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http://dauks.mk.gov.lv/Formjamie dokumenti/2020/Likumprojekti, Saeimas lēmumprojekti/TA-1841/"/>
    </mc:Choice>
  </mc:AlternateContent>
  <xr:revisionPtr revIDLastSave="0" documentId="13_ncr:1_{07E907B4-9AE1-4F89-9173-416B11A22CC5}" xr6:coauthVersionLast="45" xr6:coauthVersionMax="45" xr10:uidLastSave="{00000000-0000-0000-0000-000000000000}"/>
  <bookViews>
    <workbookView xWindow="0" yWindow="600" windowWidth="28800" windowHeight="15600" xr2:uid="{00000000-000D-0000-FFFF-FFFF00000000}"/>
  </bookViews>
  <sheets>
    <sheet name="Lapa1" sheetId="1" r:id="rId1"/>
    <sheet name="Lapa2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95" i="1" l="1"/>
  <c r="C87" i="1"/>
  <c r="B87" i="1"/>
  <c r="B117" i="1" l="1"/>
  <c r="E140" i="1"/>
  <c r="D114" i="1"/>
  <c r="E141" i="1" l="1"/>
  <c r="D113" i="1" l="1"/>
  <c r="C90" i="1" l="1"/>
  <c r="C88" i="1" s="1"/>
  <c r="E128" i="1"/>
  <c r="E129" i="1"/>
  <c r="E130" i="1"/>
  <c r="E131" i="1"/>
  <c r="E132" i="1"/>
  <c r="E133" i="1"/>
  <c r="E134" i="1"/>
  <c r="E127" i="1"/>
  <c r="E100" i="1"/>
  <c r="F100" i="1" s="1"/>
  <c r="E101" i="1"/>
  <c r="F101" i="1" s="1"/>
  <c r="E102" i="1"/>
  <c r="F102" i="1" s="1"/>
  <c r="E103" i="1"/>
  <c r="F103" i="1" s="1"/>
  <c r="E104" i="1"/>
  <c r="F104" i="1" s="1"/>
  <c r="E105" i="1"/>
  <c r="F105" i="1" s="1"/>
  <c r="E106" i="1"/>
  <c r="F106" i="1" s="1"/>
  <c r="E107" i="1"/>
  <c r="F107" i="1" s="1"/>
  <c r="E99" i="1"/>
  <c r="B6" i="1" l="1"/>
  <c r="B2" i="1" s="1"/>
  <c r="C6" i="1"/>
  <c r="C2" i="1" s="1"/>
  <c r="D6" i="1"/>
  <c r="D2" i="1" s="1"/>
  <c r="E6" i="1"/>
  <c r="E2" i="1" s="1"/>
  <c r="F6" i="1"/>
  <c r="F2" i="1" s="1"/>
  <c r="C10" i="1"/>
  <c r="D10" i="1"/>
  <c r="E14" i="1"/>
  <c r="F14" i="1" s="1"/>
  <c r="M14" i="1"/>
  <c r="N14" i="1" s="1"/>
  <c r="U14" i="1"/>
  <c r="V14" i="1" s="1"/>
  <c r="E15" i="1"/>
  <c r="F15" i="1" s="1"/>
  <c r="M15" i="1"/>
  <c r="N15" i="1" s="1"/>
  <c r="U15" i="1"/>
  <c r="V15" i="1" s="1"/>
  <c r="E16" i="1"/>
  <c r="M16" i="1"/>
  <c r="N16" i="1" s="1"/>
  <c r="U16" i="1"/>
  <c r="V16" i="1" s="1"/>
  <c r="E17" i="1"/>
  <c r="F17" i="1" s="1"/>
  <c r="M17" i="1"/>
  <c r="N17" i="1" s="1"/>
  <c r="U17" i="1"/>
  <c r="V17" i="1" s="1"/>
  <c r="E18" i="1"/>
  <c r="M18" i="1"/>
  <c r="N18" i="1" s="1"/>
  <c r="U18" i="1"/>
  <c r="V18" i="1" s="1"/>
  <c r="E19" i="1"/>
  <c r="F19" i="1" s="1"/>
  <c r="M19" i="1"/>
  <c r="N19" i="1" s="1"/>
  <c r="U19" i="1"/>
  <c r="V19" i="1" s="1"/>
  <c r="E20" i="1"/>
  <c r="F20" i="1" s="1"/>
  <c r="M20" i="1"/>
  <c r="N20" i="1" s="1"/>
  <c r="U20" i="1"/>
  <c r="V20" i="1" s="1"/>
  <c r="E21" i="1"/>
  <c r="M21" i="1"/>
  <c r="N21" i="1" s="1"/>
  <c r="U21" i="1"/>
  <c r="V21" i="1" s="1"/>
  <c r="F22" i="1"/>
  <c r="N22" i="1"/>
  <c r="V22" i="1"/>
  <c r="G23" i="1"/>
  <c r="O23" i="1"/>
  <c r="W23" i="1"/>
  <c r="K30" i="1"/>
  <c r="L30" i="1"/>
  <c r="M30" i="1"/>
  <c r="N30" i="1"/>
  <c r="S30" i="1"/>
  <c r="T30" i="1"/>
  <c r="U30" i="1"/>
  <c r="V30" i="1"/>
  <c r="B33" i="1"/>
  <c r="B27" i="1" s="1"/>
  <c r="C33" i="1"/>
  <c r="C27" i="1" s="1"/>
  <c r="D33" i="1"/>
  <c r="D27" i="1" s="1"/>
  <c r="E33" i="1"/>
  <c r="E27" i="1" s="1"/>
  <c r="F33" i="1"/>
  <c r="F27" i="1" s="1"/>
  <c r="J33" i="1"/>
  <c r="J27" i="1" s="1"/>
  <c r="K33" i="1"/>
  <c r="K27" i="1" s="1"/>
  <c r="L33" i="1"/>
  <c r="L27" i="1" s="1"/>
  <c r="M33" i="1"/>
  <c r="M27" i="1" s="1"/>
  <c r="N33" i="1"/>
  <c r="N27" i="1" s="1"/>
  <c r="N35" i="1" s="1"/>
  <c r="N38" i="1" s="1"/>
  <c r="R33" i="1"/>
  <c r="R27" i="1" s="1"/>
  <c r="S33" i="1"/>
  <c r="S27" i="1" s="1"/>
  <c r="T33" i="1"/>
  <c r="T27" i="1" s="1"/>
  <c r="U33" i="1"/>
  <c r="U27" i="1" s="1"/>
  <c r="V33" i="1"/>
  <c r="V27" i="1" s="1"/>
  <c r="V35" i="1" s="1"/>
  <c r="V38" i="1" s="1"/>
  <c r="C37" i="1"/>
  <c r="D44" i="1"/>
  <c r="I44" i="1"/>
  <c r="D45" i="1"/>
  <c r="I45" i="1"/>
  <c r="D46" i="1"/>
  <c r="I46" i="1"/>
  <c r="D47" i="1"/>
  <c r="I47" i="1"/>
  <c r="B48" i="1"/>
  <c r="D48" i="1" s="1"/>
  <c r="G48" i="1"/>
  <c r="I48" i="1" s="1"/>
  <c r="D49" i="1"/>
  <c r="I49" i="1"/>
  <c r="D50" i="1"/>
  <c r="I50" i="1"/>
  <c r="D51" i="1"/>
  <c r="I51" i="1"/>
  <c r="B62" i="1"/>
  <c r="B55" i="1" s="1"/>
  <c r="D121" i="1"/>
  <c r="E81" i="1"/>
  <c r="F81" i="1" s="1"/>
  <c r="T35" i="1" l="1"/>
  <c r="T38" i="1" s="1"/>
  <c r="I52" i="1"/>
  <c r="D58" i="1" s="1"/>
  <c r="D57" i="1" s="1"/>
  <c r="M40" i="1"/>
  <c r="F35" i="1"/>
  <c r="F38" i="1" s="1"/>
  <c r="F40" i="1"/>
  <c r="D35" i="1"/>
  <c r="D38" i="1" s="1"/>
  <c r="D40" i="1"/>
  <c r="V24" i="1"/>
  <c r="D52" i="1"/>
  <c r="C58" i="1" s="1"/>
  <c r="C57" i="1" s="1"/>
  <c r="C62" i="1" s="1"/>
  <c r="C55" i="1" s="1"/>
  <c r="C64" i="1" s="1"/>
  <c r="C67" i="1" s="1"/>
  <c r="F24" i="1"/>
  <c r="D62" i="1"/>
  <c r="D55" i="1" s="1"/>
  <c r="D64" i="1" s="1"/>
  <c r="D67" i="1" s="1"/>
  <c r="U35" i="1"/>
  <c r="U38" i="1" s="1"/>
  <c r="U40" i="1"/>
  <c r="S35" i="1"/>
  <c r="S38" i="1" s="1"/>
  <c r="S40" i="1"/>
  <c r="L35" i="1"/>
  <c r="L38" i="1" s="1"/>
  <c r="L40" i="1"/>
  <c r="K35" i="1"/>
  <c r="K38" i="1" s="1"/>
  <c r="M35" i="1"/>
  <c r="M38" i="1" s="1"/>
  <c r="E40" i="1"/>
  <c r="E35" i="1"/>
  <c r="E38" i="1" s="1"/>
  <c r="C40" i="1"/>
  <c r="C35" i="1"/>
  <c r="C38" i="1" s="1"/>
  <c r="K40" i="1"/>
  <c r="N24" i="1"/>
  <c r="W24" i="1"/>
  <c r="O24" i="1"/>
  <c r="G24" i="1"/>
  <c r="F58" i="1"/>
  <c r="F57" i="1" s="1"/>
  <c r="T40" i="1"/>
  <c r="E58" i="1" l="1"/>
  <c r="E57" i="1" s="1"/>
  <c r="E62" i="1" s="1"/>
  <c r="F62" i="1"/>
  <c r="F55" i="1" s="1"/>
  <c r="F64" i="1" s="1"/>
  <c r="F67" i="1" s="1"/>
  <c r="E55" i="1" l="1"/>
  <c r="E64" i="1" s="1"/>
  <c r="E67" i="1" s="1"/>
  <c r="E148" i="1"/>
  <c r="F134" i="1"/>
  <c r="F133" i="1"/>
  <c r="F132" i="1"/>
  <c r="F131" i="1"/>
  <c r="F130" i="1"/>
  <c r="F129" i="1"/>
  <c r="F128" i="1"/>
  <c r="F127" i="1"/>
  <c r="E126" i="1"/>
  <c r="F126" i="1" s="1"/>
  <c r="B144" i="1"/>
  <c r="F99" i="1"/>
  <c r="B91" i="1"/>
  <c r="E80" i="1"/>
  <c r="F80" i="1" s="1"/>
  <c r="E79" i="1"/>
  <c r="F79" i="1" s="1"/>
  <c r="E78" i="1"/>
  <c r="F78" i="1" s="1"/>
  <c r="E77" i="1"/>
  <c r="F77" i="1" s="1"/>
  <c r="E76" i="1"/>
  <c r="F76" i="1" s="1"/>
  <c r="E75" i="1"/>
  <c r="F75" i="1" s="1"/>
  <c r="E74" i="1"/>
  <c r="F74" i="1" s="1"/>
  <c r="E73" i="1"/>
  <c r="F73" i="1" s="1"/>
  <c r="F135" i="1" l="1"/>
  <c r="E139" i="1" s="1"/>
  <c r="F108" i="1"/>
  <c r="D112" i="1" s="1"/>
  <c r="F82" i="1"/>
  <c r="C86" i="1" s="1"/>
  <c r="C91" i="1" l="1"/>
  <c r="C85" i="1"/>
  <c r="C93" i="1" s="1"/>
  <c r="D117" i="1"/>
  <c r="D111" i="1" s="1"/>
  <c r="D119" i="1" s="1"/>
  <c r="D122" i="1" s="1"/>
  <c r="E144" i="1"/>
  <c r="E138" i="1" s="1"/>
  <c r="E146" i="1" s="1"/>
  <c r="E149" i="1" s="1"/>
  <c r="C96" i="1" l="1"/>
</calcChain>
</file>

<file path=xl/sharedStrings.xml><?xml version="1.0" encoding="utf-8"?>
<sst xmlns="http://schemas.openxmlformats.org/spreadsheetml/2006/main" count="163" uniqueCount="44">
  <si>
    <t>2020.gads</t>
  </si>
  <si>
    <t>2021.gads</t>
  </si>
  <si>
    <t>2022.gads</t>
  </si>
  <si>
    <t>2023.gads</t>
  </si>
  <si>
    <t>2024.gads</t>
  </si>
  <si>
    <t>Alga</t>
  </si>
  <si>
    <t>Piemaksas t.sk.</t>
  </si>
  <si>
    <t>Izdiena</t>
  </si>
  <si>
    <t>VSAOI</t>
  </si>
  <si>
    <t>MoneyWal</t>
  </si>
  <si>
    <t>PP</t>
  </si>
  <si>
    <t>Nodarbināto
skaits</t>
  </si>
  <si>
    <t>Max</t>
  </si>
  <si>
    <t>Vid/pts</t>
  </si>
  <si>
    <t>Gadā</t>
  </si>
  <si>
    <t>bez</t>
  </si>
  <si>
    <t>Risks</t>
  </si>
  <si>
    <t>atv.pabalsti</t>
  </si>
  <si>
    <t>Papildus nepieciešams</t>
  </si>
  <si>
    <t>Savi resursi</t>
  </si>
  <si>
    <t>PP pieprasījums</t>
  </si>
  <si>
    <t>kontrole</t>
  </si>
  <si>
    <t>Amatalga</t>
  </si>
  <si>
    <t xml:space="preserve">Atlīdzība </t>
  </si>
  <si>
    <t>Risks (10%)</t>
  </si>
  <si>
    <t>C.piemaksas (25%)</t>
  </si>
  <si>
    <t>2023.gada alga</t>
  </si>
  <si>
    <t>2022. gads</t>
  </si>
  <si>
    <t>Atlīdzība 1100,1200:</t>
  </si>
  <si>
    <t>Prioritārais pasākums</t>
  </si>
  <si>
    <t>Max. koef.</t>
  </si>
  <si>
    <t>Plānotās algas 2021.gadā kopā:</t>
  </si>
  <si>
    <t>Plānotās algas 2022.gadā kopā:</t>
  </si>
  <si>
    <t>Plānotās algas 2023.gadā kopā:</t>
  </si>
  <si>
    <t>2021.gads.</t>
  </si>
  <si>
    <t>Mēnešalgu grupas</t>
  </si>
  <si>
    <t>2023.gadā piemērotais koef.</t>
  </si>
  <si>
    <t>2022.gadā piemērotais koef.</t>
  </si>
  <si>
    <t>2021.gadā piemērotais koef. (viduspunkts)</t>
  </si>
  <si>
    <t>Bāzes  mēnešalga -1 025,29 EUR</t>
  </si>
  <si>
    <t>pielīdzināts rajona prokurora mēnešalgai</t>
  </si>
  <si>
    <t>vidēja termiņa budžeta ietvars 2021.gadam</t>
  </si>
  <si>
    <t>vidēja termiņa budžeta ietvars 2022.gadam</t>
  </si>
  <si>
    <t>Pielikums likumprojekta "Grozījumi Valsts un pašvaldību institūciju amatpersonu un darbinieku atlīdzības likumā" sākotnējās ietekmes novērtējuma ziņojumam (anotācijai)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</si>
</sst>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7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name val="Times New Roman"/>
      <family val="1"/>
      <charset val="186"/>
    </font>
    <font>
      <i/>
      <sz val="10"/>
      <color theme="1"/>
      <name val="Calibri"/>
      <family val="2"/>
      <charset val="186"/>
      <scheme val="minor"/>
    </font>
    <font>
      <i/>
      <sz val="10"/>
      <color theme="1"/>
      <name val="Times New Roman"/>
      <family val="1"/>
      <charset val="186"/>
    </font>
    <font>
      <b/>
      <sz val="11"/>
      <name val="Times New Roman"/>
      <family val="1"/>
      <charset val="186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08">
    <xf numFmtId="0" fontId="0" fillId="0" borderId="0" xfId="0"/>
    <xf numFmtId="0" fontId="3" fillId="0" borderId="1" xfId="1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0" borderId="1" xfId="0" applyFont="1" applyBorder="1"/>
    <xf numFmtId="3" fontId="1" fillId="3" borderId="1" xfId="0" applyNumberFormat="1" applyFont="1" applyFill="1" applyBorder="1"/>
    <xf numFmtId="3" fontId="1" fillId="4" borderId="1" xfId="0" applyNumberFormat="1" applyFont="1" applyFill="1" applyBorder="1"/>
    <xf numFmtId="0" fontId="0" fillId="0" borderId="1" xfId="0" applyBorder="1"/>
    <xf numFmtId="3" fontId="0" fillId="0" borderId="1" xfId="0" applyNumberFormat="1" applyBorder="1"/>
    <xf numFmtId="3" fontId="0" fillId="0" borderId="1" xfId="0" applyNumberFormat="1" applyFill="1" applyBorder="1"/>
    <xf numFmtId="0" fontId="4" fillId="0" borderId="1" xfId="0" applyFont="1" applyBorder="1"/>
    <xf numFmtId="3" fontId="4" fillId="0" borderId="1" xfId="0" applyNumberFormat="1" applyFont="1" applyBorder="1"/>
    <xf numFmtId="3" fontId="0" fillId="0" borderId="0" xfId="0" applyNumberFormat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/>
    </xf>
    <xf numFmtId="1" fontId="0" fillId="0" borderId="1" xfId="0" applyNumberFormat="1" applyBorder="1"/>
    <xf numFmtId="0" fontId="0" fillId="0" borderId="1" xfId="0" applyBorder="1" applyAlignment="1">
      <alignment horizontal="right"/>
    </xf>
    <xf numFmtId="1" fontId="0" fillId="0" borderId="0" xfId="0" applyNumberFormat="1"/>
    <xf numFmtId="3" fontId="1" fillId="0" borderId="1" xfId="0" applyNumberFormat="1" applyFont="1" applyBorder="1"/>
    <xf numFmtId="0" fontId="1" fillId="0" borderId="1" xfId="0" applyFont="1" applyFill="1" applyBorder="1"/>
    <xf numFmtId="3" fontId="5" fillId="0" borderId="1" xfId="0" applyNumberFormat="1" applyFont="1" applyBorder="1"/>
    <xf numFmtId="3" fontId="5" fillId="0" borderId="1" xfId="0" applyNumberFormat="1" applyFont="1" applyFill="1" applyBorder="1"/>
    <xf numFmtId="0" fontId="0" fillId="0" borderId="0" xfId="0" applyBorder="1"/>
    <xf numFmtId="3" fontId="0" fillId="0" borderId="0" xfId="0" applyNumberFormat="1" applyBorder="1"/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0" fontId="0" fillId="4" borderId="0" xfId="0" applyFill="1"/>
    <xf numFmtId="0" fontId="0" fillId="2" borderId="0" xfId="0" applyFill="1"/>
    <xf numFmtId="0" fontId="0" fillId="2" borderId="1" xfId="0" applyFill="1" applyBorder="1"/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1" fontId="0" fillId="5" borderId="1" xfId="0" applyNumberFormat="1" applyFill="1" applyBorder="1"/>
    <xf numFmtId="3" fontId="0" fillId="5" borderId="1" xfId="0" applyNumberFormat="1" applyFill="1" applyBorder="1"/>
    <xf numFmtId="3" fontId="1" fillId="5" borderId="1" xfId="0" applyNumberFormat="1" applyFont="1" applyFill="1" applyBorder="1"/>
    <xf numFmtId="0" fontId="1" fillId="5" borderId="1" xfId="0" applyFont="1" applyFill="1" applyBorder="1"/>
    <xf numFmtId="3" fontId="5" fillId="5" borderId="1" xfId="0" applyNumberFormat="1" applyFont="1" applyFill="1" applyBorder="1"/>
    <xf numFmtId="3" fontId="4" fillId="5" borderId="1" xfId="0" applyNumberFormat="1" applyFont="1" applyFill="1" applyBorder="1"/>
    <xf numFmtId="3" fontId="0" fillId="5" borderId="0" xfId="0" applyNumberFormat="1" applyFill="1" applyBorder="1"/>
    <xf numFmtId="0" fontId="0" fillId="0" borderId="8" xfId="0" applyBorder="1"/>
    <xf numFmtId="0" fontId="1" fillId="5" borderId="5" xfId="0" applyFont="1" applyFill="1" applyBorder="1" applyAlignment="1">
      <alignment wrapText="1"/>
    </xf>
    <xf numFmtId="0" fontId="0" fillId="0" borderId="11" xfId="0" applyBorder="1" applyAlignment="1">
      <alignment vertical="center"/>
    </xf>
    <xf numFmtId="0" fontId="0" fillId="0" borderId="11" xfId="0" applyBorder="1"/>
    <xf numFmtId="3" fontId="1" fillId="0" borderId="0" xfId="0" applyNumberFormat="1" applyFont="1" applyBorder="1"/>
    <xf numFmtId="0" fontId="0" fillId="2" borderId="6" xfId="0" applyFill="1" applyBorder="1"/>
    <xf numFmtId="0" fontId="0" fillId="2" borderId="8" xfId="0" applyFill="1" applyBorder="1"/>
    <xf numFmtId="3" fontId="0" fillId="2" borderId="0" xfId="0" applyNumberFormat="1" applyFill="1" applyBorder="1"/>
    <xf numFmtId="0" fontId="0" fillId="2" borderId="0" xfId="0" applyFill="1" applyBorder="1"/>
    <xf numFmtId="0" fontId="0" fillId="5" borderId="5" xfId="0" applyFill="1" applyBorder="1"/>
    <xf numFmtId="3" fontId="0" fillId="5" borderId="7" xfId="0" applyNumberFormat="1" applyFill="1" applyBorder="1"/>
    <xf numFmtId="0" fontId="0" fillId="5" borderId="8" xfId="0" applyFill="1" applyBorder="1"/>
    <xf numFmtId="3" fontId="1" fillId="5" borderId="7" xfId="0" applyNumberFormat="1" applyFont="1" applyFill="1" applyBorder="1"/>
    <xf numFmtId="0" fontId="4" fillId="5" borderId="5" xfId="0" applyFont="1" applyFill="1" applyBorder="1"/>
    <xf numFmtId="0" fontId="0" fillId="5" borderId="5" xfId="0" applyFill="1" applyBorder="1" applyAlignment="1">
      <alignment wrapText="1"/>
    </xf>
    <xf numFmtId="3" fontId="1" fillId="2" borderId="0" xfId="0" applyNumberFormat="1" applyFont="1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0" xfId="0" applyFill="1" applyBorder="1" applyAlignment="1">
      <alignment vertical="center" wrapText="1"/>
    </xf>
    <xf numFmtId="0" fontId="0" fillId="2" borderId="0" xfId="0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3" fontId="0" fillId="6" borderId="1" xfId="0" applyNumberFormat="1" applyFill="1" applyBorder="1"/>
    <xf numFmtId="0" fontId="3" fillId="6" borderId="20" xfId="1" applyFont="1" applyFill="1" applyBorder="1" applyAlignment="1">
      <alignment horizontal="center" vertical="center" wrapText="1"/>
    </xf>
    <xf numFmtId="3" fontId="1" fillId="6" borderId="21" xfId="0" applyNumberFormat="1" applyFont="1" applyFill="1" applyBorder="1"/>
    <xf numFmtId="0" fontId="1" fillId="6" borderId="5" xfId="0" applyFont="1" applyFill="1" applyBorder="1" applyAlignment="1">
      <alignment wrapText="1"/>
    </xf>
    <xf numFmtId="0" fontId="1" fillId="6" borderId="1" xfId="0" applyFont="1" applyFill="1" applyBorder="1"/>
    <xf numFmtId="3" fontId="1" fillId="6" borderId="1" xfId="0" applyNumberFormat="1" applyFont="1" applyFill="1" applyBorder="1"/>
    <xf numFmtId="0" fontId="3" fillId="7" borderId="20" xfId="1" applyFont="1" applyFill="1" applyBorder="1" applyAlignment="1">
      <alignment horizontal="center" vertical="center" wrapText="1"/>
    </xf>
    <xf numFmtId="0" fontId="1" fillId="7" borderId="1" xfId="0" applyFont="1" applyFill="1" applyBorder="1"/>
    <xf numFmtId="0" fontId="0" fillId="6" borderId="20" xfId="0" applyFill="1" applyBorder="1" applyAlignment="1">
      <alignment wrapText="1"/>
    </xf>
    <xf numFmtId="3" fontId="0" fillId="6" borderId="21" xfId="0" applyNumberFormat="1" applyFill="1" applyBorder="1"/>
    <xf numFmtId="3" fontId="0" fillId="6" borderId="22" xfId="0" applyNumberFormat="1" applyFill="1" applyBorder="1"/>
    <xf numFmtId="0" fontId="1" fillId="5" borderId="3" xfId="0" applyFont="1" applyFill="1" applyBorder="1" applyAlignment="1">
      <alignment horizontal="center" vertical="center"/>
    </xf>
    <xf numFmtId="0" fontId="0" fillId="5" borderId="4" xfId="0" applyFill="1" applyBorder="1" applyAlignment="1">
      <alignment vertical="center" wrapText="1"/>
    </xf>
    <xf numFmtId="0" fontId="0" fillId="5" borderId="4" xfId="0" applyFill="1" applyBorder="1" applyAlignment="1">
      <alignment horizontal="center" vertical="center"/>
    </xf>
    <xf numFmtId="0" fontId="0" fillId="5" borderId="27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3" fillId="5" borderId="20" xfId="1" applyFont="1" applyFill="1" applyBorder="1" applyAlignment="1">
      <alignment horizontal="center" vertical="center" wrapText="1"/>
    </xf>
    <xf numFmtId="0" fontId="1" fillId="5" borderId="21" xfId="0" applyFont="1" applyFill="1" applyBorder="1"/>
    <xf numFmtId="0" fontId="1" fillId="5" borderId="22" xfId="0" applyFont="1" applyFill="1" applyBorder="1"/>
    <xf numFmtId="0" fontId="3" fillId="5" borderId="18" xfId="1" applyFont="1" applyFill="1" applyBorder="1" applyAlignment="1">
      <alignment horizontal="center" vertical="center"/>
    </xf>
    <xf numFmtId="3" fontId="1" fillId="5" borderId="19" xfId="0" applyNumberFormat="1" applyFont="1" applyFill="1" applyBorder="1"/>
    <xf numFmtId="3" fontId="1" fillId="5" borderId="29" xfId="0" applyNumberFormat="1" applyFont="1" applyFill="1" applyBorder="1"/>
    <xf numFmtId="3" fontId="5" fillId="5" borderId="7" xfId="0" applyNumberFormat="1" applyFont="1" applyFill="1" applyBorder="1"/>
    <xf numFmtId="3" fontId="0" fillId="5" borderId="6" xfId="0" applyNumberFormat="1" applyFill="1" applyBorder="1"/>
    <xf numFmtId="0" fontId="0" fillId="5" borderId="7" xfId="0" applyFill="1" applyBorder="1"/>
    <xf numFmtId="0" fontId="4" fillId="5" borderId="16" xfId="0" applyFont="1" applyFill="1" applyBorder="1" applyAlignment="1">
      <alignment wrapText="1"/>
    </xf>
    <xf numFmtId="3" fontId="4" fillId="5" borderId="17" xfId="0" applyNumberFormat="1" applyFont="1" applyFill="1" applyBorder="1"/>
    <xf numFmtId="3" fontId="0" fillId="5" borderId="30" xfId="0" applyNumberFormat="1" applyFill="1" applyBorder="1"/>
    <xf numFmtId="0" fontId="0" fillId="5" borderId="20" xfId="0" applyFill="1" applyBorder="1" applyAlignment="1">
      <alignment wrapText="1"/>
    </xf>
    <xf numFmtId="3" fontId="0" fillId="5" borderId="21" xfId="0" applyNumberFormat="1" applyFill="1" applyBorder="1"/>
    <xf numFmtId="3" fontId="0" fillId="5" borderId="22" xfId="0" applyNumberFormat="1" applyFill="1" applyBorder="1"/>
    <xf numFmtId="0" fontId="3" fillId="7" borderId="12" xfId="1" applyFont="1" applyFill="1" applyBorder="1" applyAlignment="1">
      <alignment horizontal="center" vertical="center"/>
    </xf>
    <xf numFmtId="0" fontId="1" fillId="7" borderId="4" xfId="0" applyFont="1" applyFill="1" applyBorder="1"/>
    <xf numFmtId="0" fontId="1" fillId="7" borderId="13" xfId="0" applyFont="1" applyFill="1" applyBorder="1"/>
    <xf numFmtId="0" fontId="3" fillId="7" borderId="5" xfId="1" applyFont="1" applyFill="1" applyBorder="1" applyAlignment="1">
      <alignment horizontal="center" vertical="center"/>
    </xf>
    <xf numFmtId="3" fontId="1" fillId="7" borderId="1" xfId="0" applyNumberFormat="1" applyFont="1" applyFill="1" applyBorder="1"/>
    <xf numFmtId="3" fontId="1" fillId="7" borderId="14" xfId="0" applyNumberFormat="1" applyFont="1" applyFill="1" applyBorder="1"/>
    <xf numFmtId="0" fontId="0" fillId="7" borderId="5" xfId="0" applyFill="1" applyBorder="1"/>
    <xf numFmtId="3" fontId="0" fillId="7" borderId="1" xfId="0" applyNumberFormat="1" applyFill="1" applyBorder="1"/>
    <xf numFmtId="3" fontId="0" fillId="7" borderId="14" xfId="0" applyNumberFormat="1" applyFill="1" applyBorder="1"/>
    <xf numFmtId="0" fontId="4" fillId="7" borderId="5" xfId="0" applyFont="1" applyFill="1" applyBorder="1"/>
    <xf numFmtId="3" fontId="4" fillId="7" borderId="1" xfId="0" applyNumberFormat="1" applyFont="1" applyFill="1" applyBorder="1"/>
    <xf numFmtId="3" fontId="4" fillId="7" borderId="14" xfId="0" applyNumberFormat="1" applyFont="1" applyFill="1" applyBorder="1"/>
    <xf numFmtId="0" fontId="0" fillId="7" borderId="8" xfId="0" applyFill="1" applyBorder="1"/>
    <xf numFmtId="3" fontId="0" fillId="7" borderId="0" xfId="0" applyNumberFormat="1" applyFill="1" applyBorder="1"/>
    <xf numFmtId="0" fontId="0" fillId="7" borderId="0" xfId="0" applyFill="1" applyBorder="1"/>
    <xf numFmtId="0" fontId="0" fillId="7" borderId="14" xfId="0" applyFill="1" applyBorder="1"/>
    <xf numFmtId="0" fontId="0" fillId="7" borderId="1" xfId="0" applyFill="1" applyBorder="1" applyAlignment="1">
      <alignment vertical="center" wrapText="1"/>
    </xf>
    <xf numFmtId="0" fontId="0" fillId="7" borderId="1" xfId="0" applyFill="1" applyBorder="1" applyAlignment="1">
      <alignment horizontal="center" vertical="center"/>
    </xf>
    <xf numFmtId="9" fontId="0" fillId="7" borderId="1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vertical="center"/>
    </xf>
    <xf numFmtId="0" fontId="0" fillId="7" borderId="14" xfId="0" applyFill="1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1" fontId="0" fillId="7" borderId="1" xfId="0" applyNumberFormat="1" applyFill="1" applyBorder="1"/>
    <xf numFmtId="0" fontId="0" fillId="7" borderId="5" xfId="0" applyFill="1" applyBorder="1" applyAlignment="1">
      <alignment horizontal="right"/>
    </xf>
    <xf numFmtId="1" fontId="0" fillId="7" borderId="0" xfId="0" applyNumberFormat="1" applyFill="1" applyBorder="1"/>
    <xf numFmtId="164" fontId="0" fillId="7" borderId="0" xfId="0" applyNumberFormat="1" applyFill="1" applyBorder="1"/>
    <xf numFmtId="3" fontId="1" fillId="7" borderId="0" xfId="0" applyNumberFormat="1" applyFont="1" applyFill="1" applyBorder="1"/>
    <xf numFmtId="0" fontId="1" fillId="7" borderId="14" xfId="0" applyFont="1" applyFill="1" applyBorder="1"/>
    <xf numFmtId="3" fontId="5" fillId="7" borderId="1" xfId="0" applyNumberFormat="1" applyFont="1" applyFill="1" applyBorder="1"/>
    <xf numFmtId="3" fontId="5" fillId="7" borderId="14" xfId="0" applyNumberFormat="1" applyFont="1" applyFill="1" applyBorder="1"/>
    <xf numFmtId="0" fontId="0" fillId="7" borderId="5" xfId="0" applyFill="1" applyBorder="1" applyAlignment="1">
      <alignment wrapText="1"/>
    </xf>
    <xf numFmtId="0" fontId="4" fillId="7" borderId="5" xfId="0" applyFont="1" applyFill="1" applyBorder="1" applyAlignment="1">
      <alignment wrapText="1"/>
    </xf>
    <xf numFmtId="0" fontId="1" fillId="7" borderId="1" xfId="0" applyFont="1" applyFill="1" applyBorder="1" applyAlignment="1">
      <alignment horizontal="center"/>
    </xf>
    <xf numFmtId="0" fontId="6" fillId="7" borderId="5" xfId="1" applyFont="1" applyFill="1" applyBorder="1" applyAlignment="1">
      <alignment horizontal="left" vertical="center"/>
    </xf>
    <xf numFmtId="9" fontId="0" fillId="7" borderId="1" xfId="0" applyNumberFormat="1" applyFill="1" applyBorder="1" applyAlignment="1">
      <alignment horizontal="center" vertical="center" wrapText="1"/>
    </xf>
    <xf numFmtId="3" fontId="1" fillId="7" borderId="21" xfId="0" applyNumberFormat="1" applyFont="1" applyFill="1" applyBorder="1"/>
    <xf numFmtId="3" fontId="1" fillId="7" borderId="22" xfId="0" applyNumberFormat="1" applyFont="1" applyFill="1" applyBorder="1"/>
    <xf numFmtId="0" fontId="0" fillId="7" borderId="18" xfId="0" applyFill="1" applyBorder="1"/>
    <xf numFmtId="3" fontId="0" fillId="7" borderId="19" xfId="0" applyNumberFormat="1" applyFill="1" applyBorder="1"/>
    <xf numFmtId="3" fontId="0" fillId="7" borderId="15" xfId="0" applyNumberFormat="1" applyFill="1" applyBorder="1"/>
    <xf numFmtId="0" fontId="1" fillId="7" borderId="5" xfId="0" applyFont="1" applyFill="1" applyBorder="1" applyAlignment="1">
      <alignment wrapText="1"/>
    </xf>
    <xf numFmtId="0" fontId="4" fillId="7" borderId="16" xfId="0" applyFont="1" applyFill="1" applyBorder="1" applyAlignment="1">
      <alignment wrapText="1"/>
    </xf>
    <xf numFmtId="3" fontId="4" fillId="7" borderId="17" xfId="0" applyNumberFormat="1" applyFont="1" applyFill="1" applyBorder="1"/>
    <xf numFmtId="3" fontId="0" fillId="7" borderId="17" xfId="0" applyNumberFormat="1" applyFill="1" applyBorder="1"/>
    <xf numFmtId="0" fontId="0" fillId="7" borderId="20" xfId="0" applyFill="1" applyBorder="1" applyAlignment="1">
      <alignment wrapText="1"/>
    </xf>
    <xf numFmtId="3" fontId="0" fillId="7" borderId="21" xfId="0" applyNumberFormat="1" applyFill="1" applyBorder="1"/>
    <xf numFmtId="3" fontId="0" fillId="7" borderId="22" xfId="0" applyNumberFormat="1" applyFill="1" applyBorder="1"/>
    <xf numFmtId="0" fontId="1" fillId="6" borderId="3" xfId="0" applyFont="1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5" xfId="0" applyFill="1" applyBorder="1"/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1" fontId="0" fillId="6" borderId="1" xfId="0" applyNumberFormat="1" applyFill="1" applyBorder="1"/>
    <xf numFmtId="0" fontId="0" fillId="6" borderId="8" xfId="0" applyFill="1" applyBorder="1"/>
    <xf numFmtId="0" fontId="3" fillId="6" borderId="16" xfId="1" applyFont="1" applyFill="1" applyBorder="1" applyAlignment="1">
      <alignment horizontal="center" vertical="center"/>
    </xf>
    <xf numFmtId="0" fontId="1" fillId="6" borderId="17" xfId="0" applyFont="1" applyFill="1" applyBorder="1"/>
    <xf numFmtId="0" fontId="0" fillId="6" borderId="18" xfId="0" applyFill="1" applyBorder="1"/>
    <xf numFmtId="3" fontId="0" fillId="6" borderId="19" xfId="0" applyNumberFormat="1" applyFill="1" applyBorder="1"/>
    <xf numFmtId="0" fontId="4" fillId="6" borderId="5" xfId="0" applyFont="1" applyFill="1" applyBorder="1"/>
    <xf numFmtId="3" fontId="5" fillId="6" borderId="1" xfId="0" applyNumberFormat="1" applyFont="1" applyFill="1" applyBorder="1"/>
    <xf numFmtId="3" fontId="4" fillId="6" borderId="1" xfId="0" applyNumberFormat="1" applyFont="1" applyFill="1" applyBorder="1"/>
    <xf numFmtId="3" fontId="0" fillId="6" borderId="0" xfId="0" applyNumberFormat="1" applyFill="1" applyBorder="1"/>
    <xf numFmtId="3" fontId="0" fillId="6" borderId="24" xfId="0" applyNumberFormat="1" applyFill="1" applyBorder="1"/>
    <xf numFmtId="0" fontId="4" fillId="6" borderId="16" xfId="0" applyFont="1" applyFill="1" applyBorder="1" applyAlignment="1">
      <alignment wrapText="1"/>
    </xf>
    <xf numFmtId="3" fontId="4" fillId="6" borderId="17" xfId="0" applyNumberFormat="1" applyFont="1" applyFill="1" applyBorder="1"/>
    <xf numFmtId="3" fontId="0" fillId="6" borderId="17" xfId="0" applyNumberFormat="1" applyFill="1" applyBorder="1"/>
    <xf numFmtId="9" fontId="0" fillId="0" borderId="0" xfId="0" applyNumberFormat="1" applyBorder="1"/>
    <xf numFmtId="0" fontId="0" fillId="0" borderId="8" xfId="0" applyFill="1" applyBorder="1" applyAlignment="1">
      <alignment wrapText="1"/>
    </xf>
    <xf numFmtId="0" fontId="0" fillId="0" borderId="0" xfId="0" applyFill="1"/>
    <xf numFmtId="0" fontId="0" fillId="7" borderId="5" xfId="0" applyFill="1" applyBorder="1" applyAlignment="1">
      <alignment horizontal="center"/>
    </xf>
    <xf numFmtId="0" fontId="0" fillId="7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9" fontId="0" fillId="6" borderId="1" xfId="0" applyNumberForma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3" fontId="1" fillId="7" borderId="17" xfId="0" applyNumberFormat="1" applyFont="1" applyFill="1" applyBorder="1"/>
    <xf numFmtId="0" fontId="3" fillId="7" borderId="32" xfId="1" applyFont="1" applyFill="1" applyBorder="1" applyAlignment="1">
      <alignment horizontal="center" vertical="center"/>
    </xf>
    <xf numFmtId="0" fontId="1" fillId="7" borderId="2" xfId="0" applyFont="1" applyFill="1" applyBorder="1"/>
    <xf numFmtId="164" fontId="0" fillId="2" borderId="1" xfId="0" applyNumberFormat="1" applyFill="1" applyBorder="1"/>
    <xf numFmtId="0" fontId="0" fillId="2" borderId="15" xfId="0" applyFill="1" applyBorder="1"/>
    <xf numFmtId="0" fontId="0" fillId="7" borderId="5" xfId="0" applyFill="1" applyBorder="1" applyAlignment="1">
      <alignment horizontal="center" wrapText="1"/>
    </xf>
    <xf numFmtId="0" fontId="0" fillId="6" borderId="5" xfId="0" applyFill="1" applyBorder="1" applyAlignment="1">
      <alignment horizontal="center" wrapText="1"/>
    </xf>
    <xf numFmtId="0" fontId="0" fillId="5" borderId="17" xfId="0" applyFill="1" applyBorder="1" applyAlignment="1">
      <alignment horizontal="center" vertical="center"/>
    </xf>
    <xf numFmtId="2" fontId="1" fillId="6" borderId="4" xfId="0" applyNumberFormat="1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vertical="center"/>
    </xf>
    <xf numFmtId="0" fontId="0" fillId="5" borderId="2" xfId="0" applyFill="1" applyBorder="1" applyAlignment="1">
      <alignment vertical="center"/>
    </xf>
    <xf numFmtId="1" fontId="0" fillId="5" borderId="1" xfId="0" applyNumberFormat="1" applyFill="1" applyBorder="1" applyAlignment="1">
      <alignment vertical="center"/>
    </xf>
    <xf numFmtId="3" fontId="0" fillId="5" borderId="7" xfId="0" applyNumberFormat="1" applyFill="1" applyBorder="1" applyAlignment="1">
      <alignment vertical="center"/>
    </xf>
    <xf numFmtId="0" fontId="0" fillId="6" borderId="1" xfId="0" applyFill="1" applyBorder="1" applyAlignment="1">
      <alignment horizontal="center" vertical="center"/>
    </xf>
    <xf numFmtId="0" fontId="0" fillId="6" borderId="2" xfId="0" applyFill="1" applyBorder="1" applyAlignment="1">
      <alignment vertical="center"/>
    </xf>
    <xf numFmtId="1" fontId="0" fillId="6" borderId="1" xfId="0" applyNumberFormat="1" applyFill="1" applyBorder="1" applyAlignment="1">
      <alignment vertical="center"/>
    </xf>
    <xf numFmtId="3" fontId="0" fillId="6" borderId="1" xfId="0" applyNumberFormat="1" applyFill="1" applyBorder="1" applyAlignment="1">
      <alignment vertical="center"/>
    </xf>
    <xf numFmtId="0" fontId="1" fillId="6" borderId="1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3" fontId="1" fillId="6" borderId="33" xfId="0" applyNumberFormat="1" applyFont="1" applyFill="1" applyBorder="1"/>
    <xf numFmtId="0" fontId="1" fillId="7" borderId="2" xfId="0" applyFont="1" applyFill="1" applyBorder="1" applyAlignment="1">
      <alignment wrapText="1"/>
    </xf>
    <xf numFmtId="1" fontId="0" fillId="5" borderId="14" xfId="0" applyNumberFormat="1" applyFill="1" applyBorder="1" applyAlignment="1">
      <alignment horizontal="center"/>
    </xf>
    <xf numFmtId="1" fontId="0" fillId="5" borderId="28" xfId="0" applyNumberFormat="1" applyFill="1" applyBorder="1" applyAlignment="1">
      <alignment horizontal="center"/>
    </xf>
    <xf numFmtId="1" fontId="0" fillId="5" borderId="11" xfId="0" applyNumberFormat="1" applyFill="1" applyBorder="1" applyAlignment="1">
      <alignment horizontal="center"/>
    </xf>
    <xf numFmtId="1" fontId="0" fillId="6" borderId="14" xfId="0" applyNumberFormat="1" applyFill="1" applyBorder="1" applyAlignment="1">
      <alignment horizontal="right"/>
    </xf>
    <xf numFmtId="1" fontId="0" fillId="6" borderId="28" xfId="0" applyNumberFormat="1" applyFill="1" applyBorder="1" applyAlignment="1">
      <alignment horizontal="right"/>
    </xf>
    <xf numFmtId="1" fontId="0" fillId="6" borderId="11" xfId="0" applyNumberFormat="1" applyFill="1" applyBorder="1" applyAlignment="1">
      <alignment horizontal="right"/>
    </xf>
    <xf numFmtId="1" fontId="0" fillId="7" borderId="23" xfId="0" applyNumberFormat="1" applyFill="1" applyBorder="1" applyAlignment="1">
      <alignment horizontal="right"/>
    </xf>
    <xf numFmtId="1" fontId="0" fillId="7" borderId="25" xfId="0" applyNumberFormat="1" applyFill="1" applyBorder="1" applyAlignment="1">
      <alignment horizontal="right"/>
    </xf>
    <xf numFmtId="1" fontId="0" fillId="7" borderId="26" xfId="0" applyNumberFormat="1" applyFill="1" applyBorder="1" applyAlignment="1">
      <alignment horizontal="right"/>
    </xf>
    <xf numFmtId="3" fontId="0" fillId="0" borderId="31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Fill="1" applyBorder="1"/>
    <xf numFmtId="0" fontId="0" fillId="0" borderId="8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3" fontId="0" fillId="0" borderId="0" xfId="0" applyNumberFormat="1" applyFill="1" applyBorder="1" applyAlignment="1">
      <alignment horizontal="right" wrapText="1"/>
    </xf>
    <xf numFmtId="0" fontId="0" fillId="7" borderId="16" xfId="0" applyFill="1" applyBorder="1" applyAlignment="1">
      <alignment wrapText="1"/>
    </xf>
    <xf numFmtId="3" fontId="0" fillId="7" borderId="23" xfId="0" applyNumberFormat="1" applyFill="1" applyBorder="1"/>
    <xf numFmtId="3" fontId="1" fillId="2" borderId="14" xfId="0" applyNumberFormat="1" applyFont="1" applyFill="1" applyBorder="1"/>
    <xf numFmtId="0" fontId="0" fillId="2" borderId="31" xfId="0" applyFill="1" applyBorder="1"/>
  </cellXfs>
  <cellStyles count="2">
    <cellStyle name="Normal" xfId="0" builtinId="0"/>
    <cellStyle name="Normal 2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R150"/>
  <sheetViews>
    <sheetView tabSelected="1" topLeftCell="A110" workbookViewId="0">
      <selection activeCell="A83" sqref="A83"/>
    </sheetView>
  </sheetViews>
  <sheetFormatPr defaultRowHeight="15" x14ac:dyDescent="0.25"/>
  <cols>
    <col min="1" max="2" width="15.85546875" customWidth="1"/>
    <col min="3" max="3" width="12" customWidth="1"/>
    <col min="4" max="4" width="14.5703125" customWidth="1"/>
    <col min="5" max="5" width="10.85546875" customWidth="1"/>
    <col min="6" max="6" width="11.28515625" customWidth="1"/>
    <col min="7" max="7" width="11.85546875" style="23" customWidth="1"/>
    <col min="9" max="9" width="16.7109375" customWidth="1"/>
    <col min="10" max="10" width="13.28515625" customWidth="1"/>
    <col min="11" max="15" width="9.140625" customWidth="1"/>
    <col min="16" max="16" width="19.28515625" customWidth="1"/>
    <col min="17" max="17" width="16.5703125" customWidth="1"/>
    <col min="18" max="18" width="12.5703125" customWidth="1"/>
    <col min="19" max="24" width="9.140625" customWidth="1"/>
  </cols>
  <sheetData>
    <row r="1" spans="1:22" hidden="1" x14ac:dyDescent="0.25">
      <c r="A1" s="91"/>
      <c r="B1" s="92" t="s">
        <v>0</v>
      </c>
      <c r="C1" s="92" t="s">
        <v>1</v>
      </c>
      <c r="D1" s="92" t="s">
        <v>2</v>
      </c>
      <c r="E1" s="92" t="s">
        <v>3</v>
      </c>
      <c r="F1" s="93" t="s">
        <v>4</v>
      </c>
      <c r="G1" s="47"/>
    </row>
    <row r="2" spans="1:22" hidden="1" x14ac:dyDescent="0.25">
      <c r="A2" s="94"/>
      <c r="B2" s="95">
        <f>SUM(B3:B6)-B5</f>
        <v>4479960.4659000002</v>
      </c>
      <c r="C2" s="95">
        <f>SUM(C3:C6)-C5</f>
        <v>7322363.7721999995</v>
      </c>
      <c r="D2" s="95">
        <f>SUM(D3:D6)-D5</f>
        <v>7758972.9482000005</v>
      </c>
      <c r="E2" s="95">
        <f>SUM(E3:E6)-E5</f>
        <v>7758972.9482000005</v>
      </c>
      <c r="F2" s="96">
        <f>SUM(F3:F6)-F5</f>
        <v>7758972.9482000005</v>
      </c>
      <c r="G2" s="47"/>
    </row>
    <row r="3" spans="1:22" hidden="1" x14ac:dyDescent="0.25">
      <c r="A3" s="97" t="s">
        <v>5</v>
      </c>
      <c r="B3" s="98">
        <v>2820048</v>
      </c>
      <c r="C3" s="98">
        <v>5108229</v>
      </c>
      <c r="D3" s="98">
        <v>5458869</v>
      </c>
      <c r="E3" s="98">
        <v>5458869</v>
      </c>
      <c r="F3" s="99">
        <v>5458869</v>
      </c>
      <c r="G3" s="47"/>
    </row>
    <row r="4" spans="1:22" hidden="1" x14ac:dyDescent="0.25">
      <c r="A4" s="97" t="s">
        <v>6</v>
      </c>
      <c r="B4" s="98">
        <v>790203</v>
      </c>
      <c r="C4" s="98">
        <v>793829</v>
      </c>
      <c r="D4" s="98">
        <v>793829</v>
      </c>
      <c r="E4" s="98">
        <v>793829</v>
      </c>
      <c r="F4" s="99">
        <v>793829</v>
      </c>
      <c r="G4" s="47"/>
    </row>
    <row r="5" spans="1:22" hidden="1" x14ac:dyDescent="0.25">
      <c r="A5" s="100" t="s">
        <v>7</v>
      </c>
      <c r="B5" s="101">
        <v>350000</v>
      </c>
      <c r="C5" s="101">
        <v>271268</v>
      </c>
      <c r="D5" s="101">
        <v>291425</v>
      </c>
      <c r="E5" s="101">
        <v>337650</v>
      </c>
      <c r="F5" s="102">
        <v>350000</v>
      </c>
      <c r="G5" s="47"/>
    </row>
    <row r="6" spans="1:22" hidden="1" x14ac:dyDescent="0.25">
      <c r="A6" s="97" t="s">
        <v>8</v>
      </c>
      <c r="B6" s="98">
        <f>SUM(B3:B4)*0.2409</f>
        <v>869709.46590000007</v>
      </c>
      <c r="C6" s="98">
        <f>SUM(C3:C4)*0.2409-1500</f>
        <v>1420305.7722</v>
      </c>
      <c r="D6" s="98">
        <f t="shared" ref="D6:F6" si="0">SUM(D3:D4)*0.2409</f>
        <v>1506274.9482</v>
      </c>
      <c r="E6" s="98">
        <f t="shared" si="0"/>
        <v>1506274.9482</v>
      </c>
      <c r="F6" s="99">
        <f t="shared" si="0"/>
        <v>1506274.9482</v>
      </c>
      <c r="G6" s="47"/>
    </row>
    <row r="7" spans="1:22" hidden="1" x14ac:dyDescent="0.25">
      <c r="A7" s="103"/>
      <c r="B7" s="104"/>
      <c r="C7" s="104"/>
      <c r="D7" s="104"/>
      <c r="E7" s="104"/>
      <c r="F7" s="105"/>
      <c r="G7" s="47"/>
    </row>
    <row r="8" spans="1:22" hidden="1" x14ac:dyDescent="0.25">
      <c r="A8" s="97" t="s">
        <v>9</v>
      </c>
      <c r="B8" s="98"/>
      <c r="C8" s="98">
        <v>283004</v>
      </c>
      <c r="D8" s="98">
        <v>591868</v>
      </c>
      <c r="E8" s="98"/>
      <c r="F8" s="106"/>
      <c r="G8" s="47"/>
    </row>
    <row r="9" spans="1:22" hidden="1" x14ac:dyDescent="0.25">
      <c r="A9" s="97" t="s">
        <v>10</v>
      </c>
      <c r="B9" s="98"/>
      <c r="C9" s="98">
        <v>2559400</v>
      </c>
      <c r="D9" s="98">
        <v>2687145</v>
      </c>
      <c r="E9" s="98">
        <v>3279013</v>
      </c>
      <c r="F9" s="99">
        <v>3279013</v>
      </c>
      <c r="G9" s="47"/>
    </row>
    <row r="10" spans="1:22" hidden="1" x14ac:dyDescent="0.25">
      <c r="A10" s="103"/>
      <c r="B10" s="104"/>
      <c r="C10" s="98">
        <f>SUM(C8:C9)</f>
        <v>2842404</v>
      </c>
      <c r="D10" s="98">
        <f>SUM(D8:D9)</f>
        <v>3279013</v>
      </c>
      <c r="E10" s="104"/>
      <c r="F10" s="105"/>
      <c r="G10" s="47"/>
    </row>
    <row r="11" spans="1:22" hidden="1" x14ac:dyDescent="0.25">
      <c r="A11" s="103"/>
      <c r="B11" s="105"/>
      <c r="C11" s="105"/>
      <c r="D11" s="105"/>
      <c r="E11" s="105"/>
      <c r="F11" s="105"/>
      <c r="G11" s="47"/>
    </row>
    <row r="12" spans="1:22" hidden="1" x14ac:dyDescent="0.25">
      <c r="A12" s="103"/>
      <c r="B12" s="105"/>
      <c r="C12" s="105"/>
      <c r="D12" s="105"/>
      <c r="E12" s="105"/>
      <c r="F12" s="105"/>
      <c r="G12" s="47"/>
    </row>
    <row r="13" spans="1:22" ht="30" hidden="1" x14ac:dyDescent="0.25">
      <c r="A13" s="103"/>
      <c r="B13" s="107" t="s">
        <v>11</v>
      </c>
      <c r="C13" s="108" t="s">
        <v>12</v>
      </c>
      <c r="D13" s="109" t="s">
        <v>13</v>
      </c>
      <c r="E13" s="110">
        <v>1025.29</v>
      </c>
      <c r="F13" s="111" t="s">
        <v>14</v>
      </c>
      <c r="G13" s="47"/>
      <c r="J13" s="12" t="s">
        <v>11</v>
      </c>
      <c r="K13" s="13" t="s">
        <v>12</v>
      </c>
      <c r="L13" s="6"/>
      <c r="M13" s="14">
        <v>1025.29</v>
      </c>
      <c r="N13" s="13" t="s">
        <v>14</v>
      </c>
      <c r="R13" s="12" t="s">
        <v>11</v>
      </c>
      <c r="S13" s="13" t="s">
        <v>12</v>
      </c>
      <c r="T13" s="6"/>
      <c r="U13" s="14">
        <v>1025.29</v>
      </c>
      <c r="V13" s="13" t="s">
        <v>14</v>
      </c>
    </row>
    <row r="14" spans="1:22" hidden="1" x14ac:dyDescent="0.25">
      <c r="A14" s="97">
        <v>16</v>
      </c>
      <c r="B14" s="112">
        <v>1</v>
      </c>
      <c r="C14" s="112">
        <v>5.4749999999999996</v>
      </c>
      <c r="D14" s="113">
        <v>4.5620000000000003</v>
      </c>
      <c r="E14" s="114">
        <f>E$13*D14</f>
        <v>4677.3729800000001</v>
      </c>
      <c r="F14" s="99">
        <f>(E14*B14)*12</f>
        <v>56128.475760000001</v>
      </c>
      <c r="G14" s="47"/>
      <c r="I14" s="6">
        <v>16</v>
      </c>
      <c r="J14" s="15">
        <v>1</v>
      </c>
      <c r="K14" s="15">
        <v>5.4749999999999996</v>
      </c>
      <c r="L14" s="6">
        <v>5.0185000000000004</v>
      </c>
      <c r="M14" s="16">
        <f>M$13*L14</f>
        <v>5145.4178650000003</v>
      </c>
      <c r="N14" s="7">
        <f>(M14*J14)*12</f>
        <v>61745.014380000008</v>
      </c>
      <c r="Q14" s="6">
        <v>16</v>
      </c>
      <c r="R14" s="15">
        <v>1</v>
      </c>
      <c r="S14" s="15">
        <v>5.4749999999999996</v>
      </c>
      <c r="T14" s="6">
        <v>5.0185000000000004</v>
      </c>
      <c r="U14" s="16">
        <f>U$13*T14</f>
        <v>5145.4178650000003</v>
      </c>
      <c r="V14" s="7">
        <f>(U14*R14)*12</f>
        <v>61745.014380000008</v>
      </c>
    </row>
    <row r="15" spans="1:22" hidden="1" x14ac:dyDescent="0.25">
      <c r="A15" s="97">
        <v>15</v>
      </c>
      <c r="B15" s="112">
        <v>2</v>
      </c>
      <c r="C15" s="112">
        <v>4.8600000000000003</v>
      </c>
      <c r="D15" s="113">
        <v>4.05</v>
      </c>
      <c r="E15" s="114">
        <f>E$13*D15</f>
        <v>4152.4245000000001</v>
      </c>
      <c r="F15" s="99">
        <f t="shared" ref="F15:F22" si="1">(E15*B15)*12</f>
        <v>99658.187999999995</v>
      </c>
      <c r="G15" s="47"/>
      <c r="I15" s="6">
        <v>15</v>
      </c>
      <c r="J15" s="15">
        <v>2</v>
      </c>
      <c r="K15" s="15">
        <v>4.8600000000000003</v>
      </c>
      <c r="L15" s="6">
        <v>4.4550000000000001</v>
      </c>
      <c r="M15" s="16">
        <f>M$13*L15</f>
        <v>4567.6669499999998</v>
      </c>
      <c r="N15" s="7">
        <f t="shared" ref="N15:N22" si="2">(M15*J15)*12</f>
        <v>109624.0068</v>
      </c>
      <c r="Q15" s="6">
        <v>15</v>
      </c>
      <c r="R15" s="15">
        <v>2</v>
      </c>
      <c r="S15" s="15">
        <v>4.8600000000000003</v>
      </c>
      <c r="T15" s="6">
        <v>4.4550000000000001</v>
      </c>
      <c r="U15" s="16">
        <f>U$13*T15</f>
        <v>4567.6669499999998</v>
      </c>
      <c r="V15" s="7">
        <f t="shared" ref="V15:V22" si="3">(U15*R15)*12</f>
        <v>109624.0068</v>
      </c>
    </row>
    <row r="16" spans="1:22" hidden="1" x14ac:dyDescent="0.25">
      <c r="A16" s="97">
        <v>14</v>
      </c>
      <c r="B16" s="112">
        <v>5</v>
      </c>
      <c r="C16" s="112">
        <v>4.0620000000000003</v>
      </c>
      <c r="D16" s="113">
        <v>3.3849999999999998</v>
      </c>
      <c r="E16" s="114">
        <f t="shared" ref="E16:E21" si="4">E$13*D16</f>
        <v>3470.6066499999997</v>
      </c>
      <c r="F16" s="99">
        <v>199920</v>
      </c>
      <c r="G16" s="47"/>
      <c r="I16" s="6">
        <v>14</v>
      </c>
      <c r="J16" s="15">
        <v>5</v>
      </c>
      <c r="K16" s="15">
        <v>4.0620000000000003</v>
      </c>
      <c r="L16" s="6">
        <v>3.7235</v>
      </c>
      <c r="M16" s="16">
        <f t="shared" ref="M16:M21" si="5">M$13*L16</f>
        <v>3817.6673149999997</v>
      </c>
      <c r="N16" s="7">
        <f t="shared" si="2"/>
        <v>229060.03889999999</v>
      </c>
      <c r="Q16" s="6">
        <v>14</v>
      </c>
      <c r="R16" s="15">
        <v>5</v>
      </c>
      <c r="S16" s="15">
        <v>4.0620000000000003</v>
      </c>
      <c r="T16" s="6">
        <v>3.7235</v>
      </c>
      <c r="U16" s="16">
        <f t="shared" ref="U16:U21" si="6">U$13*T16</f>
        <v>3817.6673149999997</v>
      </c>
      <c r="V16" s="7">
        <f t="shared" si="3"/>
        <v>229060.03889999999</v>
      </c>
    </row>
    <row r="17" spans="1:23" hidden="1" x14ac:dyDescent="0.25">
      <c r="A17" s="97">
        <v>13</v>
      </c>
      <c r="B17" s="112">
        <v>16</v>
      </c>
      <c r="C17" s="112">
        <v>3.2759999999999998</v>
      </c>
      <c r="D17" s="113">
        <v>2.73</v>
      </c>
      <c r="E17" s="114">
        <f t="shared" si="4"/>
        <v>2799.0416999999998</v>
      </c>
      <c r="F17" s="99">
        <f t="shared" si="1"/>
        <v>537416.00639999995</v>
      </c>
      <c r="G17" s="47"/>
      <c r="I17" s="6">
        <v>13</v>
      </c>
      <c r="J17" s="15">
        <v>16</v>
      </c>
      <c r="K17" s="15">
        <v>3.2759999999999998</v>
      </c>
      <c r="L17" s="6">
        <v>3.0030000000000001</v>
      </c>
      <c r="M17" s="16">
        <f t="shared" si="5"/>
        <v>3078.94587</v>
      </c>
      <c r="N17" s="7">
        <f t="shared" si="2"/>
        <v>591157.60704000003</v>
      </c>
      <c r="Q17" s="6">
        <v>13</v>
      </c>
      <c r="R17" s="15">
        <v>16</v>
      </c>
      <c r="S17" s="15">
        <v>3.2759999999999998</v>
      </c>
      <c r="T17" s="6">
        <v>3.0030000000000001</v>
      </c>
      <c r="U17" s="16">
        <f t="shared" si="6"/>
        <v>3078.94587</v>
      </c>
      <c r="V17" s="7">
        <f t="shared" si="3"/>
        <v>591157.60704000003</v>
      </c>
    </row>
    <row r="18" spans="1:23" hidden="1" x14ac:dyDescent="0.25">
      <c r="A18" s="97">
        <v>12</v>
      </c>
      <c r="B18" s="112">
        <v>40</v>
      </c>
      <c r="C18" s="112">
        <v>2.7429999999999999</v>
      </c>
      <c r="D18" s="113">
        <v>2.194</v>
      </c>
      <c r="E18" s="114">
        <f t="shared" si="4"/>
        <v>2249.4862599999997</v>
      </c>
      <c r="F18" s="99">
        <v>1080000</v>
      </c>
      <c r="G18" s="47"/>
      <c r="I18" s="6">
        <v>12</v>
      </c>
      <c r="J18" s="15">
        <v>40</v>
      </c>
      <c r="K18" s="15">
        <v>2.7429999999999999</v>
      </c>
      <c r="L18" s="6">
        <v>2.4568500000000002</v>
      </c>
      <c r="M18" s="16">
        <f t="shared" si="5"/>
        <v>2518.9837365000003</v>
      </c>
      <c r="N18" s="7">
        <f t="shared" si="2"/>
        <v>1209112.1935200002</v>
      </c>
      <c r="Q18" s="6">
        <v>12</v>
      </c>
      <c r="R18" s="15">
        <v>40</v>
      </c>
      <c r="S18" s="15">
        <v>2.7429999999999999</v>
      </c>
      <c r="T18" s="6">
        <v>2.4568500000000002</v>
      </c>
      <c r="U18" s="16">
        <f t="shared" si="6"/>
        <v>2518.9837365000003</v>
      </c>
      <c r="V18" s="7">
        <f t="shared" si="3"/>
        <v>1209112.1935200002</v>
      </c>
    </row>
    <row r="19" spans="1:23" hidden="1" x14ac:dyDescent="0.25">
      <c r="A19" s="97">
        <v>11</v>
      </c>
      <c r="B19" s="112">
        <v>26</v>
      </c>
      <c r="C19" s="112">
        <v>2.1970000000000001</v>
      </c>
      <c r="D19" s="113">
        <v>1.7569999999999999</v>
      </c>
      <c r="E19" s="114">
        <f t="shared" si="4"/>
        <v>1801.4345299999998</v>
      </c>
      <c r="F19" s="99">
        <f t="shared" si="1"/>
        <v>562047.57335999992</v>
      </c>
      <c r="G19" s="47"/>
      <c r="I19" s="6">
        <v>11</v>
      </c>
      <c r="J19" s="15">
        <v>26</v>
      </c>
      <c r="K19" s="15">
        <v>2.1970000000000001</v>
      </c>
      <c r="L19" s="6">
        <v>1.9770000000000001</v>
      </c>
      <c r="M19" s="16">
        <f t="shared" si="5"/>
        <v>2026.9983300000001</v>
      </c>
      <c r="N19" s="7">
        <f t="shared" si="2"/>
        <v>632423.47896000009</v>
      </c>
      <c r="Q19" s="6">
        <v>11</v>
      </c>
      <c r="R19" s="15">
        <v>26</v>
      </c>
      <c r="S19" s="15">
        <v>2.1970000000000001</v>
      </c>
      <c r="T19" s="6">
        <v>1.9770000000000001</v>
      </c>
      <c r="U19" s="16">
        <f t="shared" si="6"/>
        <v>2026.9983300000001</v>
      </c>
      <c r="V19" s="7">
        <f t="shared" si="3"/>
        <v>632423.47896000009</v>
      </c>
    </row>
    <row r="20" spans="1:23" hidden="1" x14ac:dyDescent="0.25">
      <c r="A20" s="97">
        <v>10</v>
      </c>
      <c r="B20" s="112">
        <v>8</v>
      </c>
      <c r="C20" s="112">
        <v>1.8169999999999999</v>
      </c>
      <c r="D20" s="113">
        <v>1.4530000000000001</v>
      </c>
      <c r="E20" s="114">
        <f t="shared" si="4"/>
        <v>1489.7463700000001</v>
      </c>
      <c r="F20" s="99">
        <f t="shared" si="1"/>
        <v>143015.65152000001</v>
      </c>
      <c r="G20" s="47"/>
      <c r="I20" s="6">
        <v>10</v>
      </c>
      <c r="J20" s="15">
        <v>8</v>
      </c>
      <c r="K20" s="15">
        <v>1.8169999999999999</v>
      </c>
      <c r="L20" s="6">
        <v>1.635</v>
      </c>
      <c r="M20" s="16">
        <f t="shared" si="5"/>
        <v>1676.34915</v>
      </c>
      <c r="N20" s="7">
        <f t="shared" si="2"/>
        <v>160929.5184</v>
      </c>
      <c r="Q20" s="6">
        <v>10</v>
      </c>
      <c r="R20" s="15">
        <v>8</v>
      </c>
      <c r="S20" s="15">
        <v>1.8169999999999999</v>
      </c>
      <c r="T20" s="6">
        <v>1.635</v>
      </c>
      <c r="U20" s="16">
        <f t="shared" si="6"/>
        <v>1676.34915</v>
      </c>
      <c r="V20" s="7">
        <f t="shared" si="3"/>
        <v>160929.5184</v>
      </c>
    </row>
    <row r="21" spans="1:23" hidden="1" x14ac:dyDescent="0.25">
      <c r="A21" s="97">
        <v>8</v>
      </c>
      <c r="B21" s="112">
        <v>5</v>
      </c>
      <c r="C21" s="112">
        <v>1.4790000000000001</v>
      </c>
      <c r="D21" s="113">
        <v>1.137</v>
      </c>
      <c r="E21" s="114">
        <f t="shared" si="4"/>
        <v>1165.7547299999999</v>
      </c>
      <c r="F21" s="99">
        <v>72780</v>
      </c>
      <c r="G21" s="47"/>
      <c r="I21" s="6">
        <v>8</v>
      </c>
      <c r="J21" s="15">
        <v>5</v>
      </c>
      <c r="K21" s="15">
        <v>1.4790000000000001</v>
      </c>
      <c r="L21" s="6">
        <v>1.3080000000000001</v>
      </c>
      <c r="M21" s="16">
        <f t="shared" si="5"/>
        <v>1341.0793200000001</v>
      </c>
      <c r="N21" s="7">
        <f t="shared" si="2"/>
        <v>80464.7592</v>
      </c>
      <c r="Q21" s="6">
        <v>8</v>
      </c>
      <c r="R21" s="15">
        <v>5</v>
      </c>
      <c r="S21" s="15">
        <v>1.4790000000000001</v>
      </c>
      <c r="T21" s="6">
        <v>1.3080000000000001</v>
      </c>
      <c r="U21" s="16">
        <f t="shared" si="6"/>
        <v>1341.0793200000001</v>
      </c>
      <c r="V21" s="7">
        <f t="shared" si="3"/>
        <v>80464.7592</v>
      </c>
    </row>
    <row r="22" spans="1:23" hidden="1" x14ac:dyDescent="0.25">
      <c r="A22" s="115" t="s">
        <v>15</v>
      </c>
      <c r="B22" s="112">
        <v>58</v>
      </c>
      <c r="C22" s="113"/>
      <c r="D22" s="113"/>
      <c r="E22" s="114">
        <v>2300</v>
      </c>
      <c r="F22" s="99">
        <f t="shared" si="1"/>
        <v>1600800</v>
      </c>
      <c r="G22" s="47"/>
      <c r="I22" s="17" t="s">
        <v>15</v>
      </c>
      <c r="J22" s="15">
        <v>58</v>
      </c>
      <c r="K22" s="6"/>
      <c r="L22" s="6"/>
      <c r="M22" s="16">
        <v>2600</v>
      </c>
      <c r="N22" s="7">
        <f t="shared" si="2"/>
        <v>1809600</v>
      </c>
      <c r="Q22" s="17" t="s">
        <v>15</v>
      </c>
      <c r="R22" s="15">
        <v>58</v>
      </c>
      <c r="S22" s="6"/>
      <c r="T22" s="6"/>
      <c r="U22" s="16">
        <v>2922</v>
      </c>
      <c r="V22" s="7">
        <f t="shared" si="3"/>
        <v>2033712</v>
      </c>
    </row>
    <row r="23" spans="1:23" hidden="1" x14ac:dyDescent="0.25">
      <c r="A23" s="115" t="s">
        <v>15</v>
      </c>
      <c r="B23" s="112">
        <v>68</v>
      </c>
      <c r="C23" s="105"/>
      <c r="D23" s="105"/>
      <c r="E23" s="114">
        <v>2300</v>
      </c>
      <c r="F23" s="104"/>
      <c r="G23" s="46">
        <f>(E22*B23)*12</f>
        <v>1876800</v>
      </c>
      <c r="I23" s="17" t="s">
        <v>15</v>
      </c>
      <c r="J23" s="15">
        <v>68</v>
      </c>
      <c r="M23" s="16">
        <v>2600</v>
      </c>
      <c r="N23" s="11"/>
      <c r="O23" s="7">
        <f>(M22*J23)*12</f>
        <v>2121600</v>
      </c>
      <c r="Q23" s="17" t="s">
        <v>15</v>
      </c>
      <c r="R23" s="15">
        <v>68</v>
      </c>
      <c r="U23" s="16">
        <v>2922</v>
      </c>
      <c r="V23" s="11"/>
      <c r="W23" s="7">
        <f>(U22*R23)*12</f>
        <v>2384352</v>
      </c>
    </row>
    <row r="24" spans="1:23" hidden="1" x14ac:dyDescent="0.25">
      <c r="A24" s="103"/>
      <c r="B24" s="105"/>
      <c r="C24" s="105"/>
      <c r="D24" s="105"/>
      <c r="E24" s="116"/>
      <c r="F24" s="96">
        <f>SUM(F14:F22)</f>
        <v>4351765.8950399999</v>
      </c>
      <c r="G24" s="54">
        <f>SUM(F14:F21)+G23</f>
        <v>4627765.8950399999</v>
      </c>
      <c r="M24" s="18"/>
      <c r="N24" s="19">
        <f>SUM(N14:N22)</f>
        <v>4884116.6172000002</v>
      </c>
      <c r="O24" s="19">
        <f>SUM(N14:N21)+O23</f>
        <v>5196116.6172000002</v>
      </c>
      <c r="U24" s="18"/>
      <c r="V24" s="19">
        <f>SUM(V14:V22)</f>
        <v>5108228.6172000002</v>
      </c>
      <c r="W24" s="19">
        <f>SUM(V14:V21)+W23</f>
        <v>5458868.6172000002</v>
      </c>
    </row>
    <row r="25" spans="1:23" hidden="1" x14ac:dyDescent="0.25">
      <c r="A25" s="103"/>
      <c r="B25" s="105"/>
      <c r="C25" s="105"/>
      <c r="D25" s="105"/>
      <c r="E25" s="117"/>
      <c r="F25" s="118"/>
      <c r="G25" s="47"/>
    </row>
    <row r="26" spans="1:23" hidden="1" x14ac:dyDescent="0.25">
      <c r="A26" s="94"/>
      <c r="B26" s="67" t="s">
        <v>0</v>
      </c>
      <c r="C26" s="67" t="s">
        <v>1</v>
      </c>
      <c r="D26" s="67" t="s">
        <v>2</v>
      </c>
      <c r="E26" s="67" t="s">
        <v>3</v>
      </c>
      <c r="F26" s="119" t="s">
        <v>4</v>
      </c>
      <c r="G26" s="47"/>
      <c r="I26" s="1"/>
      <c r="J26" s="2" t="s">
        <v>0</v>
      </c>
      <c r="K26" s="3" t="s">
        <v>1</v>
      </c>
      <c r="L26" s="3" t="s">
        <v>2</v>
      </c>
      <c r="M26" s="3" t="s">
        <v>3</v>
      </c>
      <c r="N26" s="20" t="s">
        <v>4</v>
      </c>
      <c r="Q26" s="1"/>
      <c r="R26" s="2" t="s">
        <v>0</v>
      </c>
      <c r="S26" s="3" t="s">
        <v>1</v>
      </c>
      <c r="T26" s="3" t="s">
        <v>2</v>
      </c>
      <c r="U26" s="3" t="s">
        <v>3</v>
      </c>
      <c r="V26" s="20" t="s">
        <v>4</v>
      </c>
    </row>
    <row r="27" spans="1:23" hidden="1" x14ac:dyDescent="0.25">
      <c r="A27" s="94"/>
      <c r="B27" s="95">
        <f>SUM(B28:B33)-B31</f>
        <v>4479960.4659000002</v>
      </c>
      <c r="C27" s="95">
        <f>SUM(C28+C29+C33)</f>
        <v>6385168.8355</v>
      </c>
      <c r="D27" s="95">
        <f t="shared" ref="D27:F27" si="7">SUM(D28+D29+D33)</f>
        <v>6727657.2355000004</v>
      </c>
      <c r="E27" s="95">
        <f t="shared" si="7"/>
        <v>6727657.2355000004</v>
      </c>
      <c r="F27" s="96">
        <f t="shared" si="7"/>
        <v>6727657.2355000004</v>
      </c>
      <c r="G27" s="47"/>
      <c r="I27" s="1"/>
      <c r="J27" s="4">
        <f>SUM(J28:J33)-J31</f>
        <v>4479960.4659000002</v>
      </c>
      <c r="K27" s="5">
        <f>SUM(K28+K29+K33)</f>
        <v>7045763.1913999999</v>
      </c>
      <c r="L27" s="5">
        <f t="shared" ref="L27:N27" si="8">SUM(L28+L29+L33)</f>
        <v>7432923.9913999997</v>
      </c>
      <c r="M27" s="5">
        <f t="shared" si="8"/>
        <v>7432923.9913999997</v>
      </c>
      <c r="N27" s="5">
        <f t="shared" si="8"/>
        <v>7432923.9913999997</v>
      </c>
      <c r="Q27" s="1"/>
      <c r="R27" s="4">
        <f>SUM(R28:R33)-R31</f>
        <v>4479960.4659000002</v>
      </c>
      <c r="S27" s="5">
        <f>SUM(S28+S29+S33)</f>
        <v>7322364.7721999995</v>
      </c>
      <c r="T27" s="5">
        <f t="shared" ref="T27:V27" si="9">SUM(T28+T29+T33)</f>
        <v>7758973.5686499998</v>
      </c>
      <c r="U27" s="5">
        <f t="shared" si="9"/>
        <v>7758973.5686499998</v>
      </c>
      <c r="V27" s="5">
        <f t="shared" si="9"/>
        <v>7758973.5686499998</v>
      </c>
    </row>
    <row r="28" spans="1:23" hidden="1" x14ac:dyDescent="0.25">
      <c r="A28" s="97" t="s">
        <v>5</v>
      </c>
      <c r="B28" s="98">
        <v>2820048</v>
      </c>
      <c r="C28" s="98">
        <v>4351766</v>
      </c>
      <c r="D28" s="98">
        <v>4627766</v>
      </c>
      <c r="E28" s="98">
        <v>4627766</v>
      </c>
      <c r="F28" s="99">
        <v>4627766</v>
      </c>
      <c r="G28" s="47"/>
      <c r="I28" s="6" t="s">
        <v>5</v>
      </c>
      <c r="J28" s="7">
        <v>2820048</v>
      </c>
      <c r="K28" s="7">
        <v>4884117</v>
      </c>
      <c r="L28" s="7">
        <v>5196117</v>
      </c>
      <c r="M28" s="7">
        <v>5196117</v>
      </c>
      <c r="N28" s="8">
        <v>5196117</v>
      </c>
      <c r="Q28" s="6" t="s">
        <v>5</v>
      </c>
      <c r="R28" s="7">
        <v>2820048</v>
      </c>
      <c r="S28" s="7">
        <v>5108229</v>
      </c>
      <c r="T28" s="7">
        <v>5458869.5</v>
      </c>
      <c r="U28" s="7">
        <v>5458869.5</v>
      </c>
      <c r="V28" s="8">
        <v>5458869.5</v>
      </c>
    </row>
    <row r="29" spans="1:23" hidden="1" x14ac:dyDescent="0.25">
      <c r="A29" s="97" t="s">
        <v>6</v>
      </c>
      <c r="B29" s="98">
        <v>790203</v>
      </c>
      <c r="C29" s="98">
        <v>793829</v>
      </c>
      <c r="D29" s="98">
        <v>793829</v>
      </c>
      <c r="E29" s="98">
        <v>793829</v>
      </c>
      <c r="F29" s="99">
        <v>793829</v>
      </c>
      <c r="G29" s="47"/>
      <c r="I29" s="6" t="s">
        <v>6</v>
      </c>
      <c r="J29" s="7">
        <v>790203</v>
      </c>
      <c r="K29" s="7">
        <v>793829</v>
      </c>
      <c r="L29" s="7">
        <v>793829</v>
      </c>
      <c r="M29" s="7">
        <v>793829</v>
      </c>
      <c r="N29" s="8">
        <v>793829</v>
      </c>
      <c r="Q29" s="6" t="s">
        <v>6</v>
      </c>
      <c r="R29" s="7">
        <v>790203</v>
      </c>
      <c r="S29" s="7">
        <v>793829</v>
      </c>
      <c r="T29" s="7">
        <v>793829</v>
      </c>
      <c r="U29" s="7">
        <v>793829</v>
      </c>
      <c r="V29" s="8">
        <v>793829</v>
      </c>
    </row>
    <row r="30" spans="1:23" hidden="1" x14ac:dyDescent="0.25">
      <c r="A30" s="100" t="s">
        <v>16</v>
      </c>
      <c r="B30" s="98"/>
      <c r="C30" s="120">
        <v>377502</v>
      </c>
      <c r="D30" s="120">
        <v>348145</v>
      </c>
      <c r="E30" s="120">
        <v>301920</v>
      </c>
      <c r="F30" s="121">
        <v>289570</v>
      </c>
      <c r="G30" s="47"/>
      <c r="I30" s="9" t="s">
        <v>16</v>
      </c>
      <c r="J30" s="7"/>
      <c r="K30" s="21">
        <f>K29-K31-K32</f>
        <v>359761</v>
      </c>
      <c r="L30" s="21">
        <f t="shared" ref="L30:N30" si="10">L29-L31-L32</f>
        <v>329200</v>
      </c>
      <c r="M30" s="21">
        <f t="shared" si="10"/>
        <v>282975</v>
      </c>
      <c r="N30" s="21">
        <f t="shared" si="10"/>
        <v>270625</v>
      </c>
      <c r="Q30" s="9" t="s">
        <v>16</v>
      </c>
      <c r="R30" s="7"/>
      <c r="S30" s="21">
        <f>S29-S31-S32</f>
        <v>359761</v>
      </c>
      <c r="T30" s="21">
        <f t="shared" ref="T30:V30" si="11">T29-T31-T32</f>
        <v>329200</v>
      </c>
      <c r="U30" s="21">
        <f t="shared" si="11"/>
        <v>282975</v>
      </c>
      <c r="V30" s="21">
        <f t="shared" si="11"/>
        <v>270625</v>
      </c>
    </row>
    <row r="31" spans="1:23" hidden="1" x14ac:dyDescent="0.25">
      <c r="A31" s="100" t="s">
        <v>7</v>
      </c>
      <c r="B31" s="101">
        <v>350000</v>
      </c>
      <c r="C31" s="120">
        <v>271268</v>
      </c>
      <c r="D31" s="120">
        <v>291425</v>
      </c>
      <c r="E31" s="120">
        <v>337650</v>
      </c>
      <c r="F31" s="121">
        <v>350000</v>
      </c>
      <c r="G31" s="47"/>
      <c r="I31" s="9" t="s">
        <v>7</v>
      </c>
      <c r="J31" s="10">
        <v>350000</v>
      </c>
      <c r="K31" s="21">
        <v>271268</v>
      </c>
      <c r="L31" s="21">
        <v>291425</v>
      </c>
      <c r="M31" s="21">
        <v>337650</v>
      </c>
      <c r="N31" s="22">
        <v>350000</v>
      </c>
      <c r="Q31" s="9" t="s">
        <v>7</v>
      </c>
      <c r="R31" s="10">
        <v>350000</v>
      </c>
      <c r="S31" s="21">
        <v>271268</v>
      </c>
      <c r="T31" s="21">
        <v>291425</v>
      </c>
      <c r="U31" s="21">
        <v>337650</v>
      </c>
      <c r="V31" s="22">
        <v>350000</v>
      </c>
    </row>
    <row r="32" spans="1:23" hidden="1" x14ac:dyDescent="0.25">
      <c r="A32" s="100" t="s">
        <v>17</v>
      </c>
      <c r="B32" s="101"/>
      <c r="C32" s="120">
        <v>145059</v>
      </c>
      <c r="D32" s="120">
        <v>154259</v>
      </c>
      <c r="E32" s="120">
        <v>154259</v>
      </c>
      <c r="F32" s="121">
        <v>154259</v>
      </c>
      <c r="G32" s="47"/>
      <c r="I32" s="9" t="s">
        <v>17</v>
      </c>
      <c r="J32" s="10"/>
      <c r="K32" s="21">
        <v>162800</v>
      </c>
      <c r="L32" s="21">
        <v>173204</v>
      </c>
      <c r="M32" s="21">
        <v>173204</v>
      </c>
      <c r="N32" s="22">
        <v>173204</v>
      </c>
      <c r="Q32" s="9" t="s">
        <v>17</v>
      </c>
      <c r="R32" s="10"/>
      <c r="S32" s="21">
        <v>162800</v>
      </c>
      <c r="T32" s="21">
        <v>173204</v>
      </c>
      <c r="U32" s="21">
        <v>173204</v>
      </c>
      <c r="V32" s="22">
        <v>173204</v>
      </c>
    </row>
    <row r="33" spans="1:22" hidden="1" x14ac:dyDescent="0.25">
      <c r="A33" s="97" t="s">
        <v>8</v>
      </c>
      <c r="B33" s="98">
        <f>SUM(B28:B29)*0.2409</f>
        <v>869709.46590000007</v>
      </c>
      <c r="C33" s="98">
        <f>SUM(C28:C29)*0.2409</f>
        <v>1239573.8355</v>
      </c>
      <c r="D33" s="98">
        <f t="shared" ref="D33:F33" si="12">SUM(D28:D29)*0.2409</f>
        <v>1306062.2355</v>
      </c>
      <c r="E33" s="98">
        <f t="shared" si="12"/>
        <v>1306062.2355</v>
      </c>
      <c r="F33" s="99">
        <f t="shared" si="12"/>
        <v>1306062.2355</v>
      </c>
      <c r="G33" s="47"/>
      <c r="I33" s="6" t="s">
        <v>8</v>
      </c>
      <c r="J33" s="7">
        <f>SUM(J28:J29)*0.2409</f>
        <v>869709.46590000007</v>
      </c>
      <c r="K33" s="7">
        <f>SUM(K28:K29)*0.2409</f>
        <v>1367817.1914000001</v>
      </c>
      <c r="L33" s="7">
        <f t="shared" ref="L33:N33" si="13">SUM(L28:L29)*0.2409</f>
        <v>1442977.9913999999</v>
      </c>
      <c r="M33" s="7">
        <f t="shared" si="13"/>
        <v>1442977.9913999999</v>
      </c>
      <c r="N33" s="7">
        <f t="shared" si="13"/>
        <v>1442977.9913999999</v>
      </c>
      <c r="Q33" s="6" t="s">
        <v>8</v>
      </c>
      <c r="R33" s="7">
        <f>SUM(R28:R29)*0.2409</f>
        <v>869709.46590000007</v>
      </c>
      <c r="S33" s="7">
        <f>SUM(S28:S29)*0.2409-1499</f>
        <v>1420306.7722</v>
      </c>
      <c r="T33" s="7">
        <f t="shared" ref="T33:V33" si="14">SUM(T28:T29)*0.2409</f>
        <v>1506275.06865</v>
      </c>
      <c r="U33" s="7">
        <f t="shared" si="14"/>
        <v>1506275.06865</v>
      </c>
      <c r="V33" s="7">
        <f t="shared" si="14"/>
        <v>1506275.06865</v>
      </c>
    </row>
    <row r="34" spans="1:22" hidden="1" x14ac:dyDescent="0.25">
      <c r="A34" s="103"/>
      <c r="B34" s="104"/>
      <c r="C34" s="104"/>
      <c r="D34" s="104"/>
      <c r="E34" s="104"/>
      <c r="F34" s="104"/>
      <c r="G34" s="47"/>
      <c r="I34" s="23"/>
      <c r="J34" s="24"/>
      <c r="K34" s="24"/>
      <c r="L34" s="24"/>
      <c r="M34" s="24"/>
      <c r="N34" s="24"/>
      <c r="Q34" s="23"/>
      <c r="R34" s="24"/>
      <c r="S34" s="24"/>
      <c r="T34" s="24"/>
      <c r="U34" s="24"/>
      <c r="V34" s="24"/>
    </row>
    <row r="35" spans="1:22" ht="30" hidden="1" x14ac:dyDescent="0.25">
      <c r="A35" s="122" t="s">
        <v>18</v>
      </c>
      <c r="B35" s="98"/>
      <c r="C35" s="98">
        <f>C27-B27</f>
        <v>1905208.3695999999</v>
      </c>
      <c r="D35" s="98">
        <f>D27-B27</f>
        <v>2247696.7696000002</v>
      </c>
      <c r="E35" s="98">
        <f>E27-B27</f>
        <v>2247696.7696000002</v>
      </c>
      <c r="F35" s="99">
        <f>F27-B27</f>
        <v>2247696.7696000002</v>
      </c>
      <c r="G35" s="47"/>
      <c r="I35" s="25" t="s">
        <v>18</v>
      </c>
      <c r="J35" s="6"/>
      <c r="K35" s="7">
        <f>K27-J27</f>
        <v>2565802.7254999997</v>
      </c>
      <c r="L35" s="7">
        <f>L27-J27</f>
        <v>2952963.5254999995</v>
      </c>
      <c r="M35" s="7">
        <f>M27-J27</f>
        <v>2952963.5254999995</v>
      </c>
      <c r="N35" s="7">
        <f>N27-J27</f>
        <v>2952963.5254999995</v>
      </c>
      <c r="Q35" s="25" t="s">
        <v>18</v>
      </c>
      <c r="R35" s="6"/>
      <c r="S35" s="7">
        <f>S27-R27</f>
        <v>2842404.3062999994</v>
      </c>
      <c r="T35" s="7">
        <f>T27-R27</f>
        <v>3279013.1027499996</v>
      </c>
      <c r="U35" s="7">
        <f>U27-R27</f>
        <v>3279013.1027499996</v>
      </c>
      <c r="V35" s="7">
        <f>V27-R27</f>
        <v>3279013.1027499996</v>
      </c>
    </row>
    <row r="36" spans="1:22" hidden="1" x14ac:dyDescent="0.25">
      <c r="A36" s="97" t="s">
        <v>9</v>
      </c>
      <c r="B36" s="98"/>
      <c r="C36" s="98">
        <v>283004</v>
      </c>
      <c r="D36" s="98">
        <v>591868</v>
      </c>
      <c r="E36" s="98"/>
      <c r="F36" s="106"/>
      <c r="G36" s="47"/>
      <c r="I36" s="6" t="s">
        <v>9</v>
      </c>
      <c r="J36" s="7"/>
      <c r="K36" s="7">
        <v>283004</v>
      </c>
      <c r="L36" s="7">
        <v>591868</v>
      </c>
      <c r="M36" s="7"/>
      <c r="N36" s="6"/>
      <c r="Q36" s="6" t="s">
        <v>9</v>
      </c>
      <c r="R36" s="7"/>
      <c r="S36" s="7">
        <v>283004</v>
      </c>
      <c r="T36" s="7">
        <v>591868</v>
      </c>
      <c r="U36" s="7"/>
      <c r="V36" s="6"/>
    </row>
    <row r="37" spans="1:22" hidden="1" x14ac:dyDescent="0.25">
      <c r="A37" s="123" t="s">
        <v>19</v>
      </c>
      <c r="B37" s="101"/>
      <c r="C37" s="101">
        <f>78732+43472</f>
        <v>122204</v>
      </c>
      <c r="D37" s="101">
        <v>120000</v>
      </c>
      <c r="E37" s="101">
        <v>120000</v>
      </c>
      <c r="F37" s="99"/>
      <c r="G37" s="47"/>
      <c r="I37" s="26" t="s">
        <v>19</v>
      </c>
      <c r="J37" s="10"/>
      <c r="K37" s="10">
        <v>78732</v>
      </c>
      <c r="L37" s="10">
        <v>58575</v>
      </c>
      <c r="M37" s="10">
        <v>12350</v>
      </c>
      <c r="N37" s="7"/>
      <c r="Q37" s="26" t="s">
        <v>19</v>
      </c>
      <c r="R37" s="10"/>
      <c r="S37" s="10">
        <v>78732</v>
      </c>
      <c r="T37" s="10">
        <v>58575</v>
      </c>
      <c r="U37" s="10">
        <v>12350</v>
      </c>
      <c r="V37" s="7"/>
    </row>
    <row r="38" spans="1:22" ht="14.25" hidden="1" customHeight="1" x14ac:dyDescent="0.25">
      <c r="A38" s="122" t="s">
        <v>10</v>
      </c>
      <c r="B38" s="98"/>
      <c r="C38" s="98">
        <f>C35-C36-C37</f>
        <v>1500000.3695999999</v>
      </c>
      <c r="D38" s="98">
        <f>D35-D36-D37</f>
        <v>1535828.7696000002</v>
      </c>
      <c r="E38" s="98">
        <f>E35-E36-E37</f>
        <v>2127696.7696000002</v>
      </c>
      <c r="F38" s="99">
        <f>F35-F36-F37</f>
        <v>2247696.7696000002</v>
      </c>
      <c r="G38" s="47"/>
      <c r="I38" s="25" t="s">
        <v>20</v>
      </c>
      <c r="J38" s="7"/>
      <c r="K38" s="7">
        <f>K35-K36-K37</f>
        <v>2204066.7254999997</v>
      </c>
      <c r="L38" s="7">
        <f>L35-L36-L37</f>
        <v>2302520.5254999995</v>
      </c>
      <c r="M38" s="7">
        <f>M35-M36-M37</f>
        <v>2940613.5254999995</v>
      </c>
      <c r="N38" s="7">
        <f>N35-N36-N37</f>
        <v>2952963.5254999995</v>
      </c>
      <c r="Q38" s="25" t="s">
        <v>20</v>
      </c>
      <c r="R38" s="7"/>
      <c r="S38" s="7">
        <f>S35-S36-S37</f>
        <v>2480668.3062999994</v>
      </c>
      <c r="T38" s="7">
        <f>T35-T36-T37</f>
        <v>2628570.1027499996</v>
      </c>
      <c r="U38" s="7">
        <f>U35-U36-U37</f>
        <v>3266663.1027499996</v>
      </c>
      <c r="V38" s="7">
        <f>V35-V36-V37</f>
        <v>3279013.1027499996</v>
      </c>
    </row>
    <row r="39" spans="1:22" hidden="1" x14ac:dyDescent="0.25">
      <c r="A39" s="103"/>
      <c r="B39" s="105"/>
      <c r="C39" s="105"/>
      <c r="D39" s="105"/>
      <c r="E39" s="105"/>
      <c r="F39" s="105"/>
      <c r="G39" s="47"/>
    </row>
    <row r="40" spans="1:22" hidden="1" x14ac:dyDescent="0.25">
      <c r="A40" s="103"/>
      <c r="B40" s="105" t="s">
        <v>21</v>
      </c>
      <c r="C40" s="104">
        <f>C27-B27</f>
        <v>1905208.3695999999</v>
      </c>
      <c r="D40" s="104">
        <f>D27-B27</f>
        <v>2247696.7696000002</v>
      </c>
      <c r="E40" s="104">
        <f>E27-B27</f>
        <v>2247696.7696000002</v>
      </c>
      <c r="F40" s="104">
        <f>F27-B27</f>
        <v>2247696.7696000002</v>
      </c>
      <c r="G40" s="47"/>
      <c r="J40" t="s">
        <v>21</v>
      </c>
      <c r="K40" s="11">
        <f>K27-J27</f>
        <v>2565802.7254999997</v>
      </c>
      <c r="L40" s="11">
        <f>L27-J27</f>
        <v>2952963.5254999995</v>
      </c>
      <c r="M40" s="11">
        <f>M27-J27</f>
        <v>2952963.5254999995</v>
      </c>
      <c r="R40" t="s">
        <v>21</v>
      </c>
      <c r="S40" s="11">
        <f>S27-R27</f>
        <v>2842404.3062999994</v>
      </c>
      <c r="T40" s="11">
        <f>T27-R27</f>
        <v>3279013.1027499996</v>
      </c>
      <c r="U40" s="11">
        <f>U27-R27</f>
        <v>3279013.1027499996</v>
      </c>
    </row>
    <row r="41" spans="1:22" hidden="1" x14ac:dyDescent="0.25">
      <c r="A41" s="103"/>
      <c r="B41" s="105"/>
      <c r="C41" s="105"/>
      <c r="D41" s="105"/>
      <c r="E41" s="104"/>
      <c r="F41" s="104"/>
      <c r="G41" s="47"/>
      <c r="H41" s="27"/>
      <c r="I41" s="27"/>
      <c r="J41" s="27"/>
      <c r="K41" s="27"/>
      <c r="L41" s="27"/>
      <c r="M41" s="27"/>
      <c r="N41" s="27"/>
    </row>
    <row r="42" spans="1:22" hidden="1" x14ac:dyDescent="0.25">
      <c r="A42" s="103"/>
      <c r="B42" s="105" t="s">
        <v>1</v>
      </c>
      <c r="C42" s="105"/>
      <c r="D42" s="105"/>
      <c r="E42" s="105"/>
      <c r="F42" s="105"/>
      <c r="G42" s="47" t="s">
        <v>2</v>
      </c>
    </row>
    <row r="43" spans="1:22" ht="45" hidden="1" x14ac:dyDescent="0.25">
      <c r="A43" s="103"/>
      <c r="B43" s="107" t="s">
        <v>11</v>
      </c>
      <c r="C43" s="110" t="s">
        <v>22</v>
      </c>
      <c r="D43" s="110" t="s">
        <v>14</v>
      </c>
      <c r="E43" s="105"/>
      <c r="F43" s="105"/>
      <c r="G43" s="57" t="s">
        <v>11</v>
      </c>
      <c r="H43" s="41" t="s">
        <v>22</v>
      </c>
      <c r="I43" s="13" t="s">
        <v>14</v>
      </c>
    </row>
    <row r="44" spans="1:22" hidden="1" x14ac:dyDescent="0.25">
      <c r="A44" s="97">
        <v>16</v>
      </c>
      <c r="B44" s="112">
        <v>1</v>
      </c>
      <c r="C44" s="113">
        <v>2441</v>
      </c>
      <c r="D44" s="98">
        <f>(C44*B44)*12</f>
        <v>29292</v>
      </c>
      <c r="E44" s="105"/>
      <c r="F44" s="106">
        <v>16</v>
      </c>
      <c r="G44" s="58">
        <v>1</v>
      </c>
      <c r="H44" s="42">
        <v>2441</v>
      </c>
      <c r="I44" s="7">
        <f>(H44*G44)*12</f>
        <v>29292</v>
      </c>
    </row>
    <row r="45" spans="1:22" hidden="1" x14ac:dyDescent="0.25">
      <c r="A45" s="97">
        <v>15</v>
      </c>
      <c r="B45" s="112">
        <v>2</v>
      </c>
      <c r="C45" s="113">
        <v>2350</v>
      </c>
      <c r="D45" s="98">
        <f t="shared" ref="D45:D51" si="15">(C45*B45)*12</f>
        <v>56400</v>
      </c>
      <c r="E45" s="105"/>
      <c r="F45" s="106">
        <v>15</v>
      </c>
      <c r="G45" s="58">
        <v>2</v>
      </c>
      <c r="H45" s="42">
        <v>2350</v>
      </c>
      <c r="I45" s="7">
        <f t="shared" ref="I45:I51" si="16">(H45*G45)*12</f>
        <v>56400</v>
      </c>
    </row>
    <row r="46" spans="1:22" hidden="1" x14ac:dyDescent="0.25">
      <c r="A46" s="97">
        <v>14</v>
      </c>
      <c r="B46" s="112">
        <v>5</v>
      </c>
      <c r="C46" s="113">
        <v>2150</v>
      </c>
      <c r="D46" s="98">
        <f t="shared" si="15"/>
        <v>129000</v>
      </c>
      <c r="E46" s="105"/>
      <c r="F46" s="106">
        <v>14</v>
      </c>
      <c r="G46" s="58">
        <v>5</v>
      </c>
      <c r="H46" s="42">
        <v>2150</v>
      </c>
      <c r="I46" s="7">
        <f t="shared" si="16"/>
        <v>129000</v>
      </c>
    </row>
    <row r="47" spans="1:22" hidden="1" x14ac:dyDescent="0.25">
      <c r="A47" s="97">
        <v>13</v>
      </c>
      <c r="B47" s="112">
        <v>17</v>
      </c>
      <c r="C47" s="113">
        <v>1917</v>
      </c>
      <c r="D47" s="98">
        <f t="shared" si="15"/>
        <v>391068</v>
      </c>
      <c r="E47" s="105"/>
      <c r="F47" s="106">
        <v>13</v>
      </c>
      <c r="G47" s="58">
        <v>17</v>
      </c>
      <c r="H47" s="42">
        <v>1917</v>
      </c>
      <c r="I47" s="7">
        <f t="shared" si="16"/>
        <v>391068</v>
      </c>
    </row>
    <row r="48" spans="1:22" hidden="1" x14ac:dyDescent="0.25">
      <c r="A48" s="97">
        <v>12</v>
      </c>
      <c r="B48" s="112">
        <f>63+8</f>
        <v>71</v>
      </c>
      <c r="C48" s="113">
        <v>1647</v>
      </c>
      <c r="D48" s="98">
        <f t="shared" si="15"/>
        <v>1403244</v>
      </c>
      <c r="E48" s="105"/>
      <c r="F48" s="106">
        <v>12</v>
      </c>
      <c r="G48" s="58">
        <f>63+8+10</f>
        <v>81</v>
      </c>
      <c r="H48" s="42">
        <v>1647</v>
      </c>
      <c r="I48" s="7">
        <f t="shared" si="16"/>
        <v>1600884</v>
      </c>
    </row>
    <row r="49" spans="1:9" hidden="1" x14ac:dyDescent="0.25">
      <c r="A49" s="97">
        <v>11</v>
      </c>
      <c r="B49" s="112">
        <v>52</v>
      </c>
      <c r="C49" s="113">
        <v>1382</v>
      </c>
      <c r="D49" s="98">
        <f t="shared" si="15"/>
        <v>862368</v>
      </c>
      <c r="E49" s="105"/>
      <c r="F49" s="106">
        <v>11</v>
      </c>
      <c r="G49" s="58">
        <v>52</v>
      </c>
      <c r="H49" s="42">
        <v>1382</v>
      </c>
      <c r="I49" s="7">
        <f t="shared" si="16"/>
        <v>862368</v>
      </c>
    </row>
    <row r="50" spans="1:9" hidden="1" x14ac:dyDescent="0.25">
      <c r="A50" s="97">
        <v>10</v>
      </c>
      <c r="B50" s="112">
        <v>8</v>
      </c>
      <c r="C50" s="113">
        <v>1287</v>
      </c>
      <c r="D50" s="98">
        <f t="shared" si="15"/>
        <v>123552</v>
      </c>
      <c r="E50" s="105"/>
      <c r="F50" s="106">
        <v>10</v>
      </c>
      <c r="G50" s="58">
        <v>8</v>
      </c>
      <c r="H50" s="42">
        <v>1287</v>
      </c>
      <c r="I50" s="7">
        <f t="shared" si="16"/>
        <v>123552</v>
      </c>
    </row>
    <row r="51" spans="1:9" hidden="1" x14ac:dyDescent="0.25">
      <c r="A51" s="97">
        <v>8</v>
      </c>
      <c r="B51" s="112">
        <v>5</v>
      </c>
      <c r="C51" s="113">
        <v>1093</v>
      </c>
      <c r="D51" s="98">
        <f t="shared" si="15"/>
        <v>65580</v>
      </c>
      <c r="E51" s="105"/>
      <c r="F51" s="106">
        <v>8</v>
      </c>
      <c r="G51" s="58">
        <v>5</v>
      </c>
      <c r="H51" s="42">
        <v>1093</v>
      </c>
      <c r="I51" s="7">
        <f t="shared" si="16"/>
        <v>65580</v>
      </c>
    </row>
    <row r="52" spans="1:9" hidden="1" x14ac:dyDescent="0.25">
      <c r="A52" s="103"/>
      <c r="B52" s="124">
        <v>161</v>
      </c>
      <c r="C52" s="105"/>
      <c r="D52" s="95">
        <f>SUM(D44:D51)</f>
        <v>3060504</v>
      </c>
      <c r="E52" s="105"/>
      <c r="F52" s="105"/>
      <c r="G52" s="59">
        <v>171</v>
      </c>
      <c r="I52" s="19">
        <f>SUM(I44:I51)</f>
        <v>3258144</v>
      </c>
    </row>
    <row r="53" spans="1:9" hidden="1" x14ac:dyDescent="0.25">
      <c r="A53" s="103"/>
      <c r="B53" s="105"/>
      <c r="C53" s="105"/>
      <c r="D53" s="105"/>
      <c r="E53" s="105"/>
      <c r="F53" s="105"/>
      <c r="G53" s="47"/>
    </row>
    <row r="54" spans="1:9" hidden="1" x14ac:dyDescent="0.25">
      <c r="A54" s="94"/>
      <c r="B54" s="67" t="s">
        <v>0</v>
      </c>
      <c r="C54" s="67" t="s">
        <v>1</v>
      </c>
      <c r="D54" s="67" t="s">
        <v>2</v>
      </c>
      <c r="E54" s="67" t="s">
        <v>3</v>
      </c>
      <c r="F54" s="119" t="s">
        <v>4</v>
      </c>
      <c r="G54" s="47"/>
      <c r="H54" s="28"/>
    </row>
    <row r="55" spans="1:9" hidden="1" x14ac:dyDescent="0.25">
      <c r="A55" s="125" t="s">
        <v>23</v>
      </c>
      <c r="B55" s="95">
        <f>SUM(B56:B62)-B59</f>
        <v>4479960.4659000002</v>
      </c>
      <c r="C55" s="95">
        <f>SUM(C56+C57+C62)</f>
        <v>5590209.0830600001</v>
      </c>
      <c r="D55" s="95">
        <f t="shared" ref="D55:F55" si="17">SUM(D56+D57+D62)</f>
        <v>5954488.9279600009</v>
      </c>
      <c r="E55" s="95">
        <f t="shared" si="17"/>
        <v>6011849.53046</v>
      </c>
      <c r="F55" s="96">
        <f t="shared" si="17"/>
        <v>6027174.6454600003</v>
      </c>
      <c r="G55" s="47"/>
      <c r="H55" s="28"/>
    </row>
    <row r="56" spans="1:9" hidden="1" x14ac:dyDescent="0.25">
      <c r="A56" s="97" t="s">
        <v>5</v>
      </c>
      <c r="B56" s="98">
        <v>2820048</v>
      </c>
      <c r="C56" s="98">
        <v>3060504</v>
      </c>
      <c r="D56" s="98">
        <v>3258144</v>
      </c>
      <c r="E56" s="98">
        <v>3258144</v>
      </c>
      <c r="F56" s="99">
        <v>3258144</v>
      </c>
      <c r="G56" s="47"/>
      <c r="H56" s="28"/>
    </row>
    <row r="57" spans="1:9" hidden="1" x14ac:dyDescent="0.25">
      <c r="A57" s="97" t="s">
        <v>6</v>
      </c>
      <c r="B57" s="98">
        <v>790203</v>
      </c>
      <c r="C57" s="98">
        <f>SUM(C58:C61)</f>
        <v>1444459.4</v>
      </c>
      <c r="D57" s="98">
        <f t="shared" ref="D57:F57" si="18">SUM(D58:D61)</f>
        <v>1540380.4</v>
      </c>
      <c r="E57" s="98">
        <f t="shared" si="18"/>
        <v>1586605.4</v>
      </c>
      <c r="F57" s="99">
        <f t="shared" si="18"/>
        <v>1598955.4</v>
      </c>
      <c r="G57" s="47"/>
      <c r="H57" s="28"/>
    </row>
    <row r="58" spans="1:9" hidden="1" x14ac:dyDescent="0.25">
      <c r="A58" s="100" t="s">
        <v>24</v>
      </c>
      <c r="B58" s="98"/>
      <c r="C58" s="120">
        <f>D52*0.1</f>
        <v>306050.40000000002</v>
      </c>
      <c r="D58" s="120">
        <f>I52*0.1</f>
        <v>325814.40000000002</v>
      </c>
      <c r="E58" s="120">
        <f>I52*0.1</f>
        <v>325814.40000000002</v>
      </c>
      <c r="F58" s="121">
        <f>I52*0.1</f>
        <v>325814.40000000002</v>
      </c>
      <c r="G58" s="47"/>
      <c r="H58" s="28"/>
    </row>
    <row r="59" spans="1:9" hidden="1" x14ac:dyDescent="0.25">
      <c r="A59" s="100" t="s">
        <v>7</v>
      </c>
      <c r="B59" s="101">
        <v>350000</v>
      </c>
      <c r="C59" s="120">
        <v>271268</v>
      </c>
      <c r="D59" s="120">
        <v>291425</v>
      </c>
      <c r="E59" s="120">
        <v>337650</v>
      </c>
      <c r="F59" s="121">
        <v>350000</v>
      </c>
      <c r="G59" s="47"/>
      <c r="H59" s="28"/>
    </row>
    <row r="60" spans="1:9" hidden="1" x14ac:dyDescent="0.25">
      <c r="A60" s="100" t="s">
        <v>25</v>
      </c>
      <c r="B60" s="101"/>
      <c r="C60" s="120">
        <v>765126</v>
      </c>
      <c r="D60" s="120">
        <v>814536</v>
      </c>
      <c r="E60" s="120">
        <v>814536</v>
      </c>
      <c r="F60" s="121">
        <v>814536</v>
      </c>
      <c r="G60" s="47"/>
      <c r="H60" s="28"/>
    </row>
    <row r="61" spans="1:9" hidden="1" x14ac:dyDescent="0.25">
      <c r="A61" s="100" t="s">
        <v>17</v>
      </c>
      <c r="B61" s="101"/>
      <c r="C61" s="120">
        <v>102015</v>
      </c>
      <c r="D61" s="120">
        <v>108605</v>
      </c>
      <c r="E61" s="120">
        <v>108605</v>
      </c>
      <c r="F61" s="121">
        <v>108605</v>
      </c>
      <c r="G61" s="47"/>
      <c r="H61" s="28"/>
    </row>
    <row r="62" spans="1:9" hidden="1" x14ac:dyDescent="0.25">
      <c r="A62" s="97" t="s">
        <v>8</v>
      </c>
      <c r="B62" s="98">
        <f>SUM(B56:B57)*0.2409</f>
        <v>869709.46590000007</v>
      </c>
      <c r="C62" s="98">
        <f>SUM(C56:C57)*0.2409</f>
        <v>1085245.6830600002</v>
      </c>
      <c r="D62" s="98">
        <f t="shared" ref="D62:F62" si="19">SUM(D56:D57)*0.2409</f>
        <v>1155964.5279600001</v>
      </c>
      <c r="E62" s="98">
        <f t="shared" si="19"/>
        <v>1167100.1304600001</v>
      </c>
      <c r="F62" s="99">
        <f t="shared" si="19"/>
        <v>1170075.2454600001</v>
      </c>
      <c r="G62" s="47"/>
      <c r="H62" s="28"/>
    </row>
    <row r="63" spans="1:9" hidden="1" x14ac:dyDescent="0.25">
      <c r="A63" s="103"/>
      <c r="B63" s="104"/>
      <c r="C63" s="104"/>
      <c r="D63" s="104"/>
      <c r="E63" s="104"/>
      <c r="F63" s="105"/>
      <c r="G63" s="47"/>
      <c r="H63" s="28"/>
    </row>
    <row r="64" spans="1:9" ht="30" hidden="1" x14ac:dyDescent="0.25">
      <c r="A64" s="122" t="s">
        <v>18</v>
      </c>
      <c r="B64" s="113"/>
      <c r="C64" s="98">
        <f>C55-B55</f>
        <v>1110248.6171599999</v>
      </c>
      <c r="D64" s="98">
        <f>D55-B55</f>
        <v>1474528.4620600007</v>
      </c>
      <c r="E64" s="98">
        <f>E55-B55</f>
        <v>1531889.0645599999</v>
      </c>
      <c r="F64" s="99">
        <f>F55-B55</f>
        <v>1547214.1795600001</v>
      </c>
      <c r="G64" s="47"/>
      <c r="H64" s="28"/>
    </row>
    <row r="65" spans="1:8" hidden="1" x14ac:dyDescent="0.25">
      <c r="A65" s="97" t="s">
        <v>9</v>
      </c>
      <c r="B65" s="98"/>
      <c r="C65" s="98">
        <v>283004</v>
      </c>
      <c r="D65" s="98">
        <v>591868</v>
      </c>
      <c r="E65" s="98"/>
      <c r="F65" s="99"/>
      <c r="G65" s="47"/>
      <c r="H65" s="28"/>
    </row>
    <row r="66" spans="1:8" hidden="1" x14ac:dyDescent="0.25">
      <c r="A66" s="123" t="s">
        <v>19</v>
      </c>
      <c r="B66" s="101"/>
      <c r="C66" s="101">
        <v>78732</v>
      </c>
      <c r="D66" s="101">
        <v>58575</v>
      </c>
      <c r="E66" s="101">
        <v>12350</v>
      </c>
      <c r="F66" s="99"/>
      <c r="G66" s="47"/>
      <c r="H66" s="28"/>
    </row>
    <row r="67" spans="1:8" hidden="1" x14ac:dyDescent="0.25">
      <c r="A67" s="204" t="s">
        <v>10</v>
      </c>
      <c r="B67" s="135"/>
      <c r="C67" s="135">
        <f>C64-C65-C66</f>
        <v>748512.61715999991</v>
      </c>
      <c r="D67" s="135">
        <f t="shared" ref="D67:F67" si="20">D64-D65-D66</f>
        <v>824085.46206000075</v>
      </c>
      <c r="E67" s="135">
        <f t="shared" si="20"/>
        <v>1519539.0645599999</v>
      </c>
      <c r="F67" s="205">
        <f t="shared" si="20"/>
        <v>1547214.1795600001</v>
      </c>
      <c r="G67" s="47"/>
      <c r="H67" s="28"/>
    </row>
    <row r="68" spans="1:8" x14ac:dyDescent="0.25">
      <c r="A68" s="202"/>
      <c r="B68" s="202"/>
      <c r="C68" s="203" t="s">
        <v>43</v>
      </c>
      <c r="D68" s="203"/>
      <c r="E68" s="203"/>
      <c r="F68" s="203"/>
      <c r="G68" s="47"/>
      <c r="H68" s="28"/>
    </row>
    <row r="69" spans="1:8" ht="42" customHeight="1" x14ac:dyDescent="0.25">
      <c r="A69" s="202"/>
      <c r="B69" s="202"/>
      <c r="C69" s="203"/>
      <c r="D69" s="203"/>
      <c r="E69" s="203"/>
      <c r="F69" s="203"/>
      <c r="G69" s="47"/>
      <c r="H69" s="28"/>
    </row>
    <row r="70" spans="1:8" x14ac:dyDescent="0.25">
      <c r="A70" s="201"/>
      <c r="B70" s="202"/>
      <c r="C70" s="200"/>
      <c r="D70" s="200"/>
      <c r="E70" s="200"/>
      <c r="F70" s="200"/>
      <c r="G70" s="47"/>
      <c r="H70" s="28"/>
    </row>
    <row r="71" spans="1:8" s="160" customFormat="1" x14ac:dyDescent="0.25">
      <c r="A71" s="159" t="s">
        <v>34</v>
      </c>
      <c r="B71" s="198" t="s">
        <v>39</v>
      </c>
      <c r="C71" s="199"/>
      <c r="D71" s="199"/>
      <c r="E71" s="199"/>
      <c r="F71" s="199"/>
      <c r="G71" s="199"/>
    </row>
    <row r="72" spans="1:8" ht="60" x14ac:dyDescent="0.25">
      <c r="A72" s="162" t="s">
        <v>35</v>
      </c>
      <c r="B72" s="163" t="s">
        <v>11</v>
      </c>
      <c r="C72" s="108" t="s">
        <v>30</v>
      </c>
      <c r="D72" s="126" t="s">
        <v>38</v>
      </c>
      <c r="E72" s="176">
        <v>1025.29</v>
      </c>
      <c r="F72" s="108" t="s">
        <v>14</v>
      </c>
      <c r="G72" s="47"/>
      <c r="H72" s="28"/>
    </row>
    <row r="73" spans="1:8" x14ac:dyDescent="0.25">
      <c r="A73" s="161">
        <v>16</v>
      </c>
      <c r="B73" s="112">
        <v>1</v>
      </c>
      <c r="C73" s="112">
        <v>4.55</v>
      </c>
      <c r="D73" s="113">
        <v>4.3360000000000003</v>
      </c>
      <c r="E73" s="114">
        <f t="shared" ref="E73:E80" si="21">E$13*D73</f>
        <v>4445.65744</v>
      </c>
      <c r="F73" s="98">
        <f>(E73*B73)*12</f>
        <v>53347.889280000003</v>
      </c>
      <c r="G73" s="47"/>
      <c r="H73" s="28"/>
    </row>
    <row r="74" spans="1:8" x14ac:dyDescent="0.25">
      <c r="A74" s="161">
        <v>15</v>
      </c>
      <c r="B74" s="112">
        <v>2</v>
      </c>
      <c r="C74" s="112">
        <v>4.3540000000000001</v>
      </c>
      <c r="D74" s="113">
        <v>4.05</v>
      </c>
      <c r="E74" s="114">
        <f t="shared" si="21"/>
        <v>4152.4245000000001</v>
      </c>
      <c r="F74" s="98">
        <f t="shared" ref="F74:F80" si="22">(E74*B74)*12</f>
        <v>99658.187999999995</v>
      </c>
      <c r="G74" s="47"/>
      <c r="H74" s="28"/>
    </row>
    <row r="75" spans="1:8" x14ac:dyDescent="0.25">
      <c r="A75" s="161">
        <v>14</v>
      </c>
      <c r="B75" s="112">
        <v>5</v>
      </c>
      <c r="C75" s="112">
        <v>4.0620000000000003</v>
      </c>
      <c r="D75" s="113">
        <v>3.3849999999999998</v>
      </c>
      <c r="E75" s="114">
        <f t="shared" si="21"/>
        <v>3470.6066499999997</v>
      </c>
      <c r="F75" s="98">
        <f t="shared" si="22"/>
        <v>208236.399</v>
      </c>
      <c r="G75" s="47"/>
      <c r="H75" s="28"/>
    </row>
    <row r="76" spans="1:8" x14ac:dyDescent="0.25">
      <c r="A76" s="161">
        <v>13</v>
      </c>
      <c r="B76" s="112">
        <v>16</v>
      </c>
      <c r="C76" s="112">
        <v>3.2759999999999998</v>
      </c>
      <c r="D76" s="113">
        <v>2.73</v>
      </c>
      <c r="E76" s="114">
        <f t="shared" si="21"/>
        <v>2799.0416999999998</v>
      </c>
      <c r="F76" s="98">
        <f t="shared" si="22"/>
        <v>537416.00639999995</v>
      </c>
      <c r="G76" s="47"/>
      <c r="H76" s="28"/>
    </row>
    <row r="77" spans="1:8" x14ac:dyDescent="0.25">
      <c r="A77" s="161">
        <v>12</v>
      </c>
      <c r="B77" s="112">
        <v>40</v>
      </c>
      <c r="C77" s="112">
        <v>2.7429999999999999</v>
      </c>
      <c r="D77" s="113">
        <v>2.194</v>
      </c>
      <c r="E77" s="114">
        <f t="shared" si="21"/>
        <v>2249.4862599999997</v>
      </c>
      <c r="F77" s="98">
        <f t="shared" si="22"/>
        <v>1079753.4047999999</v>
      </c>
      <c r="G77" s="47"/>
      <c r="H77" s="28"/>
    </row>
    <row r="78" spans="1:8" x14ac:dyDescent="0.25">
      <c r="A78" s="161">
        <v>11</v>
      </c>
      <c r="B78" s="112">
        <v>26</v>
      </c>
      <c r="C78" s="112">
        <v>2.1970000000000001</v>
      </c>
      <c r="D78" s="113">
        <v>1.7569999999999999</v>
      </c>
      <c r="E78" s="114">
        <f t="shared" si="21"/>
        <v>1801.4345299999998</v>
      </c>
      <c r="F78" s="98">
        <f t="shared" si="22"/>
        <v>562047.57335999992</v>
      </c>
      <c r="G78" s="47"/>
      <c r="H78" s="28"/>
    </row>
    <row r="79" spans="1:8" x14ac:dyDescent="0.25">
      <c r="A79" s="161">
        <v>10</v>
      </c>
      <c r="B79" s="112">
        <v>8</v>
      </c>
      <c r="C79" s="112">
        <v>1.8169999999999999</v>
      </c>
      <c r="D79" s="113">
        <v>1.4530000000000001</v>
      </c>
      <c r="E79" s="114">
        <f t="shared" si="21"/>
        <v>1489.7463700000001</v>
      </c>
      <c r="F79" s="98">
        <f t="shared" si="22"/>
        <v>143015.65152000001</v>
      </c>
      <c r="G79" s="47"/>
      <c r="H79" s="28"/>
    </row>
    <row r="80" spans="1:8" x14ac:dyDescent="0.25">
      <c r="A80" s="161">
        <v>8</v>
      </c>
      <c r="B80" s="112">
        <v>5</v>
      </c>
      <c r="C80" s="112">
        <v>1.4790000000000001</v>
      </c>
      <c r="D80" s="113">
        <v>1.137</v>
      </c>
      <c r="E80" s="114">
        <f t="shared" si="21"/>
        <v>1165.7547299999999</v>
      </c>
      <c r="F80" s="98">
        <f t="shared" si="22"/>
        <v>69945.28379999999</v>
      </c>
      <c r="G80" s="47"/>
      <c r="H80" s="28"/>
    </row>
    <row r="81" spans="1:252" ht="45" x14ac:dyDescent="0.25">
      <c r="A81" s="172" t="s">
        <v>40</v>
      </c>
      <c r="B81" s="112">
        <v>58</v>
      </c>
      <c r="C81" s="112">
        <v>2.85</v>
      </c>
      <c r="D81" s="113">
        <v>2.2433000000000001</v>
      </c>
      <c r="E81" s="114">
        <f>E72*D81</f>
        <v>2300.0330570000001</v>
      </c>
      <c r="F81" s="98">
        <f>(E81*B81)*12-40465</f>
        <v>1560358.0076720002</v>
      </c>
      <c r="G81" s="47"/>
      <c r="H81" s="28"/>
    </row>
    <row r="82" spans="1:252" x14ac:dyDescent="0.25">
      <c r="A82" s="195" t="s">
        <v>31</v>
      </c>
      <c r="B82" s="196"/>
      <c r="C82" s="196"/>
      <c r="D82" s="196"/>
      <c r="E82" s="197"/>
      <c r="F82" s="167">
        <f>SUM(F73:F81)</f>
        <v>4313778.4038319997</v>
      </c>
      <c r="G82" s="54"/>
      <c r="H82" s="28"/>
      <c r="I82" s="11"/>
    </row>
    <row r="83" spans="1:252" s="29" customFormat="1" x14ac:dyDescent="0.25">
      <c r="E83" s="170"/>
      <c r="F83" s="206"/>
      <c r="G83" s="20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47"/>
      <c r="BO83" s="47"/>
      <c r="BP83" s="47"/>
      <c r="BQ83" s="47"/>
      <c r="BR83" s="47"/>
      <c r="BS83" s="47"/>
      <c r="BT83" s="47"/>
      <c r="BU83" s="47"/>
      <c r="BV83" s="47"/>
      <c r="BW83" s="47"/>
      <c r="BX83" s="47"/>
      <c r="BY83" s="47"/>
      <c r="BZ83" s="47"/>
      <c r="CA83" s="47"/>
      <c r="CB83" s="47"/>
      <c r="CC83" s="47"/>
      <c r="CD83" s="47"/>
      <c r="CE83" s="47"/>
      <c r="CF83" s="47"/>
      <c r="CG83" s="47"/>
      <c r="CH83" s="47"/>
      <c r="CI83" s="47"/>
      <c r="CJ83" s="47"/>
      <c r="CK83" s="47"/>
      <c r="CL83" s="47"/>
      <c r="CM83" s="47"/>
      <c r="CN83" s="47"/>
      <c r="CO83" s="47"/>
      <c r="CP83" s="47"/>
      <c r="CQ83" s="47"/>
      <c r="CR83" s="47"/>
      <c r="CS83" s="47"/>
      <c r="CT83" s="47"/>
      <c r="CU83" s="47"/>
      <c r="CV83" s="47"/>
      <c r="CW83" s="47"/>
      <c r="CX83" s="47"/>
      <c r="CY83" s="47"/>
      <c r="CZ83" s="47"/>
      <c r="DA83" s="47"/>
      <c r="DB83" s="47"/>
      <c r="DC83" s="47"/>
      <c r="DD83" s="47"/>
      <c r="DE83" s="47"/>
      <c r="DF83" s="47"/>
      <c r="DG83" s="47"/>
      <c r="DH83" s="47"/>
      <c r="DI83" s="47"/>
      <c r="DJ83" s="47"/>
      <c r="DK83" s="47"/>
      <c r="DL83" s="47"/>
      <c r="DM83" s="47"/>
      <c r="DN83" s="47"/>
      <c r="DO83" s="47"/>
      <c r="DP83" s="47"/>
      <c r="DQ83" s="47"/>
      <c r="DR83" s="47"/>
      <c r="DS83" s="47"/>
      <c r="DT83" s="47"/>
      <c r="DU83" s="47"/>
      <c r="DV83" s="47"/>
      <c r="DW83" s="47"/>
      <c r="DX83" s="47"/>
      <c r="DY83" s="47"/>
      <c r="DZ83" s="47"/>
      <c r="EA83" s="47"/>
      <c r="EB83" s="47"/>
      <c r="EC83" s="47"/>
      <c r="ED83" s="47"/>
      <c r="EE83" s="47"/>
      <c r="EF83" s="47"/>
      <c r="EG83" s="47"/>
      <c r="EH83" s="47"/>
      <c r="EI83" s="47"/>
      <c r="EJ83" s="47"/>
      <c r="EK83" s="47"/>
      <c r="EL83" s="47"/>
      <c r="EM83" s="47"/>
      <c r="EN83" s="47"/>
      <c r="EO83" s="47"/>
      <c r="EP83" s="47"/>
      <c r="EQ83" s="47"/>
      <c r="ER83" s="47"/>
      <c r="ES83" s="47"/>
      <c r="ET83" s="47"/>
      <c r="EU83" s="47"/>
      <c r="EV83" s="47"/>
      <c r="EW83" s="47"/>
      <c r="EX83" s="47"/>
      <c r="EY83" s="47"/>
      <c r="EZ83" s="47"/>
      <c r="FA83" s="47"/>
      <c r="FB83" s="47"/>
      <c r="FC83" s="47"/>
      <c r="FD83" s="47"/>
      <c r="FE83" s="47"/>
      <c r="FF83" s="47"/>
      <c r="FG83" s="47"/>
      <c r="FH83" s="47"/>
      <c r="FI83" s="47"/>
      <c r="FJ83" s="47"/>
      <c r="FK83" s="47"/>
      <c r="FL83" s="47"/>
      <c r="FM83" s="47"/>
      <c r="FN83" s="47"/>
      <c r="FO83" s="47"/>
      <c r="FP83" s="47"/>
      <c r="FQ83" s="47"/>
      <c r="FR83" s="47"/>
      <c r="FS83" s="47"/>
      <c r="FT83" s="47"/>
      <c r="FU83" s="47"/>
      <c r="FV83" s="47"/>
      <c r="FW83" s="47"/>
      <c r="FX83" s="47"/>
      <c r="FY83" s="47"/>
      <c r="FZ83" s="47"/>
      <c r="GA83" s="47"/>
      <c r="GB83" s="47"/>
      <c r="GC83" s="47"/>
      <c r="GD83" s="47"/>
      <c r="GE83" s="47"/>
      <c r="GF83" s="47"/>
      <c r="GG83" s="47"/>
      <c r="GH83" s="47"/>
      <c r="GI83" s="47"/>
      <c r="GJ83" s="47"/>
      <c r="GK83" s="47"/>
      <c r="GL83" s="47"/>
      <c r="GM83" s="47"/>
      <c r="GN83" s="47"/>
      <c r="GO83" s="47"/>
      <c r="GP83" s="47"/>
      <c r="GQ83" s="47"/>
      <c r="GR83" s="47"/>
      <c r="GS83" s="47"/>
      <c r="GT83" s="47"/>
      <c r="GU83" s="47"/>
      <c r="GV83" s="47"/>
      <c r="GW83" s="47"/>
      <c r="GX83" s="47"/>
      <c r="GY83" s="47"/>
      <c r="GZ83" s="47"/>
      <c r="HA83" s="47"/>
      <c r="HB83" s="47"/>
      <c r="HC83" s="47"/>
      <c r="HD83" s="47"/>
      <c r="HE83" s="47"/>
      <c r="HF83" s="47"/>
      <c r="HG83" s="47"/>
      <c r="HH83" s="47"/>
      <c r="HI83" s="47"/>
      <c r="HJ83" s="47"/>
      <c r="HK83" s="47"/>
      <c r="HL83" s="47"/>
      <c r="HM83" s="47"/>
      <c r="HN83" s="47"/>
      <c r="HO83" s="47"/>
      <c r="HP83" s="47"/>
      <c r="HQ83" s="47"/>
      <c r="HR83" s="47"/>
      <c r="HS83" s="47"/>
      <c r="HT83" s="47"/>
      <c r="HU83" s="47"/>
      <c r="HV83" s="47"/>
      <c r="HW83" s="47"/>
      <c r="HX83" s="47"/>
      <c r="HY83" s="47"/>
      <c r="HZ83" s="47"/>
      <c r="IA83" s="47"/>
      <c r="IB83" s="47"/>
      <c r="IC83" s="47"/>
      <c r="ID83" s="47"/>
      <c r="IE83" s="47"/>
      <c r="IF83" s="47"/>
      <c r="IG83" s="47"/>
      <c r="IH83" s="47"/>
      <c r="II83" s="47"/>
      <c r="IJ83" s="47"/>
      <c r="IK83" s="47"/>
      <c r="IL83" s="47"/>
      <c r="IM83" s="47"/>
      <c r="IN83" s="47"/>
      <c r="IO83" s="47"/>
      <c r="IP83" s="47"/>
      <c r="IQ83" s="47"/>
      <c r="IR83" s="47"/>
    </row>
    <row r="84" spans="1:252" ht="45.75" thickBot="1" x14ac:dyDescent="0.3">
      <c r="A84" s="168"/>
      <c r="B84" s="188" t="s">
        <v>41</v>
      </c>
      <c r="C84" s="169" t="s">
        <v>1</v>
      </c>
      <c r="D84" s="169"/>
      <c r="E84" s="169"/>
      <c r="F84" s="169"/>
      <c r="G84" s="47"/>
    </row>
    <row r="85" spans="1:252" ht="35.25" customHeight="1" thickBot="1" x14ac:dyDescent="0.3">
      <c r="A85" s="66" t="s">
        <v>28</v>
      </c>
      <c r="B85" s="127">
        <v>4482412</v>
      </c>
      <c r="C85" s="127">
        <f>SUM(C86+C87+C91)</f>
        <v>6340481.4253651286</v>
      </c>
      <c r="D85" s="127"/>
      <c r="E85" s="127"/>
      <c r="F85" s="128"/>
      <c r="G85" s="47"/>
      <c r="H85" s="11"/>
      <c r="I85" s="11"/>
      <c r="J85" s="11"/>
    </row>
    <row r="86" spans="1:252" x14ac:dyDescent="0.25">
      <c r="A86" s="129" t="s">
        <v>5</v>
      </c>
      <c r="B86" s="130">
        <v>2820048</v>
      </c>
      <c r="C86" s="130">
        <f>F82</f>
        <v>4313778.4038319997</v>
      </c>
      <c r="D86" s="130"/>
      <c r="E86" s="130"/>
      <c r="F86" s="130"/>
      <c r="G86" s="47"/>
    </row>
    <row r="87" spans="1:252" x14ac:dyDescent="0.25">
      <c r="A87" s="97" t="s">
        <v>6</v>
      </c>
      <c r="B87" s="98">
        <f>790203+1975.5</f>
        <v>792178.5</v>
      </c>
      <c r="C87" s="98">
        <f>793829+1975.5</f>
        <v>795804.5</v>
      </c>
      <c r="D87" s="98"/>
      <c r="E87" s="98"/>
      <c r="F87" s="98"/>
      <c r="G87" s="47"/>
      <c r="I87" s="11"/>
    </row>
    <row r="88" spans="1:252" x14ac:dyDescent="0.25">
      <c r="A88" s="100" t="s">
        <v>16</v>
      </c>
      <c r="B88" s="98"/>
      <c r="C88" s="120">
        <f>C87-C89-C90</f>
        <v>422978.5</v>
      </c>
      <c r="D88" s="120"/>
      <c r="E88" s="120"/>
      <c r="F88" s="120"/>
      <c r="G88" s="47"/>
    </row>
    <row r="89" spans="1:252" x14ac:dyDescent="0.25">
      <c r="A89" s="100" t="s">
        <v>7</v>
      </c>
      <c r="B89" s="101">
        <v>350000</v>
      </c>
      <c r="C89" s="120">
        <v>227767</v>
      </c>
      <c r="D89" s="120"/>
      <c r="E89" s="120"/>
      <c r="F89" s="120"/>
      <c r="G89" s="47"/>
    </row>
    <row r="90" spans="1:252" x14ac:dyDescent="0.25">
      <c r="A90" s="100" t="s">
        <v>17</v>
      </c>
      <c r="B90" s="101"/>
      <c r="C90" s="120">
        <f>145059</f>
        <v>145059</v>
      </c>
      <c r="D90" s="120"/>
      <c r="E90" s="120"/>
      <c r="F90" s="120"/>
      <c r="G90" s="47"/>
    </row>
    <row r="91" spans="1:252" x14ac:dyDescent="0.25">
      <c r="A91" s="97" t="s">
        <v>8</v>
      </c>
      <c r="B91" s="98">
        <f>SUM(B86:B87)*0.2409</f>
        <v>870185.36384999997</v>
      </c>
      <c r="C91" s="98">
        <f>SUM(C86:C87)*0.2409</f>
        <v>1230898.5215331288</v>
      </c>
      <c r="D91" s="98"/>
      <c r="E91" s="98"/>
      <c r="F91" s="98"/>
      <c r="G91" s="47"/>
    </row>
    <row r="92" spans="1:252" x14ac:dyDescent="0.25">
      <c r="A92" s="103"/>
      <c r="B92" s="104"/>
      <c r="C92" s="104"/>
      <c r="D92" s="104"/>
      <c r="E92" s="104"/>
      <c r="F92" s="131"/>
      <c r="G92" s="47"/>
    </row>
    <row r="93" spans="1:252" ht="30" x14ac:dyDescent="0.25">
      <c r="A93" s="132" t="s">
        <v>18</v>
      </c>
      <c r="B93" s="95"/>
      <c r="C93" s="95">
        <f>C85-B85</f>
        <v>1858069.4253651286</v>
      </c>
      <c r="D93" s="95"/>
      <c r="E93" s="95"/>
      <c r="F93" s="95"/>
      <c r="G93" s="47"/>
      <c r="I93" s="11"/>
    </row>
    <row r="94" spans="1:252" x14ac:dyDescent="0.25">
      <c r="A94" s="97" t="s">
        <v>9</v>
      </c>
      <c r="B94" s="98"/>
      <c r="C94" s="98">
        <v>235836</v>
      </c>
      <c r="D94" s="98"/>
      <c r="E94" s="98"/>
      <c r="F94" s="113"/>
      <c r="G94" s="47"/>
    </row>
    <row r="95" spans="1:252" ht="15.75" thickBot="1" x14ac:dyDescent="0.3">
      <c r="A95" s="133" t="s">
        <v>19</v>
      </c>
      <c r="B95" s="134"/>
      <c r="C95" s="134">
        <f>78732+43472+29.5</f>
        <v>122233.5</v>
      </c>
      <c r="D95" s="134"/>
      <c r="E95" s="134"/>
      <c r="F95" s="135"/>
      <c r="G95" s="47"/>
    </row>
    <row r="96" spans="1:252" ht="30.75" thickBot="1" x14ac:dyDescent="0.3">
      <c r="A96" s="136" t="s">
        <v>29</v>
      </c>
      <c r="B96" s="137"/>
      <c r="C96" s="137">
        <f>C93-C94-C95</f>
        <v>1499999.9253651286</v>
      </c>
      <c r="D96" s="137"/>
      <c r="E96" s="137"/>
      <c r="F96" s="138"/>
      <c r="G96" s="47"/>
      <c r="I96" s="11"/>
    </row>
    <row r="97" spans="1:8" ht="15.75" thickBot="1" x14ac:dyDescent="0.3">
      <c r="A97" s="55"/>
      <c r="B97" s="56"/>
      <c r="C97" s="56"/>
      <c r="D97" s="56"/>
      <c r="E97" s="56"/>
      <c r="F97" s="56"/>
      <c r="G97" s="47"/>
    </row>
    <row r="98" spans="1:8" ht="45" x14ac:dyDescent="0.25">
      <c r="A98" s="139" t="s">
        <v>27</v>
      </c>
      <c r="B98" s="164" t="s">
        <v>11</v>
      </c>
      <c r="C98" s="140" t="s">
        <v>12</v>
      </c>
      <c r="D98" s="165" t="s">
        <v>37</v>
      </c>
      <c r="E98" s="175">
        <v>1020.9</v>
      </c>
      <c r="F98" s="140" t="s">
        <v>14</v>
      </c>
    </row>
    <row r="99" spans="1:8" x14ac:dyDescent="0.25">
      <c r="A99" s="141">
        <v>16</v>
      </c>
      <c r="B99" s="142">
        <v>1</v>
      </c>
      <c r="C99" s="142">
        <v>4.55</v>
      </c>
      <c r="D99" s="143">
        <v>4.4429999999999996</v>
      </c>
      <c r="E99" s="144">
        <f>E$98*D99</f>
        <v>4535.8586999999998</v>
      </c>
      <c r="F99" s="60">
        <f t="shared" ref="F99:F107" si="23">(E99*B99)*12</f>
        <v>54430.304399999994</v>
      </c>
    </row>
    <row r="100" spans="1:8" x14ac:dyDescent="0.25">
      <c r="A100" s="141">
        <v>15</v>
      </c>
      <c r="B100" s="142">
        <v>2</v>
      </c>
      <c r="C100" s="142">
        <v>4.3540000000000001</v>
      </c>
      <c r="D100" s="143">
        <v>4.202</v>
      </c>
      <c r="E100" s="144">
        <f t="shared" ref="E100:E107" si="24">E$98*D100</f>
        <v>4289.8217999999997</v>
      </c>
      <c r="F100" s="60">
        <f t="shared" si="23"/>
        <v>102955.72319999999</v>
      </c>
    </row>
    <row r="101" spans="1:8" x14ac:dyDescent="0.25">
      <c r="A101" s="141">
        <v>14</v>
      </c>
      <c r="B101" s="142">
        <v>5</v>
      </c>
      <c r="C101" s="142">
        <v>4.0620000000000003</v>
      </c>
      <c r="D101" s="143">
        <v>3.5</v>
      </c>
      <c r="E101" s="144">
        <f t="shared" si="24"/>
        <v>3573.15</v>
      </c>
      <c r="F101" s="60">
        <f t="shared" si="23"/>
        <v>214389</v>
      </c>
    </row>
    <row r="102" spans="1:8" x14ac:dyDescent="0.25">
      <c r="A102" s="141">
        <v>13</v>
      </c>
      <c r="B102" s="142">
        <v>16</v>
      </c>
      <c r="C102" s="142">
        <v>3.2759999999999998</v>
      </c>
      <c r="D102" s="143">
        <v>2.8</v>
      </c>
      <c r="E102" s="144">
        <f t="shared" si="24"/>
        <v>2858.52</v>
      </c>
      <c r="F102" s="60">
        <f t="shared" si="23"/>
        <v>548835.83999999997</v>
      </c>
    </row>
    <row r="103" spans="1:8" x14ac:dyDescent="0.25">
      <c r="A103" s="141">
        <v>12</v>
      </c>
      <c r="B103" s="142">
        <v>40</v>
      </c>
      <c r="C103" s="142">
        <v>2.7429999999999999</v>
      </c>
      <c r="D103" s="143">
        <v>2.2000000000000002</v>
      </c>
      <c r="E103" s="144">
        <f t="shared" si="24"/>
        <v>2245.98</v>
      </c>
      <c r="F103" s="60">
        <f t="shared" si="23"/>
        <v>1078070.3999999999</v>
      </c>
    </row>
    <row r="104" spans="1:8" x14ac:dyDescent="0.25">
      <c r="A104" s="141">
        <v>11</v>
      </c>
      <c r="B104" s="142">
        <v>26</v>
      </c>
      <c r="C104" s="142">
        <v>2.1970000000000001</v>
      </c>
      <c r="D104" s="143">
        <v>1.9</v>
      </c>
      <c r="E104" s="144">
        <f t="shared" si="24"/>
        <v>1939.7099999999998</v>
      </c>
      <c r="F104" s="60">
        <f t="shared" si="23"/>
        <v>605189.5199999999</v>
      </c>
    </row>
    <row r="105" spans="1:8" x14ac:dyDescent="0.25">
      <c r="A105" s="141">
        <v>10</v>
      </c>
      <c r="B105" s="142">
        <v>8</v>
      </c>
      <c r="C105" s="142">
        <v>1.8169999999999999</v>
      </c>
      <c r="D105" s="143">
        <v>1.6</v>
      </c>
      <c r="E105" s="144">
        <f t="shared" si="24"/>
        <v>1633.44</v>
      </c>
      <c r="F105" s="60">
        <f t="shared" si="23"/>
        <v>156810.23999999999</v>
      </c>
    </row>
    <row r="106" spans="1:8" x14ac:dyDescent="0.25">
      <c r="A106" s="141">
        <v>8</v>
      </c>
      <c r="B106" s="142">
        <v>5</v>
      </c>
      <c r="C106" s="142">
        <v>1.4790000000000001</v>
      </c>
      <c r="D106" s="143">
        <v>1.3</v>
      </c>
      <c r="E106" s="144">
        <f t="shared" si="24"/>
        <v>1327.17</v>
      </c>
      <c r="F106" s="60">
        <f t="shared" si="23"/>
        <v>79630.200000000012</v>
      </c>
    </row>
    <row r="107" spans="1:8" ht="45" x14ac:dyDescent="0.25">
      <c r="A107" s="173" t="s">
        <v>40</v>
      </c>
      <c r="B107" s="181">
        <v>68</v>
      </c>
      <c r="C107" s="181">
        <v>2.85</v>
      </c>
      <c r="D107" s="182">
        <v>2.5623999999999998</v>
      </c>
      <c r="E107" s="183">
        <f t="shared" si="24"/>
        <v>2615.9541599999998</v>
      </c>
      <c r="F107" s="184">
        <f t="shared" si="23"/>
        <v>2134618.5945600001</v>
      </c>
      <c r="G107" s="24"/>
    </row>
    <row r="108" spans="1:8" x14ac:dyDescent="0.25">
      <c r="A108" s="192" t="s">
        <v>32</v>
      </c>
      <c r="B108" s="193"/>
      <c r="C108" s="193"/>
      <c r="D108" s="193"/>
      <c r="E108" s="194"/>
      <c r="F108" s="65">
        <f>SUM(F99:F107)</f>
        <v>4974929.82216</v>
      </c>
      <c r="G108" s="43"/>
    </row>
    <row r="109" spans="1:8" s="28" customFormat="1" x14ac:dyDescent="0.25">
      <c r="A109" s="45"/>
      <c r="B109" s="47"/>
      <c r="C109" s="47"/>
      <c r="D109" s="47"/>
      <c r="E109" s="47"/>
      <c r="F109" s="171"/>
      <c r="G109" s="47"/>
    </row>
    <row r="110" spans="1:8" ht="45.75" thickBot="1" x14ac:dyDescent="0.3">
      <c r="A110" s="146"/>
      <c r="B110" s="185" t="s">
        <v>42</v>
      </c>
      <c r="C110" s="147"/>
      <c r="D110" s="147" t="s">
        <v>2</v>
      </c>
      <c r="E110" s="147"/>
      <c r="F110" s="147"/>
    </row>
    <row r="111" spans="1:8" ht="30.75" thickBot="1" x14ac:dyDescent="0.3">
      <c r="A111" s="61" t="s">
        <v>28</v>
      </c>
      <c r="B111" s="187">
        <v>4482412</v>
      </c>
      <c r="C111" s="62"/>
      <c r="D111" s="62">
        <f>SUM(D112+D113+D117)</f>
        <v>7185439.9156183442</v>
      </c>
      <c r="E111" s="62"/>
      <c r="F111" s="62"/>
      <c r="H111" s="11"/>
    </row>
    <row r="112" spans="1:8" x14ac:dyDescent="0.25">
      <c r="A112" s="148" t="s">
        <v>5</v>
      </c>
      <c r="B112" s="149">
        <v>2820048</v>
      </c>
      <c r="C112" s="149"/>
      <c r="D112" s="149">
        <f>F108</f>
        <v>4974929.82216</v>
      </c>
      <c r="E112" s="149"/>
      <c r="F112" s="149"/>
    </row>
    <row r="113" spans="1:7" x14ac:dyDescent="0.25">
      <c r="A113" s="141" t="s">
        <v>6</v>
      </c>
      <c r="B113" s="60">
        <v>792179</v>
      </c>
      <c r="C113" s="60"/>
      <c r="D113" s="60">
        <f>SUM(D114:D116)</f>
        <v>815577</v>
      </c>
      <c r="E113" s="60"/>
      <c r="F113" s="60"/>
    </row>
    <row r="114" spans="1:7" x14ac:dyDescent="0.25">
      <c r="A114" s="150" t="s">
        <v>16</v>
      </c>
      <c r="B114" s="60"/>
      <c r="C114" s="151"/>
      <c r="D114" s="151">
        <f>430530+1975.5</f>
        <v>432505.5</v>
      </c>
      <c r="E114" s="151"/>
      <c r="F114" s="151"/>
    </row>
    <row r="115" spans="1:7" x14ac:dyDescent="0.25">
      <c r="A115" s="150" t="s">
        <v>7</v>
      </c>
      <c r="B115" s="152">
        <v>350000</v>
      </c>
      <c r="C115" s="151"/>
      <c r="D115" s="151">
        <v>238839</v>
      </c>
      <c r="E115" s="151"/>
      <c r="F115" s="151"/>
    </row>
    <row r="116" spans="1:7" x14ac:dyDescent="0.25">
      <c r="A116" s="150" t="s">
        <v>17</v>
      </c>
      <c r="B116" s="152"/>
      <c r="C116" s="151"/>
      <c r="D116" s="151">
        <v>144232.5</v>
      </c>
      <c r="E116" s="151"/>
      <c r="F116" s="151"/>
    </row>
    <row r="117" spans="1:7" x14ac:dyDescent="0.25">
      <c r="A117" s="141" t="s">
        <v>8</v>
      </c>
      <c r="B117" s="60">
        <f>SUM(B112:B113)*0.2409</f>
        <v>870185.48430000001</v>
      </c>
      <c r="C117" s="60"/>
      <c r="D117" s="60">
        <f>SUM(D112:D113)*0.2409</f>
        <v>1394933.093458344</v>
      </c>
      <c r="E117" s="60"/>
      <c r="F117" s="60"/>
    </row>
    <row r="118" spans="1:7" x14ac:dyDescent="0.25">
      <c r="A118" s="145"/>
      <c r="B118" s="153"/>
      <c r="C118" s="153"/>
      <c r="D118" s="153"/>
      <c r="E118" s="153"/>
      <c r="F118" s="154"/>
    </row>
    <row r="119" spans="1:7" s="28" customFormat="1" ht="30" x14ac:dyDescent="0.25">
      <c r="A119" s="63" t="s">
        <v>18</v>
      </c>
      <c r="B119" s="64"/>
      <c r="C119" s="65"/>
      <c r="D119" s="65">
        <f>D111-B111</f>
        <v>2703027.9156183442</v>
      </c>
      <c r="E119" s="65"/>
      <c r="F119" s="65"/>
      <c r="G119" s="47"/>
    </row>
    <row r="120" spans="1:7" x14ac:dyDescent="0.25">
      <c r="A120" s="141" t="s">
        <v>9</v>
      </c>
      <c r="B120" s="60"/>
      <c r="C120" s="60"/>
      <c r="D120" s="60">
        <v>591867</v>
      </c>
      <c r="E120" s="60"/>
      <c r="F120" s="143"/>
    </row>
    <row r="121" spans="1:7" ht="15.75" thickBot="1" x14ac:dyDescent="0.3">
      <c r="A121" s="155" t="s">
        <v>19</v>
      </c>
      <c r="B121" s="156"/>
      <c r="C121" s="156"/>
      <c r="D121" s="156">
        <f>58575+52521+65</f>
        <v>111161</v>
      </c>
      <c r="E121" s="156"/>
      <c r="F121" s="157"/>
    </row>
    <row r="122" spans="1:7" ht="30.75" thickBot="1" x14ac:dyDescent="0.3">
      <c r="A122" s="68" t="s">
        <v>29</v>
      </c>
      <c r="B122" s="69"/>
      <c r="C122" s="69"/>
      <c r="D122" s="69">
        <f>D119-D120-D121</f>
        <v>1999999.9156183442</v>
      </c>
      <c r="E122" s="69"/>
      <c r="F122" s="70"/>
    </row>
    <row r="123" spans="1:7" x14ac:dyDescent="0.25">
      <c r="A123" s="39"/>
      <c r="B123" s="23"/>
      <c r="C123" s="23"/>
      <c r="D123" s="23"/>
      <c r="E123" s="23"/>
      <c r="F123" s="23"/>
    </row>
    <row r="124" spans="1:7" ht="15.75" thickBot="1" x14ac:dyDescent="0.3"/>
    <row r="125" spans="1:7" ht="45" x14ac:dyDescent="0.25">
      <c r="A125" s="71" t="s">
        <v>26</v>
      </c>
      <c r="B125" s="72" t="s">
        <v>11</v>
      </c>
      <c r="C125" s="73" t="s">
        <v>12</v>
      </c>
      <c r="D125" s="166" t="s">
        <v>36</v>
      </c>
      <c r="E125" s="177">
        <v>1042.3399999999999</v>
      </c>
      <c r="F125" s="74" t="s">
        <v>14</v>
      </c>
    </row>
    <row r="126" spans="1:7" x14ac:dyDescent="0.25">
      <c r="A126" s="48">
        <v>16</v>
      </c>
      <c r="B126" s="31">
        <v>1</v>
      </c>
      <c r="C126" s="31">
        <v>4.55</v>
      </c>
      <c r="D126" s="30">
        <v>4.5</v>
      </c>
      <c r="E126" s="32">
        <f>E125*D126</f>
        <v>4690.53</v>
      </c>
      <c r="F126" s="49">
        <f t="shared" ref="F126:F134" si="25">(E126*B126)*12</f>
        <v>56286.36</v>
      </c>
    </row>
    <row r="127" spans="1:7" x14ac:dyDescent="0.25">
      <c r="A127" s="48">
        <v>15</v>
      </c>
      <c r="B127" s="31">
        <v>2</v>
      </c>
      <c r="C127" s="31">
        <v>4.3540000000000001</v>
      </c>
      <c r="D127" s="30">
        <v>4.25</v>
      </c>
      <c r="E127" s="32">
        <f>E$125*D127</f>
        <v>4429.9449999999997</v>
      </c>
      <c r="F127" s="49">
        <f t="shared" si="25"/>
        <v>106318.68</v>
      </c>
    </row>
    <row r="128" spans="1:7" x14ac:dyDescent="0.25">
      <c r="A128" s="48">
        <v>14</v>
      </c>
      <c r="B128" s="31">
        <v>5</v>
      </c>
      <c r="C128" s="31">
        <v>4.0620000000000003</v>
      </c>
      <c r="D128" s="30">
        <v>3.7235</v>
      </c>
      <c r="E128" s="32">
        <f t="shared" ref="E128:E134" si="26">E$125*D128</f>
        <v>3881.1529899999996</v>
      </c>
      <c r="F128" s="49">
        <f t="shared" si="25"/>
        <v>232869.17939999996</v>
      </c>
    </row>
    <row r="129" spans="1:8" x14ac:dyDescent="0.25">
      <c r="A129" s="48">
        <v>13</v>
      </c>
      <c r="B129" s="31">
        <v>16</v>
      </c>
      <c r="C129" s="31">
        <v>3.2759999999999998</v>
      </c>
      <c r="D129" s="30">
        <v>3.0030000000000001</v>
      </c>
      <c r="E129" s="32">
        <f t="shared" si="26"/>
        <v>3130.1470199999999</v>
      </c>
      <c r="F129" s="49">
        <f t="shared" si="25"/>
        <v>600988.22783999995</v>
      </c>
    </row>
    <row r="130" spans="1:8" x14ac:dyDescent="0.25">
      <c r="A130" s="48">
        <v>12</v>
      </c>
      <c r="B130" s="31">
        <v>40</v>
      </c>
      <c r="C130" s="31">
        <v>2.7429999999999999</v>
      </c>
      <c r="D130" s="30">
        <v>2.4568500000000002</v>
      </c>
      <c r="E130" s="32">
        <f t="shared" si="26"/>
        <v>2560.8730289999999</v>
      </c>
      <c r="F130" s="49">
        <f t="shared" si="25"/>
        <v>1229219.0539199999</v>
      </c>
    </row>
    <row r="131" spans="1:8" x14ac:dyDescent="0.25">
      <c r="A131" s="48">
        <v>11</v>
      </c>
      <c r="B131" s="31">
        <v>26</v>
      </c>
      <c r="C131" s="31">
        <v>2.1970000000000001</v>
      </c>
      <c r="D131" s="30">
        <v>1.9770000000000001</v>
      </c>
      <c r="E131" s="32">
        <f t="shared" si="26"/>
        <v>2060.7061800000001</v>
      </c>
      <c r="F131" s="49">
        <f t="shared" si="25"/>
        <v>642940.32816000003</v>
      </c>
    </row>
    <row r="132" spans="1:8" x14ac:dyDescent="0.25">
      <c r="A132" s="48">
        <v>10</v>
      </c>
      <c r="B132" s="31">
        <v>8</v>
      </c>
      <c r="C132" s="31">
        <v>1.8169999999999999</v>
      </c>
      <c r="D132" s="30">
        <v>1.635</v>
      </c>
      <c r="E132" s="32">
        <f t="shared" si="26"/>
        <v>1704.2258999999999</v>
      </c>
      <c r="F132" s="49">
        <f t="shared" si="25"/>
        <v>163605.68640000001</v>
      </c>
    </row>
    <row r="133" spans="1:8" x14ac:dyDescent="0.25">
      <c r="A133" s="48">
        <v>8</v>
      </c>
      <c r="B133" s="31">
        <v>5</v>
      </c>
      <c r="C133" s="31">
        <v>1.4790000000000001</v>
      </c>
      <c r="D133" s="30">
        <v>1.3080000000000001</v>
      </c>
      <c r="E133" s="32">
        <f t="shared" si="26"/>
        <v>1363.3807199999999</v>
      </c>
      <c r="F133" s="49">
        <f t="shared" si="25"/>
        <v>81802.843200000003</v>
      </c>
    </row>
    <row r="134" spans="1:8" ht="45" x14ac:dyDescent="0.25">
      <c r="A134" s="53" t="s">
        <v>40</v>
      </c>
      <c r="B134" s="174">
        <v>68</v>
      </c>
      <c r="C134" s="75">
        <v>2.85</v>
      </c>
      <c r="D134" s="178">
        <v>2.85</v>
      </c>
      <c r="E134" s="179">
        <f t="shared" si="26"/>
        <v>2970.6689999999999</v>
      </c>
      <c r="F134" s="180">
        <f t="shared" si="25"/>
        <v>2424065.9040000001</v>
      </c>
      <c r="G134" s="24"/>
    </row>
    <row r="135" spans="1:8" x14ac:dyDescent="0.25">
      <c r="A135" s="189" t="s">
        <v>33</v>
      </c>
      <c r="B135" s="190"/>
      <c r="C135" s="190"/>
      <c r="D135" s="190"/>
      <c r="E135" s="191"/>
      <c r="F135" s="51">
        <f>SUM(F126:F134)</f>
        <v>5538096.2629199997</v>
      </c>
      <c r="G135" s="43"/>
    </row>
    <row r="136" spans="1:8" s="28" customFormat="1" ht="15.75" thickBot="1" x14ac:dyDescent="0.3">
      <c r="A136" s="45"/>
      <c r="B136" s="47"/>
      <c r="C136" s="47"/>
      <c r="D136" s="47"/>
      <c r="E136" s="47"/>
      <c r="F136" s="44"/>
      <c r="G136" s="47"/>
    </row>
    <row r="137" spans="1:8" ht="45.75" thickBot="1" x14ac:dyDescent="0.3">
      <c r="A137" s="76" t="s">
        <v>28</v>
      </c>
      <c r="B137" s="186" t="s">
        <v>42</v>
      </c>
      <c r="C137" s="77"/>
      <c r="D137" s="77"/>
      <c r="E137" s="77" t="s">
        <v>3</v>
      </c>
      <c r="F137" s="78"/>
    </row>
    <row r="138" spans="1:8" s="28" customFormat="1" x14ac:dyDescent="0.25">
      <c r="A138" s="79"/>
      <c r="B138" s="80">
        <v>4482412</v>
      </c>
      <c r="C138" s="80"/>
      <c r="D138" s="80"/>
      <c r="E138" s="80">
        <f>SUM(E139+E140+E144)</f>
        <v>8153490.7501074281</v>
      </c>
      <c r="F138" s="81"/>
      <c r="G138" s="47"/>
    </row>
    <row r="139" spans="1:8" x14ac:dyDescent="0.25">
      <c r="A139" s="48" t="s">
        <v>5</v>
      </c>
      <c r="B139" s="33">
        <v>2820048</v>
      </c>
      <c r="C139" s="33"/>
      <c r="D139" s="33"/>
      <c r="E139" s="33">
        <f>F135</f>
        <v>5538096.2629199997</v>
      </c>
      <c r="F139" s="49"/>
      <c r="G139" s="158"/>
      <c r="H139" s="11"/>
    </row>
    <row r="140" spans="1:8" x14ac:dyDescent="0.25">
      <c r="A140" s="48" t="s">
        <v>6</v>
      </c>
      <c r="B140" s="33">
        <v>792179</v>
      </c>
      <c r="C140" s="33"/>
      <c r="D140" s="33"/>
      <c r="E140" s="33">
        <f>1032472+58.5</f>
        <v>1032530.5</v>
      </c>
      <c r="F140" s="49"/>
    </row>
    <row r="141" spans="1:8" x14ac:dyDescent="0.25">
      <c r="A141" s="52" t="s">
        <v>16</v>
      </c>
      <c r="B141" s="33"/>
      <c r="C141" s="36"/>
      <c r="D141" s="36"/>
      <c r="E141" s="36">
        <f>E140-E142-E143</f>
        <v>553867.5</v>
      </c>
      <c r="F141" s="82"/>
    </row>
    <row r="142" spans="1:8" x14ac:dyDescent="0.25">
      <c r="A142" s="52" t="s">
        <v>7</v>
      </c>
      <c r="B142" s="37">
        <v>350000</v>
      </c>
      <c r="C142" s="36"/>
      <c r="D142" s="36"/>
      <c r="E142" s="36">
        <v>270988</v>
      </c>
      <c r="F142" s="82"/>
    </row>
    <row r="143" spans="1:8" x14ac:dyDescent="0.25">
      <c r="A143" s="52" t="s">
        <v>17</v>
      </c>
      <c r="B143" s="37"/>
      <c r="C143" s="36"/>
      <c r="D143" s="36"/>
      <c r="E143" s="36">
        <v>207675</v>
      </c>
      <c r="F143" s="82"/>
    </row>
    <row r="144" spans="1:8" x14ac:dyDescent="0.25">
      <c r="A144" s="48" t="s">
        <v>8</v>
      </c>
      <c r="B144" s="33">
        <f>SUM(B139:B140)*0.2409</f>
        <v>870185.48430000001</v>
      </c>
      <c r="C144" s="33"/>
      <c r="D144" s="33"/>
      <c r="E144" s="33">
        <f>SUM(E139:E140)*0.2409</f>
        <v>1582863.9871874279</v>
      </c>
      <c r="F144" s="49"/>
    </row>
    <row r="145" spans="1:7" x14ac:dyDescent="0.25">
      <c r="A145" s="50"/>
      <c r="B145" s="38"/>
      <c r="C145" s="38"/>
      <c r="D145" s="38"/>
      <c r="E145" s="38"/>
      <c r="F145" s="83"/>
    </row>
    <row r="146" spans="1:7" s="28" customFormat="1" ht="30" x14ac:dyDescent="0.25">
      <c r="A146" s="40" t="s">
        <v>18</v>
      </c>
      <c r="B146" s="35"/>
      <c r="C146" s="34"/>
      <c r="D146" s="34"/>
      <c r="E146" s="34">
        <f>E138-B138</f>
        <v>3671078.7501074281</v>
      </c>
      <c r="F146" s="51"/>
      <c r="G146" s="47"/>
    </row>
    <row r="147" spans="1:7" x14ac:dyDescent="0.25">
      <c r="A147" s="48" t="s">
        <v>9</v>
      </c>
      <c r="B147" s="33"/>
      <c r="C147" s="33"/>
      <c r="D147" s="33"/>
      <c r="E147" s="33">
        <v>591867</v>
      </c>
      <c r="F147" s="84"/>
    </row>
    <row r="148" spans="1:7" ht="15.75" thickBot="1" x14ac:dyDescent="0.3">
      <c r="A148" s="85" t="s">
        <v>19</v>
      </c>
      <c r="B148" s="86"/>
      <c r="C148" s="86"/>
      <c r="D148" s="86"/>
      <c r="E148" s="86">
        <f>12350+66662</f>
        <v>79012</v>
      </c>
      <c r="F148" s="87"/>
    </row>
    <row r="149" spans="1:7" ht="30.75" thickBot="1" x14ac:dyDescent="0.3">
      <c r="A149" s="88" t="s">
        <v>29</v>
      </c>
      <c r="B149" s="89"/>
      <c r="C149" s="89"/>
      <c r="D149" s="89"/>
      <c r="E149" s="89">
        <f>E146-E147-E148</f>
        <v>3000199.7501074281</v>
      </c>
      <c r="F149" s="90"/>
    </row>
    <row r="150" spans="1:7" x14ac:dyDescent="0.25">
      <c r="A150" s="39"/>
      <c r="B150" s="23"/>
      <c r="C150" s="23"/>
      <c r="D150" s="23"/>
      <c r="E150" s="23"/>
      <c r="F150" s="23"/>
    </row>
  </sheetData>
  <mergeCells count="8">
    <mergeCell ref="A135:E135"/>
    <mergeCell ref="A108:E108"/>
    <mergeCell ref="A82:E82"/>
    <mergeCell ref="B71:G71"/>
    <mergeCell ref="A68:B68"/>
    <mergeCell ref="A69:B69"/>
    <mergeCell ref="A70:B70"/>
    <mergeCell ref="C68:F6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2"/>
  <sheetViews>
    <sheetView workbookViewId="0">
      <selection activeCell="M13" sqref="M13"/>
    </sheetView>
  </sheetViews>
  <sheetFormatPr defaultRowHeight="15" x14ac:dyDescent="0.25"/>
  <sheetData>
    <row r="12" ht="15.6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Lapa1</vt:lpstr>
      <vt:lpstr>Lapa2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Ilona Kikuste</dc:creator>
  <cp:lastModifiedBy>Anna Putane</cp:lastModifiedBy>
  <cp:lastPrinted>2020-09-29T10:04:02Z</cp:lastPrinted>
  <dcterms:created xsi:type="dcterms:W3CDTF">2020-09-10T11:45:49Z</dcterms:created>
  <dcterms:modified xsi:type="dcterms:W3CDTF">2020-09-29T10:04:19Z</dcterms:modified>
</cp:coreProperties>
</file>