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13_ncr:1_{43423B8C-0A31-4F58-8A3D-15A5908D478A}" xr6:coauthVersionLast="45" xr6:coauthVersionMax="45" xr10:uidLastSave="{00000000-0000-0000-0000-000000000000}"/>
  <bookViews>
    <workbookView xWindow="-120" yWindow="-120" windowWidth="19440" windowHeight="10440" tabRatio="933" xr2:uid="{00000000-000D-0000-FFFF-FFFF00000000}"/>
  </bookViews>
  <sheets>
    <sheet name="_2022_VB_ar_MK_grozījumiem+fin" sheetId="20" r:id="rId1"/>
    <sheet name="_2023_VB_ar_MK_grozījumiem+fin" sheetId="22" r:id="rId2"/>
    <sheet name="_2021_VB_ar_MK_grozījumiem" sheetId="17" r:id="rId3"/>
    <sheet name="_2022_VB_ar_MK_grozījumiem" sheetId="18" r:id="rId4"/>
    <sheet name="_2023_VB_ar_MK_grozījumiem" sheetId="19" r:id="rId5"/>
    <sheet name="_2021_VB_bez izmaiņām" sheetId="13" r:id="rId6"/>
    <sheet name="_2022_VB_bez izmaiņām" sheetId="14" r:id="rId7"/>
    <sheet name="_2023_VB_bez izmaiņām" sheetId="15" r:id="rId8"/>
    <sheet name="KOPSAVILKUMS" sheetId="16" r:id="rId9"/>
  </sheets>
  <definedNames>
    <definedName name="_xlnm._FilterDatabase" localSheetId="2" hidden="1">_2021_VB_ar_MK_grozījumiem!$A$5:$Z$49</definedName>
    <definedName name="_xlnm._FilterDatabase" localSheetId="5" hidden="1">'_2021_VB_bez izmaiņām'!$A$5:$Z$49</definedName>
    <definedName name="_xlnm._FilterDatabase" localSheetId="3" hidden="1">_2022_VB_ar_MK_grozījumiem!$A$5:$Z$5</definedName>
    <definedName name="_xlnm._FilterDatabase" localSheetId="0" hidden="1">'_2022_VB_ar_MK_grozījumiem+fin'!$A$5:$Z$5</definedName>
    <definedName name="_xlnm._FilterDatabase" localSheetId="6" hidden="1">'_2022_VB_bez izmaiņām'!$A$5:$Z$5</definedName>
    <definedName name="_xlnm._FilterDatabase" localSheetId="4" hidden="1">_2023_VB_ar_MK_grozījumiem!$A$5:$Z$5</definedName>
    <definedName name="_xlnm._FilterDatabase" localSheetId="1" hidden="1">'_2023_VB_ar_MK_grozījumiem+fin'!$A$5:$Z$5</definedName>
    <definedName name="_xlnm._FilterDatabase" localSheetId="7" hidden="1">'_2023_VB_bez izmaiņām'!$A$5:$Z$5</definedName>
    <definedName name="_xlnm.Print_Titles" localSheetId="2">_2021_VB_ar_MK_grozījumiem!$2:$5</definedName>
    <definedName name="_xlnm.Print_Titles" localSheetId="5">'_2021_VB_bez izmaiņām'!$2:$5</definedName>
    <definedName name="_xlnm.Print_Titles" localSheetId="3">_2022_VB_ar_MK_grozījumiem!$2:$5</definedName>
    <definedName name="_xlnm.Print_Titles" localSheetId="0">'_2022_VB_ar_MK_grozījumiem+fin'!$2:$5</definedName>
    <definedName name="_xlnm.Print_Titles" localSheetId="6">'_2022_VB_bez izmaiņām'!$2:$5</definedName>
    <definedName name="_xlnm.Print_Titles" localSheetId="4">_2023_VB_ar_MK_grozījumiem!$2:$5</definedName>
    <definedName name="_xlnm.Print_Titles" localSheetId="1">'_2023_VB_ar_MK_grozījumiem+fin'!$2:$5</definedName>
    <definedName name="_xlnm.Print_Titles" localSheetId="7">'_2023_VB_bez izmaiņām'!$2:$5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3" i="16" l="1"/>
  <c r="S23" i="16"/>
  <c r="R59" i="20"/>
  <c r="C4" i="16" l="1"/>
  <c r="C5" i="16"/>
  <c r="P40" i="16"/>
  <c r="P39" i="16"/>
  <c r="K40" i="16"/>
  <c r="K39" i="16"/>
  <c r="F40" i="16"/>
  <c r="F39" i="16"/>
  <c r="F41" i="16" s="1"/>
  <c r="J33" i="16"/>
  <c r="J32" i="16"/>
  <c r="O32" i="22"/>
  <c r="O8" i="22"/>
  <c r="O9" i="22"/>
  <c r="P9" i="22" s="1"/>
  <c r="O10" i="22"/>
  <c r="O11" i="22"/>
  <c r="O12" i="22"/>
  <c r="O13" i="22"/>
  <c r="O16" i="22"/>
  <c r="O50" i="22" s="1"/>
  <c r="O17" i="22"/>
  <c r="O18" i="22"/>
  <c r="O19" i="22"/>
  <c r="O20" i="22"/>
  <c r="O22" i="22"/>
  <c r="P22" i="22" s="1"/>
  <c r="R22" i="22" s="1"/>
  <c r="O23" i="22"/>
  <c r="O24" i="22"/>
  <c r="O25" i="22"/>
  <c r="O26" i="22"/>
  <c r="P26" i="22" s="1"/>
  <c r="R26" i="22" s="1"/>
  <c r="O27" i="22"/>
  <c r="O28" i="22"/>
  <c r="P28" i="22" s="1"/>
  <c r="O29" i="22"/>
  <c r="O30" i="22"/>
  <c r="O31" i="22"/>
  <c r="O33" i="22"/>
  <c r="P33" i="22" s="1"/>
  <c r="R33" i="22" s="1"/>
  <c r="O35" i="22"/>
  <c r="O37" i="22"/>
  <c r="O39" i="22"/>
  <c r="O42" i="22"/>
  <c r="O43" i="22"/>
  <c r="O44" i="22"/>
  <c r="P44" i="22" s="1"/>
  <c r="R44" i="22" s="1"/>
  <c r="O45" i="22"/>
  <c r="O46" i="22"/>
  <c r="P46" i="22" s="1"/>
  <c r="O47" i="22"/>
  <c r="O48" i="22"/>
  <c r="O49" i="22"/>
  <c r="O6" i="22"/>
  <c r="Q8" i="22"/>
  <c r="Q9" i="22"/>
  <c r="Q10" i="22"/>
  <c r="Q12" i="22"/>
  <c r="Q14" i="22"/>
  <c r="Q15" i="22"/>
  <c r="Q17" i="22"/>
  <c r="Q18" i="22"/>
  <c r="Q20" i="22"/>
  <c r="Q21" i="22"/>
  <c r="Q22" i="22"/>
  <c r="Q23" i="22"/>
  <c r="Q24" i="22"/>
  <c r="Q25" i="22"/>
  <c r="Q26" i="22"/>
  <c r="Q27" i="22"/>
  <c r="Q28" i="22"/>
  <c r="Q29" i="22"/>
  <c r="Q30" i="22"/>
  <c r="Q31" i="22"/>
  <c r="Q32" i="22"/>
  <c r="Q33" i="22"/>
  <c r="Q34" i="22"/>
  <c r="Q35" i="22"/>
  <c r="Q36" i="22"/>
  <c r="Q37" i="22"/>
  <c r="Q38" i="22"/>
  <c r="Q39" i="22"/>
  <c r="Q40" i="22"/>
  <c r="Q41" i="22"/>
  <c r="Q42" i="22"/>
  <c r="Q43" i="22"/>
  <c r="Q44" i="22"/>
  <c r="Q45" i="22"/>
  <c r="Q46" i="22"/>
  <c r="Q48" i="22"/>
  <c r="Q49" i="22"/>
  <c r="Q7" i="22"/>
  <c r="K7" i="22"/>
  <c r="K8" i="22"/>
  <c r="K9" i="22"/>
  <c r="L9" i="22" s="1"/>
  <c r="K10" i="22"/>
  <c r="K11" i="22"/>
  <c r="K12" i="22"/>
  <c r="M12" i="22" s="1"/>
  <c r="K13" i="22"/>
  <c r="K14" i="22"/>
  <c r="K15" i="22"/>
  <c r="K16" i="22"/>
  <c r="K17" i="22"/>
  <c r="K18" i="22"/>
  <c r="M18" i="22" s="1"/>
  <c r="S18" i="22" s="1"/>
  <c r="K19" i="22"/>
  <c r="K20" i="22"/>
  <c r="K21" i="22"/>
  <c r="M21" i="22" s="1"/>
  <c r="O21" i="22" s="1"/>
  <c r="K22" i="22"/>
  <c r="K23" i="22"/>
  <c r="K24" i="22"/>
  <c r="L24" i="22" s="1"/>
  <c r="N24" i="22" s="1"/>
  <c r="K25" i="22"/>
  <c r="K26" i="22"/>
  <c r="L26" i="22" s="1"/>
  <c r="N26" i="22" s="1"/>
  <c r="K27" i="22"/>
  <c r="K28" i="22"/>
  <c r="K29" i="22"/>
  <c r="K30" i="22"/>
  <c r="L30" i="22" s="1"/>
  <c r="N30" i="22" s="1"/>
  <c r="T30" i="22" s="1"/>
  <c r="K31" i="22"/>
  <c r="M31" i="22" s="1"/>
  <c r="S31" i="22" s="1"/>
  <c r="K32" i="22"/>
  <c r="L32" i="22" s="1"/>
  <c r="N32" i="22" s="1"/>
  <c r="K33" i="22"/>
  <c r="K34" i="22"/>
  <c r="K35" i="22"/>
  <c r="K36" i="22"/>
  <c r="L36" i="22" s="1"/>
  <c r="K37" i="22"/>
  <c r="M37" i="22" s="1"/>
  <c r="S37" i="22" s="1"/>
  <c r="K38" i="22"/>
  <c r="L38" i="22" s="1"/>
  <c r="N38" i="22" s="1"/>
  <c r="K39" i="22"/>
  <c r="K40" i="22"/>
  <c r="K41" i="22"/>
  <c r="K42" i="22"/>
  <c r="L42" i="22" s="1"/>
  <c r="N42" i="22" s="1"/>
  <c r="K43" i="22"/>
  <c r="M43" i="22" s="1"/>
  <c r="S43" i="22" s="1"/>
  <c r="K44" i="22"/>
  <c r="L44" i="22" s="1"/>
  <c r="N44" i="22" s="1"/>
  <c r="K45" i="22"/>
  <c r="K46" i="22"/>
  <c r="K47" i="22"/>
  <c r="K48" i="22"/>
  <c r="M48" i="22" s="1"/>
  <c r="K49" i="22"/>
  <c r="K6" i="22"/>
  <c r="I7" i="22"/>
  <c r="J7" i="22"/>
  <c r="I8" i="22"/>
  <c r="I55" i="22" s="1"/>
  <c r="J8" i="22"/>
  <c r="I9" i="22"/>
  <c r="J9" i="22"/>
  <c r="J55" i="22" s="1"/>
  <c r="I10" i="22"/>
  <c r="J10" i="22"/>
  <c r="I11" i="22"/>
  <c r="J11" i="22"/>
  <c r="I12" i="22"/>
  <c r="J12" i="22"/>
  <c r="I13" i="22"/>
  <c r="J13" i="22"/>
  <c r="I14" i="22"/>
  <c r="J14" i="22"/>
  <c r="I15" i="22"/>
  <c r="J15" i="22"/>
  <c r="I16" i="22"/>
  <c r="J16" i="22"/>
  <c r="I17" i="22"/>
  <c r="J17" i="22"/>
  <c r="I18" i="22"/>
  <c r="J18" i="22"/>
  <c r="I19" i="22"/>
  <c r="J19" i="22"/>
  <c r="I20" i="22"/>
  <c r="J20" i="22"/>
  <c r="I21" i="22"/>
  <c r="J21" i="22"/>
  <c r="I22" i="22"/>
  <c r="J22" i="22"/>
  <c r="I23" i="22"/>
  <c r="J23" i="22"/>
  <c r="I24" i="22"/>
  <c r="J24" i="22"/>
  <c r="I25" i="22"/>
  <c r="J25" i="22"/>
  <c r="I26" i="22"/>
  <c r="J26" i="22"/>
  <c r="I27" i="22"/>
  <c r="J27" i="22"/>
  <c r="J51" i="22" s="1"/>
  <c r="I28" i="22"/>
  <c r="J28" i="22"/>
  <c r="I29" i="22"/>
  <c r="J29" i="22"/>
  <c r="I30" i="22"/>
  <c r="J30" i="22"/>
  <c r="I31" i="22"/>
  <c r="J31" i="22"/>
  <c r="I32" i="22"/>
  <c r="J32" i="22"/>
  <c r="I33" i="22"/>
  <c r="J33" i="22"/>
  <c r="I34" i="22"/>
  <c r="J34" i="22"/>
  <c r="I35" i="22"/>
  <c r="M35" i="22" s="1"/>
  <c r="S35" i="22" s="1"/>
  <c r="J35" i="22"/>
  <c r="I36" i="22"/>
  <c r="J36" i="22"/>
  <c r="I37" i="22"/>
  <c r="J37" i="22"/>
  <c r="I38" i="22"/>
  <c r="J38" i="22"/>
  <c r="I39" i="22"/>
  <c r="J39" i="22"/>
  <c r="I40" i="22"/>
  <c r="J40" i="22"/>
  <c r="I41" i="22"/>
  <c r="M41" i="22" s="1"/>
  <c r="O41" i="22" s="1"/>
  <c r="J41" i="22"/>
  <c r="I42" i="22"/>
  <c r="J42" i="22"/>
  <c r="I43" i="22"/>
  <c r="J43" i="22"/>
  <c r="I44" i="22"/>
  <c r="J44" i="22"/>
  <c r="I45" i="22"/>
  <c r="J45" i="22"/>
  <c r="I46" i="22"/>
  <c r="J46" i="22"/>
  <c r="I47" i="22"/>
  <c r="J47" i="22"/>
  <c r="I48" i="22"/>
  <c r="J48" i="22"/>
  <c r="I49" i="22"/>
  <c r="J49" i="22"/>
  <c r="J6" i="22"/>
  <c r="I6" i="22"/>
  <c r="R59" i="22"/>
  <c r="P49" i="22"/>
  <c r="L49" i="22"/>
  <c r="N49" i="22" s="1"/>
  <c r="M49" i="22"/>
  <c r="S49" i="22" s="1"/>
  <c r="P48" i="22"/>
  <c r="L48" i="22"/>
  <c r="L47" i="22" s="1"/>
  <c r="L46" i="22"/>
  <c r="N46" i="22" s="1"/>
  <c r="M46" i="22"/>
  <c r="P45" i="22"/>
  <c r="L45" i="22"/>
  <c r="N45" i="22" s="1"/>
  <c r="M45" i="22"/>
  <c r="M44" i="22"/>
  <c r="P43" i="22"/>
  <c r="L43" i="22"/>
  <c r="N43" i="22" s="1"/>
  <c r="P42" i="22"/>
  <c r="R42" i="22" s="1"/>
  <c r="L41" i="22"/>
  <c r="N40" i="22"/>
  <c r="L40" i="22"/>
  <c r="M40" i="22"/>
  <c r="O40" i="22" s="1"/>
  <c r="P39" i="22"/>
  <c r="L39" i="22"/>
  <c r="M39" i="22"/>
  <c r="M38" i="22"/>
  <c r="O38" i="22" s="1"/>
  <c r="P37" i="22"/>
  <c r="L37" i="22"/>
  <c r="N37" i="22" s="1"/>
  <c r="T37" i="22" s="1"/>
  <c r="P35" i="22"/>
  <c r="L35" i="22"/>
  <c r="N35" i="22" s="1"/>
  <c r="L34" i="22"/>
  <c r="N34" i="22" s="1"/>
  <c r="M34" i="22"/>
  <c r="O34" i="22" s="1"/>
  <c r="L33" i="22"/>
  <c r="M33" i="22"/>
  <c r="S33" i="22" s="1"/>
  <c r="M32" i="22"/>
  <c r="P31" i="22"/>
  <c r="L31" i="22"/>
  <c r="N31" i="22" s="1"/>
  <c r="P30" i="22"/>
  <c r="R30" i="22" s="1"/>
  <c r="P29" i="22"/>
  <c r="L29" i="22"/>
  <c r="N29" i="22" s="1"/>
  <c r="M29" i="22"/>
  <c r="S29" i="22" s="1"/>
  <c r="L28" i="22"/>
  <c r="N28" i="22" s="1"/>
  <c r="M28" i="22"/>
  <c r="P27" i="22"/>
  <c r="R27" i="22" s="1"/>
  <c r="L27" i="22"/>
  <c r="N27" i="22" s="1"/>
  <c r="M27" i="22"/>
  <c r="M26" i="22"/>
  <c r="S26" i="22" s="1"/>
  <c r="L25" i="22"/>
  <c r="I51" i="22"/>
  <c r="P24" i="22"/>
  <c r="R24" i="22" s="1"/>
  <c r="P23" i="22"/>
  <c r="R23" i="22" s="1"/>
  <c r="L23" i="22"/>
  <c r="N23" i="22" s="1"/>
  <c r="M23" i="22"/>
  <c r="S23" i="22" s="1"/>
  <c r="N22" i="22"/>
  <c r="L22" i="22"/>
  <c r="M22" i="22"/>
  <c r="L21" i="22"/>
  <c r="P20" i="22"/>
  <c r="L20" i="22"/>
  <c r="N20" i="22" s="1"/>
  <c r="P18" i="22"/>
  <c r="R18" i="22" s="1"/>
  <c r="P17" i="22"/>
  <c r="R17" i="22" s="1"/>
  <c r="M15" i="22"/>
  <c r="O15" i="22" s="1"/>
  <c r="L15" i="22"/>
  <c r="L14" i="22"/>
  <c r="N14" i="22" s="1"/>
  <c r="P12" i="22"/>
  <c r="L12" i="22"/>
  <c r="L11" i="22" s="1"/>
  <c r="P10" i="22"/>
  <c r="R10" i="22" s="1"/>
  <c r="L10" i="22"/>
  <c r="M10" i="22"/>
  <c r="M9" i="22"/>
  <c r="P8" i="22"/>
  <c r="R8" i="22" s="1"/>
  <c r="L8" i="22"/>
  <c r="K55" i="22"/>
  <c r="K50" i="22"/>
  <c r="J50" i="22"/>
  <c r="I50" i="22"/>
  <c r="R12" i="20"/>
  <c r="D40" i="16"/>
  <c r="C40" i="16"/>
  <c r="K41" i="16"/>
  <c r="N37" i="16"/>
  <c r="B37" i="16"/>
  <c r="H37" i="16" s="1"/>
  <c r="M37" i="16" s="1"/>
  <c r="D34" i="16"/>
  <c r="O41" i="20"/>
  <c r="P41" i="20" s="1"/>
  <c r="R41" i="20" s="1"/>
  <c r="O21" i="20"/>
  <c r="P21" i="20" s="1"/>
  <c r="R21" i="20" s="1"/>
  <c r="O15" i="20"/>
  <c r="P15" i="20" s="1"/>
  <c r="O8" i="20"/>
  <c r="O9" i="20"/>
  <c r="P9" i="20" s="1"/>
  <c r="O10" i="20"/>
  <c r="O11" i="20"/>
  <c r="O12" i="20"/>
  <c r="P12" i="20" s="1"/>
  <c r="O13" i="20"/>
  <c r="O16" i="20"/>
  <c r="O17" i="20"/>
  <c r="O18" i="20"/>
  <c r="P18" i="20" s="1"/>
  <c r="O19" i="20"/>
  <c r="O20" i="20"/>
  <c r="O22" i="20"/>
  <c r="O23" i="20"/>
  <c r="O24" i="20"/>
  <c r="O25" i="20"/>
  <c r="O26" i="20"/>
  <c r="O27" i="20"/>
  <c r="O28" i="20"/>
  <c r="O29" i="20"/>
  <c r="O30" i="20"/>
  <c r="O31" i="20"/>
  <c r="O33" i="20"/>
  <c r="O35" i="20"/>
  <c r="O37" i="20"/>
  <c r="O39" i="20"/>
  <c r="O42" i="20"/>
  <c r="O43" i="20"/>
  <c r="O44" i="20"/>
  <c r="O45" i="20"/>
  <c r="O46" i="20"/>
  <c r="O47" i="20"/>
  <c r="O48" i="20"/>
  <c r="P48" i="20" s="1"/>
  <c r="O49" i="20"/>
  <c r="P49" i="20" s="1"/>
  <c r="O6" i="20"/>
  <c r="M7" i="20"/>
  <c r="O7" i="20" s="1"/>
  <c r="P7" i="20" s="1"/>
  <c r="K51" i="20"/>
  <c r="Q49" i="20"/>
  <c r="M49" i="20"/>
  <c r="S49" i="20" s="1"/>
  <c r="K49" i="20"/>
  <c r="L49" i="20" s="1"/>
  <c r="J49" i="20"/>
  <c r="I49" i="20"/>
  <c r="Q48" i="20"/>
  <c r="M48" i="20"/>
  <c r="M47" i="20" s="1"/>
  <c r="K48" i="20"/>
  <c r="L48" i="20" s="1"/>
  <c r="L47" i="20" s="1"/>
  <c r="J48" i="20"/>
  <c r="I48" i="20"/>
  <c r="K47" i="20"/>
  <c r="J47" i="20"/>
  <c r="I47" i="20"/>
  <c r="Q46" i="20"/>
  <c r="P46" i="20"/>
  <c r="R46" i="20" s="1"/>
  <c r="L46" i="20"/>
  <c r="N46" i="20" s="1"/>
  <c r="K46" i="20"/>
  <c r="J46" i="20"/>
  <c r="I46" i="20"/>
  <c r="M46" i="20" s="1"/>
  <c r="S46" i="20" s="1"/>
  <c r="Q45" i="20"/>
  <c r="P45" i="20"/>
  <c r="R45" i="20" s="1"/>
  <c r="L45" i="20"/>
  <c r="N45" i="20" s="1"/>
  <c r="K45" i="20"/>
  <c r="J45" i="20"/>
  <c r="I45" i="20"/>
  <c r="M45" i="20" s="1"/>
  <c r="S45" i="20" s="1"/>
  <c r="Q44" i="20"/>
  <c r="P44" i="20"/>
  <c r="R44" i="20" s="1"/>
  <c r="L44" i="20"/>
  <c r="N44" i="20" s="1"/>
  <c r="K44" i="20"/>
  <c r="J44" i="20"/>
  <c r="I44" i="20"/>
  <c r="M44" i="20" s="1"/>
  <c r="S44" i="20" s="1"/>
  <c r="Q43" i="20"/>
  <c r="P43" i="20"/>
  <c r="R43" i="20" s="1"/>
  <c r="L43" i="20"/>
  <c r="N43" i="20" s="1"/>
  <c r="K43" i="20"/>
  <c r="J43" i="20"/>
  <c r="I43" i="20"/>
  <c r="M43" i="20" s="1"/>
  <c r="S43" i="20" s="1"/>
  <c r="Q42" i="20"/>
  <c r="P42" i="20"/>
  <c r="R42" i="20" s="1"/>
  <c r="L42" i="20"/>
  <c r="N42" i="20" s="1"/>
  <c r="K42" i="20"/>
  <c r="J42" i="20"/>
  <c r="I42" i="20"/>
  <c r="M42" i="20" s="1"/>
  <c r="Q41" i="20"/>
  <c r="L41" i="20"/>
  <c r="N41" i="20" s="1"/>
  <c r="K41" i="20"/>
  <c r="J41" i="20"/>
  <c r="I41" i="20"/>
  <c r="M41" i="20" s="1"/>
  <c r="Q40" i="20"/>
  <c r="L40" i="20"/>
  <c r="N40" i="20" s="1"/>
  <c r="K40" i="20"/>
  <c r="J40" i="20"/>
  <c r="I40" i="20"/>
  <c r="M40" i="20" s="1"/>
  <c r="Q39" i="20"/>
  <c r="P39" i="20"/>
  <c r="R39" i="20" s="1"/>
  <c r="L39" i="20"/>
  <c r="N39" i="20" s="1"/>
  <c r="K39" i="20"/>
  <c r="J39" i="20"/>
  <c r="I39" i="20"/>
  <c r="M39" i="20" s="1"/>
  <c r="S39" i="20" s="1"/>
  <c r="Q38" i="20"/>
  <c r="L38" i="20"/>
  <c r="K38" i="20"/>
  <c r="J38" i="20"/>
  <c r="N38" i="20" s="1"/>
  <c r="I38" i="20"/>
  <c r="M38" i="20" s="1"/>
  <c r="O38" i="20" s="1"/>
  <c r="P38" i="20" s="1"/>
  <c r="R38" i="20" s="1"/>
  <c r="Q37" i="20"/>
  <c r="P37" i="20"/>
  <c r="R37" i="20" s="1"/>
  <c r="L37" i="20"/>
  <c r="K37" i="20"/>
  <c r="J37" i="20"/>
  <c r="N37" i="20" s="1"/>
  <c r="I37" i="20"/>
  <c r="M37" i="20" s="1"/>
  <c r="S37" i="20" s="1"/>
  <c r="Q36" i="20"/>
  <c r="L36" i="20"/>
  <c r="N36" i="20" s="1"/>
  <c r="K36" i="20"/>
  <c r="J36" i="20"/>
  <c r="I36" i="20"/>
  <c r="M36" i="20" s="1"/>
  <c r="O36" i="20" s="1"/>
  <c r="Q35" i="20"/>
  <c r="P35" i="20"/>
  <c r="R35" i="20" s="1"/>
  <c r="L35" i="20"/>
  <c r="N35" i="20" s="1"/>
  <c r="K35" i="20"/>
  <c r="J35" i="20"/>
  <c r="I35" i="20"/>
  <c r="M35" i="20" s="1"/>
  <c r="S35" i="20" s="1"/>
  <c r="Q34" i="20"/>
  <c r="L34" i="20"/>
  <c r="N34" i="20" s="1"/>
  <c r="K34" i="20"/>
  <c r="J34" i="20"/>
  <c r="I34" i="20"/>
  <c r="M34" i="20" s="1"/>
  <c r="O34" i="20" s="1"/>
  <c r="P34" i="20" s="1"/>
  <c r="R34" i="20" s="1"/>
  <c r="Q33" i="20"/>
  <c r="P33" i="20"/>
  <c r="R33" i="20" s="1"/>
  <c r="L33" i="20"/>
  <c r="K33" i="20"/>
  <c r="J33" i="20"/>
  <c r="N33" i="20" s="1"/>
  <c r="I33" i="20"/>
  <c r="M33" i="20" s="1"/>
  <c r="S33" i="20" s="1"/>
  <c r="Q32" i="20"/>
  <c r="L32" i="20"/>
  <c r="K32" i="20"/>
  <c r="J32" i="20"/>
  <c r="N32" i="20" s="1"/>
  <c r="I32" i="20"/>
  <c r="M32" i="20" s="1"/>
  <c r="O32" i="20" s="1"/>
  <c r="P32" i="20" s="1"/>
  <c r="R32" i="20" s="1"/>
  <c r="Q31" i="20"/>
  <c r="P31" i="20"/>
  <c r="R31" i="20" s="1"/>
  <c r="L31" i="20"/>
  <c r="K31" i="20"/>
  <c r="J31" i="20"/>
  <c r="N31" i="20" s="1"/>
  <c r="I31" i="20"/>
  <c r="M31" i="20" s="1"/>
  <c r="S31" i="20" s="1"/>
  <c r="Q30" i="20"/>
  <c r="P30" i="20"/>
  <c r="R30" i="20" s="1"/>
  <c r="L30" i="20"/>
  <c r="K30" i="20"/>
  <c r="J30" i="20"/>
  <c r="N30" i="20" s="1"/>
  <c r="I30" i="20"/>
  <c r="M30" i="20" s="1"/>
  <c r="Q29" i="20"/>
  <c r="P29" i="20"/>
  <c r="R29" i="20" s="1"/>
  <c r="L29" i="20"/>
  <c r="K29" i="20"/>
  <c r="J29" i="20"/>
  <c r="N29" i="20" s="1"/>
  <c r="I29" i="20"/>
  <c r="M29" i="20" s="1"/>
  <c r="S29" i="20" s="1"/>
  <c r="Q28" i="20"/>
  <c r="P28" i="20"/>
  <c r="R28" i="20" s="1"/>
  <c r="L28" i="20"/>
  <c r="K28" i="20"/>
  <c r="J28" i="20"/>
  <c r="N28" i="20" s="1"/>
  <c r="I28" i="20"/>
  <c r="M28" i="20" s="1"/>
  <c r="S28" i="20" s="1"/>
  <c r="Q27" i="20"/>
  <c r="P27" i="20"/>
  <c r="R27" i="20" s="1"/>
  <c r="L27" i="20"/>
  <c r="K27" i="20"/>
  <c r="J27" i="20"/>
  <c r="N27" i="20" s="1"/>
  <c r="I27" i="20"/>
  <c r="M27" i="20" s="1"/>
  <c r="S27" i="20" s="1"/>
  <c r="Q26" i="20"/>
  <c r="P26" i="20"/>
  <c r="R26" i="20" s="1"/>
  <c r="L26" i="20"/>
  <c r="K26" i="20"/>
  <c r="J26" i="20"/>
  <c r="N26" i="20" s="1"/>
  <c r="I26" i="20"/>
  <c r="M26" i="20" s="1"/>
  <c r="S26" i="20" s="1"/>
  <c r="Q25" i="20"/>
  <c r="L25" i="20"/>
  <c r="L51" i="20" s="1"/>
  <c r="K25" i="20"/>
  <c r="J25" i="20"/>
  <c r="J51" i="20" s="1"/>
  <c r="I25" i="20"/>
  <c r="I51" i="20" s="1"/>
  <c r="Q24" i="20"/>
  <c r="P24" i="20"/>
  <c r="R24" i="20" s="1"/>
  <c r="L24" i="20"/>
  <c r="K24" i="20"/>
  <c r="J24" i="20"/>
  <c r="N24" i="20" s="1"/>
  <c r="I24" i="20"/>
  <c r="M24" i="20" s="1"/>
  <c r="Q23" i="20"/>
  <c r="P23" i="20"/>
  <c r="R23" i="20" s="1"/>
  <c r="L23" i="20"/>
  <c r="K23" i="20"/>
  <c r="J23" i="20"/>
  <c r="N23" i="20" s="1"/>
  <c r="I23" i="20"/>
  <c r="M23" i="20" s="1"/>
  <c r="S23" i="20" s="1"/>
  <c r="Q22" i="20"/>
  <c r="P22" i="20"/>
  <c r="R22" i="20" s="1"/>
  <c r="L22" i="20"/>
  <c r="K22" i="20"/>
  <c r="J22" i="20"/>
  <c r="N22" i="20" s="1"/>
  <c r="I22" i="20"/>
  <c r="M22" i="20" s="1"/>
  <c r="S22" i="20" s="1"/>
  <c r="Q21" i="20"/>
  <c r="L21" i="20"/>
  <c r="K21" i="20"/>
  <c r="J21" i="20"/>
  <c r="N21" i="20" s="1"/>
  <c r="I21" i="20"/>
  <c r="M21" i="20" s="1"/>
  <c r="Q20" i="20"/>
  <c r="P20" i="20"/>
  <c r="K20" i="20"/>
  <c r="L20" i="20" s="1"/>
  <c r="L19" i="20" s="1"/>
  <c r="J20" i="20"/>
  <c r="I20" i="20"/>
  <c r="M20" i="20" s="1"/>
  <c r="K19" i="20"/>
  <c r="J19" i="20"/>
  <c r="I19" i="20"/>
  <c r="Q18" i="20"/>
  <c r="K18" i="20"/>
  <c r="L18" i="20" s="1"/>
  <c r="N18" i="20" s="1"/>
  <c r="J18" i="20"/>
  <c r="I18" i="20"/>
  <c r="M18" i="20" s="1"/>
  <c r="Q17" i="20"/>
  <c r="P17" i="20"/>
  <c r="K17" i="20"/>
  <c r="L17" i="20" s="1"/>
  <c r="J17" i="20"/>
  <c r="I17" i="20"/>
  <c r="M17" i="20" s="1"/>
  <c r="K16" i="20"/>
  <c r="J16" i="20"/>
  <c r="I16" i="20"/>
  <c r="Q15" i="20"/>
  <c r="M15" i="20"/>
  <c r="K15" i="20"/>
  <c r="L15" i="20" s="1"/>
  <c r="J15" i="20"/>
  <c r="I15" i="20"/>
  <c r="Q14" i="20"/>
  <c r="M14" i="20"/>
  <c r="O14" i="20" s="1"/>
  <c r="P14" i="20" s="1"/>
  <c r="K14" i="20"/>
  <c r="L14" i="20" s="1"/>
  <c r="J14" i="20"/>
  <c r="N14" i="20" s="1"/>
  <c r="I14" i="20"/>
  <c r="K13" i="20"/>
  <c r="J13" i="20"/>
  <c r="I13" i="20"/>
  <c r="Q12" i="20"/>
  <c r="L12" i="20"/>
  <c r="K12" i="20"/>
  <c r="J12" i="20"/>
  <c r="I12" i="20"/>
  <c r="M12" i="20" s="1"/>
  <c r="K11" i="20"/>
  <c r="J11" i="20"/>
  <c r="I11" i="20"/>
  <c r="Q10" i="20"/>
  <c r="P10" i="20"/>
  <c r="K10" i="20"/>
  <c r="L10" i="20" s="1"/>
  <c r="N10" i="20" s="1"/>
  <c r="J10" i="20"/>
  <c r="I10" i="20"/>
  <c r="M10" i="20" s="1"/>
  <c r="S10" i="20" s="1"/>
  <c r="Q9" i="20"/>
  <c r="K9" i="20"/>
  <c r="L9" i="20" s="1"/>
  <c r="N9" i="20" s="1"/>
  <c r="J9" i="20"/>
  <c r="I9" i="20"/>
  <c r="M9" i="20" s="1"/>
  <c r="S9" i="20" s="1"/>
  <c r="Q8" i="20"/>
  <c r="P8" i="20"/>
  <c r="K8" i="20"/>
  <c r="L8" i="20" s="1"/>
  <c r="N8" i="20" s="1"/>
  <c r="J8" i="20"/>
  <c r="I8" i="20"/>
  <c r="Q7" i="20"/>
  <c r="K7" i="20"/>
  <c r="J7" i="20"/>
  <c r="J55" i="20" s="1"/>
  <c r="I7" i="20"/>
  <c r="I55" i="20" s="1"/>
  <c r="O50" i="20"/>
  <c r="K6" i="20"/>
  <c r="K50" i="20" s="1"/>
  <c r="J6" i="20"/>
  <c r="J50" i="20" s="1"/>
  <c r="I6" i="20"/>
  <c r="I50" i="20" s="1"/>
  <c r="P26" i="16"/>
  <c r="P25" i="16"/>
  <c r="K26" i="16"/>
  <c r="K25" i="16"/>
  <c r="K27" i="16" s="1"/>
  <c r="F26" i="16"/>
  <c r="F25" i="16"/>
  <c r="E26" i="16"/>
  <c r="E25" i="16"/>
  <c r="R12" i="19"/>
  <c r="O12" i="19"/>
  <c r="P12" i="19"/>
  <c r="R26" i="19"/>
  <c r="O26" i="19"/>
  <c r="Q8" i="19"/>
  <c r="Q9" i="19"/>
  <c r="Q10" i="19"/>
  <c r="Q12" i="19"/>
  <c r="Q14" i="19"/>
  <c r="Q15" i="19"/>
  <c r="Q17" i="19"/>
  <c r="Q18" i="19"/>
  <c r="Q20" i="19"/>
  <c r="Q21" i="19"/>
  <c r="Q22" i="19"/>
  <c r="Q23" i="19"/>
  <c r="Q24" i="19"/>
  <c r="Q25" i="19"/>
  <c r="Q26" i="19"/>
  <c r="Q27" i="19"/>
  <c r="Q28" i="19"/>
  <c r="Q29" i="19"/>
  <c r="Q30" i="19"/>
  <c r="Q31" i="19"/>
  <c r="Q32" i="19"/>
  <c r="Q33" i="19"/>
  <c r="Q34" i="19"/>
  <c r="Q35" i="19"/>
  <c r="Q36" i="19"/>
  <c r="Q37" i="19"/>
  <c r="Q38" i="19"/>
  <c r="Q39" i="19"/>
  <c r="Q40" i="19"/>
  <c r="Q41" i="19"/>
  <c r="Q42" i="19"/>
  <c r="Q43" i="19"/>
  <c r="Q44" i="19"/>
  <c r="Q45" i="19"/>
  <c r="Q46" i="19"/>
  <c r="Q48" i="19"/>
  <c r="Q49" i="19"/>
  <c r="Q7" i="19"/>
  <c r="O7" i="19"/>
  <c r="O8" i="19"/>
  <c r="O9" i="19"/>
  <c r="O10" i="19"/>
  <c r="O11" i="19"/>
  <c r="O13" i="19"/>
  <c r="O14" i="19"/>
  <c r="O15" i="19"/>
  <c r="O16" i="19"/>
  <c r="O17" i="19"/>
  <c r="O18" i="19"/>
  <c r="O19" i="19"/>
  <c r="O20" i="19"/>
  <c r="O21" i="19"/>
  <c r="P21" i="19" s="1"/>
  <c r="R21" i="19" s="1"/>
  <c r="O22" i="19"/>
  <c r="O23" i="19"/>
  <c r="O24" i="19"/>
  <c r="P24" i="19" s="1"/>
  <c r="R24" i="19" s="1"/>
  <c r="O25" i="19"/>
  <c r="O27" i="19"/>
  <c r="O28" i="19"/>
  <c r="P28" i="19" s="1"/>
  <c r="O29" i="19"/>
  <c r="O30" i="19"/>
  <c r="P30" i="19" s="1"/>
  <c r="R30" i="19" s="1"/>
  <c r="O31" i="19"/>
  <c r="O32" i="19"/>
  <c r="O33" i="19"/>
  <c r="O34" i="19"/>
  <c r="O35" i="19"/>
  <c r="O36" i="19"/>
  <c r="P36" i="19" s="1"/>
  <c r="R36" i="19" s="1"/>
  <c r="O37" i="19"/>
  <c r="O38" i="19"/>
  <c r="O39" i="19"/>
  <c r="O40" i="19"/>
  <c r="O41" i="19"/>
  <c r="O42" i="19"/>
  <c r="P42" i="19" s="1"/>
  <c r="R42" i="19" s="1"/>
  <c r="O43" i="19"/>
  <c r="O44" i="19"/>
  <c r="O45" i="19"/>
  <c r="O46" i="19"/>
  <c r="P46" i="19" s="1"/>
  <c r="O47" i="19"/>
  <c r="O48" i="19"/>
  <c r="P48" i="19" s="1"/>
  <c r="P47" i="19" s="1"/>
  <c r="O49" i="19"/>
  <c r="P49" i="19" s="1"/>
  <c r="O6" i="19"/>
  <c r="K7" i="19"/>
  <c r="K8" i="19"/>
  <c r="L8" i="19" s="1"/>
  <c r="N8" i="19" s="1"/>
  <c r="K9" i="19"/>
  <c r="K10" i="19"/>
  <c r="M10" i="19" s="1"/>
  <c r="S10" i="19" s="1"/>
  <c r="K11" i="19"/>
  <c r="K12" i="19"/>
  <c r="L12" i="19" s="1"/>
  <c r="L11" i="19" s="1"/>
  <c r="K13" i="19"/>
  <c r="K14" i="19"/>
  <c r="K15" i="19"/>
  <c r="K16" i="19"/>
  <c r="K17" i="19"/>
  <c r="K18" i="19"/>
  <c r="M18" i="19" s="1"/>
  <c r="K19" i="19"/>
  <c r="K20" i="19"/>
  <c r="K21" i="19"/>
  <c r="K22" i="19"/>
  <c r="M22" i="19" s="1"/>
  <c r="S22" i="19" s="1"/>
  <c r="K23" i="19"/>
  <c r="K24" i="19"/>
  <c r="L24" i="19" s="1"/>
  <c r="K25" i="19"/>
  <c r="K26" i="19"/>
  <c r="K27" i="19"/>
  <c r="K28" i="19"/>
  <c r="M28" i="19" s="1"/>
  <c r="S28" i="19" s="1"/>
  <c r="K29" i="19"/>
  <c r="K30" i="19"/>
  <c r="L30" i="19" s="1"/>
  <c r="N30" i="19" s="1"/>
  <c r="K31" i="19"/>
  <c r="M31" i="19" s="1"/>
  <c r="S31" i="19" s="1"/>
  <c r="K32" i="19"/>
  <c r="K33" i="19"/>
  <c r="K34" i="19"/>
  <c r="M34" i="19" s="1"/>
  <c r="S34" i="19" s="1"/>
  <c r="K35" i="19"/>
  <c r="K36" i="19"/>
  <c r="K51" i="19" s="1"/>
  <c r="K37" i="19"/>
  <c r="M37" i="19" s="1"/>
  <c r="S37" i="19" s="1"/>
  <c r="K38" i="19"/>
  <c r="K39" i="19"/>
  <c r="K40" i="19"/>
  <c r="M40" i="19" s="1"/>
  <c r="S40" i="19" s="1"/>
  <c r="K41" i="19"/>
  <c r="K42" i="19"/>
  <c r="L42" i="19" s="1"/>
  <c r="N42" i="19" s="1"/>
  <c r="K43" i="19"/>
  <c r="M43" i="19" s="1"/>
  <c r="S43" i="19" s="1"/>
  <c r="K44" i="19"/>
  <c r="K45" i="19"/>
  <c r="K46" i="19"/>
  <c r="M46" i="19" s="1"/>
  <c r="S46" i="19" s="1"/>
  <c r="K47" i="19"/>
  <c r="K48" i="19"/>
  <c r="L48" i="19" s="1"/>
  <c r="L47" i="19" s="1"/>
  <c r="K49" i="19"/>
  <c r="K6" i="19"/>
  <c r="I7" i="19"/>
  <c r="J7" i="19"/>
  <c r="I8" i="19"/>
  <c r="J8" i="19"/>
  <c r="I9" i="19"/>
  <c r="J9" i="19"/>
  <c r="J55" i="19" s="1"/>
  <c r="I10" i="19"/>
  <c r="J10" i="19"/>
  <c r="I11" i="19"/>
  <c r="J11" i="19"/>
  <c r="I12" i="19"/>
  <c r="J12" i="19"/>
  <c r="I13" i="19"/>
  <c r="J13" i="19"/>
  <c r="I14" i="19"/>
  <c r="J14" i="19"/>
  <c r="I15" i="19"/>
  <c r="J15" i="19"/>
  <c r="I16" i="19"/>
  <c r="J16" i="19"/>
  <c r="I17" i="19"/>
  <c r="J17" i="19"/>
  <c r="I18" i="19"/>
  <c r="J18" i="19"/>
  <c r="I19" i="19"/>
  <c r="J19" i="19"/>
  <c r="I20" i="19"/>
  <c r="J20" i="19"/>
  <c r="I21" i="19"/>
  <c r="J21" i="19"/>
  <c r="I22" i="19"/>
  <c r="J22" i="19"/>
  <c r="I23" i="19"/>
  <c r="J23" i="19"/>
  <c r="I24" i="19"/>
  <c r="J24" i="19"/>
  <c r="I25" i="19"/>
  <c r="J25" i="19"/>
  <c r="I26" i="19"/>
  <c r="J26" i="19"/>
  <c r="I27" i="19"/>
  <c r="J27" i="19"/>
  <c r="J51" i="19" s="1"/>
  <c r="I28" i="19"/>
  <c r="J28" i="19"/>
  <c r="I29" i="19"/>
  <c r="J29" i="19"/>
  <c r="I30" i="19"/>
  <c r="J30" i="19"/>
  <c r="I31" i="19"/>
  <c r="J31" i="19"/>
  <c r="I32" i="19"/>
  <c r="J32" i="19"/>
  <c r="I33" i="19"/>
  <c r="J33" i="19"/>
  <c r="I34" i="19"/>
  <c r="J34" i="19"/>
  <c r="I35" i="19"/>
  <c r="J35" i="19"/>
  <c r="I36" i="19"/>
  <c r="J36" i="19"/>
  <c r="I37" i="19"/>
  <c r="J37" i="19"/>
  <c r="I38" i="19"/>
  <c r="J38" i="19"/>
  <c r="I39" i="19"/>
  <c r="J39" i="19"/>
  <c r="I40" i="19"/>
  <c r="J40" i="19"/>
  <c r="I41" i="19"/>
  <c r="J41" i="19"/>
  <c r="I42" i="19"/>
  <c r="J42" i="19"/>
  <c r="I43" i="19"/>
  <c r="J43" i="19"/>
  <c r="I44" i="19"/>
  <c r="J44" i="19"/>
  <c r="I45" i="19"/>
  <c r="J45" i="19"/>
  <c r="I46" i="19"/>
  <c r="J46" i="19"/>
  <c r="I47" i="19"/>
  <c r="J47" i="19"/>
  <c r="I48" i="19"/>
  <c r="J48" i="19"/>
  <c r="I49" i="19"/>
  <c r="J49" i="19"/>
  <c r="J6" i="19"/>
  <c r="J50" i="19" s="1"/>
  <c r="I6" i="19"/>
  <c r="I50" i="19" s="1"/>
  <c r="R59" i="19"/>
  <c r="M49" i="19"/>
  <c r="S49" i="19" s="1"/>
  <c r="L49" i="19"/>
  <c r="L46" i="19"/>
  <c r="N46" i="19" s="1"/>
  <c r="P45" i="19"/>
  <c r="R45" i="19" s="1"/>
  <c r="L45" i="19"/>
  <c r="M45" i="19"/>
  <c r="S45" i="19" s="1"/>
  <c r="P44" i="19"/>
  <c r="L44" i="19"/>
  <c r="N44" i="19" s="1"/>
  <c r="M44" i="19"/>
  <c r="S44" i="19" s="1"/>
  <c r="P43" i="19"/>
  <c r="L43" i="19"/>
  <c r="N43" i="19" s="1"/>
  <c r="P41" i="19"/>
  <c r="R41" i="19" s="1"/>
  <c r="L41" i="19"/>
  <c r="M41" i="19"/>
  <c r="S41" i="19" s="1"/>
  <c r="P40" i="19"/>
  <c r="R40" i="19" s="1"/>
  <c r="L40" i="19"/>
  <c r="N40" i="19" s="1"/>
  <c r="P39" i="19"/>
  <c r="L39" i="19"/>
  <c r="M39" i="19"/>
  <c r="S39" i="19" s="1"/>
  <c r="P38" i="19"/>
  <c r="R38" i="19" s="1"/>
  <c r="L38" i="19"/>
  <c r="N38" i="19" s="1"/>
  <c r="M38" i="19"/>
  <c r="S38" i="19" s="1"/>
  <c r="P37" i="19"/>
  <c r="L37" i="19"/>
  <c r="N37" i="19" s="1"/>
  <c r="P35" i="19"/>
  <c r="L35" i="19"/>
  <c r="M35" i="19"/>
  <c r="S35" i="19" s="1"/>
  <c r="P34" i="19"/>
  <c r="R34" i="19" s="1"/>
  <c r="L34" i="19"/>
  <c r="N34" i="19" s="1"/>
  <c r="P33" i="19"/>
  <c r="R33" i="19" s="1"/>
  <c r="L33" i="19"/>
  <c r="M33" i="19"/>
  <c r="S33" i="19" s="1"/>
  <c r="P32" i="19"/>
  <c r="R32" i="19" s="1"/>
  <c r="L32" i="19"/>
  <c r="N32" i="19" s="1"/>
  <c r="M32" i="19"/>
  <c r="S32" i="19" s="1"/>
  <c r="P31" i="19"/>
  <c r="L31" i="19"/>
  <c r="N31" i="19" s="1"/>
  <c r="T31" i="19" s="1"/>
  <c r="P29" i="19"/>
  <c r="R29" i="19" s="1"/>
  <c r="L29" i="19"/>
  <c r="M29" i="19"/>
  <c r="S29" i="19" s="1"/>
  <c r="L28" i="19"/>
  <c r="N28" i="19" s="1"/>
  <c r="P27" i="19"/>
  <c r="R27" i="19" s="1"/>
  <c r="L27" i="19"/>
  <c r="M27" i="19"/>
  <c r="S27" i="19" s="1"/>
  <c r="P26" i="19"/>
  <c r="L26" i="19"/>
  <c r="N26" i="19" s="1"/>
  <c r="M26" i="19"/>
  <c r="L25" i="19"/>
  <c r="N25" i="19" s="1"/>
  <c r="I51" i="19"/>
  <c r="P23" i="19"/>
  <c r="R23" i="19" s="1"/>
  <c r="L23" i="19"/>
  <c r="N23" i="19" s="1"/>
  <c r="M23" i="19"/>
  <c r="S23" i="19" s="1"/>
  <c r="P22" i="19"/>
  <c r="R22" i="19" s="1"/>
  <c r="L22" i="19"/>
  <c r="L21" i="19"/>
  <c r="M21" i="19"/>
  <c r="S21" i="19" s="1"/>
  <c r="P20" i="19"/>
  <c r="L20" i="19"/>
  <c r="N20" i="19" s="1"/>
  <c r="P18" i="19"/>
  <c r="P16" i="19" s="1"/>
  <c r="P17" i="19"/>
  <c r="M17" i="19"/>
  <c r="P15" i="19"/>
  <c r="M15" i="19"/>
  <c r="S15" i="19" s="1"/>
  <c r="L15" i="19"/>
  <c r="N15" i="19" s="1"/>
  <c r="P14" i="19"/>
  <c r="M14" i="19"/>
  <c r="L14" i="19"/>
  <c r="L13" i="19" s="1"/>
  <c r="P10" i="19"/>
  <c r="L10" i="19"/>
  <c r="N10" i="19" s="1"/>
  <c r="P9" i="19"/>
  <c r="L9" i="19"/>
  <c r="P8" i="19"/>
  <c r="P7" i="19"/>
  <c r="I55" i="19"/>
  <c r="O50" i="19"/>
  <c r="K50" i="19"/>
  <c r="O26" i="16"/>
  <c r="O25" i="16"/>
  <c r="O27" i="16" s="1"/>
  <c r="J26" i="16"/>
  <c r="J25" i="16"/>
  <c r="N26" i="16"/>
  <c r="N27" i="16" s="1"/>
  <c r="N25" i="16"/>
  <c r="N39" i="16" s="1"/>
  <c r="I26" i="16"/>
  <c r="I25" i="16"/>
  <c r="I39" i="16" s="1"/>
  <c r="D26" i="16"/>
  <c r="D25" i="16"/>
  <c r="D27" i="16" s="1"/>
  <c r="R12" i="18"/>
  <c r="O12" i="18"/>
  <c r="P12" i="18"/>
  <c r="R26" i="18"/>
  <c r="O26" i="18"/>
  <c r="Q7" i="18"/>
  <c r="O7" i="18"/>
  <c r="O8" i="18"/>
  <c r="O9" i="18"/>
  <c r="O10" i="18"/>
  <c r="O11" i="18"/>
  <c r="O13" i="18"/>
  <c r="O14" i="18"/>
  <c r="O15" i="18"/>
  <c r="O16" i="18"/>
  <c r="O17" i="18"/>
  <c r="O18" i="18"/>
  <c r="P18" i="18" s="1"/>
  <c r="O19" i="18"/>
  <c r="O20" i="18"/>
  <c r="O21" i="18"/>
  <c r="P21" i="18" s="1"/>
  <c r="O22" i="18"/>
  <c r="O23" i="18"/>
  <c r="O24" i="18"/>
  <c r="P24" i="18" s="1"/>
  <c r="O25" i="18"/>
  <c r="O51" i="18" s="1"/>
  <c r="O27" i="18"/>
  <c r="O28" i="18"/>
  <c r="O29" i="18"/>
  <c r="O30" i="18"/>
  <c r="O31" i="18"/>
  <c r="O32" i="18"/>
  <c r="P32" i="18" s="1"/>
  <c r="O33" i="18"/>
  <c r="O34" i="18"/>
  <c r="O35" i="18"/>
  <c r="O36" i="18"/>
  <c r="P36" i="18" s="1"/>
  <c r="O37" i="18"/>
  <c r="O38" i="18"/>
  <c r="O39" i="18"/>
  <c r="P39" i="18" s="1"/>
  <c r="O40" i="18"/>
  <c r="O41" i="18"/>
  <c r="O42" i="18"/>
  <c r="P42" i="18" s="1"/>
  <c r="O43" i="18"/>
  <c r="P43" i="18" s="1"/>
  <c r="O44" i="18"/>
  <c r="O45" i="18"/>
  <c r="O46" i="18"/>
  <c r="O47" i="18"/>
  <c r="O48" i="18"/>
  <c r="P48" i="18" s="1"/>
  <c r="R48" i="18" s="1"/>
  <c r="R47" i="18" s="1"/>
  <c r="O49" i="18"/>
  <c r="P49" i="18" s="1"/>
  <c r="R49" i="18" s="1"/>
  <c r="O6" i="18"/>
  <c r="K7" i="18"/>
  <c r="K8" i="18"/>
  <c r="K9" i="18"/>
  <c r="K10" i="18"/>
  <c r="K11" i="18"/>
  <c r="K12" i="18"/>
  <c r="L12" i="18" s="1"/>
  <c r="K13" i="18"/>
  <c r="K14" i="18"/>
  <c r="K15" i="18"/>
  <c r="K16" i="18"/>
  <c r="K17" i="18"/>
  <c r="K18" i="18"/>
  <c r="M18" i="18" s="1"/>
  <c r="K19" i="18"/>
  <c r="K20" i="18"/>
  <c r="K21" i="18"/>
  <c r="K22" i="18"/>
  <c r="L22" i="18" s="1"/>
  <c r="N22" i="18" s="1"/>
  <c r="K23" i="18"/>
  <c r="K24" i="18"/>
  <c r="L24" i="18" s="1"/>
  <c r="K25" i="18"/>
  <c r="L25" i="18" s="1"/>
  <c r="K26" i="18"/>
  <c r="K27" i="18"/>
  <c r="K28" i="18"/>
  <c r="L28" i="18" s="1"/>
  <c r="N28" i="18" s="1"/>
  <c r="K29" i="18"/>
  <c r="K30" i="18"/>
  <c r="L30" i="18" s="1"/>
  <c r="K31" i="18"/>
  <c r="L31" i="18" s="1"/>
  <c r="N31" i="18" s="1"/>
  <c r="K32" i="18"/>
  <c r="K33" i="18"/>
  <c r="K34" i="18"/>
  <c r="L34" i="18" s="1"/>
  <c r="N34" i="18" s="1"/>
  <c r="T34" i="18" s="1"/>
  <c r="K35" i="18"/>
  <c r="K36" i="18"/>
  <c r="K51" i="18" s="1"/>
  <c r="K37" i="18"/>
  <c r="L37" i="18" s="1"/>
  <c r="N37" i="18" s="1"/>
  <c r="K38" i="18"/>
  <c r="K39" i="18"/>
  <c r="K40" i="18"/>
  <c r="L40" i="18" s="1"/>
  <c r="N40" i="18" s="1"/>
  <c r="T40" i="18" s="1"/>
  <c r="K41" i="18"/>
  <c r="K42" i="18"/>
  <c r="L42" i="18" s="1"/>
  <c r="K43" i="18"/>
  <c r="L43" i="18" s="1"/>
  <c r="N43" i="18" s="1"/>
  <c r="K44" i="18"/>
  <c r="K45" i="18"/>
  <c r="K46" i="18"/>
  <c r="L46" i="18" s="1"/>
  <c r="N46" i="18" s="1"/>
  <c r="K47" i="18"/>
  <c r="K48" i="18"/>
  <c r="M48" i="18" s="1"/>
  <c r="K49" i="18"/>
  <c r="K6" i="18"/>
  <c r="K50" i="18" s="1"/>
  <c r="I7" i="18"/>
  <c r="J7" i="18"/>
  <c r="I8" i="18"/>
  <c r="J8" i="18"/>
  <c r="I9" i="18"/>
  <c r="J9" i="18"/>
  <c r="J55" i="18" s="1"/>
  <c r="I10" i="18"/>
  <c r="J10" i="18"/>
  <c r="I11" i="18"/>
  <c r="I50" i="18" s="1"/>
  <c r="J11" i="18"/>
  <c r="J50" i="18" s="1"/>
  <c r="I12" i="18"/>
  <c r="J12" i="18"/>
  <c r="I13" i="18"/>
  <c r="J13" i="18"/>
  <c r="I14" i="18"/>
  <c r="J14" i="18"/>
  <c r="I15" i="18"/>
  <c r="J15" i="18"/>
  <c r="I16" i="18"/>
  <c r="J16" i="18"/>
  <c r="I17" i="18"/>
  <c r="J17" i="18"/>
  <c r="I18" i="18"/>
  <c r="J18" i="18"/>
  <c r="I19" i="18"/>
  <c r="J19" i="18"/>
  <c r="I20" i="18"/>
  <c r="J20" i="18"/>
  <c r="I21" i="18"/>
  <c r="J21" i="18"/>
  <c r="I22" i="18"/>
  <c r="J22" i="18"/>
  <c r="I23" i="18"/>
  <c r="J23" i="18"/>
  <c r="I24" i="18"/>
  <c r="J24" i="18"/>
  <c r="I25" i="18"/>
  <c r="J25" i="18"/>
  <c r="I26" i="18"/>
  <c r="J26" i="18"/>
  <c r="J51" i="18" s="1"/>
  <c r="I27" i="18"/>
  <c r="J27" i="18"/>
  <c r="I28" i="18"/>
  <c r="J28" i="18"/>
  <c r="I29" i="18"/>
  <c r="J29" i="18"/>
  <c r="I30" i="18"/>
  <c r="J30" i="18"/>
  <c r="I31" i="18"/>
  <c r="J31" i="18"/>
  <c r="I32" i="18"/>
  <c r="J32" i="18"/>
  <c r="I33" i="18"/>
  <c r="J33" i="18"/>
  <c r="I34" i="18"/>
  <c r="J34" i="18"/>
  <c r="I35" i="18"/>
  <c r="J35" i="18"/>
  <c r="I36" i="18"/>
  <c r="J36" i="18"/>
  <c r="I37" i="18"/>
  <c r="J37" i="18"/>
  <c r="I38" i="18"/>
  <c r="J38" i="18"/>
  <c r="I39" i="18"/>
  <c r="J39" i="18"/>
  <c r="I40" i="18"/>
  <c r="J40" i="18"/>
  <c r="I41" i="18"/>
  <c r="J41" i="18"/>
  <c r="I42" i="18"/>
  <c r="J42" i="18"/>
  <c r="I43" i="18"/>
  <c r="J43" i="18"/>
  <c r="I44" i="18"/>
  <c r="J44" i="18"/>
  <c r="I45" i="18"/>
  <c r="J45" i="18"/>
  <c r="I46" i="18"/>
  <c r="J46" i="18"/>
  <c r="I47" i="18"/>
  <c r="J47" i="18"/>
  <c r="I48" i="18"/>
  <c r="J48" i="18"/>
  <c r="I49" i="18"/>
  <c r="J49" i="18"/>
  <c r="J6" i="18"/>
  <c r="I6" i="18"/>
  <c r="R59" i="18"/>
  <c r="Q49" i="18"/>
  <c r="L49" i="18"/>
  <c r="N49" i="18" s="1"/>
  <c r="M49" i="18"/>
  <c r="S49" i="18" s="1"/>
  <c r="Q48" i="18"/>
  <c r="L48" i="18"/>
  <c r="Q46" i="18"/>
  <c r="P46" i="18"/>
  <c r="M46" i="18"/>
  <c r="S46" i="18" s="1"/>
  <c r="Q45" i="18"/>
  <c r="P45" i="18"/>
  <c r="L45" i="18"/>
  <c r="M45" i="18"/>
  <c r="Q44" i="18"/>
  <c r="P44" i="18"/>
  <c r="L44" i="18"/>
  <c r="M44" i="18"/>
  <c r="S44" i="18" s="1"/>
  <c r="Q43" i="18"/>
  <c r="M43" i="18"/>
  <c r="S43" i="18" s="1"/>
  <c r="Q42" i="18"/>
  <c r="Q41" i="18"/>
  <c r="P41" i="18"/>
  <c r="L41" i="18"/>
  <c r="M41" i="18"/>
  <c r="S41" i="18" s="1"/>
  <c r="Q40" i="18"/>
  <c r="R40" i="18" s="1"/>
  <c r="P40" i="18"/>
  <c r="M40" i="18"/>
  <c r="S40" i="18" s="1"/>
  <c r="Q39" i="18"/>
  <c r="L39" i="18"/>
  <c r="M39" i="18"/>
  <c r="S39" i="18" s="1"/>
  <c r="Q38" i="18"/>
  <c r="P38" i="18"/>
  <c r="L38" i="18"/>
  <c r="M38" i="18"/>
  <c r="Q37" i="18"/>
  <c r="P37" i="18"/>
  <c r="M37" i="18"/>
  <c r="S37" i="18" s="1"/>
  <c r="Q36" i="18"/>
  <c r="Q35" i="18"/>
  <c r="P35" i="18"/>
  <c r="L35" i="18"/>
  <c r="M35" i="18"/>
  <c r="S35" i="18" s="1"/>
  <c r="Q34" i="18"/>
  <c r="R34" i="18" s="1"/>
  <c r="P34" i="18"/>
  <c r="M34" i="18"/>
  <c r="Q33" i="18"/>
  <c r="P33" i="18"/>
  <c r="L33" i="18"/>
  <c r="M33" i="18"/>
  <c r="S33" i="18" s="1"/>
  <c r="Q32" i="18"/>
  <c r="L32" i="18"/>
  <c r="M32" i="18"/>
  <c r="S32" i="18" s="1"/>
  <c r="Q31" i="18"/>
  <c r="P31" i="18"/>
  <c r="M31" i="18"/>
  <c r="S31" i="18" s="1"/>
  <c r="Q30" i="18"/>
  <c r="P30" i="18"/>
  <c r="Q29" i="18"/>
  <c r="P29" i="18"/>
  <c r="L29" i="18"/>
  <c r="M29" i="18"/>
  <c r="S29" i="18" s="1"/>
  <c r="Q28" i="18"/>
  <c r="P28" i="18"/>
  <c r="M28" i="18"/>
  <c r="S28" i="18" s="1"/>
  <c r="Q27" i="18"/>
  <c r="P27" i="18"/>
  <c r="L27" i="18"/>
  <c r="M27" i="18"/>
  <c r="Q26" i="18"/>
  <c r="P26" i="18"/>
  <c r="L26" i="18"/>
  <c r="M26" i="18"/>
  <c r="S26" i="18" s="1"/>
  <c r="Q25" i="18"/>
  <c r="I51" i="18"/>
  <c r="Q24" i="18"/>
  <c r="Q23" i="18"/>
  <c r="P23" i="18"/>
  <c r="L23" i="18"/>
  <c r="M23" i="18"/>
  <c r="S23" i="18" s="1"/>
  <c r="Q22" i="18"/>
  <c r="P22" i="18"/>
  <c r="M22" i="18"/>
  <c r="S22" i="18" s="1"/>
  <c r="Q21" i="18"/>
  <c r="L21" i="18"/>
  <c r="M21" i="18"/>
  <c r="S21" i="18" s="1"/>
  <c r="Q20" i="18"/>
  <c r="P20" i="18"/>
  <c r="L20" i="18"/>
  <c r="M20" i="18"/>
  <c r="Q18" i="18"/>
  <c r="Q17" i="18"/>
  <c r="P17" i="18"/>
  <c r="M17" i="18"/>
  <c r="Q15" i="18"/>
  <c r="P15" i="18"/>
  <c r="R15" i="18" s="1"/>
  <c r="M15" i="18"/>
  <c r="S15" i="18" s="1"/>
  <c r="L15" i="18"/>
  <c r="N15" i="18" s="1"/>
  <c r="Q14" i="18"/>
  <c r="P14" i="18"/>
  <c r="M14" i="18"/>
  <c r="L14" i="18"/>
  <c r="L13" i="18" s="1"/>
  <c r="Q12" i="18"/>
  <c r="Q10" i="18"/>
  <c r="P10" i="18"/>
  <c r="Q9" i="18"/>
  <c r="P9" i="18"/>
  <c r="Q8" i="18"/>
  <c r="R8" i="18" s="1"/>
  <c r="P8" i="18"/>
  <c r="R7" i="18"/>
  <c r="P7" i="18"/>
  <c r="I55" i="18"/>
  <c r="O50" i="18"/>
  <c r="C26" i="16"/>
  <c r="C25" i="16"/>
  <c r="C27" i="16" s="1"/>
  <c r="P27" i="16"/>
  <c r="J27" i="16"/>
  <c r="N23" i="16"/>
  <c r="B23" i="16"/>
  <c r="H23" i="16" s="1"/>
  <c r="M23" i="16" s="1"/>
  <c r="J20" i="16"/>
  <c r="G20" i="16"/>
  <c r="D20" i="16"/>
  <c r="R59" i="17"/>
  <c r="O55" i="17"/>
  <c r="I55" i="17"/>
  <c r="O51" i="17"/>
  <c r="K51" i="17"/>
  <c r="I51" i="17"/>
  <c r="P49" i="17"/>
  <c r="R49" i="17" s="1"/>
  <c r="M49" i="17"/>
  <c r="S49" i="17" s="1"/>
  <c r="L49" i="17"/>
  <c r="J49" i="17"/>
  <c r="P48" i="17"/>
  <c r="N48" i="17"/>
  <c r="M48" i="17"/>
  <c r="S48" i="17" s="1"/>
  <c r="L48" i="17"/>
  <c r="L47" i="17" s="1"/>
  <c r="J48" i="17"/>
  <c r="O47" i="17"/>
  <c r="K47" i="17"/>
  <c r="I47" i="17"/>
  <c r="P46" i="17"/>
  <c r="R46" i="17" s="1"/>
  <c r="M46" i="17"/>
  <c r="S46" i="17" s="1"/>
  <c r="L46" i="17"/>
  <c r="J46" i="17"/>
  <c r="P45" i="17"/>
  <c r="R45" i="17" s="1"/>
  <c r="M45" i="17"/>
  <c r="S45" i="17" s="1"/>
  <c r="L45" i="17"/>
  <c r="J45" i="17"/>
  <c r="P44" i="17"/>
  <c r="R44" i="17" s="1"/>
  <c r="M44" i="17"/>
  <c r="S44" i="17" s="1"/>
  <c r="L44" i="17"/>
  <c r="J44" i="17"/>
  <c r="N44" i="17" s="1"/>
  <c r="P43" i="17"/>
  <c r="R43" i="17" s="1"/>
  <c r="M43" i="17"/>
  <c r="S43" i="17" s="1"/>
  <c r="L43" i="17"/>
  <c r="J43" i="17"/>
  <c r="P42" i="17"/>
  <c r="R42" i="17" s="1"/>
  <c r="M42" i="17"/>
  <c r="S42" i="17" s="1"/>
  <c r="L42" i="17"/>
  <c r="J42" i="17"/>
  <c r="P41" i="17"/>
  <c r="R41" i="17" s="1"/>
  <c r="M41" i="17"/>
  <c r="S41" i="17" s="1"/>
  <c r="L41" i="17"/>
  <c r="J41" i="17"/>
  <c r="P40" i="17"/>
  <c r="R40" i="17" s="1"/>
  <c r="M40" i="17"/>
  <c r="S40" i="17" s="1"/>
  <c r="L40" i="17"/>
  <c r="J40" i="17"/>
  <c r="P39" i="17"/>
  <c r="R39" i="17" s="1"/>
  <c r="M39" i="17"/>
  <c r="S39" i="17" s="1"/>
  <c r="L39" i="17"/>
  <c r="J39" i="17"/>
  <c r="P38" i="17"/>
  <c r="R38" i="17" s="1"/>
  <c r="M38" i="17"/>
  <c r="S38" i="17" s="1"/>
  <c r="L38" i="17"/>
  <c r="J38" i="17"/>
  <c r="P37" i="17"/>
  <c r="R37" i="17" s="1"/>
  <c r="M37" i="17"/>
  <c r="S37" i="17" s="1"/>
  <c r="L37" i="17"/>
  <c r="J37" i="17"/>
  <c r="P36" i="17"/>
  <c r="R36" i="17" s="1"/>
  <c r="M36" i="17"/>
  <c r="S36" i="17" s="1"/>
  <c r="L36" i="17"/>
  <c r="J36" i="17"/>
  <c r="P35" i="17"/>
  <c r="R35" i="17" s="1"/>
  <c r="M35" i="17"/>
  <c r="S35" i="17" s="1"/>
  <c r="L35" i="17"/>
  <c r="J35" i="17"/>
  <c r="N35" i="17" s="1"/>
  <c r="Q34" i="17"/>
  <c r="P34" i="17"/>
  <c r="R34" i="17" s="1"/>
  <c r="M34" i="17"/>
  <c r="S34" i="17" s="1"/>
  <c r="L34" i="17"/>
  <c r="J34" i="17"/>
  <c r="P33" i="17"/>
  <c r="R33" i="17" s="1"/>
  <c r="M33" i="17"/>
  <c r="S33" i="17" s="1"/>
  <c r="L33" i="17"/>
  <c r="J33" i="17"/>
  <c r="P32" i="17"/>
  <c r="R32" i="17" s="1"/>
  <c r="M32" i="17"/>
  <c r="S32" i="17" s="1"/>
  <c r="L32" i="17"/>
  <c r="J32" i="17"/>
  <c r="P31" i="17"/>
  <c r="R31" i="17" s="1"/>
  <c r="M31" i="17"/>
  <c r="S31" i="17" s="1"/>
  <c r="L31" i="17"/>
  <c r="J31" i="17"/>
  <c r="P30" i="17"/>
  <c r="R30" i="17" s="1"/>
  <c r="M30" i="17"/>
  <c r="S30" i="17" s="1"/>
  <c r="L30" i="17"/>
  <c r="J30" i="17"/>
  <c r="P29" i="17"/>
  <c r="R29" i="17" s="1"/>
  <c r="M29" i="17"/>
  <c r="S29" i="17" s="1"/>
  <c r="L29" i="17"/>
  <c r="J29" i="17"/>
  <c r="P28" i="17"/>
  <c r="R28" i="17" s="1"/>
  <c r="M28" i="17"/>
  <c r="S28" i="17" s="1"/>
  <c r="L28" i="17"/>
  <c r="J28" i="17"/>
  <c r="P27" i="17"/>
  <c r="R27" i="17" s="1"/>
  <c r="M27" i="17"/>
  <c r="S27" i="17" s="1"/>
  <c r="L27" i="17"/>
  <c r="J27" i="17"/>
  <c r="P26" i="17"/>
  <c r="R26" i="17" s="1"/>
  <c r="M26" i="17"/>
  <c r="S26" i="17" s="1"/>
  <c r="L26" i="17"/>
  <c r="J26" i="17"/>
  <c r="P25" i="17"/>
  <c r="R25" i="17" s="1"/>
  <c r="M25" i="17"/>
  <c r="S25" i="17" s="1"/>
  <c r="L25" i="17"/>
  <c r="J25" i="17"/>
  <c r="P24" i="17"/>
  <c r="R24" i="17" s="1"/>
  <c r="M24" i="17"/>
  <c r="S24" i="17" s="1"/>
  <c r="L24" i="17"/>
  <c r="J24" i="17"/>
  <c r="P23" i="17"/>
  <c r="M23" i="17"/>
  <c r="S23" i="17" s="1"/>
  <c r="L23" i="17"/>
  <c r="J23" i="17"/>
  <c r="P22" i="17"/>
  <c r="R22" i="17" s="1"/>
  <c r="M22" i="17"/>
  <c r="S22" i="17" s="1"/>
  <c r="L22" i="17"/>
  <c r="J22" i="17"/>
  <c r="P21" i="17"/>
  <c r="R21" i="17" s="1"/>
  <c r="M21" i="17"/>
  <c r="S21" i="17" s="1"/>
  <c r="L21" i="17"/>
  <c r="J21" i="17"/>
  <c r="P20" i="17"/>
  <c r="R20" i="17" s="1"/>
  <c r="M20" i="17"/>
  <c r="S20" i="17" s="1"/>
  <c r="L20" i="17"/>
  <c r="J20" i="17"/>
  <c r="O19" i="17"/>
  <c r="K19" i="17"/>
  <c r="I19" i="17"/>
  <c r="P18" i="17"/>
  <c r="M18" i="17"/>
  <c r="S18" i="17" s="1"/>
  <c r="L18" i="17"/>
  <c r="J18" i="17"/>
  <c r="P17" i="17"/>
  <c r="R17" i="17" s="1"/>
  <c r="M17" i="17"/>
  <c r="S17" i="17" s="1"/>
  <c r="L17" i="17"/>
  <c r="J17" i="17"/>
  <c r="O16" i="17"/>
  <c r="K16" i="17"/>
  <c r="I16" i="17"/>
  <c r="P15" i="17"/>
  <c r="R15" i="17" s="1"/>
  <c r="M15" i="17"/>
  <c r="S15" i="17" s="1"/>
  <c r="L15" i="17"/>
  <c r="J15" i="17"/>
  <c r="P14" i="17"/>
  <c r="M14" i="17"/>
  <c r="J14" i="17"/>
  <c r="O13" i="17"/>
  <c r="I13" i="17"/>
  <c r="P12" i="17"/>
  <c r="R12" i="17" s="1"/>
  <c r="M12" i="17"/>
  <c r="S12" i="17" s="1"/>
  <c r="S11" i="17" s="1"/>
  <c r="L12" i="17"/>
  <c r="L11" i="17" s="1"/>
  <c r="J12" i="17"/>
  <c r="J11" i="17" s="1"/>
  <c r="O11" i="17"/>
  <c r="K11" i="17"/>
  <c r="I11" i="17"/>
  <c r="P10" i="17"/>
  <c r="R10" i="17" s="1"/>
  <c r="M10" i="17"/>
  <c r="S10" i="17" s="1"/>
  <c r="L10" i="17"/>
  <c r="J10" i="17"/>
  <c r="P9" i="17"/>
  <c r="R9" i="17" s="1"/>
  <c r="M9" i="17"/>
  <c r="S9" i="17" s="1"/>
  <c r="L9" i="17"/>
  <c r="J9" i="17"/>
  <c r="P8" i="17"/>
  <c r="R8" i="17" s="1"/>
  <c r="M8" i="17"/>
  <c r="S8" i="17" s="1"/>
  <c r="L8" i="17"/>
  <c r="J8" i="17"/>
  <c r="P7" i="17"/>
  <c r="R7" i="17" s="1"/>
  <c r="M7" i="17"/>
  <c r="L7" i="17"/>
  <c r="K55" i="17"/>
  <c r="J7" i="17"/>
  <c r="O6" i="17"/>
  <c r="K6" i="17"/>
  <c r="I6" i="17"/>
  <c r="P12" i="16"/>
  <c r="P11" i="16"/>
  <c r="O12" i="16"/>
  <c r="O11" i="16"/>
  <c r="N12" i="16"/>
  <c r="N11" i="16"/>
  <c r="K12" i="16"/>
  <c r="K11" i="16"/>
  <c r="J12" i="16"/>
  <c r="J13" i="16" s="1"/>
  <c r="J11" i="16"/>
  <c r="I12" i="16"/>
  <c r="I13" i="16" s="1"/>
  <c r="I11" i="16"/>
  <c r="F12" i="16"/>
  <c r="F11" i="16"/>
  <c r="E12" i="16"/>
  <c r="E11" i="16"/>
  <c r="D12" i="16"/>
  <c r="D11" i="16"/>
  <c r="D13" i="16" s="1"/>
  <c r="C12" i="16"/>
  <c r="C11" i="16"/>
  <c r="C33" i="16"/>
  <c r="F4" i="16"/>
  <c r="I4" i="16" s="1"/>
  <c r="N9" i="16"/>
  <c r="B9" i="16"/>
  <c r="H9" i="16" s="1"/>
  <c r="M9" i="16" s="1"/>
  <c r="J6" i="16"/>
  <c r="G6" i="16"/>
  <c r="D6" i="16"/>
  <c r="R26" i="15"/>
  <c r="O26" i="15"/>
  <c r="P26" i="15"/>
  <c r="R12" i="15"/>
  <c r="O12" i="15"/>
  <c r="Q46" i="15"/>
  <c r="Q49" i="15"/>
  <c r="Q48" i="15"/>
  <c r="Q23" i="15"/>
  <c r="Q24" i="15"/>
  <c r="Q25" i="15"/>
  <c r="Q26" i="15"/>
  <c r="Q27" i="15"/>
  <c r="Q28" i="15"/>
  <c r="Q29" i="15"/>
  <c r="Q30" i="15"/>
  <c r="Q31" i="15"/>
  <c r="Q32" i="15"/>
  <c r="Q33" i="15"/>
  <c r="Q34" i="15"/>
  <c r="Q35" i="15"/>
  <c r="Q36" i="15"/>
  <c r="Q37" i="15"/>
  <c r="Q38" i="15"/>
  <c r="Q39" i="15"/>
  <c r="Q40" i="15"/>
  <c r="Q41" i="15"/>
  <c r="Q42" i="15"/>
  <c r="Q43" i="15"/>
  <c r="Q44" i="15"/>
  <c r="Q45" i="15"/>
  <c r="Q22" i="15"/>
  <c r="Q21" i="15"/>
  <c r="Q20" i="15"/>
  <c r="Q18" i="15"/>
  <c r="Q17" i="15"/>
  <c r="Q15" i="15"/>
  <c r="Q14" i="15"/>
  <c r="Q12" i="15"/>
  <c r="Q8" i="15"/>
  <c r="Q9" i="15"/>
  <c r="Q10" i="15"/>
  <c r="Q7" i="15"/>
  <c r="O7" i="15"/>
  <c r="P7" i="15" s="1"/>
  <c r="O8" i="15"/>
  <c r="O9" i="15"/>
  <c r="O10" i="15"/>
  <c r="O11" i="15"/>
  <c r="O13" i="15"/>
  <c r="O14" i="15"/>
  <c r="O15" i="15"/>
  <c r="O16" i="15"/>
  <c r="O17" i="15"/>
  <c r="O18" i="15"/>
  <c r="O19" i="15"/>
  <c r="O20" i="15"/>
  <c r="O21" i="15"/>
  <c r="O22" i="15"/>
  <c r="O23" i="15"/>
  <c r="O24" i="15"/>
  <c r="O25" i="15"/>
  <c r="O27" i="15"/>
  <c r="P27" i="15" s="1"/>
  <c r="R27" i="15" s="1"/>
  <c r="O28" i="15"/>
  <c r="O29" i="15"/>
  <c r="O30" i="15"/>
  <c r="P30" i="15" s="1"/>
  <c r="R30" i="15" s="1"/>
  <c r="O31" i="15"/>
  <c r="O32" i="15"/>
  <c r="O33" i="15"/>
  <c r="O34" i="15"/>
  <c r="O35" i="15"/>
  <c r="O36" i="15"/>
  <c r="P36" i="15" s="1"/>
  <c r="R36" i="15" s="1"/>
  <c r="O37" i="15"/>
  <c r="O38" i="15"/>
  <c r="P38" i="15" s="1"/>
  <c r="R38" i="15" s="1"/>
  <c r="O39" i="15"/>
  <c r="O40" i="15"/>
  <c r="O41" i="15"/>
  <c r="O42" i="15"/>
  <c r="P42" i="15" s="1"/>
  <c r="R42" i="15" s="1"/>
  <c r="O43" i="15"/>
  <c r="O44" i="15"/>
  <c r="O45" i="15"/>
  <c r="O46" i="15"/>
  <c r="O47" i="15"/>
  <c r="O48" i="15"/>
  <c r="P48" i="15" s="1"/>
  <c r="O49" i="15"/>
  <c r="O6" i="15"/>
  <c r="L7" i="15"/>
  <c r="K7" i="15"/>
  <c r="K8" i="15"/>
  <c r="K9" i="15"/>
  <c r="K10" i="15"/>
  <c r="K11" i="15"/>
  <c r="K12" i="15"/>
  <c r="L12" i="15" s="1"/>
  <c r="L11" i="15" s="1"/>
  <c r="K13" i="15"/>
  <c r="K14" i="15"/>
  <c r="K15" i="15"/>
  <c r="K16" i="15"/>
  <c r="K17" i="15"/>
  <c r="K18" i="15"/>
  <c r="L18" i="15" s="1"/>
  <c r="K19" i="15"/>
  <c r="K20" i="15"/>
  <c r="K21" i="15"/>
  <c r="K22" i="15"/>
  <c r="M22" i="15" s="1"/>
  <c r="S22" i="15" s="1"/>
  <c r="K23" i="15"/>
  <c r="K24" i="15"/>
  <c r="L24" i="15" s="1"/>
  <c r="N24" i="15" s="1"/>
  <c r="K25" i="15"/>
  <c r="K26" i="15"/>
  <c r="K27" i="15"/>
  <c r="K28" i="15"/>
  <c r="L28" i="15" s="1"/>
  <c r="N28" i="15" s="1"/>
  <c r="K29" i="15"/>
  <c r="K30" i="15"/>
  <c r="M30" i="15" s="1"/>
  <c r="K31" i="15"/>
  <c r="K32" i="15"/>
  <c r="K33" i="15"/>
  <c r="K34" i="15"/>
  <c r="K35" i="15"/>
  <c r="K36" i="15"/>
  <c r="L36" i="15" s="1"/>
  <c r="N36" i="15" s="1"/>
  <c r="K37" i="15"/>
  <c r="K38" i="15"/>
  <c r="K39" i="15"/>
  <c r="K40" i="15"/>
  <c r="K41" i="15"/>
  <c r="K42" i="15"/>
  <c r="L42" i="15" s="1"/>
  <c r="N42" i="15" s="1"/>
  <c r="K43" i="15"/>
  <c r="K44" i="15"/>
  <c r="L44" i="15" s="1"/>
  <c r="N44" i="15" s="1"/>
  <c r="K45" i="15"/>
  <c r="K46" i="15"/>
  <c r="L46" i="15" s="1"/>
  <c r="N46" i="15" s="1"/>
  <c r="K47" i="15"/>
  <c r="K48" i="15"/>
  <c r="M48" i="15" s="1"/>
  <c r="K49" i="15"/>
  <c r="K6" i="15"/>
  <c r="I7" i="15"/>
  <c r="J7" i="15"/>
  <c r="I8" i="15"/>
  <c r="J8" i="15"/>
  <c r="J55" i="15" s="1"/>
  <c r="I9" i="15"/>
  <c r="J9" i="15"/>
  <c r="I10" i="15"/>
  <c r="J10" i="15"/>
  <c r="I11" i="15"/>
  <c r="J11" i="15"/>
  <c r="I12" i="15"/>
  <c r="J12" i="15"/>
  <c r="I13" i="15"/>
  <c r="J13" i="15"/>
  <c r="I14" i="15"/>
  <c r="J14" i="15"/>
  <c r="I15" i="15"/>
  <c r="J15" i="15"/>
  <c r="I16" i="15"/>
  <c r="J16" i="15"/>
  <c r="I17" i="15"/>
  <c r="M17" i="15" s="1"/>
  <c r="J17" i="15"/>
  <c r="I18" i="15"/>
  <c r="J18" i="15"/>
  <c r="I19" i="15"/>
  <c r="J19" i="15"/>
  <c r="I20" i="15"/>
  <c r="J20" i="15"/>
  <c r="I21" i="15"/>
  <c r="J21" i="15"/>
  <c r="I22" i="15"/>
  <c r="J22" i="15"/>
  <c r="I23" i="15"/>
  <c r="J23" i="15"/>
  <c r="I24" i="15"/>
  <c r="J24" i="15"/>
  <c r="I25" i="15"/>
  <c r="J25" i="15"/>
  <c r="I26" i="15"/>
  <c r="J26" i="15"/>
  <c r="I27" i="15"/>
  <c r="J27" i="15"/>
  <c r="I28" i="15"/>
  <c r="J28" i="15"/>
  <c r="I29" i="15"/>
  <c r="M29" i="15" s="1"/>
  <c r="S29" i="15" s="1"/>
  <c r="J29" i="15"/>
  <c r="I30" i="15"/>
  <c r="J30" i="15"/>
  <c r="I31" i="15"/>
  <c r="M31" i="15" s="1"/>
  <c r="S31" i="15" s="1"/>
  <c r="J31" i="15"/>
  <c r="I32" i="15"/>
  <c r="J32" i="15"/>
  <c r="I33" i="15"/>
  <c r="J33" i="15"/>
  <c r="I34" i="15"/>
  <c r="J34" i="15"/>
  <c r="I35" i="15"/>
  <c r="M35" i="15" s="1"/>
  <c r="S35" i="15" s="1"/>
  <c r="J35" i="15"/>
  <c r="I36" i="15"/>
  <c r="J36" i="15"/>
  <c r="I37" i="15"/>
  <c r="M37" i="15" s="1"/>
  <c r="S37" i="15" s="1"/>
  <c r="J37" i="15"/>
  <c r="I38" i="15"/>
  <c r="J38" i="15"/>
  <c r="I39" i="15"/>
  <c r="J39" i="15"/>
  <c r="I40" i="15"/>
  <c r="J40" i="15"/>
  <c r="I41" i="15"/>
  <c r="M41" i="15" s="1"/>
  <c r="S41" i="15" s="1"/>
  <c r="J41" i="15"/>
  <c r="I42" i="15"/>
  <c r="J42" i="15"/>
  <c r="I43" i="15"/>
  <c r="M43" i="15" s="1"/>
  <c r="S43" i="15" s="1"/>
  <c r="J43" i="15"/>
  <c r="I44" i="15"/>
  <c r="J44" i="15"/>
  <c r="I45" i="15"/>
  <c r="J45" i="15"/>
  <c r="I46" i="15"/>
  <c r="J46" i="15"/>
  <c r="I47" i="15"/>
  <c r="J47" i="15"/>
  <c r="I48" i="15"/>
  <c r="J48" i="15"/>
  <c r="I49" i="15"/>
  <c r="J49" i="15"/>
  <c r="J6" i="15"/>
  <c r="I6" i="15"/>
  <c r="R59" i="15"/>
  <c r="P49" i="15"/>
  <c r="P46" i="15"/>
  <c r="P45" i="15"/>
  <c r="R45" i="15" s="1"/>
  <c r="L45" i="15"/>
  <c r="N45" i="15" s="1"/>
  <c r="M45" i="15"/>
  <c r="S45" i="15" s="1"/>
  <c r="P44" i="15"/>
  <c r="R44" i="15" s="1"/>
  <c r="P43" i="15"/>
  <c r="R43" i="15" s="1"/>
  <c r="L43" i="15"/>
  <c r="N43" i="15" s="1"/>
  <c r="P41" i="15"/>
  <c r="R41" i="15" s="1"/>
  <c r="L41" i="15"/>
  <c r="N41" i="15" s="1"/>
  <c r="P40" i="15"/>
  <c r="R40" i="15" s="1"/>
  <c r="L40" i="15"/>
  <c r="N40" i="15" s="1"/>
  <c r="P39" i="15"/>
  <c r="R39" i="15" s="1"/>
  <c r="L39" i="15"/>
  <c r="N39" i="15"/>
  <c r="M39" i="15"/>
  <c r="S39" i="15" s="1"/>
  <c r="L38" i="15"/>
  <c r="N38" i="15" s="1"/>
  <c r="P37" i="15"/>
  <c r="R37" i="15" s="1"/>
  <c r="L37" i="15"/>
  <c r="N37" i="15"/>
  <c r="P35" i="15"/>
  <c r="L35" i="15"/>
  <c r="N35" i="15" s="1"/>
  <c r="P34" i="15"/>
  <c r="R34" i="15" s="1"/>
  <c r="L34" i="15"/>
  <c r="N34" i="15" s="1"/>
  <c r="P33" i="15"/>
  <c r="R33" i="15" s="1"/>
  <c r="L33" i="15"/>
  <c r="N33" i="15" s="1"/>
  <c r="M33" i="15"/>
  <c r="S33" i="15" s="1"/>
  <c r="P32" i="15"/>
  <c r="R32" i="15" s="1"/>
  <c r="L32" i="15"/>
  <c r="N32" i="15" s="1"/>
  <c r="P31" i="15"/>
  <c r="R31" i="15" s="1"/>
  <c r="L31" i="15"/>
  <c r="N31" i="15"/>
  <c r="P29" i="15"/>
  <c r="R29" i="15" s="1"/>
  <c r="L29" i="15"/>
  <c r="N29" i="15" s="1"/>
  <c r="P28" i="15"/>
  <c r="R28" i="15" s="1"/>
  <c r="L27" i="15"/>
  <c r="N27" i="15" s="1"/>
  <c r="M27" i="15"/>
  <c r="S27" i="15" s="1"/>
  <c r="L26" i="15"/>
  <c r="N26" i="15" s="1"/>
  <c r="L25" i="15"/>
  <c r="J51" i="15"/>
  <c r="P24" i="15"/>
  <c r="P23" i="15"/>
  <c r="R23" i="15" s="1"/>
  <c r="L23" i="15"/>
  <c r="N23" i="15" s="1"/>
  <c r="M23" i="15"/>
  <c r="S23" i="15" s="1"/>
  <c r="P22" i="15"/>
  <c r="R22" i="15" s="1"/>
  <c r="P21" i="15"/>
  <c r="R21" i="15" s="1"/>
  <c r="L21" i="15"/>
  <c r="N21" i="15" s="1"/>
  <c r="M21" i="15"/>
  <c r="S21" i="15" s="1"/>
  <c r="P20" i="15"/>
  <c r="L20" i="15"/>
  <c r="N20" i="15" s="1"/>
  <c r="T20" i="15" s="1"/>
  <c r="M20" i="15"/>
  <c r="P18" i="15"/>
  <c r="R18" i="15" s="1"/>
  <c r="P17" i="15"/>
  <c r="L17" i="15"/>
  <c r="R15" i="15"/>
  <c r="P15" i="15"/>
  <c r="M15" i="15"/>
  <c r="S15" i="15" s="1"/>
  <c r="L15" i="15"/>
  <c r="P14" i="15"/>
  <c r="P13" i="15" s="1"/>
  <c r="M14" i="15"/>
  <c r="L14" i="15"/>
  <c r="L13" i="15" s="1"/>
  <c r="P12" i="15"/>
  <c r="P11" i="15" s="1"/>
  <c r="P10" i="15"/>
  <c r="L10" i="15"/>
  <c r="M10" i="15"/>
  <c r="S10" i="15" s="1"/>
  <c r="P9" i="15"/>
  <c r="L9" i="15"/>
  <c r="N9" i="15" s="1"/>
  <c r="T9" i="15" s="1"/>
  <c r="M9" i="15"/>
  <c r="S9" i="15" s="1"/>
  <c r="P8" i="15"/>
  <c r="L8" i="15"/>
  <c r="N8" i="15" s="1"/>
  <c r="M8" i="15"/>
  <c r="S8" i="15" s="1"/>
  <c r="O50" i="15"/>
  <c r="K50" i="15"/>
  <c r="J50" i="15"/>
  <c r="R12" i="14"/>
  <c r="O12" i="14"/>
  <c r="R26" i="14"/>
  <c r="O26" i="14"/>
  <c r="K7" i="14"/>
  <c r="L7" i="14" s="1"/>
  <c r="K8" i="14"/>
  <c r="L8" i="14" s="1"/>
  <c r="K9" i="14"/>
  <c r="K10" i="14"/>
  <c r="K11" i="14"/>
  <c r="K12" i="14"/>
  <c r="K13" i="14"/>
  <c r="K14" i="14"/>
  <c r="L14" i="14" s="1"/>
  <c r="K15" i="14"/>
  <c r="L15" i="14" s="1"/>
  <c r="K16" i="14"/>
  <c r="K17" i="14"/>
  <c r="K18" i="14"/>
  <c r="K19" i="14"/>
  <c r="K20" i="14"/>
  <c r="K21" i="14"/>
  <c r="L21" i="14" s="1"/>
  <c r="K22" i="14"/>
  <c r="L22" i="14" s="1"/>
  <c r="K23" i="14"/>
  <c r="K24" i="14"/>
  <c r="K25" i="14"/>
  <c r="K26" i="14"/>
  <c r="K27" i="14"/>
  <c r="K28" i="14"/>
  <c r="L28" i="14" s="1"/>
  <c r="K29" i="14"/>
  <c r="K30" i="14"/>
  <c r="K31" i="14"/>
  <c r="K32" i="14"/>
  <c r="K33" i="14"/>
  <c r="L33" i="14" s="1"/>
  <c r="K34" i="14"/>
  <c r="L34" i="14" s="1"/>
  <c r="K35" i="14"/>
  <c r="K36" i="14"/>
  <c r="K37" i="14"/>
  <c r="K38" i="14"/>
  <c r="K39" i="14"/>
  <c r="L39" i="14" s="1"/>
  <c r="K40" i="14"/>
  <c r="L40" i="14" s="1"/>
  <c r="K41" i="14"/>
  <c r="K42" i="14"/>
  <c r="K43" i="14"/>
  <c r="K44" i="14"/>
  <c r="K45" i="14"/>
  <c r="L45" i="14" s="1"/>
  <c r="K46" i="14"/>
  <c r="L46" i="14" s="1"/>
  <c r="K47" i="14"/>
  <c r="K48" i="14"/>
  <c r="K49" i="14"/>
  <c r="K6" i="14"/>
  <c r="O7" i="14"/>
  <c r="O8" i="14"/>
  <c r="O9" i="14"/>
  <c r="O10" i="14"/>
  <c r="O11" i="14"/>
  <c r="O13" i="14"/>
  <c r="O14" i="14"/>
  <c r="P14" i="14" s="1"/>
  <c r="O15" i="14"/>
  <c r="P15" i="14" s="1"/>
  <c r="O16" i="14"/>
  <c r="O17" i="14"/>
  <c r="O18" i="14"/>
  <c r="P18" i="14" s="1"/>
  <c r="O19" i="14"/>
  <c r="O20" i="14"/>
  <c r="P20" i="14" s="1"/>
  <c r="O21" i="14"/>
  <c r="P21" i="14" s="1"/>
  <c r="O22" i="14"/>
  <c r="O23" i="14"/>
  <c r="O24" i="14"/>
  <c r="O25" i="14"/>
  <c r="O27" i="14"/>
  <c r="P27" i="14" s="1"/>
  <c r="O28" i="14"/>
  <c r="P28" i="14" s="1"/>
  <c r="O29" i="14"/>
  <c r="O30" i="14"/>
  <c r="O31" i="14"/>
  <c r="P31" i="14" s="1"/>
  <c r="O32" i="14"/>
  <c r="P32" i="14" s="1"/>
  <c r="O33" i="14"/>
  <c r="P33" i="14" s="1"/>
  <c r="O34" i="14"/>
  <c r="P34" i="14" s="1"/>
  <c r="R34" i="14" s="1"/>
  <c r="O35" i="14"/>
  <c r="O36" i="14"/>
  <c r="P36" i="14" s="1"/>
  <c r="O37" i="14"/>
  <c r="P37" i="14" s="1"/>
  <c r="R37" i="14" s="1"/>
  <c r="O38" i="14"/>
  <c r="P38" i="14" s="1"/>
  <c r="O39" i="14"/>
  <c r="O40" i="14"/>
  <c r="P40" i="14" s="1"/>
  <c r="O41" i="14"/>
  <c r="O42" i="14"/>
  <c r="O43" i="14"/>
  <c r="O44" i="14"/>
  <c r="O45" i="14"/>
  <c r="O46" i="14"/>
  <c r="O47" i="14"/>
  <c r="O48" i="14"/>
  <c r="P48" i="14" s="1"/>
  <c r="O49" i="14"/>
  <c r="P49" i="14" s="1"/>
  <c r="O6" i="14"/>
  <c r="P8" i="14"/>
  <c r="P10" i="14"/>
  <c r="P22" i="14"/>
  <c r="P25" i="14"/>
  <c r="R25" i="14" s="1"/>
  <c r="P26" i="14"/>
  <c r="P45" i="14"/>
  <c r="P46" i="14"/>
  <c r="R26" i="13"/>
  <c r="R12" i="13"/>
  <c r="L26" i="14"/>
  <c r="P26" i="13"/>
  <c r="L26" i="13"/>
  <c r="J26" i="13"/>
  <c r="J49" i="13"/>
  <c r="J48" i="13"/>
  <c r="J47" i="13"/>
  <c r="J46" i="13"/>
  <c r="J45" i="13"/>
  <c r="J44" i="13"/>
  <c r="J43" i="13"/>
  <c r="J42" i="13"/>
  <c r="J41" i="13"/>
  <c r="J40" i="13"/>
  <c r="J39" i="13"/>
  <c r="J38" i="13"/>
  <c r="J37" i="13"/>
  <c r="J36" i="13"/>
  <c r="J35" i="13"/>
  <c r="J34" i="13"/>
  <c r="J33" i="13"/>
  <c r="J32" i="13"/>
  <c r="J31" i="13"/>
  <c r="J30" i="13"/>
  <c r="J29" i="13"/>
  <c r="J28" i="13"/>
  <c r="J27" i="13"/>
  <c r="J25" i="13"/>
  <c r="J24" i="13"/>
  <c r="J23" i="13"/>
  <c r="J22" i="13"/>
  <c r="J21" i="13"/>
  <c r="J20" i="13"/>
  <c r="J18" i="13"/>
  <c r="J17" i="13"/>
  <c r="J16" i="13"/>
  <c r="J15" i="13"/>
  <c r="J14" i="13"/>
  <c r="J13" i="13"/>
  <c r="J12" i="13"/>
  <c r="J11" i="13"/>
  <c r="J10" i="13"/>
  <c r="J6" i="13" s="1"/>
  <c r="J9" i="13"/>
  <c r="J8" i="13"/>
  <c r="J7" i="13"/>
  <c r="P49" i="13"/>
  <c r="P48" i="13"/>
  <c r="P47" i="13"/>
  <c r="P46" i="13"/>
  <c r="P45" i="13"/>
  <c r="P44" i="13"/>
  <c r="P43" i="13"/>
  <c r="P42" i="13"/>
  <c r="P41" i="13"/>
  <c r="P40" i="13"/>
  <c r="P39" i="13"/>
  <c r="P38" i="13"/>
  <c r="P37" i="13"/>
  <c r="P36" i="13"/>
  <c r="P35" i="13"/>
  <c r="P34" i="13"/>
  <c r="P33" i="13"/>
  <c r="P32" i="13"/>
  <c r="P31" i="13"/>
  <c r="P30" i="13"/>
  <c r="P29" i="13"/>
  <c r="P28" i="13"/>
  <c r="P27" i="13"/>
  <c r="P25" i="13"/>
  <c r="P24" i="13"/>
  <c r="P23" i="13"/>
  <c r="P22" i="13"/>
  <c r="P21" i="13"/>
  <c r="P20" i="13"/>
  <c r="P18" i="13"/>
  <c r="P17" i="13"/>
  <c r="P16" i="13"/>
  <c r="P15" i="13"/>
  <c r="P13" i="13" s="1"/>
  <c r="P14" i="13"/>
  <c r="P12" i="13"/>
  <c r="P11" i="13"/>
  <c r="P10" i="13"/>
  <c r="P9" i="13"/>
  <c r="P8" i="13"/>
  <c r="P7" i="13"/>
  <c r="L49" i="13"/>
  <c r="L48" i="13"/>
  <c r="L47" i="13"/>
  <c r="L46" i="13"/>
  <c r="L45" i="13"/>
  <c r="L44" i="13"/>
  <c r="L43" i="13"/>
  <c r="L42" i="13"/>
  <c r="L41" i="13"/>
  <c r="L40" i="13"/>
  <c r="L39" i="13"/>
  <c r="L38" i="13"/>
  <c r="L37" i="13"/>
  <c r="L36" i="13"/>
  <c r="L35" i="13"/>
  <c r="L34" i="13"/>
  <c r="L33" i="13"/>
  <c r="L32" i="13"/>
  <c r="L31" i="13"/>
  <c r="L30" i="13"/>
  <c r="L29" i="13"/>
  <c r="L28" i="13"/>
  <c r="L27" i="13"/>
  <c r="L25" i="13"/>
  <c r="L24" i="13"/>
  <c r="L23" i="13"/>
  <c r="L22" i="13"/>
  <c r="L21" i="13"/>
  <c r="L20" i="13"/>
  <c r="L18" i="13"/>
  <c r="L17" i="13"/>
  <c r="L16" i="13"/>
  <c r="L15" i="13"/>
  <c r="L14" i="13"/>
  <c r="L13" i="13"/>
  <c r="L12" i="13"/>
  <c r="L11" i="13"/>
  <c r="L10" i="13"/>
  <c r="L6" i="13" s="1"/>
  <c r="L9" i="13"/>
  <c r="L8" i="13"/>
  <c r="L7" i="13"/>
  <c r="L49" i="14"/>
  <c r="L48" i="14"/>
  <c r="L47" i="14" s="1"/>
  <c r="L44" i="14"/>
  <c r="L43" i="14"/>
  <c r="L42" i="14"/>
  <c r="L41" i="14"/>
  <c r="L38" i="14"/>
  <c r="L37" i="14"/>
  <c r="L36" i="14"/>
  <c r="L35" i="14"/>
  <c r="L32" i="14"/>
  <c r="L31" i="14"/>
  <c r="L30" i="14"/>
  <c r="L29" i="14"/>
  <c r="L27" i="14"/>
  <c r="L25" i="14"/>
  <c r="L24" i="14"/>
  <c r="L23" i="14"/>
  <c r="L20" i="14"/>
  <c r="L18" i="14"/>
  <c r="L17" i="14"/>
  <c r="L12" i="14"/>
  <c r="L11" i="14"/>
  <c r="L10" i="14"/>
  <c r="L9" i="14"/>
  <c r="P41" i="14"/>
  <c r="P42" i="14"/>
  <c r="P43" i="14"/>
  <c r="R43" i="14" s="1"/>
  <c r="P44" i="14"/>
  <c r="P39" i="14"/>
  <c r="R39" i="14" s="1"/>
  <c r="P29" i="14"/>
  <c r="P30" i="14"/>
  <c r="R30" i="14" s="1"/>
  <c r="P35" i="14"/>
  <c r="P23" i="14"/>
  <c r="P24" i="14"/>
  <c r="R24" i="14" s="1"/>
  <c r="P17" i="14"/>
  <c r="P12" i="14"/>
  <c r="P9" i="14"/>
  <c r="P7" i="14"/>
  <c r="Q12" i="14"/>
  <c r="Q14" i="14"/>
  <c r="Q15" i="14"/>
  <c r="Q17" i="14"/>
  <c r="R17" i="14" s="1"/>
  <c r="Q18" i="14"/>
  <c r="Q20" i="14"/>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8" i="14"/>
  <c r="Q49" i="14"/>
  <c r="Q7" i="14"/>
  <c r="Q8" i="14"/>
  <c r="Q9" i="14"/>
  <c r="Q10" i="14"/>
  <c r="K15" i="13"/>
  <c r="K7" i="13"/>
  <c r="R59" i="14"/>
  <c r="K51" i="14"/>
  <c r="M38" i="13"/>
  <c r="K21" i="13"/>
  <c r="Q34" i="13"/>
  <c r="K14" i="13"/>
  <c r="F33" i="16" l="1"/>
  <c r="I33" i="16" s="1"/>
  <c r="K33" i="16" s="1"/>
  <c r="E33" i="16"/>
  <c r="N41" i="16"/>
  <c r="I27" i="16"/>
  <c r="F13" i="16"/>
  <c r="K13" i="16"/>
  <c r="C18" i="16"/>
  <c r="E18" i="16" s="1"/>
  <c r="I40" i="16"/>
  <c r="I41" i="16" s="1"/>
  <c r="D41" i="16"/>
  <c r="C19" i="16"/>
  <c r="E19" i="16" s="1"/>
  <c r="C32" i="16"/>
  <c r="F5" i="16"/>
  <c r="F6" i="16" s="1"/>
  <c r="F27" i="16"/>
  <c r="N40" i="16"/>
  <c r="J34" i="16"/>
  <c r="P41" i="16"/>
  <c r="O13" i="16"/>
  <c r="C39" i="16"/>
  <c r="D39" i="16"/>
  <c r="T24" i="22"/>
  <c r="P47" i="22"/>
  <c r="R49" i="22"/>
  <c r="P16" i="22"/>
  <c r="T49" i="22"/>
  <c r="P36" i="20"/>
  <c r="R36" i="20" s="1"/>
  <c r="O51" i="20"/>
  <c r="J39" i="16" s="1"/>
  <c r="L13" i="20"/>
  <c r="P47" i="20"/>
  <c r="I62" i="20"/>
  <c r="N49" i="20"/>
  <c r="R17" i="20"/>
  <c r="N15" i="20"/>
  <c r="N13" i="20" s="1"/>
  <c r="S21" i="20"/>
  <c r="S32" i="20"/>
  <c r="S34" i="20"/>
  <c r="S38" i="20"/>
  <c r="S41" i="20"/>
  <c r="O40" i="20"/>
  <c r="P40" i="20" s="1"/>
  <c r="R40" i="20" s="1"/>
  <c r="R16" i="22"/>
  <c r="T22" i="22"/>
  <c r="R9" i="22"/>
  <c r="S10" i="22"/>
  <c r="S22" i="22"/>
  <c r="S27" i="22"/>
  <c r="T46" i="22"/>
  <c r="S28" i="22"/>
  <c r="S39" i="22"/>
  <c r="S45" i="22"/>
  <c r="T44" i="22"/>
  <c r="T26" i="22"/>
  <c r="T42" i="22"/>
  <c r="S9" i="22"/>
  <c r="S46" i="22"/>
  <c r="R48" i="22"/>
  <c r="R47" i="22" s="1"/>
  <c r="T28" i="22"/>
  <c r="S44" i="22"/>
  <c r="R29" i="22"/>
  <c r="R35" i="22"/>
  <c r="R39" i="22"/>
  <c r="R45" i="22"/>
  <c r="R43" i="22"/>
  <c r="R37" i="22"/>
  <c r="R28" i="22"/>
  <c r="R31" i="22"/>
  <c r="R46" i="22"/>
  <c r="M20" i="22"/>
  <c r="M14" i="22"/>
  <c r="M24" i="22"/>
  <c r="S24" i="22" s="1"/>
  <c r="L51" i="22"/>
  <c r="M30" i="22"/>
  <c r="S30" i="22" s="1"/>
  <c r="M42" i="22"/>
  <c r="S42" i="22" s="1"/>
  <c r="N41" i="22"/>
  <c r="L13" i="22"/>
  <c r="L19" i="22"/>
  <c r="N25" i="22"/>
  <c r="N51" i="22" s="1"/>
  <c r="M36" i="22"/>
  <c r="K51" i="22"/>
  <c r="K62" i="22" s="1"/>
  <c r="N39" i="22"/>
  <c r="N36" i="22"/>
  <c r="N33" i="22"/>
  <c r="T33" i="22" s="1"/>
  <c r="N21" i="22"/>
  <c r="N19" i="22" s="1"/>
  <c r="N15" i="22"/>
  <c r="N13" i="22" s="1"/>
  <c r="N12" i="22"/>
  <c r="N11" i="22" s="1"/>
  <c r="N48" i="22"/>
  <c r="N47" i="22" s="1"/>
  <c r="I62" i="22"/>
  <c r="M8" i="22"/>
  <c r="S8" i="22" s="1"/>
  <c r="M17" i="22"/>
  <c r="M16" i="22" s="1"/>
  <c r="P40" i="22"/>
  <c r="R40" i="22" s="1"/>
  <c r="M11" i="22"/>
  <c r="S12" i="22"/>
  <c r="S11" i="22" s="1"/>
  <c r="P41" i="22"/>
  <c r="R41" i="22" s="1"/>
  <c r="J62" i="22"/>
  <c r="T20" i="22"/>
  <c r="T27" i="22"/>
  <c r="T35" i="22"/>
  <c r="T45" i="22"/>
  <c r="R20" i="22"/>
  <c r="P32" i="22"/>
  <c r="R32" i="22" s="1"/>
  <c r="N8" i="22"/>
  <c r="T8" i="22" s="1"/>
  <c r="N9" i="22"/>
  <c r="T9" i="22" s="1"/>
  <c r="N10" i="22"/>
  <c r="T10" i="22" s="1"/>
  <c r="S20" i="22"/>
  <c r="T23" i="22"/>
  <c r="T29" i="22"/>
  <c r="P34" i="22"/>
  <c r="R34" i="22" s="1"/>
  <c r="T39" i="22"/>
  <c r="M47" i="22"/>
  <c r="S48" i="22"/>
  <c r="S47" i="22" s="1"/>
  <c r="P11" i="22"/>
  <c r="R12" i="22"/>
  <c r="R11" i="22" s="1"/>
  <c r="P21" i="22"/>
  <c r="R21" i="22" s="1"/>
  <c r="T31" i="22"/>
  <c r="P38" i="22"/>
  <c r="R38" i="22" s="1"/>
  <c r="T43" i="22"/>
  <c r="L7" i="22"/>
  <c r="P25" i="22"/>
  <c r="M7" i="22"/>
  <c r="O7" i="22" s="1"/>
  <c r="P15" i="22"/>
  <c r="R15" i="22" s="1"/>
  <c r="N7" i="22"/>
  <c r="L17" i="22"/>
  <c r="L18" i="22"/>
  <c r="N18" i="22" s="1"/>
  <c r="T18" i="22" s="1"/>
  <c r="M25" i="22"/>
  <c r="C41" i="16"/>
  <c r="F32" i="16"/>
  <c r="P13" i="20"/>
  <c r="P11" i="20"/>
  <c r="R11" i="20"/>
  <c r="P16" i="20"/>
  <c r="T8" i="20"/>
  <c r="S14" i="20"/>
  <c r="S15" i="20"/>
  <c r="S18" i="20"/>
  <c r="T49" i="20"/>
  <c r="T9" i="20"/>
  <c r="S24" i="20"/>
  <c r="S30" i="20"/>
  <c r="S36" i="20"/>
  <c r="S42" i="20"/>
  <c r="R8" i="20"/>
  <c r="R14" i="20"/>
  <c r="R15" i="20"/>
  <c r="T18" i="20"/>
  <c r="S48" i="20"/>
  <c r="S47" i="20" s="1"/>
  <c r="P55" i="20"/>
  <c r="R16" i="20"/>
  <c r="R18" i="20"/>
  <c r="T34" i="20"/>
  <c r="T35" i="20"/>
  <c r="T36" i="20"/>
  <c r="T39" i="20"/>
  <c r="T41" i="20"/>
  <c r="T42" i="20"/>
  <c r="T43" i="20"/>
  <c r="T44" i="20"/>
  <c r="T45" i="20"/>
  <c r="T46" i="20"/>
  <c r="R48" i="20"/>
  <c r="R49" i="20"/>
  <c r="R47" i="20" s="1"/>
  <c r="K62" i="20"/>
  <c r="T14" i="20"/>
  <c r="R7" i="20"/>
  <c r="R20" i="20"/>
  <c r="P6" i="20"/>
  <c r="M8" i="20"/>
  <c r="S8" i="20" s="1"/>
  <c r="T10" i="20"/>
  <c r="L16" i="20"/>
  <c r="N17" i="20"/>
  <c r="N48" i="20"/>
  <c r="N12" i="20"/>
  <c r="L11" i="20"/>
  <c r="R10" i="20"/>
  <c r="M11" i="20"/>
  <c r="S12" i="20"/>
  <c r="S11" i="20" s="1"/>
  <c r="S20" i="20"/>
  <c r="T21" i="20"/>
  <c r="T22" i="20"/>
  <c r="T23" i="20"/>
  <c r="T24" i="20"/>
  <c r="T26" i="20"/>
  <c r="T27" i="20"/>
  <c r="T28" i="20"/>
  <c r="T29" i="20"/>
  <c r="T30" i="20"/>
  <c r="T31" i="20"/>
  <c r="T32" i="20"/>
  <c r="T33" i="20"/>
  <c r="T37" i="20"/>
  <c r="T38" i="20"/>
  <c r="S17" i="20"/>
  <c r="S16" i="20" s="1"/>
  <c r="M16" i="20"/>
  <c r="J62" i="20"/>
  <c r="K55" i="20"/>
  <c r="L7" i="20"/>
  <c r="R9" i="20"/>
  <c r="N20" i="20"/>
  <c r="M13" i="20"/>
  <c r="P25" i="20"/>
  <c r="M25" i="20"/>
  <c r="M19" i="20" s="1"/>
  <c r="O55" i="20"/>
  <c r="N25" i="20"/>
  <c r="E27" i="16"/>
  <c r="S26" i="19"/>
  <c r="T40" i="19"/>
  <c r="R35" i="19"/>
  <c r="R44" i="19"/>
  <c r="R46" i="19"/>
  <c r="R28" i="19"/>
  <c r="R31" i="19"/>
  <c r="R37" i="19"/>
  <c r="R39" i="19"/>
  <c r="R43" i="19"/>
  <c r="P11" i="19"/>
  <c r="R11" i="19"/>
  <c r="R8" i="19"/>
  <c r="R15" i="19"/>
  <c r="R18" i="19"/>
  <c r="T23" i="19"/>
  <c r="T32" i="19"/>
  <c r="T43" i="19"/>
  <c r="P13" i="19"/>
  <c r="O51" i="19"/>
  <c r="T34" i="19"/>
  <c r="R49" i="19"/>
  <c r="T8" i="19"/>
  <c r="R14" i="19"/>
  <c r="R13" i="19" s="1"/>
  <c r="T38" i="19"/>
  <c r="T46" i="19"/>
  <c r="P55" i="19"/>
  <c r="T15" i="19"/>
  <c r="R48" i="19"/>
  <c r="T42" i="19"/>
  <c r="T30" i="19"/>
  <c r="S18" i="19"/>
  <c r="T28" i="19"/>
  <c r="R17" i="19"/>
  <c r="T26" i="19"/>
  <c r="T37" i="19"/>
  <c r="T44" i="19"/>
  <c r="M12" i="19"/>
  <c r="M11" i="19" s="1"/>
  <c r="N14" i="19"/>
  <c r="T14" i="19" s="1"/>
  <c r="T13" i="19" s="1"/>
  <c r="M48" i="19"/>
  <c r="M47" i="19" s="1"/>
  <c r="M20" i="19"/>
  <c r="S20" i="19" s="1"/>
  <c r="M24" i="19"/>
  <c r="S24" i="19" s="1"/>
  <c r="M30" i="19"/>
  <c r="S30" i="19" s="1"/>
  <c r="M36" i="19"/>
  <c r="S36" i="19" s="1"/>
  <c r="M42" i="19"/>
  <c r="S42" i="19" s="1"/>
  <c r="L36" i="19"/>
  <c r="N36" i="19" s="1"/>
  <c r="T36" i="19" s="1"/>
  <c r="N48" i="19"/>
  <c r="N12" i="19"/>
  <c r="N11" i="19" s="1"/>
  <c r="N22" i="19"/>
  <c r="T22" i="19" s="1"/>
  <c r="N29" i="19"/>
  <c r="T29" i="19" s="1"/>
  <c r="N35" i="19"/>
  <c r="T35" i="19" s="1"/>
  <c r="N41" i="19"/>
  <c r="T41" i="19" s="1"/>
  <c r="N21" i="19"/>
  <c r="T21" i="19" s="1"/>
  <c r="N27" i="19"/>
  <c r="T27" i="19" s="1"/>
  <c r="N33" i="19"/>
  <c r="T33" i="19" s="1"/>
  <c r="N39" i="19"/>
  <c r="T39" i="19" s="1"/>
  <c r="N45" i="19"/>
  <c r="T45" i="19" s="1"/>
  <c r="N9" i="19"/>
  <c r="T9" i="19" s="1"/>
  <c r="N24" i="19"/>
  <c r="T24" i="19" s="1"/>
  <c r="N13" i="19"/>
  <c r="R7" i="19"/>
  <c r="M9" i="19"/>
  <c r="S9" i="19" s="1"/>
  <c r="T20" i="19"/>
  <c r="P6" i="19"/>
  <c r="M8" i="19"/>
  <c r="S8" i="19" s="1"/>
  <c r="T10" i="19"/>
  <c r="S14" i="19"/>
  <c r="S13" i="19" s="1"/>
  <c r="M13" i="19"/>
  <c r="S17" i="19"/>
  <c r="M16" i="19"/>
  <c r="R20" i="19"/>
  <c r="R47" i="19"/>
  <c r="I62" i="19"/>
  <c r="R10" i="19"/>
  <c r="S12" i="19"/>
  <c r="S11" i="19" s="1"/>
  <c r="N49" i="19"/>
  <c r="T49" i="19" s="1"/>
  <c r="J62" i="19"/>
  <c r="K55" i="19"/>
  <c r="K62" i="19" s="1"/>
  <c r="L7" i="19"/>
  <c r="R9" i="19"/>
  <c r="P25" i="19"/>
  <c r="T25" i="19" s="1"/>
  <c r="M7" i="19"/>
  <c r="L17" i="19"/>
  <c r="L18" i="19"/>
  <c r="N18" i="19" s="1"/>
  <c r="T18" i="19" s="1"/>
  <c r="M25" i="19"/>
  <c r="O55" i="19"/>
  <c r="P11" i="18"/>
  <c r="R11" i="18"/>
  <c r="R22" i="18"/>
  <c r="L47" i="18"/>
  <c r="N14" i="18"/>
  <c r="N13" i="18" s="1"/>
  <c r="T22" i="18"/>
  <c r="R9" i="18"/>
  <c r="S27" i="18"/>
  <c r="R28" i="18"/>
  <c r="R30" i="18"/>
  <c r="S34" i="18"/>
  <c r="S38" i="18"/>
  <c r="S45" i="18"/>
  <c r="R46" i="18"/>
  <c r="T28" i="18"/>
  <c r="T46" i="18"/>
  <c r="P16" i="18"/>
  <c r="R36" i="18"/>
  <c r="T43" i="18"/>
  <c r="T37" i="18"/>
  <c r="T31" i="18"/>
  <c r="R18" i="18"/>
  <c r="T15" i="18"/>
  <c r="R17" i="18"/>
  <c r="S18" i="18"/>
  <c r="T49" i="18"/>
  <c r="R24" i="18"/>
  <c r="R42" i="18"/>
  <c r="M24" i="18"/>
  <c r="S24" i="18" s="1"/>
  <c r="M30" i="18"/>
  <c r="S30" i="18" s="1"/>
  <c r="M36" i="18"/>
  <c r="S36" i="18" s="1"/>
  <c r="M42" i="18"/>
  <c r="S42" i="18" s="1"/>
  <c r="L36" i="18"/>
  <c r="L19" i="18" s="1"/>
  <c r="M12" i="18"/>
  <c r="N48" i="18"/>
  <c r="T48" i="18" s="1"/>
  <c r="J62" i="18"/>
  <c r="N23" i="18"/>
  <c r="T23" i="18" s="1"/>
  <c r="N26" i="18"/>
  <c r="T26" i="18" s="1"/>
  <c r="N29" i="18"/>
  <c r="T29" i="18" s="1"/>
  <c r="N32" i="18"/>
  <c r="T32" i="18" s="1"/>
  <c r="N35" i="18"/>
  <c r="T35" i="18" s="1"/>
  <c r="N38" i="18"/>
  <c r="T38" i="18" s="1"/>
  <c r="N41" i="18"/>
  <c r="T41" i="18" s="1"/>
  <c r="N44" i="18"/>
  <c r="T44" i="18" s="1"/>
  <c r="N21" i="18"/>
  <c r="T21" i="18" s="1"/>
  <c r="N24" i="18"/>
  <c r="T24" i="18" s="1"/>
  <c r="N27" i="18"/>
  <c r="T27" i="18" s="1"/>
  <c r="N30" i="18"/>
  <c r="T30" i="18" s="1"/>
  <c r="N33" i="18"/>
  <c r="T33" i="18" s="1"/>
  <c r="N39" i="18"/>
  <c r="T39" i="18" s="1"/>
  <c r="N42" i="18"/>
  <c r="T42" i="18" s="1"/>
  <c r="N45" i="18"/>
  <c r="M9" i="18"/>
  <c r="S9" i="18" s="1"/>
  <c r="L9" i="18"/>
  <c r="N9" i="18" s="1"/>
  <c r="T9" i="18" s="1"/>
  <c r="R14" i="18"/>
  <c r="R13" i="18" s="1"/>
  <c r="P13" i="18"/>
  <c r="S20" i="18"/>
  <c r="I62" i="18"/>
  <c r="M8" i="18"/>
  <c r="S8" i="18" s="1"/>
  <c r="L8" i="18"/>
  <c r="N8" i="18" s="1"/>
  <c r="T8" i="18" s="1"/>
  <c r="R10" i="18"/>
  <c r="M11" i="18"/>
  <c r="S12" i="18"/>
  <c r="S11" i="18" s="1"/>
  <c r="R23" i="18"/>
  <c r="R29" i="18"/>
  <c r="R35" i="18"/>
  <c r="R41" i="18"/>
  <c r="T45" i="18"/>
  <c r="M47" i="18"/>
  <c r="S48" i="18"/>
  <c r="S47" i="18" s="1"/>
  <c r="K55" i="18"/>
  <c r="M7" i="18"/>
  <c r="L7" i="18"/>
  <c r="N7" i="18" s="1"/>
  <c r="N20" i="18"/>
  <c r="N47" i="18"/>
  <c r="K62" i="18"/>
  <c r="P55" i="18"/>
  <c r="R21" i="18"/>
  <c r="N25" i="18"/>
  <c r="R27" i="18"/>
  <c r="R33" i="18"/>
  <c r="R39" i="18"/>
  <c r="R45" i="18"/>
  <c r="N12" i="18"/>
  <c r="L11" i="18"/>
  <c r="S17" i="18"/>
  <c r="S16" i="18" s="1"/>
  <c r="M16" i="18"/>
  <c r="R20" i="18"/>
  <c r="R32" i="18"/>
  <c r="R38" i="18"/>
  <c r="R44" i="18"/>
  <c r="P6" i="18"/>
  <c r="M10" i="18"/>
  <c r="S10" i="18" s="1"/>
  <c r="L10" i="18"/>
  <c r="N10" i="18" s="1"/>
  <c r="T10" i="18" s="1"/>
  <c r="S14" i="18"/>
  <c r="S13" i="18" s="1"/>
  <c r="M13" i="18"/>
  <c r="R31" i="18"/>
  <c r="R37" i="18"/>
  <c r="R43" i="18"/>
  <c r="P25" i="18"/>
  <c r="P51" i="18" s="1"/>
  <c r="P47" i="18"/>
  <c r="L17" i="18"/>
  <c r="L18" i="18"/>
  <c r="N18" i="18" s="1"/>
  <c r="T18" i="18" s="1"/>
  <c r="M25" i="18"/>
  <c r="O55" i="18"/>
  <c r="O62" i="18" s="1"/>
  <c r="F19" i="16"/>
  <c r="I19" i="16" s="1"/>
  <c r="K19" i="16" s="1"/>
  <c r="F18" i="16"/>
  <c r="C13" i="16"/>
  <c r="P13" i="16"/>
  <c r="N43" i="17"/>
  <c r="N26" i="17"/>
  <c r="N31" i="17"/>
  <c r="T31" i="17" s="1"/>
  <c r="R11" i="17"/>
  <c r="N46" i="17"/>
  <c r="P47" i="17"/>
  <c r="L6" i="17"/>
  <c r="N41" i="17"/>
  <c r="T41" i="17" s="1"/>
  <c r="N10" i="17"/>
  <c r="T10" i="17" s="1"/>
  <c r="N15" i="17"/>
  <c r="T15" i="17" s="1"/>
  <c r="N20" i="17"/>
  <c r="T20" i="17" s="1"/>
  <c r="N27" i="17"/>
  <c r="T27" i="17" s="1"/>
  <c r="P11" i="17"/>
  <c r="J16" i="17"/>
  <c r="N23" i="17"/>
  <c r="T23" i="17" s="1"/>
  <c r="N40" i="17"/>
  <c r="T40" i="17" s="1"/>
  <c r="N49" i="17"/>
  <c r="T49" i="17" s="1"/>
  <c r="L16" i="17"/>
  <c r="P16" i="17"/>
  <c r="N25" i="17"/>
  <c r="T25" i="17" s="1"/>
  <c r="N38" i="17"/>
  <c r="T38" i="17" s="1"/>
  <c r="N29" i="17"/>
  <c r="T29" i="17" s="1"/>
  <c r="N37" i="17"/>
  <c r="T37" i="17" s="1"/>
  <c r="N9" i="17"/>
  <c r="T9" i="17" s="1"/>
  <c r="S16" i="17"/>
  <c r="R18" i="17"/>
  <c r="R16" i="17" s="1"/>
  <c r="L51" i="17"/>
  <c r="N7" i="17"/>
  <c r="T7" i="17" s="1"/>
  <c r="I50" i="17"/>
  <c r="I62" i="17" s="1"/>
  <c r="N32" i="17"/>
  <c r="T32" i="17" s="1"/>
  <c r="N36" i="17"/>
  <c r="T36" i="17" s="1"/>
  <c r="N42" i="17"/>
  <c r="T42" i="17" s="1"/>
  <c r="N45" i="17"/>
  <c r="T45" i="17" s="1"/>
  <c r="J55" i="17"/>
  <c r="N24" i="17"/>
  <c r="T24" i="17" s="1"/>
  <c r="N30" i="17"/>
  <c r="T30" i="17" s="1"/>
  <c r="N34" i="17"/>
  <c r="T34" i="17" s="1"/>
  <c r="J47" i="17"/>
  <c r="N12" i="17"/>
  <c r="N11" i="17" s="1"/>
  <c r="N22" i="17"/>
  <c r="T22" i="17" s="1"/>
  <c r="T26" i="17"/>
  <c r="N28" i="17"/>
  <c r="T28" i="17" s="1"/>
  <c r="T48" i="17"/>
  <c r="J6" i="17"/>
  <c r="N17" i="17"/>
  <c r="T17" i="17" s="1"/>
  <c r="N33" i="17"/>
  <c r="T33" i="17" s="1"/>
  <c r="T35" i="17"/>
  <c r="N39" i="17"/>
  <c r="T39" i="17" s="1"/>
  <c r="T43" i="17"/>
  <c r="T44" i="17"/>
  <c r="T46" i="17"/>
  <c r="P13" i="17"/>
  <c r="R14" i="17"/>
  <c r="R13" i="17" s="1"/>
  <c r="P6" i="17"/>
  <c r="R6" i="17"/>
  <c r="P55" i="17"/>
  <c r="O50" i="17"/>
  <c r="O62" i="17" s="1"/>
  <c r="S51" i="17"/>
  <c r="M51" i="17"/>
  <c r="P51" i="17"/>
  <c r="P19" i="17"/>
  <c r="N21" i="17"/>
  <c r="T21" i="17" s="1"/>
  <c r="M19" i="17"/>
  <c r="L19" i="17"/>
  <c r="M13" i="17"/>
  <c r="S14" i="17"/>
  <c r="S13" i="17" s="1"/>
  <c r="S19" i="17"/>
  <c r="M55" i="17"/>
  <c r="S47" i="17"/>
  <c r="J51" i="17"/>
  <c r="M6" i="17"/>
  <c r="J13" i="17"/>
  <c r="L14" i="17"/>
  <c r="L13" i="17" s="1"/>
  <c r="R23" i="17"/>
  <c r="R51" i="17"/>
  <c r="R53" i="17" s="1"/>
  <c r="M47" i="17"/>
  <c r="R48" i="17"/>
  <c r="R47" i="17" s="1"/>
  <c r="N8" i="17"/>
  <c r="T8" i="17" s="1"/>
  <c r="K13" i="17"/>
  <c r="K50" i="17" s="1"/>
  <c r="K62" i="17" s="1"/>
  <c r="S7" i="17"/>
  <c r="M11" i="17"/>
  <c r="M16" i="17"/>
  <c r="N18" i="17"/>
  <c r="T18" i="17" s="1"/>
  <c r="J19" i="17"/>
  <c r="N13" i="16"/>
  <c r="E13" i="16"/>
  <c r="C6" i="16"/>
  <c r="K4" i="16"/>
  <c r="H5" i="16"/>
  <c r="E4" i="16"/>
  <c r="H4" i="16"/>
  <c r="E5" i="16"/>
  <c r="R9" i="15"/>
  <c r="N17" i="15"/>
  <c r="T34" i="15"/>
  <c r="T46" i="15"/>
  <c r="P47" i="15"/>
  <c r="M13" i="15"/>
  <c r="R24" i="15"/>
  <c r="R35" i="15"/>
  <c r="R46" i="15"/>
  <c r="R8" i="15"/>
  <c r="T27" i="15"/>
  <c r="R11" i="15"/>
  <c r="R14" i="15"/>
  <c r="T26" i="15"/>
  <c r="T33" i="15"/>
  <c r="T35" i="15"/>
  <c r="T37" i="15"/>
  <c r="T44" i="15"/>
  <c r="R7" i="15"/>
  <c r="P6" i="15"/>
  <c r="T32" i="15"/>
  <c r="T40" i="15"/>
  <c r="T42" i="15"/>
  <c r="T36" i="15"/>
  <c r="S30" i="15"/>
  <c r="T24" i="15"/>
  <c r="T8" i="15"/>
  <c r="T31" i="15"/>
  <c r="T39" i="15"/>
  <c r="T43" i="15"/>
  <c r="T21" i="15"/>
  <c r="T23" i="15"/>
  <c r="T29" i="15"/>
  <c r="T38" i="15"/>
  <c r="T41" i="15"/>
  <c r="T45" i="15"/>
  <c r="T28" i="15"/>
  <c r="L51" i="15"/>
  <c r="L19" i="15"/>
  <c r="M18" i="15"/>
  <c r="S18" i="15" s="1"/>
  <c r="L22" i="15"/>
  <c r="N22" i="15" s="1"/>
  <c r="T22" i="15" s="1"/>
  <c r="L30" i="15"/>
  <c r="N30" i="15" s="1"/>
  <c r="T30" i="15" s="1"/>
  <c r="M36" i="15"/>
  <c r="S36" i="15" s="1"/>
  <c r="M44" i="15"/>
  <c r="S44" i="15" s="1"/>
  <c r="M38" i="15"/>
  <c r="S38" i="15" s="1"/>
  <c r="M32" i="15"/>
  <c r="S32" i="15" s="1"/>
  <c r="M26" i="15"/>
  <c r="S26" i="15" s="1"/>
  <c r="M12" i="15"/>
  <c r="S12" i="15" s="1"/>
  <c r="S11" i="15" s="1"/>
  <c r="M24" i="15"/>
  <c r="S24" i="15" s="1"/>
  <c r="M42" i="15"/>
  <c r="S42" i="15" s="1"/>
  <c r="K51" i="15"/>
  <c r="M46" i="15"/>
  <c r="S46" i="15" s="1"/>
  <c r="M40" i="15"/>
  <c r="S40" i="15" s="1"/>
  <c r="M34" i="15"/>
  <c r="S34" i="15" s="1"/>
  <c r="M28" i="15"/>
  <c r="S28" i="15" s="1"/>
  <c r="L16" i="15"/>
  <c r="N18" i="15"/>
  <c r="T18" i="15" s="1"/>
  <c r="N12" i="15"/>
  <c r="N11" i="15" s="1"/>
  <c r="S17" i="15"/>
  <c r="S14" i="15"/>
  <c r="S13" i="15" s="1"/>
  <c r="N10" i="15"/>
  <c r="T10" i="15" s="1"/>
  <c r="N14" i="15"/>
  <c r="N15" i="15"/>
  <c r="T15" i="15" s="1"/>
  <c r="M49" i="15"/>
  <c r="S49" i="15" s="1"/>
  <c r="J62" i="15"/>
  <c r="N7" i="15"/>
  <c r="L6" i="15"/>
  <c r="T14" i="15"/>
  <c r="T13" i="15" s="1"/>
  <c r="S20" i="15"/>
  <c r="S48" i="15"/>
  <c r="P55" i="15"/>
  <c r="T17" i="15"/>
  <c r="T16" i="15" s="1"/>
  <c r="R48" i="15"/>
  <c r="R49" i="15"/>
  <c r="K55" i="15"/>
  <c r="I50" i="15"/>
  <c r="I55" i="15"/>
  <c r="R13" i="15"/>
  <c r="R20" i="15"/>
  <c r="O51" i="15"/>
  <c r="P25" i="15"/>
  <c r="I51" i="15"/>
  <c r="M25" i="15"/>
  <c r="R10" i="15"/>
  <c r="R17" i="15"/>
  <c r="R16" i="15" s="1"/>
  <c r="P16" i="15"/>
  <c r="M7" i="15"/>
  <c r="L48" i="15"/>
  <c r="N48" i="15" s="1"/>
  <c r="L49" i="15"/>
  <c r="N49" i="15" s="1"/>
  <c r="T49" i="15" s="1"/>
  <c r="O55" i="15"/>
  <c r="N25" i="15"/>
  <c r="R11" i="14"/>
  <c r="L6" i="14"/>
  <c r="L16" i="14"/>
  <c r="L13" i="14"/>
  <c r="L50" i="14" s="1"/>
  <c r="L55" i="14"/>
  <c r="L19" i="14"/>
  <c r="R31" i="14"/>
  <c r="P11" i="14"/>
  <c r="R7" i="14"/>
  <c r="R36" i="14"/>
  <c r="R48" i="14"/>
  <c r="P47" i="14"/>
  <c r="R28" i="14"/>
  <c r="R22" i="14"/>
  <c r="R38" i="14"/>
  <c r="R49" i="14"/>
  <c r="L19" i="13"/>
  <c r="J19" i="13"/>
  <c r="P19" i="13"/>
  <c r="P6" i="13"/>
  <c r="R41" i="14"/>
  <c r="R40" i="14"/>
  <c r="R35" i="14"/>
  <c r="R32" i="14"/>
  <c r="R23" i="14"/>
  <c r="R14" i="14"/>
  <c r="R20" i="14"/>
  <c r="R27" i="14"/>
  <c r="R44" i="14"/>
  <c r="R21" i="14"/>
  <c r="R10" i="14"/>
  <c r="R46" i="14"/>
  <c r="R33" i="14"/>
  <c r="R45" i="14"/>
  <c r="R18" i="14"/>
  <c r="R16" i="14" s="1"/>
  <c r="R8" i="14"/>
  <c r="R9" i="14"/>
  <c r="O55" i="14"/>
  <c r="O50" i="14"/>
  <c r="P55" i="14"/>
  <c r="P6" i="14"/>
  <c r="P19" i="14"/>
  <c r="P13" i="14"/>
  <c r="K50" i="14"/>
  <c r="K55" i="14"/>
  <c r="R15" i="14"/>
  <c r="P16" i="14"/>
  <c r="P51" i="14"/>
  <c r="L51" i="14"/>
  <c r="R29" i="14"/>
  <c r="R42" i="14"/>
  <c r="O51" i="14"/>
  <c r="R59" i="13"/>
  <c r="L55" i="13"/>
  <c r="K55" i="13"/>
  <c r="J55" i="13"/>
  <c r="I55" i="13"/>
  <c r="L51" i="13"/>
  <c r="K51" i="13"/>
  <c r="J51" i="13"/>
  <c r="I51" i="13"/>
  <c r="R49" i="13"/>
  <c r="N49" i="13"/>
  <c r="T49" i="13" s="1"/>
  <c r="J49" i="14" s="1"/>
  <c r="N49" i="14" s="1"/>
  <c r="T49" i="14" s="1"/>
  <c r="M49" i="13"/>
  <c r="S49" i="13" s="1"/>
  <c r="I49" i="14" s="1"/>
  <c r="M49" i="14" s="1"/>
  <c r="S49" i="14" s="1"/>
  <c r="R48" i="13"/>
  <c r="O47" i="13"/>
  <c r="N48" i="13"/>
  <c r="T48" i="13" s="1"/>
  <c r="J48" i="14" s="1"/>
  <c r="N48" i="14" s="1"/>
  <c r="T48" i="14" s="1"/>
  <c r="M48" i="13"/>
  <c r="S48" i="13" s="1"/>
  <c r="I48" i="14" s="1"/>
  <c r="M48" i="14" s="1"/>
  <c r="S48" i="14" s="1"/>
  <c r="K47" i="13"/>
  <c r="I47" i="13"/>
  <c r="R46" i="13"/>
  <c r="N46" i="13"/>
  <c r="T46" i="13" s="1"/>
  <c r="J46" i="14" s="1"/>
  <c r="N46" i="14" s="1"/>
  <c r="T46" i="14" s="1"/>
  <c r="M46" i="13"/>
  <c r="S46" i="13" s="1"/>
  <c r="I46" i="14" s="1"/>
  <c r="M46" i="14" s="1"/>
  <c r="S46" i="14" s="1"/>
  <c r="R45" i="13"/>
  <c r="N45" i="13"/>
  <c r="T45" i="13" s="1"/>
  <c r="J45" i="14" s="1"/>
  <c r="N45" i="14" s="1"/>
  <c r="T45" i="14" s="1"/>
  <c r="M45" i="13"/>
  <c r="S45" i="13" s="1"/>
  <c r="I45" i="14" s="1"/>
  <c r="M45" i="14" s="1"/>
  <c r="S45" i="14" s="1"/>
  <c r="R44" i="13"/>
  <c r="N44" i="13"/>
  <c r="T44" i="13" s="1"/>
  <c r="J44" i="14" s="1"/>
  <c r="N44" i="14" s="1"/>
  <c r="T44" i="14" s="1"/>
  <c r="M44" i="13"/>
  <c r="N43" i="13"/>
  <c r="M43" i="13"/>
  <c r="S43" i="13" s="1"/>
  <c r="I43" i="14" s="1"/>
  <c r="M43" i="14" s="1"/>
  <c r="S43" i="14" s="1"/>
  <c r="R42" i="13"/>
  <c r="N42" i="13"/>
  <c r="T42" i="13" s="1"/>
  <c r="J42" i="14" s="1"/>
  <c r="N42" i="14" s="1"/>
  <c r="T42" i="14" s="1"/>
  <c r="M42" i="13"/>
  <c r="S42" i="13" s="1"/>
  <c r="I42" i="14" s="1"/>
  <c r="M42" i="14" s="1"/>
  <c r="S42" i="14" s="1"/>
  <c r="R41" i="13"/>
  <c r="N41" i="13"/>
  <c r="T41" i="13" s="1"/>
  <c r="J41" i="14" s="1"/>
  <c r="N41" i="14" s="1"/>
  <c r="T41" i="14" s="1"/>
  <c r="M41" i="13"/>
  <c r="S41" i="13" s="1"/>
  <c r="I41" i="14" s="1"/>
  <c r="M41" i="14" s="1"/>
  <c r="S41" i="14" s="1"/>
  <c r="R40" i="13"/>
  <c r="N40" i="13"/>
  <c r="T40" i="13" s="1"/>
  <c r="J40" i="14" s="1"/>
  <c r="N40" i="14" s="1"/>
  <c r="T40" i="14" s="1"/>
  <c r="M40" i="13"/>
  <c r="S40" i="13" s="1"/>
  <c r="I40" i="14" s="1"/>
  <c r="M40" i="14" s="1"/>
  <c r="S40" i="14" s="1"/>
  <c r="R39" i="13"/>
  <c r="N39" i="13"/>
  <c r="T39" i="13" s="1"/>
  <c r="J39" i="14" s="1"/>
  <c r="N39" i="14" s="1"/>
  <c r="T39" i="14" s="1"/>
  <c r="M39" i="13"/>
  <c r="S39" i="13" s="1"/>
  <c r="I39" i="14" s="1"/>
  <c r="M39" i="14" s="1"/>
  <c r="S39" i="14" s="1"/>
  <c r="R38" i="13"/>
  <c r="S38" i="13"/>
  <c r="I38" i="14" s="1"/>
  <c r="M38" i="14" s="1"/>
  <c r="S38" i="14" s="1"/>
  <c r="N38" i="13"/>
  <c r="T38" i="13" s="1"/>
  <c r="J38" i="14" s="1"/>
  <c r="N38" i="14" s="1"/>
  <c r="T38" i="14" s="1"/>
  <c r="R37" i="13"/>
  <c r="N37" i="13"/>
  <c r="T37" i="13" s="1"/>
  <c r="J37" i="14" s="1"/>
  <c r="N37" i="14" s="1"/>
  <c r="T37" i="14" s="1"/>
  <c r="M37" i="13"/>
  <c r="N36" i="13"/>
  <c r="T36" i="13" s="1"/>
  <c r="J36" i="14" s="1"/>
  <c r="N36" i="14" s="1"/>
  <c r="T36" i="14" s="1"/>
  <c r="M36" i="13"/>
  <c r="S36" i="13" s="1"/>
  <c r="I36" i="14" s="1"/>
  <c r="M36" i="14" s="1"/>
  <c r="S36" i="14" s="1"/>
  <c r="R35" i="13"/>
  <c r="N35" i="13"/>
  <c r="T35" i="13" s="1"/>
  <c r="J35" i="14" s="1"/>
  <c r="N35" i="14" s="1"/>
  <c r="T35" i="14" s="1"/>
  <c r="M35" i="13"/>
  <c r="S35" i="13" s="1"/>
  <c r="I35" i="14" s="1"/>
  <c r="M35" i="14" s="1"/>
  <c r="S35" i="14" s="1"/>
  <c r="R34" i="13"/>
  <c r="N34" i="13"/>
  <c r="T34" i="13" s="1"/>
  <c r="J34" i="14" s="1"/>
  <c r="N34" i="14" s="1"/>
  <c r="T34" i="14" s="1"/>
  <c r="M34" i="13"/>
  <c r="S34" i="13" s="1"/>
  <c r="I34" i="14" s="1"/>
  <c r="M34" i="14" s="1"/>
  <c r="S34" i="14" s="1"/>
  <c r="R33" i="13"/>
  <c r="N33" i="13"/>
  <c r="T33" i="13" s="1"/>
  <c r="J33" i="14" s="1"/>
  <c r="N33" i="14" s="1"/>
  <c r="T33" i="14" s="1"/>
  <c r="M33" i="13"/>
  <c r="S33" i="13" s="1"/>
  <c r="I33" i="14" s="1"/>
  <c r="M33" i="14" s="1"/>
  <c r="S33" i="14" s="1"/>
  <c r="R32" i="13"/>
  <c r="N32" i="13"/>
  <c r="T32" i="13" s="1"/>
  <c r="J32" i="14" s="1"/>
  <c r="N32" i="14" s="1"/>
  <c r="T32" i="14" s="1"/>
  <c r="M32" i="13"/>
  <c r="N31" i="13"/>
  <c r="M31" i="13"/>
  <c r="S31" i="13" s="1"/>
  <c r="I31" i="14" s="1"/>
  <c r="M31" i="14" s="1"/>
  <c r="S31" i="14" s="1"/>
  <c r="R30" i="13"/>
  <c r="N30" i="13"/>
  <c r="T30" i="13" s="1"/>
  <c r="J30" i="14" s="1"/>
  <c r="N30" i="14" s="1"/>
  <c r="T30" i="14" s="1"/>
  <c r="M30" i="13"/>
  <c r="S30" i="13" s="1"/>
  <c r="I30" i="14" s="1"/>
  <c r="M30" i="14" s="1"/>
  <c r="S30" i="14" s="1"/>
  <c r="R29" i="13"/>
  <c r="N29" i="13"/>
  <c r="T29" i="13" s="1"/>
  <c r="J29" i="14" s="1"/>
  <c r="N29" i="14" s="1"/>
  <c r="T29" i="14" s="1"/>
  <c r="M29" i="13"/>
  <c r="S29" i="13" s="1"/>
  <c r="I29" i="14" s="1"/>
  <c r="M29" i="14" s="1"/>
  <c r="S29" i="14" s="1"/>
  <c r="R28" i="13"/>
  <c r="N28" i="13"/>
  <c r="T28" i="13" s="1"/>
  <c r="J28" i="14" s="1"/>
  <c r="N28" i="14" s="1"/>
  <c r="T28" i="14" s="1"/>
  <c r="M28" i="13"/>
  <c r="S28" i="13" s="1"/>
  <c r="I28" i="14" s="1"/>
  <c r="M28" i="14" s="1"/>
  <c r="S28" i="14" s="1"/>
  <c r="R27" i="13"/>
  <c r="N27" i="13"/>
  <c r="T27" i="13" s="1"/>
  <c r="J27" i="14" s="1"/>
  <c r="N27" i="14" s="1"/>
  <c r="T27" i="14" s="1"/>
  <c r="M27" i="13"/>
  <c r="S27" i="13" s="1"/>
  <c r="I27" i="14" s="1"/>
  <c r="M27" i="14" s="1"/>
  <c r="S27" i="14" s="1"/>
  <c r="N26" i="13"/>
  <c r="T26" i="13" s="1"/>
  <c r="J26" i="14" s="1"/>
  <c r="N26" i="14" s="1"/>
  <c r="M26" i="13"/>
  <c r="P51" i="13"/>
  <c r="O51" i="13"/>
  <c r="N25" i="13"/>
  <c r="M25" i="13"/>
  <c r="S25" i="13" s="1"/>
  <c r="I25" i="14" s="1"/>
  <c r="R24" i="13"/>
  <c r="N24" i="13"/>
  <c r="T24" i="13" s="1"/>
  <c r="J24" i="14" s="1"/>
  <c r="N24" i="14" s="1"/>
  <c r="T24" i="14" s="1"/>
  <c r="M24" i="13"/>
  <c r="S24" i="13" s="1"/>
  <c r="I24" i="14" s="1"/>
  <c r="M24" i="14" s="1"/>
  <c r="S24" i="14" s="1"/>
  <c r="R23" i="13"/>
  <c r="N23" i="13"/>
  <c r="T23" i="13" s="1"/>
  <c r="J23" i="14" s="1"/>
  <c r="N23" i="14" s="1"/>
  <c r="T23" i="14" s="1"/>
  <c r="M23" i="13"/>
  <c r="S23" i="13" s="1"/>
  <c r="I23" i="14" s="1"/>
  <c r="M23" i="14" s="1"/>
  <c r="S23" i="14" s="1"/>
  <c r="R22" i="13"/>
  <c r="N22" i="13"/>
  <c r="T22" i="13" s="1"/>
  <c r="J22" i="14" s="1"/>
  <c r="N22" i="14" s="1"/>
  <c r="T22" i="14" s="1"/>
  <c r="M22" i="13"/>
  <c r="S22" i="13" s="1"/>
  <c r="I22" i="14" s="1"/>
  <c r="M22" i="14" s="1"/>
  <c r="S22" i="14" s="1"/>
  <c r="R21" i="13"/>
  <c r="N21" i="13"/>
  <c r="T21" i="13" s="1"/>
  <c r="J21" i="14" s="1"/>
  <c r="N21" i="14" s="1"/>
  <c r="T21" i="14" s="1"/>
  <c r="M21" i="13"/>
  <c r="S21" i="13" s="1"/>
  <c r="I21" i="14" s="1"/>
  <c r="M21" i="14" s="1"/>
  <c r="S21" i="14" s="1"/>
  <c r="R20" i="13"/>
  <c r="O19" i="13"/>
  <c r="N20" i="13"/>
  <c r="T20" i="13" s="1"/>
  <c r="J20" i="14" s="1"/>
  <c r="N20" i="14" s="1"/>
  <c r="T20" i="14" s="1"/>
  <c r="M20" i="13"/>
  <c r="K19" i="13"/>
  <c r="I19" i="13"/>
  <c r="R18" i="13"/>
  <c r="O16" i="13"/>
  <c r="N18" i="13"/>
  <c r="T18" i="13" s="1"/>
  <c r="J18" i="14" s="1"/>
  <c r="N18" i="14" s="1"/>
  <c r="T18" i="14" s="1"/>
  <c r="M18" i="13"/>
  <c r="N17" i="13"/>
  <c r="M17" i="13"/>
  <c r="S17" i="13" s="1"/>
  <c r="I17" i="14" s="1"/>
  <c r="M17" i="14" s="1"/>
  <c r="S17" i="14" s="1"/>
  <c r="K16" i="13"/>
  <c r="I16" i="13"/>
  <c r="N15" i="13"/>
  <c r="M15" i="13"/>
  <c r="S15" i="13" s="1"/>
  <c r="I15" i="14" s="1"/>
  <c r="M15" i="14" s="1"/>
  <c r="R14" i="13"/>
  <c r="N14" i="13"/>
  <c r="T14" i="13" s="1"/>
  <c r="J14" i="14" s="1"/>
  <c r="N14" i="14" s="1"/>
  <c r="T14" i="14" s="1"/>
  <c r="M14" i="13"/>
  <c r="S14" i="13" s="1"/>
  <c r="I14" i="14" s="1"/>
  <c r="M14" i="14" s="1"/>
  <c r="S14" i="14" s="1"/>
  <c r="O13" i="13"/>
  <c r="K13" i="13"/>
  <c r="I13" i="13"/>
  <c r="R11" i="13"/>
  <c r="N12" i="13"/>
  <c r="T12" i="13" s="1"/>
  <c r="M12" i="13"/>
  <c r="S12" i="13" s="1"/>
  <c r="O11" i="13"/>
  <c r="K11" i="13"/>
  <c r="I11" i="13"/>
  <c r="R10" i="13"/>
  <c r="N10" i="13"/>
  <c r="T10" i="13" s="1"/>
  <c r="J10" i="14" s="1"/>
  <c r="N10" i="14" s="1"/>
  <c r="T10" i="14" s="1"/>
  <c r="M10" i="13"/>
  <c r="S10" i="13" s="1"/>
  <c r="I10" i="14" s="1"/>
  <c r="M10" i="14" s="1"/>
  <c r="S10" i="14" s="1"/>
  <c r="R9" i="13"/>
  <c r="N9" i="13"/>
  <c r="T9" i="13" s="1"/>
  <c r="J9" i="14" s="1"/>
  <c r="N9" i="14" s="1"/>
  <c r="T9" i="14" s="1"/>
  <c r="M9" i="13"/>
  <c r="S9" i="13" s="1"/>
  <c r="I9" i="14" s="1"/>
  <c r="M9" i="14" s="1"/>
  <c r="S9" i="14" s="1"/>
  <c r="R8" i="13"/>
  <c r="N8" i="13"/>
  <c r="T8" i="13" s="1"/>
  <c r="J8" i="14" s="1"/>
  <c r="N8" i="14" s="1"/>
  <c r="T8" i="14" s="1"/>
  <c r="M8" i="13"/>
  <c r="S8" i="13" s="1"/>
  <c r="I8" i="14" s="1"/>
  <c r="M8" i="14" s="1"/>
  <c r="S8" i="14" s="1"/>
  <c r="R7" i="13"/>
  <c r="O55" i="13"/>
  <c r="N7" i="13"/>
  <c r="T7" i="13" s="1"/>
  <c r="J7" i="14" s="1"/>
  <c r="N7" i="14" s="1"/>
  <c r="T7" i="14" s="1"/>
  <c r="M7" i="13"/>
  <c r="O6" i="13"/>
  <c r="K6" i="13"/>
  <c r="I6" i="13"/>
  <c r="E20" i="16" l="1"/>
  <c r="I5" i="16"/>
  <c r="K5" i="16" s="1"/>
  <c r="K6" i="16" s="1"/>
  <c r="E32" i="16"/>
  <c r="E34" i="16" s="1"/>
  <c r="C34" i="16"/>
  <c r="C20" i="16"/>
  <c r="T40" i="22"/>
  <c r="M13" i="22"/>
  <c r="O14" i="22"/>
  <c r="P14" i="22" s="1"/>
  <c r="T14" i="22" s="1"/>
  <c r="T13" i="22" s="1"/>
  <c r="T12" i="22"/>
  <c r="T11" i="22" s="1"/>
  <c r="P36" i="22"/>
  <c r="R36" i="22" s="1"/>
  <c r="O36" i="22"/>
  <c r="T48" i="22"/>
  <c r="T47" i="22" s="1"/>
  <c r="T40" i="20"/>
  <c r="T15" i="20"/>
  <c r="R13" i="20"/>
  <c r="O62" i="20"/>
  <c r="O40" i="16"/>
  <c r="J40" i="16"/>
  <c r="J41" i="16" s="1"/>
  <c r="P19" i="20"/>
  <c r="S40" i="20"/>
  <c r="T15" i="22"/>
  <c r="S36" i="22"/>
  <c r="M19" i="22"/>
  <c r="T38" i="22"/>
  <c r="S17" i="22"/>
  <c r="S16" i="22" s="1"/>
  <c r="S40" i="22"/>
  <c r="T32" i="22"/>
  <c r="S32" i="22"/>
  <c r="S25" i="22"/>
  <c r="M51" i="22"/>
  <c r="R14" i="22"/>
  <c r="R13" i="22" s="1"/>
  <c r="T41" i="22"/>
  <c r="S15" i="22"/>
  <c r="S41" i="22"/>
  <c r="M6" i="22"/>
  <c r="M55" i="22"/>
  <c r="S38" i="22"/>
  <c r="S34" i="22"/>
  <c r="O51" i="22"/>
  <c r="N6" i="22"/>
  <c r="L6" i="22"/>
  <c r="L55" i="22"/>
  <c r="L16" i="22"/>
  <c r="N17" i="22"/>
  <c r="P51" i="22"/>
  <c r="R25" i="22"/>
  <c r="R51" i="22" s="1"/>
  <c r="R53" i="22" s="1"/>
  <c r="S21" i="22"/>
  <c r="T25" i="22"/>
  <c r="T21" i="22"/>
  <c r="T34" i="22"/>
  <c r="I32" i="16"/>
  <c r="F34" i="16"/>
  <c r="S13" i="20"/>
  <c r="T13" i="20"/>
  <c r="T25" i="20"/>
  <c r="T51" i="20" s="1"/>
  <c r="N51" i="20"/>
  <c r="N47" i="20"/>
  <c r="T48" i="20"/>
  <c r="T47" i="20" s="1"/>
  <c r="S25" i="20"/>
  <c r="S51" i="20" s="1"/>
  <c r="E39" i="16" s="1"/>
  <c r="M51" i="20"/>
  <c r="M6" i="20"/>
  <c r="M50" i="20" s="1"/>
  <c r="M55" i="20"/>
  <c r="S7" i="20"/>
  <c r="T17" i="20"/>
  <c r="T16" i="20" s="1"/>
  <c r="N16" i="20"/>
  <c r="T20" i="20"/>
  <c r="T19" i="20" s="1"/>
  <c r="N19" i="20"/>
  <c r="P50" i="20"/>
  <c r="P51" i="20"/>
  <c r="O39" i="16" s="1"/>
  <c r="R25" i="20"/>
  <c r="R51" i="20" s="1"/>
  <c r="R53" i="20" s="1"/>
  <c r="G32" i="16" s="1"/>
  <c r="H32" i="16" s="1"/>
  <c r="N7" i="20"/>
  <c r="L6" i="20"/>
  <c r="L50" i="20" s="1"/>
  <c r="L55" i="20"/>
  <c r="R55" i="20"/>
  <c r="R57" i="20" s="1"/>
  <c r="G33" i="16" s="1"/>
  <c r="R6" i="20"/>
  <c r="N11" i="20"/>
  <c r="T12" i="20"/>
  <c r="T11" i="20" s="1"/>
  <c r="L19" i="19"/>
  <c r="N47" i="19"/>
  <c r="O62" i="19"/>
  <c r="S16" i="19"/>
  <c r="R16" i="19"/>
  <c r="T12" i="19"/>
  <c r="T11" i="19" s="1"/>
  <c r="T48" i="19"/>
  <c r="T47" i="19" s="1"/>
  <c r="S48" i="19"/>
  <c r="S47" i="19" s="1"/>
  <c r="M19" i="19"/>
  <c r="L51" i="19"/>
  <c r="T51" i="19"/>
  <c r="N51" i="19"/>
  <c r="N19" i="19"/>
  <c r="L16" i="19"/>
  <c r="N17" i="19"/>
  <c r="R55" i="19"/>
  <c r="R57" i="19" s="1"/>
  <c r="R6" i="19"/>
  <c r="M6" i="19"/>
  <c r="M55" i="19"/>
  <c r="S7" i="19"/>
  <c r="S25" i="19"/>
  <c r="S51" i="19" s="1"/>
  <c r="M51" i="19"/>
  <c r="N7" i="19"/>
  <c r="L6" i="19"/>
  <c r="L50" i="19" s="1"/>
  <c r="L55" i="19"/>
  <c r="P51" i="19"/>
  <c r="R25" i="19"/>
  <c r="R51" i="19" s="1"/>
  <c r="R53" i="19" s="1"/>
  <c r="P19" i="19"/>
  <c r="P50" i="19" s="1"/>
  <c r="P62" i="19" s="1"/>
  <c r="T19" i="19"/>
  <c r="L51" i="18"/>
  <c r="R6" i="18"/>
  <c r="T14" i="18"/>
  <c r="T13" i="18" s="1"/>
  <c r="T47" i="18"/>
  <c r="R16" i="18"/>
  <c r="N36" i="18"/>
  <c r="T36" i="18" s="1"/>
  <c r="M19" i="18"/>
  <c r="S25" i="18"/>
  <c r="S51" i="18" s="1"/>
  <c r="M51" i="18"/>
  <c r="R25" i="18"/>
  <c r="R51" i="18" s="1"/>
  <c r="R53" i="18" s="1"/>
  <c r="T25" i="18"/>
  <c r="T51" i="18" s="1"/>
  <c r="N51" i="18"/>
  <c r="M6" i="18"/>
  <c r="M50" i="18" s="1"/>
  <c r="M55" i="18"/>
  <c r="S7" i="18"/>
  <c r="L16" i="18"/>
  <c r="N17" i="18"/>
  <c r="N55" i="18" s="1"/>
  <c r="P19" i="18"/>
  <c r="P50" i="18" s="1"/>
  <c r="P62" i="18" s="1"/>
  <c r="N6" i="18"/>
  <c r="T7" i="18"/>
  <c r="N11" i="18"/>
  <c r="T12" i="18"/>
  <c r="T11" i="18" s="1"/>
  <c r="T20" i="18"/>
  <c r="N19" i="18"/>
  <c r="R55" i="18"/>
  <c r="R57" i="18" s="1"/>
  <c r="L6" i="18"/>
  <c r="L55" i="18"/>
  <c r="H19" i="16"/>
  <c r="I18" i="16"/>
  <c r="F20" i="16"/>
  <c r="H18" i="16"/>
  <c r="H6" i="16"/>
  <c r="L50" i="17"/>
  <c r="T16" i="17"/>
  <c r="N51" i="17"/>
  <c r="T47" i="17"/>
  <c r="T12" i="17"/>
  <c r="T11" i="17" s="1"/>
  <c r="J50" i="17"/>
  <c r="J62" i="17" s="1"/>
  <c r="N16" i="17"/>
  <c r="N47" i="17"/>
  <c r="R19" i="17"/>
  <c r="R50" i="17" s="1"/>
  <c r="N19" i="17"/>
  <c r="N6" i="17"/>
  <c r="P50" i="17"/>
  <c r="P62" i="17" s="1"/>
  <c r="T51" i="17"/>
  <c r="T19" i="17"/>
  <c r="R60" i="17"/>
  <c r="T6" i="17"/>
  <c r="N14" i="17"/>
  <c r="N55" i="17" s="1"/>
  <c r="S6" i="17"/>
  <c r="S50" i="17" s="1"/>
  <c r="S55" i="17"/>
  <c r="M50" i="17"/>
  <c r="M62" i="17" s="1"/>
  <c r="R55" i="17"/>
  <c r="R57" i="17" s="1"/>
  <c r="L55" i="17"/>
  <c r="E6" i="16"/>
  <c r="L55" i="15"/>
  <c r="O62" i="15"/>
  <c r="N13" i="15"/>
  <c r="R55" i="15"/>
  <c r="R57" i="15" s="1"/>
  <c r="M19" i="15"/>
  <c r="N16" i="15"/>
  <c r="T12" i="15"/>
  <c r="T11" i="15" s="1"/>
  <c r="K62" i="15"/>
  <c r="M16" i="15"/>
  <c r="M11" i="15"/>
  <c r="S16" i="15"/>
  <c r="S47" i="15"/>
  <c r="M47" i="15"/>
  <c r="N47" i="15"/>
  <c r="T48" i="15"/>
  <c r="T47" i="15" s="1"/>
  <c r="M6" i="15"/>
  <c r="M55" i="15"/>
  <c r="S7" i="15"/>
  <c r="P51" i="15"/>
  <c r="R25" i="15"/>
  <c r="R51" i="15" s="1"/>
  <c r="R53" i="15" s="1"/>
  <c r="T25" i="15"/>
  <c r="N51" i="15"/>
  <c r="S25" i="15"/>
  <c r="S51" i="15" s="1"/>
  <c r="M51" i="15"/>
  <c r="I62" i="15"/>
  <c r="N6" i="15"/>
  <c r="N55" i="15"/>
  <c r="T7" i="15"/>
  <c r="P19" i="15"/>
  <c r="P50" i="15" s="1"/>
  <c r="R6" i="15"/>
  <c r="L47" i="15"/>
  <c r="L50" i="15" s="1"/>
  <c r="L62" i="15" s="1"/>
  <c r="N19" i="15"/>
  <c r="R47" i="15"/>
  <c r="R47" i="14"/>
  <c r="R51" i="14"/>
  <c r="R53" i="14" s="1"/>
  <c r="R13" i="14"/>
  <c r="O62" i="14"/>
  <c r="T47" i="14"/>
  <c r="P50" i="14"/>
  <c r="P62" i="14" s="1"/>
  <c r="S47" i="14"/>
  <c r="S15" i="14"/>
  <c r="S13" i="14" s="1"/>
  <c r="M13" i="14"/>
  <c r="N47" i="14"/>
  <c r="M25" i="14"/>
  <c r="M47" i="14"/>
  <c r="T11" i="13"/>
  <c r="J11" i="14" s="1"/>
  <c r="J12" i="14"/>
  <c r="S11" i="13"/>
  <c r="I11" i="14" s="1"/>
  <c r="I12" i="14"/>
  <c r="M12" i="14" s="1"/>
  <c r="L62" i="14"/>
  <c r="T26" i="14"/>
  <c r="R19" i="14"/>
  <c r="N6" i="14"/>
  <c r="R55" i="14"/>
  <c r="R57" i="14" s="1"/>
  <c r="R6" i="14"/>
  <c r="T6" i="14"/>
  <c r="K62" i="14"/>
  <c r="R47" i="13"/>
  <c r="N16" i="13"/>
  <c r="S37" i="13"/>
  <c r="T43" i="13"/>
  <c r="J43" i="14" s="1"/>
  <c r="N43" i="14" s="1"/>
  <c r="T43" i="14" s="1"/>
  <c r="N11" i="13"/>
  <c r="M16" i="13"/>
  <c r="T31" i="13"/>
  <c r="J31" i="14" s="1"/>
  <c r="N31" i="14" s="1"/>
  <c r="T31" i="14" s="1"/>
  <c r="S47" i="13"/>
  <c r="I47" i="14" s="1"/>
  <c r="S32" i="13"/>
  <c r="I32" i="14" s="1"/>
  <c r="M32" i="14" s="1"/>
  <c r="S32" i="14" s="1"/>
  <c r="T47" i="13"/>
  <c r="J47" i="14" s="1"/>
  <c r="S26" i="13"/>
  <c r="I26" i="14" s="1"/>
  <c r="M26" i="14" s="1"/>
  <c r="S26" i="14" s="1"/>
  <c r="S44" i="13"/>
  <c r="I44" i="14" s="1"/>
  <c r="M44" i="14" s="1"/>
  <c r="S44" i="14" s="1"/>
  <c r="I50" i="13"/>
  <c r="I62" i="13" s="1"/>
  <c r="J50" i="13"/>
  <c r="J62" i="13" s="1"/>
  <c r="M51" i="13"/>
  <c r="L50" i="13"/>
  <c r="L62" i="13" s="1"/>
  <c r="T15" i="13"/>
  <c r="S13" i="13"/>
  <c r="I13" i="14" s="1"/>
  <c r="N13" i="13"/>
  <c r="M55" i="13"/>
  <c r="K50" i="13"/>
  <c r="K62" i="13" s="1"/>
  <c r="R6" i="13"/>
  <c r="O50" i="13"/>
  <c r="O62" i="13" s="1"/>
  <c r="T6" i="13"/>
  <c r="J6" i="14" s="1"/>
  <c r="N47" i="13"/>
  <c r="N51" i="13"/>
  <c r="N55" i="13"/>
  <c r="M11" i="13"/>
  <c r="M13" i="13"/>
  <c r="R15" i="13"/>
  <c r="R17" i="13"/>
  <c r="R16" i="13" s="1"/>
  <c r="R25" i="13"/>
  <c r="R31" i="13"/>
  <c r="R36" i="13"/>
  <c r="R43" i="13"/>
  <c r="S20" i="13"/>
  <c r="I20" i="14" s="1"/>
  <c r="M20" i="14" s="1"/>
  <c r="T25" i="13"/>
  <c r="S18" i="13"/>
  <c r="M19" i="13"/>
  <c r="M6" i="13"/>
  <c r="S7" i="13"/>
  <c r="I7" i="14" s="1"/>
  <c r="N19" i="13"/>
  <c r="P55" i="13"/>
  <c r="T17" i="13"/>
  <c r="N6" i="13"/>
  <c r="M47" i="13"/>
  <c r="I6" i="16" l="1"/>
  <c r="H20" i="16"/>
  <c r="T36" i="22"/>
  <c r="P13" i="22"/>
  <c r="S14" i="22"/>
  <c r="S13" i="22" s="1"/>
  <c r="P19" i="22"/>
  <c r="O41" i="16"/>
  <c r="T51" i="22"/>
  <c r="M50" i="22"/>
  <c r="M62" i="22" s="1"/>
  <c r="S19" i="22"/>
  <c r="T19" i="22"/>
  <c r="P7" i="22"/>
  <c r="O55" i="22"/>
  <c r="O62" i="22" s="1"/>
  <c r="L50" i="22"/>
  <c r="L62" i="22" s="1"/>
  <c r="S51" i="22"/>
  <c r="N16" i="22"/>
  <c r="N50" i="22" s="1"/>
  <c r="T17" i="22"/>
  <c r="T16" i="22" s="1"/>
  <c r="N55" i="22"/>
  <c r="S7" i="22"/>
  <c r="R19" i="22"/>
  <c r="G34" i="16"/>
  <c r="H33" i="16"/>
  <c r="H34" i="16" s="1"/>
  <c r="I34" i="16"/>
  <c r="K32" i="16"/>
  <c r="K34" i="16" s="1"/>
  <c r="R19" i="20"/>
  <c r="R50" i="20" s="1"/>
  <c r="S19" i="20"/>
  <c r="N6" i="20"/>
  <c r="N50" i="20" s="1"/>
  <c r="N55" i="20"/>
  <c r="T7" i="20"/>
  <c r="P62" i="20"/>
  <c r="S6" i="20"/>
  <c r="S55" i="20"/>
  <c r="E40" i="16" s="1"/>
  <c r="E41" i="16" s="1"/>
  <c r="L62" i="20"/>
  <c r="M62" i="20"/>
  <c r="S19" i="19"/>
  <c r="R19" i="19"/>
  <c r="R50" i="19" s="1"/>
  <c r="R60" i="19" s="1"/>
  <c r="M50" i="19"/>
  <c r="S6" i="19"/>
  <c r="S55" i="19"/>
  <c r="N16" i="19"/>
  <c r="T17" i="19"/>
  <c r="T16" i="19" s="1"/>
  <c r="L62" i="19"/>
  <c r="M62" i="19"/>
  <c r="N6" i="19"/>
  <c r="N50" i="19" s="1"/>
  <c r="N55" i="19"/>
  <c r="T7" i="19"/>
  <c r="S19" i="18"/>
  <c r="R19" i="18"/>
  <c r="R50" i="18" s="1"/>
  <c r="R62" i="18" s="1"/>
  <c r="T19" i="18"/>
  <c r="M62" i="18"/>
  <c r="L50" i="18"/>
  <c r="L62" i="18" s="1"/>
  <c r="N16" i="18"/>
  <c r="N50" i="18" s="1"/>
  <c r="N62" i="18" s="1"/>
  <c r="T17" i="18"/>
  <c r="T16" i="18" s="1"/>
  <c r="T6" i="18"/>
  <c r="S6" i="18"/>
  <c r="S50" i="18" s="1"/>
  <c r="S55" i="18"/>
  <c r="I20" i="16"/>
  <c r="K18" i="16"/>
  <c r="K20" i="16" s="1"/>
  <c r="L62" i="17"/>
  <c r="R61" i="17"/>
  <c r="S62" i="17"/>
  <c r="N13" i="17"/>
  <c r="N50" i="17" s="1"/>
  <c r="N62" i="17" s="1"/>
  <c r="T14" i="17"/>
  <c r="R62" i="17"/>
  <c r="P62" i="15"/>
  <c r="S19" i="15"/>
  <c r="M50" i="15"/>
  <c r="M62" i="15" s="1"/>
  <c r="N50" i="15"/>
  <c r="N62" i="15" s="1"/>
  <c r="T6" i="15"/>
  <c r="T55" i="15"/>
  <c r="T51" i="15"/>
  <c r="T19" i="15"/>
  <c r="R19" i="15"/>
  <c r="R50" i="15" s="1"/>
  <c r="S6" i="15"/>
  <c r="S55" i="15"/>
  <c r="S25" i="14"/>
  <c r="S20" i="14"/>
  <c r="T16" i="13"/>
  <c r="J16" i="14" s="1"/>
  <c r="J17" i="14"/>
  <c r="N17" i="14" s="1"/>
  <c r="T13" i="13"/>
  <c r="J13" i="14" s="1"/>
  <c r="J15" i="14"/>
  <c r="N15" i="14" s="1"/>
  <c r="T51" i="13"/>
  <c r="J25" i="14"/>
  <c r="S51" i="13"/>
  <c r="I37" i="14"/>
  <c r="S16" i="13"/>
  <c r="I16" i="14" s="1"/>
  <c r="I18" i="14"/>
  <c r="M18" i="14" s="1"/>
  <c r="N12" i="14"/>
  <c r="M11" i="14"/>
  <c r="S12" i="14"/>
  <c r="S11" i="14" s="1"/>
  <c r="R50" i="14"/>
  <c r="R61" i="14" s="1"/>
  <c r="M7" i="14"/>
  <c r="S19" i="13"/>
  <c r="I19" i="14" s="1"/>
  <c r="R55" i="13"/>
  <c r="R57" i="13" s="1"/>
  <c r="R51" i="13"/>
  <c r="R53" i="13" s="1"/>
  <c r="P50" i="13"/>
  <c r="P62" i="13" s="1"/>
  <c r="S55" i="13"/>
  <c r="S6" i="13"/>
  <c r="I6" i="14" s="1"/>
  <c r="N50" i="13"/>
  <c r="N62" i="13" s="1"/>
  <c r="M50" i="13"/>
  <c r="M62" i="13" s="1"/>
  <c r="R13" i="13"/>
  <c r="R19" i="13"/>
  <c r="T55" i="13"/>
  <c r="T19" i="13"/>
  <c r="N62" i="20" l="1"/>
  <c r="N62" i="22"/>
  <c r="S6" i="22"/>
  <c r="S50" i="22" s="1"/>
  <c r="S55" i="22"/>
  <c r="P55" i="22"/>
  <c r="P6" i="22"/>
  <c r="P50" i="22" s="1"/>
  <c r="R7" i="22"/>
  <c r="T7" i="22"/>
  <c r="S50" i="20"/>
  <c r="S62" i="20" s="1"/>
  <c r="R60" i="20"/>
  <c r="R62" i="20"/>
  <c r="R61" i="20"/>
  <c r="T6" i="20"/>
  <c r="T50" i="20" s="1"/>
  <c r="T55" i="20"/>
  <c r="S50" i="19"/>
  <c r="S62" i="19" s="1"/>
  <c r="R61" i="19"/>
  <c r="R62" i="19"/>
  <c r="N62" i="19"/>
  <c r="T6" i="19"/>
  <c r="T50" i="19" s="1"/>
  <c r="T55" i="19"/>
  <c r="R60" i="18"/>
  <c r="R61" i="18"/>
  <c r="T55" i="18"/>
  <c r="S62" i="18"/>
  <c r="T50" i="18"/>
  <c r="T13" i="17"/>
  <c r="T50" i="17" s="1"/>
  <c r="T55" i="17"/>
  <c r="S50" i="15"/>
  <c r="S62" i="15" s="1"/>
  <c r="T50" i="15"/>
  <c r="T62" i="15" s="1"/>
  <c r="R60" i="15"/>
  <c r="R62" i="15"/>
  <c r="R61" i="15"/>
  <c r="I55" i="14"/>
  <c r="I50" i="14"/>
  <c r="J55" i="14"/>
  <c r="R60" i="14"/>
  <c r="R62" i="14"/>
  <c r="N25" i="14"/>
  <c r="J51" i="14"/>
  <c r="S18" i="14"/>
  <c r="S16" i="14" s="1"/>
  <c r="M16" i="14"/>
  <c r="T15" i="14"/>
  <c r="T13" i="14" s="1"/>
  <c r="N13" i="14"/>
  <c r="R50" i="13"/>
  <c r="R61" i="13" s="1"/>
  <c r="M37" i="14"/>
  <c r="I51" i="14"/>
  <c r="T17" i="14"/>
  <c r="T16" i="14" s="1"/>
  <c r="N16" i="14"/>
  <c r="T12" i="14"/>
  <c r="N11" i="14"/>
  <c r="N55" i="14"/>
  <c r="T50" i="13"/>
  <c r="T62" i="13" s="1"/>
  <c r="J19" i="14"/>
  <c r="J50" i="14" s="1"/>
  <c r="S7" i="14"/>
  <c r="M6" i="14"/>
  <c r="M55" i="14"/>
  <c r="S50" i="13"/>
  <c r="S62" i="13" s="1"/>
  <c r="S62" i="22" l="1"/>
  <c r="T6" i="22"/>
  <c r="T50" i="22" s="1"/>
  <c r="T55" i="22"/>
  <c r="R55" i="22"/>
  <c r="R57" i="22" s="1"/>
  <c r="R6" i="22"/>
  <c r="R50" i="22" s="1"/>
  <c r="P62" i="22"/>
  <c r="T62" i="20"/>
  <c r="T62" i="19"/>
  <c r="T62" i="18"/>
  <c r="T62" i="17"/>
  <c r="I62" i="14"/>
  <c r="J62" i="14"/>
  <c r="R60" i="13"/>
  <c r="R62" i="13"/>
  <c r="T25" i="14"/>
  <c r="N51" i="14"/>
  <c r="N19" i="14"/>
  <c r="N50" i="14" s="1"/>
  <c r="S37" i="14"/>
  <c r="M51" i="14"/>
  <c r="M19" i="14"/>
  <c r="M50" i="14" s="1"/>
  <c r="T11" i="14"/>
  <c r="T55" i="14"/>
  <c r="S55" i="14"/>
  <c r="S6" i="14"/>
  <c r="T62" i="22" l="1"/>
  <c r="R60" i="22"/>
  <c r="R62" i="22"/>
  <c r="R61" i="22"/>
  <c r="N62" i="14"/>
  <c r="M62" i="14"/>
  <c r="T51" i="14"/>
  <c r="T19" i="14"/>
  <c r="T50" i="14" s="1"/>
  <c r="S51" i="14"/>
  <c r="S19" i="14"/>
  <c r="S50" i="14" s="1"/>
  <c r="S62" i="14" l="1"/>
  <c r="T62" i="14"/>
</calcChain>
</file>

<file path=xl/sharedStrings.xml><?xml version="1.0" encoding="utf-8"?>
<sst xmlns="http://schemas.openxmlformats.org/spreadsheetml/2006/main" count="2261" uniqueCount="201">
  <si>
    <t>Vispārēja iepirkumu klasifikatora (CPV) kods</t>
  </si>
  <si>
    <t>Tehnisko palīglīdzekļu grupa un apakšgrupa</t>
  </si>
  <si>
    <t>Nodošanas veids (patapinājumā vai īpašumā)</t>
  </si>
  <si>
    <t>Laiks, pēc kura beigām persona var tikt uzņemta rindā jauna tehniskā palīglīdzekļa saņemšanai (gadi)</t>
  </si>
  <si>
    <t>Piezīmes</t>
  </si>
  <si>
    <t>Personīgās medicīniskās aprūpes palīglīdzekļi</t>
  </si>
  <si>
    <t>33196200-2</t>
  </si>
  <si>
    <t>04 24 09</t>
  </si>
  <si>
    <t>Asinsspiediena mērītāji ar runas funkciju</t>
  </si>
  <si>
    <t>Īpašumā</t>
  </si>
  <si>
    <t>Neredzīgām un vājredzīgām personām</t>
  </si>
  <si>
    <t>04 24 12</t>
  </si>
  <si>
    <t>Glikometri ar runas funkciju</t>
  </si>
  <si>
    <t>38412000-6</t>
  </si>
  <si>
    <t>04 24 24</t>
  </si>
  <si>
    <t>Ķermeņa termometri ar runas funkciju</t>
  </si>
  <si>
    <t>38311000-8</t>
  </si>
  <si>
    <t>04 24 27</t>
  </si>
  <si>
    <t>Ķermeņa svari ar runas funkciju</t>
  </si>
  <si>
    <t>Ortozes un protēzes</t>
  </si>
  <si>
    <t>33184600-9</t>
  </si>
  <si>
    <t>06 30 21</t>
  </si>
  <si>
    <t>Acu protēzes</t>
  </si>
  <si>
    <t>Individuāli pielāgots tehniskais palīglīdzeklis neredzīgām un vājredzīgām personām</t>
  </si>
  <si>
    <t>Personīgās pārvietošanās palīglīdzekļi</t>
  </si>
  <si>
    <t>39295400-0</t>
  </si>
  <si>
    <t>12 39 03</t>
  </si>
  <si>
    <t>Taktilie jeb baltie spieķi (nesalokāmi)</t>
  </si>
  <si>
    <t>Taktilie jeb baltie spieķi (salokāmi)</t>
  </si>
  <si>
    <t>Mājsaimniecības palīglīdzekļi</t>
  </si>
  <si>
    <t>15 03 03</t>
  </si>
  <si>
    <t>Pārtikas svari ar runas funkciju</t>
  </si>
  <si>
    <t>Šķidruma līmeņa noteicēji ar skaņas funkciju</t>
  </si>
  <si>
    <t>Saziņas un signalizēšanas palīglīdzekļi</t>
  </si>
  <si>
    <t>38624000-5</t>
  </si>
  <si>
    <t>22 03 03</t>
  </si>
  <si>
    <t>Gaismas (absorbcijas) filtri</t>
  </si>
  <si>
    <t>Vājredzīgām personām</t>
  </si>
  <si>
    <t>22 03 09</t>
  </si>
  <si>
    <t>Palielināmie stikli ar gaismas avotu vai bez tā</t>
  </si>
  <si>
    <t>38600000-1</t>
  </si>
  <si>
    <t>22 03 12</t>
  </si>
  <si>
    <t>Binokulārās vai teleskopiskās brilles</t>
  </si>
  <si>
    <t>Individuāli pielāgots palīglīdzeklis vājredzīgām personām</t>
  </si>
  <si>
    <t>22 03 18</t>
  </si>
  <si>
    <t>Elektroniski palielinošie palīglīdzekļi</t>
  </si>
  <si>
    <t>22 06 06</t>
  </si>
  <si>
    <t>Vājdzirdīgām personām</t>
  </si>
  <si>
    <t>33185000-0</t>
  </si>
  <si>
    <t>22 06 15</t>
  </si>
  <si>
    <t>32343100-0</t>
  </si>
  <si>
    <t>22 18 24</t>
  </si>
  <si>
    <t>Vājdzirdīgām personām, kuras lieto dzirdes aparātu un nav saņēmušas pielikuma 22.punktā minēto FM radiofrekvenču pārraides sistēmu</t>
  </si>
  <si>
    <t>32344200-8</t>
  </si>
  <si>
    <t>FM radiofrekvenču pārraides sistēmas (raidītājs un uztvērējs)</t>
  </si>
  <si>
    <t>Vājdzirdīgām personām, kuras lieto dzirdes aparātu un kurām tehniskais palīglīdzeklis nepieciešams izglītības iegūšanai vai darbam</t>
  </si>
  <si>
    <t>22 12 09</t>
  </si>
  <si>
    <t>Braila raksta rāmji (komplektā grifele)</t>
  </si>
  <si>
    <t>22 12 15</t>
  </si>
  <si>
    <t>Braila rakstāmmašīnas</t>
  </si>
  <si>
    <t>32332000-9</t>
  </si>
  <si>
    <t>22 18 03</t>
  </si>
  <si>
    <t>Atskaņotāji</t>
  </si>
  <si>
    <t>Diktofoni</t>
  </si>
  <si>
    <t>Neredzīgām un vājredzīgām personām, kurām tehniskais palīglīdzeklis nepieciešams izglītības iegūšanai vai darbam</t>
  </si>
  <si>
    <t>22 24 06</t>
  </si>
  <si>
    <t>Mobilā tīkla telefons</t>
  </si>
  <si>
    <t>22 33 06</t>
  </si>
  <si>
    <t>Digitālās vizuālās saziņas ierīces</t>
  </si>
  <si>
    <t>Nedzirdīgām un vājdzirdīgām personām, kuras izmanto šajos noteikumos minētos sociālās rehabilitācijas vai surdotulka pakalpojumus</t>
  </si>
  <si>
    <t>32522000-8</t>
  </si>
  <si>
    <t>31521310-0</t>
  </si>
  <si>
    <t>22 27 04</t>
  </si>
  <si>
    <t>Signalizēšanas ierīces ar vibrāciju un/vai gaismas signālu</t>
  </si>
  <si>
    <t>Nedzirdīgām un vājdzirdīgām personām</t>
  </si>
  <si>
    <t>Signalizēšanas ierīces ar vibrāciju un/vai gaismas signālu bērnu un kopjamu personu uzraudzībai</t>
  </si>
  <si>
    <t>Personām, kuru aprūpē un uzraudzībā ir bērns līdz 2 gadu vecumam un personām, kuru parūpē un uzraudzībā ir persona, kurai ir nepieciešama kopšana un šo nepieciešamību apliecina VDEĀVK lēmums par īpašas kopšanas nepieciešamību vai ģimenes (vispārējās prakses) ārsta atzinums par pastāvīgas uzraudzības un kopšanas nepieciešamību.</t>
  </si>
  <si>
    <t>39254100-8</t>
  </si>
  <si>
    <t>22 27 12</t>
  </si>
  <si>
    <t>22 30 21</t>
  </si>
  <si>
    <t>Rakstu zīmju lasīšanas aparāts</t>
  </si>
  <si>
    <t>22 39 05</t>
  </si>
  <si>
    <t>Taktils datora displejs</t>
  </si>
  <si>
    <t>Laikrāži ar vibrāciju un/vai gaismas signālu</t>
  </si>
  <si>
    <t>30216110-0</t>
  </si>
  <si>
    <t>Pildspalvas ar runas funkciju teksta nolasīšanai no speciālām uzlīmēm (komplektā pildspalva un uzlīmes teksta attēlošanai)</t>
  </si>
  <si>
    <t>Neredzīgām un vājredzīgām personām. Ja nepieciešams, persona pērk papildu uzlīmes par saviem līdzekļiem</t>
  </si>
  <si>
    <t>48000000-8</t>
  </si>
  <si>
    <t>22 39 12</t>
  </si>
  <si>
    <t xml:space="preserve">Specializētās datorprogrammas teksta palielināšanai un/vai pārvēršanai skaņā </t>
  </si>
  <si>
    <t>22 39 07</t>
  </si>
  <si>
    <t>Palīglīdzekļi vides uzlabošanai un novērtēšanai</t>
  </si>
  <si>
    <t>27 06 21</t>
  </si>
  <si>
    <t>Termometri klimatisko apstākļu mērīšanai ar runas funkciju</t>
  </si>
  <si>
    <t>27 06 24</t>
  </si>
  <si>
    <t>Krāsu noteicēji ar runas funkciju</t>
  </si>
  <si>
    <t>Nr. p. k.</t>
  </si>
  <si>
    <t>3 </t>
  </si>
  <si>
    <t>2 </t>
  </si>
  <si>
    <t>Laikrāži (rokas  un galda ar runas funkciju, braila, vājredzīgo) </t>
  </si>
  <si>
    <t>Tehniskie palīglīdzekļi – tiflotehnika un surdotehnika</t>
  </si>
  <si>
    <t>ISO kods/ identifikācijas numurs</t>
  </si>
  <si>
    <t>Lietošanas laiku mainām no 5 uz 3</t>
  </si>
  <si>
    <t>Lietošanas laiku mainām no 2 uz 1</t>
  </si>
  <si>
    <t>1 </t>
  </si>
  <si>
    <t>Lietošanas laiku mainām no 3 uz 2</t>
  </si>
  <si>
    <t>Monokulārs </t>
  </si>
  <si>
    <t>Mainām nosaukumu no “Optiskie palīglīdzekļi” uz “Monokulārs”</t>
  </si>
  <si>
    <t>Skaņas ierakstīšanas un atskaņošanas ierīce (Daisy) </t>
  </si>
  <si>
    <t>papildināts/ precizēts TPL nosaukums</t>
  </si>
  <si>
    <t>Neredzīgām un vājredzīgām personām </t>
  </si>
  <si>
    <t>Iepriekš bija laikrāži ar runas funkciju, bet tā kā zem šī nosaukuma ir arī braila un vājredzīgo pulksteņi, tad mainām nosaukumu uz “Laikrāži”</t>
  </si>
  <si>
    <t>Neredzīgām personām ar sociālā darbinieka izsniegtu atzinumu par braila raksta prasmi. </t>
  </si>
  <si>
    <t xml:space="preserve">Datoru displeji ar skaņu  </t>
  </si>
  <si>
    <t>Grozījumi/komentāri</t>
  </si>
  <si>
    <t>LNS</t>
  </si>
  <si>
    <t>LNB</t>
  </si>
  <si>
    <t>Personu skaits</t>
  </si>
  <si>
    <t>TPL skaits</t>
  </si>
  <si>
    <t>x</t>
  </si>
  <si>
    <t xml:space="preserve">Savienotājvienības radio un televīzijas uztvērējiem </t>
  </si>
  <si>
    <t>22 24 03</t>
  </si>
  <si>
    <t>Tālruņi ar pastiprinātāju</t>
  </si>
  <si>
    <t>Apkalpoto personu skaits</t>
  </si>
  <si>
    <t>Izniegto TPL skaits</t>
  </si>
  <si>
    <t>Rinda uz 01.01.2021.</t>
  </si>
  <si>
    <t>Jauns</t>
  </si>
  <si>
    <r>
      <t xml:space="preserve">Plānotais </t>
    </r>
    <r>
      <rPr>
        <b/>
        <u/>
        <sz val="8"/>
        <rFont val="Times New Roman"/>
        <family val="1"/>
        <charset val="186"/>
      </rPr>
      <t xml:space="preserve">personu skaits </t>
    </r>
    <r>
      <rPr>
        <sz val="8"/>
        <rFont val="Times New Roman"/>
        <family val="1"/>
        <charset val="186"/>
      </rPr>
      <t>rindā pēc 4. kolonā norādītā TPL</t>
    </r>
  </si>
  <si>
    <r>
      <t xml:space="preserve">Iestādes kapacitāte </t>
    </r>
    <r>
      <rPr>
        <i/>
        <sz val="8"/>
        <rFont val="Times New Roman"/>
        <family val="1"/>
        <charset val="186"/>
      </rPr>
      <t>(skat.kometāru šūnai)</t>
    </r>
  </si>
  <si>
    <r>
      <t xml:space="preserve">Vidējā TPL </t>
    </r>
    <r>
      <rPr>
        <u/>
        <sz val="8"/>
        <rFont val="Times New Roman"/>
        <family val="1"/>
        <charset val="186"/>
      </rPr>
      <t xml:space="preserve">vienas vienības cena, </t>
    </r>
    <r>
      <rPr>
        <b/>
        <u/>
        <sz val="8"/>
        <rFont val="Times New Roman"/>
        <family val="1"/>
        <charset val="186"/>
      </rPr>
      <t>euro</t>
    </r>
  </si>
  <si>
    <r>
      <t xml:space="preserve">Plānotais </t>
    </r>
    <r>
      <rPr>
        <b/>
        <u/>
        <sz val="8"/>
        <rFont val="Times New Roman"/>
        <family val="1"/>
        <charset val="186"/>
      </rPr>
      <t>TPL skaits</t>
    </r>
    <r>
      <rPr>
        <sz val="8"/>
        <rFont val="Times New Roman"/>
        <family val="1"/>
        <charset val="186"/>
      </rPr>
      <t>, lai apmierinātu 18. kolonā norādīto personu skaitu</t>
    </r>
  </si>
  <si>
    <t>LNS bāze</t>
  </si>
  <si>
    <t>LNS papildu</t>
  </si>
  <si>
    <t>LNB bāze</t>
  </si>
  <si>
    <t>LNB papildu</t>
  </si>
  <si>
    <t>TPL bāze</t>
  </si>
  <si>
    <t>Rinda uz 01.01.2022.</t>
  </si>
  <si>
    <t>papildu nepieciešamais finansējums 2021.gadā</t>
  </si>
  <si>
    <t>Rinda uz 01.01.2023.</t>
  </si>
  <si>
    <t>Pieprasījums  KOPĀ 2022. gadā</t>
  </si>
  <si>
    <r>
      <t xml:space="preserve">Plānotais </t>
    </r>
    <r>
      <rPr>
        <b/>
        <u/>
        <sz val="8"/>
        <rFont val="Times New Roman"/>
        <family val="1"/>
        <charset val="186"/>
      </rPr>
      <t>personu skaits</t>
    </r>
    <r>
      <rPr>
        <sz val="8"/>
        <rFont val="Times New Roman"/>
        <family val="1"/>
        <charset val="186"/>
      </rPr>
      <t>, kuras vidēji mēnesī 2022. gadā stāsies rindā pēc 4. kolonā norādītā TPL</t>
    </r>
  </si>
  <si>
    <t>2021. gads vidēji mēsī</t>
  </si>
  <si>
    <t>Pieprasījums  KOPĀ 2021. gadā</t>
  </si>
  <si>
    <t>Ietekme uz budžetu 2021. gadā, euro</t>
  </si>
  <si>
    <r>
      <t xml:space="preserve">Plānotais </t>
    </r>
    <r>
      <rPr>
        <b/>
        <u/>
        <sz val="8"/>
        <rFont val="Times New Roman"/>
        <family val="1"/>
        <charset val="186"/>
      </rPr>
      <t>personu skaits</t>
    </r>
    <r>
      <rPr>
        <sz val="8"/>
        <rFont val="Times New Roman"/>
        <family val="1"/>
        <charset val="186"/>
      </rPr>
      <t>, kuras vidēji mēnesī 2021. gadā stāsies rindā pēc 4. kolonā norādītā TPL</t>
    </r>
  </si>
  <si>
    <t>2022. gads vidēji mēsī</t>
  </si>
  <si>
    <t>Ietekme uz budžetu 2022. gadā, euro</t>
  </si>
  <si>
    <t>32250000-0</t>
  </si>
  <si>
    <t>38520000-6</t>
  </si>
  <si>
    <t>Kopā</t>
  </si>
  <si>
    <t>KOPĀ</t>
  </si>
  <si>
    <t>2021.gads</t>
  </si>
  <si>
    <t>2022.gads</t>
  </si>
  <si>
    <t>Personu skaits rindā</t>
  </si>
  <si>
    <t>01.01.2021.</t>
  </si>
  <si>
    <t>01.01.2022.</t>
  </si>
  <si>
    <t>01.01.2023.</t>
  </si>
  <si>
    <t>Plānotais personu skaits rindā</t>
  </si>
  <si>
    <t>2021.gadā</t>
  </si>
  <si>
    <t>2022.gadā</t>
  </si>
  <si>
    <t>Izsniegtais TPL skaits</t>
  </si>
  <si>
    <t>Personu skaits, kuras saņem TPL</t>
  </si>
  <si>
    <t>Plānotais personu skaits, kuras saņem TPL</t>
  </si>
  <si>
    <t>papildu nepieciešamais finansējums 2022.gadā</t>
  </si>
  <si>
    <t>2023.gads</t>
  </si>
  <si>
    <t>01.01.2024.</t>
  </si>
  <si>
    <t>2023.gadā</t>
  </si>
  <si>
    <t>2023. gads vidēji mēsī</t>
  </si>
  <si>
    <r>
      <t xml:space="preserve">Plānotais </t>
    </r>
    <r>
      <rPr>
        <b/>
        <u/>
        <sz val="8"/>
        <rFont val="Times New Roman"/>
        <family val="1"/>
        <charset val="186"/>
      </rPr>
      <t>personu skaits</t>
    </r>
    <r>
      <rPr>
        <sz val="8"/>
        <rFont val="Times New Roman"/>
        <family val="1"/>
        <charset val="186"/>
      </rPr>
      <t>, kuras vidēji mēnesī 2023. gadā stāsies rindā pēc 4. kolonā norādītā TPL</t>
    </r>
  </si>
  <si>
    <t>Pieprasījums  KOPĀ 2023. gadā</t>
  </si>
  <si>
    <t>Ietekme uz budžetu 2023. gadā, euro</t>
  </si>
  <si>
    <t>Rinda uz 01.01.2024.</t>
  </si>
  <si>
    <t>papildu nepieciešamais finansējums 2023.gadā</t>
  </si>
  <si>
    <t>Surdotehnika</t>
  </si>
  <si>
    <t>Tiflotehnika</t>
  </si>
  <si>
    <t>TPL veids</t>
  </si>
  <si>
    <t>Bāze</t>
  </si>
  <si>
    <t>32343000-9</t>
  </si>
  <si>
    <t>Valkājami dzirdes palīglīdzekļi (komunikatori)</t>
  </si>
  <si>
    <t>16/17</t>
  </si>
  <si>
    <t>Aizauss dzirdes aparāti ar kaula vadāmības stīpu/Aizauss dzirdes aparāti</t>
  </si>
  <si>
    <t>32510000-1</t>
  </si>
  <si>
    <t>31625100-4</t>
  </si>
  <si>
    <t>22 27 21</t>
  </si>
  <si>
    <t>Vides avārijas signalizācijas sistēmas</t>
  </si>
  <si>
    <t>Nedzirdīgām un vājdzirdīgām personām no 7 gadu vecuma</t>
  </si>
  <si>
    <t>Izmaiņas</t>
  </si>
  <si>
    <r>
      <t xml:space="preserve">Plānotais </t>
    </r>
    <r>
      <rPr>
        <b/>
        <u/>
        <sz val="8"/>
        <rFont val="Times New Roman"/>
        <family val="1"/>
        <charset val="186"/>
      </rPr>
      <t>TPL skaits</t>
    </r>
    <r>
      <rPr>
        <sz val="8"/>
        <rFont val="Times New Roman"/>
        <family val="1"/>
        <charset val="186"/>
      </rPr>
      <t>, lai apmierinātu 8. kolonā norādīto personu skaitu</t>
    </r>
  </si>
  <si>
    <r>
      <t xml:space="preserve">Plānotais </t>
    </r>
    <r>
      <rPr>
        <b/>
        <u/>
        <sz val="8"/>
        <rFont val="Times New Roman"/>
        <family val="1"/>
        <charset val="186"/>
      </rPr>
      <t>TPL skaits</t>
    </r>
    <r>
      <rPr>
        <sz val="8"/>
        <rFont val="Times New Roman"/>
        <family val="1"/>
        <charset val="186"/>
      </rPr>
      <t>, lai apmierinātu 10. kolonā norādīto personu skaitu</t>
    </r>
  </si>
  <si>
    <t>papildināts/ precizēts TPL nosaukums/jauns</t>
  </si>
  <si>
    <t>2022. gads</t>
  </si>
  <si>
    <t>2021. gads</t>
  </si>
  <si>
    <t>2023. gads</t>
  </si>
  <si>
    <t>Finansējums BĀZE</t>
  </si>
  <si>
    <t>Bāze/ bez MK grozījumiem</t>
  </si>
  <si>
    <t>Bāze/ ar MK grozījumiem/ bez papildu fin.</t>
  </si>
  <si>
    <t>Bāze/ ar MK grozījumiem/ ar papildu fin. No 2022. gada</t>
  </si>
  <si>
    <t>Ja netiek veiktas izmaiņas MK noteikumos, tad rindā pēc TPL uz 2022.gadu būs5295 persona, uz 2023.gadu 7025 personas, bet uz 2024.gadu 9610 persona.</t>
  </si>
  <si>
    <t>Ja tiek veiktas izmaiņas MK noteikumos, bet netiek piešķirts papildu finansējums, tad rindā pēc TPL uz 2022.gadu būs8114 personas, uz 2023.gadu 12682 personas, bet uz 2024.gadu 18133 persona.</t>
  </si>
  <si>
    <t>Ja tiek veiktas izmaiņas MK noteikumos, un no 2022.gada tiek piešķirts papildu finansējums, tad rindā pēc TPL uz 2022.gadu būs 8114 personas, uz 2023.gadu 8070 personas (rinda samazināsies par 4612 personām), bet uz 2024.gadu 11 654 persona (rinda samazināsies par 6479 personām)</t>
  </si>
  <si>
    <r>
      <t>Pielikums pie</t>
    </r>
    <r>
      <rPr>
        <b/>
        <sz val="11"/>
        <rFont val="Times New Roman"/>
        <family val="1"/>
        <charset val="186"/>
      </rPr>
      <t xml:space="preserve"> </t>
    </r>
    <r>
      <rPr>
        <sz val="11"/>
        <rFont val="Times New Roman"/>
        <family val="1"/>
        <charset val="186"/>
      </rPr>
      <t>Ministru kabineta noteikumu projekta                                                                                                                                                                                                                                                                                                                                                                                                                                                 „Kārtība, kādā Latvijas Neredzīgo biedrība un Latvijas Nedzirdīgo savienība sniedz sociālās rehabilitācijas pakalpojumus                                                                                                                                                                                                                                                                                                                                                                                                                                                                                                                                                    un nodrošina tehniskos palīglīdzekļus – tiflotehniku un surdotehniku” sākotnējās ietekmes novērtējuma ziņojumam (anotācijai)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</si>
</sst>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name val="Times New Roman"/>
      <family val="1"/>
      <charset val="186"/>
    </font>
    <font>
      <b/>
      <sz val="11"/>
      <name val="Times New Roman"/>
      <family val="1"/>
      <charset val="186"/>
    </font>
    <font>
      <b/>
      <sz val="14"/>
      <name val="Times New Roman"/>
      <family val="1"/>
      <charset val="186"/>
    </font>
    <font>
      <i/>
      <sz val="11"/>
      <name val="Times New Roman"/>
      <family val="1"/>
      <charset val="186"/>
    </font>
    <font>
      <sz val="8"/>
      <name val="Times New Roman"/>
      <family val="1"/>
      <charset val="186"/>
    </font>
    <font>
      <b/>
      <sz val="8"/>
      <name val="Times New Roman"/>
      <family val="1"/>
      <charset val="186"/>
    </font>
    <font>
      <b/>
      <u/>
      <sz val="8"/>
      <name val="Times New Roman"/>
      <family val="1"/>
      <charset val="186"/>
    </font>
    <font>
      <i/>
      <sz val="8"/>
      <name val="Times New Roman"/>
      <family val="1"/>
      <charset val="186"/>
    </font>
    <font>
      <u/>
      <sz val="8"/>
      <name val="Times New Roman"/>
      <family val="1"/>
      <charset val="186"/>
    </font>
    <font>
      <i/>
      <sz val="9"/>
      <name val="Times New Roman"/>
      <family val="1"/>
      <charset val="186"/>
    </font>
    <font>
      <sz val="10"/>
      <name val="Times New Roman"/>
      <family val="1"/>
      <charset val="186"/>
    </font>
    <font>
      <b/>
      <sz val="9"/>
      <name val="Times New Roman"/>
      <family val="1"/>
      <charset val="186"/>
    </font>
    <font>
      <sz val="9"/>
      <name val="Times New Roman"/>
      <family val="1"/>
      <charset val="186"/>
    </font>
    <font>
      <b/>
      <sz val="7"/>
      <name val="Times New Roman"/>
      <family val="1"/>
      <charset val="186"/>
    </font>
    <font>
      <i/>
      <sz val="14"/>
      <name val="Times New Roman"/>
      <family val="1"/>
      <charset val="186"/>
    </font>
    <font>
      <b/>
      <i/>
      <sz val="14"/>
      <name val="Times New Roman"/>
      <family val="1"/>
      <charset val="186"/>
    </font>
  </fonts>
  <fills count="6">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44">
    <xf numFmtId="0" fontId="0" fillId="0" borderId="0" xfId="0"/>
    <xf numFmtId="0" fontId="5"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4" fontId="2" fillId="2" borderId="2" xfId="0" applyNumberFormat="1" applyFont="1" applyFill="1" applyBorder="1" applyAlignment="1" applyProtection="1">
      <alignment horizontal="right" vertical="center" wrapText="1"/>
    </xf>
    <xf numFmtId="4" fontId="2" fillId="0" borderId="2" xfId="0" applyNumberFormat="1" applyFont="1" applyBorder="1" applyAlignment="1" applyProtection="1">
      <alignment horizontal="right" vertical="center"/>
    </xf>
    <xf numFmtId="4" fontId="2" fillId="2" borderId="2" xfId="0" applyNumberFormat="1" applyFont="1" applyFill="1" applyBorder="1" applyAlignment="1">
      <alignment horizontal="right" vertical="center" wrapText="1"/>
    </xf>
    <xf numFmtId="4" fontId="2" fillId="0" borderId="2" xfId="0" applyNumberFormat="1" applyFont="1" applyBorder="1" applyAlignment="1">
      <alignment horizontal="right" vertical="center"/>
    </xf>
    <xf numFmtId="0" fontId="6" fillId="0" borderId="0" xfId="0" applyFont="1" applyAlignment="1" applyProtection="1">
      <alignment horizontal="center" vertical="center"/>
    </xf>
    <xf numFmtId="0" fontId="6" fillId="2" borderId="0" xfId="0" applyFont="1" applyFill="1" applyBorder="1" applyAlignment="1" applyProtection="1">
      <alignment horizontal="center" vertical="center" wrapText="1"/>
    </xf>
    <xf numFmtId="0" fontId="5" fillId="0" borderId="0" xfId="0" applyFont="1" applyAlignment="1" applyProtection="1">
      <alignment horizontal="center" vertical="center"/>
    </xf>
    <xf numFmtId="3" fontId="2" fillId="2" borderId="1" xfId="0" applyNumberFormat="1" applyFont="1" applyFill="1" applyBorder="1" applyAlignment="1" applyProtection="1">
      <alignment horizontal="center" vertical="center" wrapText="1"/>
    </xf>
    <xf numFmtId="3" fontId="1" fillId="3" borderId="1" xfId="0" applyNumberFormat="1" applyFont="1" applyFill="1" applyBorder="1" applyAlignment="1" applyProtection="1">
      <alignment horizontal="center" vertical="center" wrapText="1"/>
      <protection locked="0"/>
    </xf>
    <xf numFmtId="3" fontId="1" fillId="3" borderId="1" xfId="0" applyNumberFormat="1" applyFont="1" applyFill="1" applyBorder="1" applyAlignment="1" applyProtection="1">
      <alignment horizontal="center" vertical="center"/>
      <protection locked="0"/>
    </xf>
    <xf numFmtId="3" fontId="1" fillId="0" borderId="1" xfId="0" applyNumberFormat="1" applyFont="1" applyBorder="1" applyAlignment="1" applyProtection="1">
      <alignment horizontal="center" vertical="center"/>
    </xf>
    <xf numFmtId="3" fontId="2" fillId="2" borderId="1" xfId="0" applyNumberFormat="1"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3" fontId="1" fillId="3" borderId="1" xfId="0" applyNumberFormat="1" applyFont="1" applyFill="1" applyBorder="1" applyAlignment="1">
      <alignment horizontal="center" vertical="center"/>
    </xf>
    <xf numFmtId="3" fontId="1" fillId="0" borderId="1" xfId="0" applyNumberFormat="1" applyFont="1" applyBorder="1" applyAlignment="1">
      <alignment horizontal="center" vertical="center"/>
    </xf>
    <xf numFmtId="3" fontId="1" fillId="0" borderId="1" xfId="0" applyNumberFormat="1" applyFont="1" applyFill="1" applyBorder="1" applyAlignment="1" applyProtection="1">
      <alignment horizontal="center" vertical="center" wrapText="1"/>
    </xf>
    <xf numFmtId="3" fontId="1" fillId="0" borderId="1" xfId="0" applyNumberFormat="1" applyFont="1" applyFill="1" applyBorder="1" applyAlignment="1">
      <alignment horizontal="center" vertical="center" wrapText="1"/>
    </xf>
    <xf numFmtId="3" fontId="2" fillId="0" borderId="0" xfId="0" applyNumberFormat="1" applyFont="1" applyAlignment="1" applyProtection="1">
      <alignment horizontal="center" vertical="center"/>
    </xf>
    <xf numFmtId="3" fontId="8" fillId="0" borderId="0" xfId="0" applyNumberFormat="1" applyFont="1" applyAlignment="1" applyProtection="1">
      <alignment vertical="center"/>
    </xf>
    <xf numFmtId="4" fontId="2" fillId="0" borderId="2" xfId="0" applyNumberFormat="1" applyFont="1" applyFill="1" applyBorder="1" applyAlignment="1">
      <alignment horizontal="right" vertical="center"/>
    </xf>
    <xf numFmtId="4" fontId="2" fillId="0" borderId="2" xfId="0" applyNumberFormat="1" applyFont="1" applyFill="1" applyBorder="1" applyAlignment="1" applyProtection="1">
      <alignment horizontal="right" vertical="center"/>
    </xf>
    <xf numFmtId="0" fontId="5" fillId="0" borderId="0" xfId="0" applyFont="1" applyFill="1" applyBorder="1" applyAlignment="1" applyProtection="1">
      <alignment horizontal="center" vertical="center" wrapText="1"/>
    </xf>
    <xf numFmtId="4" fontId="2" fillId="2" borderId="1" xfId="0" applyNumberFormat="1" applyFont="1" applyFill="1" applyBorder="1" applyAlignment="1" applyProtection="1">
      <alignment horizontal="center" vertical="center" wrapText="1"/>
    </xf>
    <xf numFmtId="4" fontId="2" fillId="0" borderId="0" xfId="0" applyNumberFormat="1" applyFont="1" applyAlignment="1" applyProtection="1">
      <alignment horizontal="center" vertical="center"/>
    </xf>
    <xf numFmtId="4" fontId="1" fillId="3" borderId="1" xfId="0" applyNumberFormat="1" applyFont="1" applyFill="1" applyBorder="1" applyAlignment="1" applyProtection="1">
      <alignment vertical="center"/>
      <protection locked="0"/>
    </xf>
    <xf numFmtId="2" fontId="4" fillId="3" borderId="1" xfId="0" applyNumberFormat="1" applyFont="1" applyFill="1" applyBorder="1" applyAlignment="1">
      <alignment vertical="center"/>
    </xf>
    <xf numFmtId="3" fontId="5" fillId="0" borderId="0" xfId="0" applyNumberFormat="1" applyFont="1" applyBorder="1" applyAlignment="1" applyProtection="1">
      <alignment horizontal="center" vertical="center" wrapText="1"/>
    </xf>
    <xf numFmtId="4" fontId="2" fillId="2" borderId="1" xfId="0" applyNumberFormat="1" applyFont="1" applyFill="1" applyBorder="1" applyAlignment="1">
      <alignment horizontal="center" vertical="center" wrapText="1"/>
    </xf>
    <xf numFmtId="0" fontId="5" fillId="0" borderId="0" xfId="0" applyFont="1" applyFill="1" applyAlignment="1" applyProtection="1">
      <alignment horizontal="center" vertical="center" wrapText="1"/>
    </xf>
    <xf numFmtId="0" fontId="10" fillId="0" borderId="0" xfId="0" applyFont="1" applyFill="1" applyAlignment="1" applyProtection="1">
      <alignment vertical="center" wrapText="1"/>
    </xf>
    <xf numFmtId="0" fontId="10" fillId="0" borderId="0" xfId="0" applyFont="1" applyAlignment="1" applyProtection="1">
      <alignment vertical="center" wrapText="1"/>
    </xf>
    <xf numFmtId="0" fontId="10" fillId="0" borderId="0" xfId="0" applyFont="1" applyAlignment="1" applyProtection="1">
      <alignment horizontal="center" wrapText="1"/>
    </xf>
    <xf numFmtId="0" fontId="1" fillId="0" borderId="1"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1" fillId="0" borderId="1" xfId="0" applyFont="1" applyBorder="1" applyAlignment="1" applyProtection="1">
      <alignment horizontal="justify" vertical="center" wrapText="1"/>
    </xf>
    <xf numFmtId="0" fontId="1" fillId="0" borderId="1" xfId="0" applyFont="1" applyBorder="1" applyAlignment="1" applyProtection="1">
      <alignment horizontal="center" vertical="center" wrapText="1"/>
    </xf>
    <xf numFmtId="4" fontId="1" fillId="0" borderId="2" xfId="0" applyNumberFormat="1" applyFont="1" applyBorder="1" applyAlignment="1" applyProtection="1">
      <alignment horizontal="right" vertical="center"/>
    </xf>
    <xf numFmtId="4" fontId="1" fillId="0" borderId="2" xfId="0" applyNumberFormat="1" applyFont="1" applyFill="1" applyBorder="1" applyAlignment="1">
      <alignment horizontal="right" vertical="center"/>
    </xf>
    <xf numFmtId="4" fontId="1" fillId="0" borderId="2" xfId="0" applyNumberFormat="1" applyFont="1" applyBorder="1" applyAlignment="1">
      <alignment horizontal="right" vertical="center"/>
    </xf>
    <xf numFmtId="4" fontId="1" fillId="0" borderId="2" xfId="0" applyNumberFormat="1" applyFont="1" applyFill="1" applyBorder="1" applyAlignment="1" applyProtection="1">
      <alignment horizontal="right" vertical="center"/>
    </xf>
    <xf numFmtId="0" fontId="1" fillId="0" borderId="0" xfId="0" applyFont="1" applyFill="1" applyAlignment="1" applyProtection="1">
      <alignment vertical="center"/>
    </xf>
    <xf numFmtId="0" fontId="1" fillId="0" borderId="0" xfId="0" applyFont="1" applyFill="1" applyAlignment="1" applyProtection="1">
      <alignment horizontal="center" vertical="center"/>
    </xf>
    <xf numFmtId="0" fontId="11" fillId="0" borderId="0" xfId="0" applyFont="1" applyFill="1" applyAlignment="1" applyProtection="1">
      <alignment horizontal="right" vertical="center" wrapText="1"/>
    </xf>
    <xf numFmtId="0" fontId="5" fillId="0" borderId="1" xfId="0" applyFont="1" applyBorder="1" applyAlignment="1" applyProtection="1">
      <alignment horizontal="justify" vertical="center" wrapText="1"/>
    </xf>
    <xf numFmtId="0" fontId="8" fillId="0" borderId="1" xfId="0" applyFont="1" applyBorder="1" applyAlignment="1" applyProtection="1">
      <alignment horizontal="center" vertical="center" wrapText="1"/>
    </xf>
    <xf numFmtId="0" fontId="1" fillId="2" borderId="1" xfId="0" applyFont="1" applyFill="1" applyBorder="1" applyAlignment="1" applyProtection="1">
      <alignment horizontal="justify" vertical="center" wrapText="1"/>
    </xf>
    <xf numFmtId="0" fontId="1"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8" fillId="0" borderId="1" xfId="0" applyFont="1" applyBorder="1" applyAlignment="1" applyProtection="1">
      <alignment horizontal="justify" vertical="center" wrapText="1"/>
    </xf>
    <xf numFmtId="0" fontId="8" fillId="0" borderId="1" xfId="0" applyFont="1" applyFill="1" applyBorder="1" applyAlignment="1" applyProtection="1">
      <alignment horizontal="justify" vertical="center" wrapText="1"/>
    </xf>
    <xf numFmtId="0" fontId="1" fillId="0" borderId="0" xfId="0" applyFont="1" applyAlignment="1" applyProtection="1">
      <alignment vertical="center"/>
    </xf>
    <xf numFmtId="0" fontId="1" fillId="0" borderId="0" xfId="0" applyFont="1" applyAlignment="1" applyProtection="1">
      <alignment horizontal="center" vertical="center"/>
    </xf>
    <xf numFmtId="0" fontId="8" fillId="0" borderId="0" xfId="0" applyFont="1" applyAlignment="1" applyProtection="1">
      <alignment vertical="center"/>
    </xf>
    <xf numFmtId="0" fontId="8" fillId="0" borderId="0" xfId="0" applyFont="1" applyBorder="1" applyAlignment="1" applyProtection="1">
      <alignment horizontal="justify" vertical="center" wrapText="1"/>
    </xf>
    <xf numFmtId="0" fontId="8" fillId="0" borderId="0" xfId="0" applyFont="1" applyFill="1" applyBorder="1" applyAlignment="1" applyProtection="1">
      <alignment horizontal="justify" vertical="center" wrapText="1"/>
    </xf>
    <xf numFmtId="0" fontId="1" fillId="0" borderId="6" xfId="0" applyFont="1" applyFill="1" applyBorder="1" applyAlignment="1" applyProtection="1">
      <alignment horizontal="left" vertical="center" wrapText="1"/>
    </xf>
    <xf numFmtId="0" fontId="1" fillId="0" borderId="6" xfId="0" applyFont="1" applyFill="1" applyBorder="1" applyAlignment="1" applyProtection="1">
      <alignment horizontal="center" vertical="center" wrapText="1"/>
    </xf>
    <xf numFmtId="0" fontId="1" fillId="0" borderId="6" xfId="0" applyFont="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13" fillId="4" borderId="1" xfId="0" applyFont="1" applyFill="1" applyBorder="1" applyAlignment="1">
      <alignment horizontal="center" wrapText="1"/>
    </xf>
    <xf numFmtId="0" fontId="13" fillId="0" borderId="1" xfId="0" applyFont="1" applyBorder="1"/>
    <xf numFmtId="3" fontId="13" fillId="0" borderId="1" xfId="0" applyNumberFormat="1" applyFont="1" applyBorder="1"/>
    <xf numFmtId="3" fontId="13" fillId="4" borderId="1" xfId="0" applyNumberFormat="1" applyFont="1" applyFill="1" applyBorder="1"/>
    <xf numFmtId="0" fontId="12" fillId="4" borderId="1" xfId="0" applyFont="1" applyFill="1" applyBorder="1" applyAlignment="1">
      <alignment horizontal="right"/>
    </xf>
    <xf numFmtId="3" fontId="12" fillId="4" borderId="1" xfId="0" applyNumberFormat="1" applyFont="1" applyFill="1" applyBorder="1"/>
    <xf numFmtId="0" fontId="5" fillId="4" borderId="1" xfId="0" applyFont="1" applyFill="1" applyBorder="1" applyAlignment="1">
      <alignment horizontal="center" wrapText="1"/>
    </xf>
    <xf numFmtId="3" fontId="1" fillId="0" borderId="1" xfId="0" applyNumberFormat="1" applyFont="1" applyBorder="1" applyAlignment="1">
      <alignment horizontal="center"/>
    </xf>
    <xf numFmtId="0" fontId="2" fillId="4" borderId="1" xfId="0" applyFont="1" applyFill="1" applyBorder="1" applyAlignment="1">
      <alignment horizontal="right"/>
    </xf>
    <xf numFmtId="3" fontId="2" fillId="4" borderId="1" xfId="0" applyNumberFormat="1" applyFont="1" applyFill="1" applyBorder="1" applyAlignment="1">
      <alignment horizontal="center"/>
    </xf>
    <xf numFmtId="3" fontId="10" fillId="0" borderId="0" xfId="0" applyNumberFormat="1" applyFont="1" applyAlignment="1" applyProtection="1">
      <alignment vertical="center" wrapText="1"/>
    </xf>
    <xf numFmtId="4" fontId="1" fillId="2" borderId="1" xfId="0" applyNumberFormat="1" applyFont="1" applyFill="1" applyBorder="1" applyAlignment="1" applyProtection="1">
      <alignment horizontal="center" vertical="center" wrapText="1"/>
    </xf>
    <xf numFmtId="3" fontId="1" fillId="0" borderId="1" xfId="0" applyNumberFormat="1" applyFont="1" applyFill="1" applyBorder="1" applyAlignment="1" applyProtection="1">
      <alignment horizontal="center" vertical="center"/>
      <protection locked="0"/>
    </xf>
    <xf numFmtId="3" fontId="1" fillId="0" borderId="1" xfId="0" applyNumberFormat="1" applyFont="1" applyFill="1" applyBorder="1" applyAlignment="1">
      <alignment horizontal="center" vertical="center"/>
    </xf>
    <xf numFmtId="4" fontId="10" fillId="0" borderId="0" xfId="0" applyNumberFormat="1" applyFont="1" applyAlignment="1" applyProtection="1">
      <alignment vertical="center" wrapText="1"/>
    </xf>
    <xf numFmtId="0" fontId="1" fillId="0" borderId="0" xfId="0" applyFont="1" applyFill="1" applyBorder="1" applyAlignment="1"/>
    <xf numFmtId="0" fontId="2" fillId="0" borderId="0" xfId="0" applyFont="1" applyFill="1" applyBorder="1" applyAlignment="1"/>
    <xf numFmtId="0" fontId="5" fillId="0" borderId="0" xfId="0" applyFont="1" applyFill="1" applyBorder="1" applyAlignment="1">
      <alignment horizontal="center" wrapText="1"/>
    </xf>
    <xf numFmtId="3" fontId="1" fillId="0" borderId="0" xfId="0" applyNumberFormat="1" applyFont="1" applyFill="1" applyBorder="1"/>
    <xf numFmtId="3" fontId="1"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12" fillId="0" borderId="8" xfId="0" applyFont="1" applyBorder="1"/>
    <xf numFmtId="0" fontId="13" fillId="0" borderId="8" xfId="0" applyFont="1" applyBorder="1"/>
    <xf numFmtId="0" fontId="12" fillId="0" borderId="0" xfId="0" applyFont="1" applyBorder="1"/>
    <xf numFmtId="0" fontId="13" fillId="0" borderId="0" xfId="0" applyFont="1" applyBorder="1"/>
    <xf numFmtId="3" fontId="2" fillId="5" borderId="1" xfId="0" applyNumberFormat="1" applyFont="1" applyFill="1" applyBorder="1" applyAlignment="1">
      <alignment horizontal="center"/>
    </xf>
    <xf numFmtId="0" fontId="6" fillId="0" borderId="1" xfId="0" applyFont="1" applyBorder="1" applyAlignment="1" applyProtection="1">
      <alignment horizontal="center" vertical="center" wrapText="1"/>
    </xf>
    <xf numFmtId="0" fontId="8" fillId="0" borderId="0" xfId="0" applyFont="1" applyAlignment="1" applyProtection="1">
      <alignment horizontal="right" vertical="center"/>
    </xf>
    <xf numFmtId="4" fontId="8" fillId="0" borderId="0" xfId="0" applyNumberFormat="1" applyFont="1" applyAlignment="1" applyProtection="1">
      <alignment horizontal="right" vertical="center"/>
    </xf>
    <xf numFmtId="0" fontId="2" fillId="2" borderId="1" xfId="0" applyFont="1" applyFill="1" applyBorder="1" applyAlignment="1" applyProtection="1">
      <alignment horizontal="justify" vertical="center" wrapText="1"/>
    </xf>
    <xf numFmtId="0" fontId="3" fillId="0" borderId="4" xfId="0" applyFont="1" applyFill="1" applyBorder="1" applyAlignment="1" applyProtection="1">
      <alignment horizontal="center"/>
    </xf>
    <xf numFmtId="0" fontId="3" fillId="0" borderId="3" xfId="0" applyFont="1" applyFill="1" applyBorder="1" applyAlignment="1" applyProtection="1">
      <alignment horizontal="center"/>
    </xf>
    <xf numFmtId="4" fontId="3" fillId="0" borderId="3" xfId="0" applyNumberFormat="1" applyFont="1" applyFill="1" applyBorder="1" applyAlignment="1" applyProtection="1">
      <alignment horizontal="center"/>
    </xf>
    <xf numFmtId="0" fontId="3" fillId="0" borderId="5" xfId="0" applyFont="1" applyFill="1" applyBorder="1" applyAlignment="1" applyProtection="1">
      <alignment horizontal="center"/>
    </xf>
    <xf numFmtId="0" fontId="3" fillId="0" borderId="0" xfId="0" applyFont="1" applyAlignment="1" applyProtection="1">
      <alignment horizontal="center" vertical="center"/>
    </xf>
    <xf numFmtId="0" fontId="6"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xf>
    <xf numFmtId="4" fontId="5" fillId="0" borderId="1" xfId="0" applyNumberFormat="1"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14" fillId="4" borderId="1" xfId="0" applyFont="1" applyFill="1" applyBorder="1" applyAlignment="1">
      <alignment horizontal="center"/>
    </xf>
    <xf numFmtId="0" fontId="4" fillId="4" borderId="1" xfId="0" applyFont="1" applyFill="1" applyBorder="1" applyAlignment="1">
      <alignment horizontal="center"/>
    </xf>
    <xf numFmtId="0" fontId="10" fillId="4" borderId="1" xfId="0" applyFont="1" applyFill="1" applyBorder="1" applyAlignment="1">
      <alignment horizontal="center"/>
    </xf>
    <xf numFmtId="0" fontId="13" fillId="4" borderId="1" xfId="0" applyFont="1" applyFill="1" applyBorder="1" applyAlignment="1">
      <alignment horizontal="center"/>
    </xf>
    <xf numFmtId="0" fontId="5" fillId="0" borderId="7" xfId="0" applyFont="1" applyBorder="1"/>
    <xf numFmtId="0" fontId="1" fillId="0" borderId="8" xfId="0" applyFont="1" applyBorder="1"/>
    <xf numFmtId="0" fontId="1" fillId="0" borderId="9" xfId="0" applyFont="1" applyBorder="1"/>
    <xf numFmtId="0" fontId="1" fillId="0" borderId="0" xfId="0" applyFont="1"/>
    <xf numFmtId="0" fontId="5" fillId="0" borderId="10" xfId="0" applyFont="1" applyBorder="1"/>
    <xf numFmtId="0" fontId="1" fillId="0" borderId="0" xfId="0" applyFont="1" applyBorder="1"/>
    <xf numFmtId="0" fontId="1" fillId="0" borderId="11" xfId="0" applyFont="1" applyBorder="1"/>
    <xf numFmtId="0" fontId="1" fillId="0" borderId="0" xfId="0" applyFont="1" applyBorder="1" applyAlignment="1">
      <alignment horizontal="center" wrapText="1"/>
    </xf>
    <xf numFmtId="0" fontId="1" fillId="0" borderId="11" xfId="0" applyFont="1" applyBorder="1" applyAlignment="1">
      <alignment horizontal="center" wrapText="1"/>
    </xf>
    <xf numFmtId="0" fontId="1" fillId="0" borderId="0" xfId="0" applyFont="1" applyAlignment="1">
      <alignment horizontal="center" wrapText="1"/>
    </xf>
    <xf numFmtId="0" fontId="2" fillId="0" borderId="0" xfId="0" applyFont="1" applyBorder="1"/>
    <xf numFmtId="0" fontId="2" fillId="0" borderId="11" xfId="0" applyFont="1" applyBorder="1"/>
    <xf numFmtId="0" fontId="2" fillId="0" borderId="0" xfId="0" applyFont="1"/>
    <xf numFmtId="0" fontId="10" fillId="0" borderId="0" xfId="0" applyFont="1" applyBorder="1" applyAlignment="1">
      <alignment vertical="top"/>
    </xf>
    <xf numFmtId="0" fontId="1" fillId="0" borderId="0" xfId="0" applyFont="1" applyFill="1" applyBorder="1"/>
    <xf numFmtId="0" fontId="1" fillId="0" borderId="0" xfId="0" applyFont="1" applyAlignment="1">
      <alignment horizontal="justify" wrapText="1"/>
    </xf>
    <xf numFmtId="3" fontId="2" fillId="0" borderId="0" xfId="0" applyNumberFormat="1" applyFont="1" applyFill="1" applyBorder="1"/>
    <xf numFmtId="0" fontId="5" fillId="0" borderId="12" xfId="0" applyFont="1" applyBorder="1"/>
    <xf numFmtId="0" fontId="1" fillId="0" borderId="13" xfId="0" applyFont="1" applyBorder="1"/>
    <xf numFmtId="0" fontId="1" fillId="0" borderId="13" xfId="0" applyFont="1" applyFill="1" applyBorder="1"/>
    <xf numFmtId="0" fontId="1" fillId="0" borderId="14" xfId="0" applyFont="1" applyBorder="1"/>
    <xf numFmtId="3" fontId="1" fillId="0" borderId="0" xfId="0" applyNumberFormat="1" applyFont="1"/>
    <xf numFmtId="0" fontId="1" fillId="0" borderId="12" xfId="0" applyFont="1" applyBorder="1"/>
    <xf numFmtId="0" fontId="1" fillId="0" borderId="0" xfId="0" applyFont="1" applyFill="1" applyAlignment="1" applyProtection="1">
      <alignment horizontal="right" vertical="top" wrapText="1"/>
    </xf>
    <xf numFmtId="0" fontId="1" fillId="0" borderId="0" xfId="0" applyFont="1" applyAlignment="1" applyProtection="1">
      <alignment horizontal="right" vertical="center"/>
    </xf>
    <xf numFmtId="4" fontId="1" fillId="0" borderId="0" xfId="0" applyNumberFormat="1" applyFont="1" applyAlignment="1" applyProtection="1">
      <alignment vertical="center"/>
    </xf>
    <xf numFmtId="3" fontId="1" fillId="0" borderId="0" xfId="0" applyNumberFormat="1" applyFont="1" applyAlignment="1" applyProtection="1">
      <alignment vertical="center"/>
    </xf>
    <xf numFmtId="3" fontId="11" fillId="0" borderId="0" xfId="0" applyNumberFormat="1" applyFont="1" applyFill="1" applyAlignment="1" applyProtection="1">
      <alignment horizontal="right" vertical="center" wrapText="1"/>
    </xf>
    <xf numFmtId="4" fontId="10" fillId="0" borderId="0" xfId="0" applyNumberFormat="1" applyFont="1" applyFill="1" applyAlignment="1" applyProtection="1">
      <alignment vertical="center" wrapText="1"/>
    </xf>
    <xf numFmtId="0" fontId="1" fillId="0" borderId="0" xfId="0" applyFont="1" applyFill="1" applyAlignment="1" applyProtection="1">
      <alignment horizontal="right" vertical="center"/>
    </xf>
    <xf numFmtId="4" fontId="1" fillId="0" borderId="0" xfId="0" applyNumberFormat="1" applyFont="1" applyFill="1" applyAlignment="1" applyProtection="1">
      <alignment vertical="center"/>
    </xf>
    <xf numFmtId="0" fontId="8" fillId="0" borderId="0" xfId="0" applyFont="1" applyBorder="1" applyAlignment="1" applyProtection="1">
      <alignment horizontal="center" vertical="center" wrapText="1"/>
    </xf>
    <xf numFmtId="0" fontId="2" fillId="2" borderId="0" xfId="0" applyFont="1" applyFill="1" applyBorder="1" applyAlignment="1" applyProtection="1">
      <alignment horizontal="justify" vertical="center" wrapText="1"/>
    </xf>
    <xf numFmtId="0" fontId="4" fillId="0" borderId="0" xfId="0" applyFont="1" applyAlignment="1" applyProtection="1">
      <alignment horizontal="left" vertical="center" wrapText="1"/>
    </xf>
    <xf numFmtId="4" fontId="8" fillId="0" borderId="0" xfId="0" applyNumberFormat="1" applyFont="1" applyAlignment="1" applyProtection="1">
      <alignment vertical="center"/>
    </xf>
    <xf numFmtId="0" fontId="15" fillId="0" borderId="0" xfId="0" applyFont="1" applyAlignment="1" applyProtection="1">
      <alignment vertical="center"/>
    </xf>
    <xf numFmtId="4" fontId="15" fillId="0" borderId="0" xfId="0" applyNumberFormat="1" applyFont="1" applyAlignment="1" applyProtection="1">
      <alignment horizontal="right" vertical="center"/>
    </xf>
    <xf numFmtId="3" fontId="16" fillId="0" borderId="0" xfId="0" applyNumberFormat="1" applyFont="1" applyAlignment="1" applyProtection="1">
      <alignment vertical="center"/>
    </xf>
    <xf numFmtId="3" fontId="1" fillId="0" borderId="0" xfId="0" applyNumberFormat="1" applyFont="1" applyFill="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6E35D-DDF4-4C25-B047-504929AE0764}">
  <sheetPr>
    <tabColor theme="0" tint="-0.249977111117893"/>
  </sheetPr>
  <dimension ref="A1:Z64"/>
  <sheetViews>
    <sheetView tabSelected="1" zoomScale="70" zoomScaleNormal="70" workbookViewId="0">
      <pane ySplit="5" topLeftCell="A17" activePane="bottomLeft" state="frozen"/>
      <selection activeCell="D1" sqref="D1"/>
      <selection pane="bottomLeft" activeCell="F31" sqref="F31"/>
    </sheetView>
  </sheetViews>
  <sheetFormatPr defaultColWidth="9.140625" defaultRowHeight="15" x14ac:dyDescent="0.25"/>
  <cols>
    <col min="1" max="1" width="4" style="53" customWidth="1"/>
    <col min="2" max="2" width="13" style="54" customWidth="1"/>
    <col min="3" max="3" width="11.7109375" style="54" customWidth="1"/>
    <col min="4" max="4" width="31.140625" style="53" customWidth="1"/>
    <col min="5" max="5" width="12.140625" style="54" customWidth="1"/>
    <col min="6" max="6" width="8.85546875" style="54" customWidth="1"/>
    <col min="7" max="7" width="33.85546875" style="55" customWidth="1"/>
    <col min="8" max="8" width="2.140625" style="55" customWidth="1"/>
    <col min="9" max="16" width="9.140625" style="55" customWidth="1"/>
    <col min="17" max="17" width="9.140625" style="139" customWidth="1"/>
    <col min="18" max="18" width="14.7109375" style="55" customWidth="1"/>
    <col min="19" max="20" width="9.140625" style="55" customWidth="1"/>
    <col min="21" max="22" width="5.42578125" style="9" hidden="1" customWidth="1"/>
    <col min="23" max="23" width="50" style="33" hidden="1" customWidth="1"/>
    <col min="24" max="24" width="20.140625" style="53" customWidth="1"/>
    <col min="25" max="25" width="16" style="53" customWidth="1"/>
    <col min="26" max="16384" width="9.140625" style="53"/>
  </cols>
  <sheetData>
    <row r="1" spans="1:26" ht="54" customHeight="1" x14ac:dyDescent="0.25">
      <c r="A1" s="128" t="s">
        <v>200</v>
      </c>
      <c r="B1" s="128"/>
      <c r="C1" s="128"/>
      <c r="D1" s="128"/>
      <c r="E1" s="128"/>
      <c r="F1" s="128"/>
      <c r="G1" s="128"/>
      <c r="H1" s="128"/>
      <c r="I1" s="128"/>
      <c r="J1" s="128"/>
      <c r="K1" s="128"/>
      <c r="L1" s="128"/>
      <c r="M1" s="128"/>
      <c r="N1" s="128"/>
      <c r="O1" s="128"/>
      <c r="P1" s="128"/>
      <c r="Q1" s="128"/>
      <c r="R1" s="128"/>
      <c r="S1" s="128"/>
      <c r="T1" s="128"/>
      <c r="X1" s="129"/>
      <c r="Y1" s="130"/>
      <c r="Z1" s="131"/>
    </row>
    <row r="2" spans="1:26" s="43" customFormat="1" ht="18.75" x14ac:dyDescent="0.3">
      <c r="B2" s="44"/>
      <c r="C2" s="44"/>
      <c r="E2" s="44"/>
      <c r="F2" s="44"/>
      <c r="G2" s="45"/>
      <c r="H2" s="45"/>
      <c r="I2" s="92" t="s">
        <v>190</v>
      </c>
      <c r="J2" s="93"/>
      <c r="K2" s="93"/>
      <c r="L2" s="93"/>
      <c r="M2" s="93"/>
      <c r="N2" s="93"/>
      <c r="O2" s="93"/>
      <c r="P2" s="93"/>
      <c r="Q2" s="94"/>
      <c r="R2" s="95"/>
      <c r="S2" s="45"/>
      <c r="T2" s="132"/>
      <c r="U2" s="31"/>
      <c r="V2" s="31"/>
      <c r="W2" s="133"/>
      <c r="X2" s="134"/>
      <c r="Y2" s="135"/>
      <c r="Z2" s="143"/>
    </row>
    <row r="3" spans="1:26" ht="27.75" customHeight="1" x14ac:dyDescent="0.25">
      <c r="A3" s="96" t="s">
        <v>100</v>
      </c>
      <c r="B3" s="96"/>
      <c r="C3" s="96"/>
      <c r="D3" s="96"/>
      <c r="E3" s="96"/>
      <c r="F3" s="96"/>
      <c r="G3" s="96"/>
      <c r="H3" s="7"/>
      <c r="I3" s="97" t="s">
        <v>136</v>
      </c>
      <c r="J3" s="97"/>
      <c r="K3" s="97" t="s">
        <v>145</v>
      </c>
      <c r="L3" s="97"/>
      <c r="M3" s="98" t="s">
        <v>139</v>
      </c>
      <c r="N3" s="98"/>
      <c r="O3" s="98" t="s">
        <v>128</v>
      </c>
      <c r="P3" s="98"/>
      <c r="Q3" s="99" t="s">
        <v>129</v>
      </c>
      <c r="R3" s="100" t="s">
        <v>146</v>
      </c>
      <c r="S3" s="97" t="s">
        <v>138</v>
      </c>
      <c r="T3" s="97"/>
      <c r="U3" s="7"/>
      <c r="V3" s="7"/>
      <c r="W3" s="76"/>
    </row>
    <row r="4" spans="1:26" ht="150.75" customHeight="1" x14ac:dyDescent="0.2">
      <c r="A4" s="46" t="s">
        <v>96</v>
      </c>
      <c r="B4" s="2" t="s">
        <v>0</v>
      </c>
      <c r="C4" s="2" t="s">
        <v>101</v>
      </c>
      <c r="D4" s="46" t="s">
        <v>1</v>
      </c>
      <c r="E4" s="2" t="s">
        <v>2</v>
      </c>
      <c r="F4" s="2" t="s">
        <v>3</v>
      </c>
      <c r="G4" s="47" t="s">
        <v>4</v>
      </c>
      <c r="H4" s="136"/>
      <c r="I4" s="2" t="s">
        <v>127</v>
      </c>
      <c r="J4" s="2" t="s">
        <v>187</v>
      </c>
      <c r="K4" s="2" t="s">
        <v>140</v>
      </c>
      <c r="L4" s="2" t="s">
        <v>188</v>
      </c>
      <c r="M4" s="88" t="s">
        <v>117</v>
      </c>
      <c r="N4" s="88" t="s">
        <v>118</v>
      </c>
      <c r="O4" s="88" t="s">
        <v>123</v>
      </c>
      <c r="P4" s="88" t="s">
        <v>124</v>
      </c>
      <c r="Q4" s="99"/>
      <c r="R4" s="100"/>
      <c r="S4" s="2" t="s">
        <v>127</v>
      </c>
      <c r="T4" s="2" t="s">
        <v>130</v>
      </c>
      <c r="U4" s="1" t="s">
        <v>115</v>
      </c>
      <c r="V4" s="1" t="s">
        <v>116</v>
      </c>
      <c r="W4" s="34" t="s">
        <v>114</v>
      </c>
    </row>
    <row r="5" spans="1:26" s="9" customFormat="1" ht="12" customHeight="1" x14ac:dyDescent="0.2">
      <c r="A5" s="2">
        <v>1</v>
      </c>
      <c r="B5" s="2">
        <v>2</v>
      </c>
      <c r="C5" s="2">
        <v>3</v>
      </c>
      <c r="D5" s="2">
        <v>4</v>
      </c>
      <c r="E5" s="2">
        <v>5</v>
      </c>
      <c r="F5" s="2">
        <v>6</v>
      </c>
      <c r="G5" s="2">
        <v>7</v>
      </c>
      <c r="H5" s="136"/>
      <c r="I5" s="1">
        <v>8</v>
      </c>
      <c r="J5" s="1">
        <v>9</v>
      </c>
      <c r="K5" s="1">
        <v>10</v>
      </c>
      <c r="L5" s="1">
        <v>11</v>
      </c>
      <c r="M5" s="1">
        <v>12</v>
      </c>
      <c r="N5" s="1">
        <v>13</v>
      </c>
      <c r="O5" s="1">
        <v>14</v>
      </c>
      <c r="P5" s="1">
        <v>15</v>
      </c>
      <c r="Q5" s="29">
        <v>16</v>
      </c>
      <c r="R5" s="1">
        <v>17</v>
      </c>
      <c r="S5" s="2">
        <v>18</v>
      </c>
      <c r="T5" s="2">
        <v>19</v>
      </c>
      <c r="U5" s="1"/>
      <c r="V5" s="1"/>
      <c r="W5" s="34"/>
    </row>
    <row r="6" spans="1:26" ht="18" customHeight="1" x14ac:dyDescent="0.25">
      <c r="A6" s="48"/>
      <c r="B6" s="49"/>
      <c r="C6" s="50">
        <v>4</v>
      </c>
      <c r="D6" s="91" t="s">
        <v>5</v>
      </c>
      <c r="E6" s="91"/>
      <c r="F6" s="91"/>
      <c r="G6" s="91"/>
      <c r="H6" s="137"/>
      <c r="I6" s="10">
        <f>_2021_VB_ar_MK_grozījumiem!S6</f>
        <v>671</v>
      </c>
      <c r="J6" s="10">
        <f>_2021_VB_ar_MK_grozījumiem!T6</f>
        <v>671</v>
      </c>
      <c r="K6" s="10">
        <f>ROUND(_2021_VB_ar_MK_grozījumiem!K6*1.05,0)</f>
        <v>65</v>
      </c>
      <c r="L6" s="10">
        <f t="shared" ref="L6:R6" si="0">L7+L8+L9+L10</f>
        <v>65</v>
      </c>
      <c r="M6" s="10">
        <f t="shared" si="0"/>
        <v>1451</v>
      </c>
      <c r="N6" s="10">
        <f t="shared" si="0"/>
        <v>1451</v>
      </c>
      <c r="O6" s="10">
        <f>'_2022_VB_bez izmaiņām'!O6</f>
        <v>338</v>
      </c>
      <c r="P6" s="10">
        <f t="shared" si="0"/>
        <v>814</v>
      </c>
      <c r="Q6" s="73" t="s">
        <v>119</v>
      </c>
      <c r="R6" s="3">
        <f t="shared" si="0"/>
        <v>69076.425000000003</v>
      </c>
      <c r="S6" s="10">
        <f>S7+S8+S9+S10</f>
        <v>637</v>
      </c>
      <c r="T6" s="10">
        <f>T7+T8+T9+T10</f>
        <v>637</v>
      </c>
      <c r="U6" s="8"/>
      <c r="V6" s="8">
        <v>1</v>
      </c>
    </row>
    <row r="7" spans="1:26" ht="27.75" customHeight="1" x14ac:dyDescent="0.25">
      <c r="A7" s="37">
        <v>1</v>
      </c>
      <c r="B7" s="38" t="s">
        <v>6</v>
      </c>
      <c r="C7" s="38" t="s">
        <v>7</v>
      </c>
      <c r="D7" s="37" t="s">
        <v>8</v>
      </c>
      <c r="E7" s="38" t="s">
        <v>9</v>
      </c>
      <c r="F7" s="38" t="s">
        <v>97</v>
      </c>
      <c r="G7" s="51" t="s">
        <v>10</v>
      </c>
      <c r="H7" s="56"/>
      <c r="I7" s="13">
        <f>_2021_VB_ar_MK_grozījumiem!S7</f>
        <v>297</v>
      </c>
      <c r="J7" s="13">
        <f>_2021_VB_ar_MK_grozījumiem!T7</f>
        <v>297</v>
      </c>
      <c r="K7" s="74">
        <f>ROUND(_2021_VB_ar_MK_grozījumiem!K7*1.05,0)</f>
        <v>27</v>
      </c>
      <c r="L7" s="74">
        <f>K7</f>
        <v>27</v>
      </c>
      <c r="M7" s="13">
        <f>I7+(K7*12)</f>
        <v>621</v>
      </c>
      <c r="N7" s="13">
        <f>J7+(L7*12)</f>
        <v>621</v>
      </c>
      <c r="O7" s="13">
        <f>M7</f>
        <v>621</v>
      </c>
      <c r="P7" s="74">
        <f>O7</f>
        <v>621</v>
      </c>
      <c r="Q7" s="39">
        <f>'_2021_VB_bez izmaiņām'!Q7*1.1</f>
        <v>92.4</v>
      </c>
      <c r="R7" s="4">
        <f>Q7*P7</f>
        <v>57380.4</v>
      </c>
      <c r="S7" s="18">
        <f>M7-O7</f>
        <v>0</v>
      </c>
      <c r="T7" s="18">
        <f>N7-P7</f>
        <v>0</v>
      </c>
      <c r="U7" s="1"/>
      <c r="V7" s="1">
        <v>1</v>
      </c>
      <c r="W7" s="33" t="s">
        <v>102</v>
      </c>
      <c r="X7" s="138"/>
    </row>
    <row r="8" spans="1:26" ht="18" customHeight="1" x14ac:dyDescent="0.25">
      <c r="A8" s="37">
        <v>2</v>
      </c>
      <c r="B8" s="38" t="s">
        <v>6</v>
      </c>
      <c r="C8" s="38" t="s">
        <v>11</v>
      </c>
      <c r="D8" s="37" t="s">
        <v>12</v>
      </c>
      <c r="E8" s="38" t="s">
        <v>9</v>
      </c>
      <c r="F8" s="38">
        <v>5</v>
      </c>
      <c r="G8" s="51" t="s">
        <v>10</v>
      </c>
      <c r="H8" s="56"/>
      <c r="I8" s="13">
        <f>_2021_VB_ar_MK_grozījumiem!S8</f>
        <v>83</v>
      </c>
      <c r="J8" s="13">
        <f>_2021_VB_ar_MK_grozījumiem!T8</f>
        <v>83</v>
      </c>
      <c r="K8" s="74">
        <f>ROUND(_2021_VB_ar_MK_grozījumiem!K8*1.05,0)</f>
        <v>8</v>
      </c>
      <c r="L8" s="74">
        <f t="shared" ref="L8:L10" si="1">K8</f>
        <v>8</v>
      </c>
      <c r="M8" s="13">
        <f t="shared" ref="M8:N10" si="2">I8+(K8*12)</f>
        <v>179</v>
      </c>
      <c r="N8" s="13">
        <f t="shared" si="2"/>
        <v>179</v>
      </c>
      <c r="O8" s="13">
        <f>'_2022_VB_bez izmaiņām'!O8</f>
        <v>43</v>
      </c>
      <c r="P8" s="74">
        <f t="shared" ref="P8:P10" si="3">O8</f>
        <v>43</v>
      </c>
      <c r="Q8" s="39">
        <f>'_2021_VB_bez izmaiņām'!Q8*1.1</f>
        <v>92.4</v>
      </c>
      <c r="R8" s="4">
        <f t="shared" ref="R8:R49" si="4">Q8*P8</f>
        <v>3973.2000000000003</v>
      </c>
      <c r="S8" s="18">
        <f t="shared" ref="S8:T10" si="5">M8-O8</f>
        <v>136</v>
      </c>
      <c r="T8" s="18">
        <f t="shared" si="5"/>
        <v>136</v>
      </c>
      <c r="U8" s="1"/>
      <c r="V8" s="1">
        <v>1</v>
      </c>
    </row>
    <row r="9" spans="1:26" ht="36" customHeight="1" x14ac:dyDescent="0.25">
      <c r="A9" s="37">
        <v>3</v>
      </c>
      <c r="B9" s="38" t="s">
        <v>13</v>
      </c>
      <c r="C9" s="38" t="s">
        <v>14</v>
      </c>
      <c r="D9" s="37" t="s">
        <v>15</v>
      </c>
      <c r="E9" s="38" t="s">
        <v>9</v>
      </c>
      <c r="F9" s="38">
        <v>2</v>
      </c>
      <c r="G9" s="51" t="s">
        <v>10</v>
      </c>
      <c r="H9" s="56"/>
      <c r="I9" s="13">
        <f>_2021_VB_ar_MK_grozījumiem!S9</f>
        <v>112</v>
      </c>
      <c r="J9" s="13">
        <f>_2021_VB_ar_MK_grozījumiem!T9</f>
        <v>112</v>
      </c>
      <c r="K9" s="74">
        <f>ROUND(_2021_VB_ar_MK_grozījumiem!K9*1.05,0)</f>
        <v>11</v>
      </c>
      <c r="L9" s="74">
        <f t="shared" si="1"/>
        <v>11</v>
      </c>
      <c r="M9" s="13">
        <f t="shared" si="2"/>
        <v>244</v>
      </c>
      <c r="N9" s="13">
        <f t="shared" si="2"/>
        <v>244</v>
      </c>
      <c r="O9" s="13">
        <f>'_2022_VB_bez izmaiņām'!O9</f>
        <v>55</v>
      </c>
      <c r="P9" s="74">
        <f t="shared" si="3"/>
        <v>55</v>
      </c>
      <c r="Q9" s="39">
        <f>'_2021_VB_bez izmaiņām'!Q9*1.1</f>
        <v>36.960000000000008</v>
      </c>
      <c r="R9" s="4">
        <f t="shared" si="4"/>
        <v>2032.8000000000004</v>
      </c>
      <c r="S9" s="18">
        <f t="shared" si="5"/>
        <v>189</v>
      </c>
      <c r="T9" s="18">
        <f t="shared" si="5"/>
        <v>189</v>
      </c>
      <c r="U9" s="1"/>
      <c r="V9" s="1">
        <v>1</v>
      </c>
    </row>
    <row r="10" spans="1:26" ht="18" customHeight="1" x14ac:dyDescent="0.25">
      <c r="A10" s="37">
        <v>4</v>
      </c>
      <c r="B10" s="38" t="s">
        <v>16</v>
      </c>
      <c r="C10" s="38" t="s">
        <v>17</v>
      </c>
      <c r="D10" s="37" t="s">
        <v>18</v>
      </c>
      <c r="E10" s="38" t="s">
        <v>9</v>
      </c>
      <c r="F10" s="38">
        <v>5</v>
      </c>
      <c r="G10" s="51" t="s">
        <v>10</v>
      </c>
      <c r="H10" s="56"/>
      <c r="I10" s="13">
        <f>_2021_VB_ar_MK_grozījumiem!S10</f>
        <v>179</v>
      </c>
      <c r="J10" s="13">
        <f>_2021_VB_ar_MK_grozījumiem!T10</f>
        <v>179</v>
      </c>
      <c r="K10" s="74">
        <f>ROUND(_2021_VB_ar_MK_grozījumiem!K10*1.05,0)</f>
        <v>19</v>
      </c>
      <c r="L10" s="74">
        <f t="shared" si="1"/>
        <v>19</v>
      </c>
      <c r="M10" s="13">
        <f t="shared" si="2"/>
        <v>407</v>
      </c>
      <c r="N10" s="13">
        <f t="shared" si="2"/>
        <v>407</v>
      </c>
      <c r="O10" s="13">
        <f>'_2022_VB_bez izmaiņām'!O10</f>
        <v>95</v>
      </c>
      <c r="P10" s="74">
        <f t="shared" si="3"/>
        <v>95</v>
      </c>
      <c r="Q10" s="39">
        <f>'_2021_VB_bez izmaiņām'!Q10*1.1</f>
        <v>59.89500000000001</v>
      </c>
      <c r="R10" s="4">
        <f t="shared" si="4"/>
        <v>5690.0250000000005</v>
      </c>
      <c r="S10" s="18">
        <f t="shared" si="5"/>
        <v>312</v>
      </c>
      <c r="T10" s="18">
        <f t="shared" si="5"/>
        <v>312</v>
      </c>
      <c r="U10" s="1"/>
      <c r="V10" s="1">
        <v>1</v>
      </c>
    </row>
    <row r="11" spans="1:26" ht="18" customHeight="1" x14ac:dyDescent="0.25">
      <c r="A11" s="48"/>
      <c r="B11" s="49"/>
      <c r="C11" s="50">
        <v>6</v>
      </c>
      <c r="D11" s="91" t="s">
        <v>19</v>
      </c>
      <c r="E11" s="91"/>
      <c r="F11" s="91"/>
      <c r="G11" s="91"/>
      <c r="H11" s="137"/>
      <c r="I11" s="14">
        <f>_2021_VB_ar_MK_grozījumiem!S11</f>
        <v>216</v>
      </c>
      <c r="J11" s="14">
        <f>_2021_VB_ar_MK_grozījumiem!T11</f>
        <v>216</v>
      </c>
      <c r="K11" s="14">
        <f>ROUND(_2021_VB_ar_MK_grozījumiem!K11*1.05,0)</f>
        <v>46</v>
      </c>
      <c r="L11" s="14">
        <f t="shared" ref="L11:R11" si="6">L12</f>
        <v>46</v>
      </c>
      <c r="M11" s="14">
        <f t="shared" si="6"/>
        <v>768</v>
      </c>
      <c r="N11" s="14">
        <f t="shared" si="6"/>
        <v>768</v>
      </c>
      <c r="O11" s="14">
        <f>'_2022_VB_bez izmaiņām'!O11</f>
        <v>500</v>
      </c>
      <c r="P11" s="14">
        <f t="shared" si="6"/>
        <v>511</v>
      </c>
      <c r="Q11" s="73" t="s">
        <v>119</v>
      </c>
      <c r="R11" s="5">
        <f t="shared" si="6"/>
        <v>314433.11900000001</v>
      </c>
      <c r="S11" s="14">
        <f>S12</f>
        <v>257</v>
      </c>
      <c r="T11" s="14">
        <f>T12</f>
        <v>257</v>
      </c>
      <c r="U11" s="8"/>
      <c r="V11" s="8">
        <v>1</v>
      </c>
    </row>
    <row r="12" spans="1:26" s="43" customFormat="1" ht="34.5" customHeight="1" x14ac:dyDescent="0.25">
      <c r="A12" s="35">
        <v>5</v>
      </c>
      <c r="B12" s="36" t="s">
        <v>20</v>
      </c>
      <c r="C12" s="36" t="s">
        <v>21</v>
      </c>
      <c r="D12" s="35" t="s">
        <v>22</v>
      </c>
      <c r="E12" s="36" t="s">
        <v>9</v>
      </c>
      <c r="F12" s="36">
        <v>2</v>
      </c>
      <c r="G12" s="52" t="s">
        <v>23</v>
      </c>
      <c r="H12" s="57"/>
      <c r="I12" s="13">
        <f>_2021_VB_ar_MK_grozījumiem!S12</f>
        <v>216</v>
      </c>
      <c r="J12" s="13">
        <f>_2021_VB_ar_MK_grozījumiem!T12</f>
        <v>216</v>
      </c>
      <c r="K12" s="74">
        <f>ROUND(_2021_VB_ar_MK_grozījumiem!K12*1.05,0)</f>
        <v>46</v>
      </c>
      <c r="L12" s="74">
        <f>K12</f>
        <v>46</v>
      </c>
      <c r="M12" s="13">
        <f t="shared" ref="M12:N12" si="7">I12+(K12*12)</f>
        <v>768</v>
      </c>
      <c r="N12" s="13">
        <f t="shared" si="7"/>
        <v>768</v>
      </c>
      <c r="O12" s="13">
        <f>'_2022_VB_bez izmaiņām'!O12</f>
        <v>511</v>
      </c>
      <c r="P12" s="74">
        <f>O12</f>
        <v>511</v>
      </c>
      <c r="Q12" s="40">
        <f>'_2021_VB_bez izmaiņām'!Q12*1.1</f>
        <v>615.32900000000006</v>
      </c>
      <c r="R12" s="22">
        <f>Q12*P12</f>
        <v>314433.11900000001</v>
      </c>
      <c r="S12" s="19">
        <f t="shared" ref="S12:T12" si="8">M12-O12</f>
        <v>257</v>
      </c>
      <c r="T12" s="19">
        <f t="shared" si="8"/>
        <v>257</v>
      </c>
      <c r="U12" s="24"/>
      <c r="V12" s="24">
        <v>1</v>
      </c>
      <c r="W12" s="32"/>
    </row>
    <row r="13" spans="1:26" ht="18" customHeight="1" x14ac:dyDescent="0.25">
      <c r="A13" s="48"/>
      <c r="B13" s="49"/>
      <c r="C13" s="50">
        <v>12</v>
      </c>
      <c r="D13" s="91" t="s">
        <v>24</v>
      </c>
      <c r="E13" s="91"/>
      <c r="F13" s="91"/>
      <c r="G13" s="91"/>
      <c r="H13" s="137"/>
      <c r="I13" s="10">
        <f>_2021_VB_ar_MK_grozījumiem!S13</f>
        <v>161</v>
      </c>
      <c r="J13" s="10">
        <f>_2021_VB_ar_MK_grozījumiem!T13</f>
        <v>161</v>
      </c>
      <c r="K13" s="10">
        <f>ROUND(_2021_VB_ar_MK_grozījumiem!K13*1.05,0)</f>
        <v>17</v>
      </c>
      <c r="L13" s="10">
        <f t="shared" ref="L13:R13" si="9">L14+L15</f>
        <v>16</v>
      </c>
      <c r="M13" s="10">
        <f t="shared" si="9"/>
        <v>353</v>
      </c>
      <c r="N13" s="10">
        <f t="shared" si="9"/>
        <v>353</v>
      </c>
      <c r="O13" s="10">
        <f>'_2022_VB_bez izmaiņām'!O13</f>
        <v>84</v>
      </c>
      <c r="P13" s="10">
        <f t="shared" si="9"/>
        <v>353</v>
      </c>
      <c r="Q13" s="73" t="s">
        <v>119</v>
      </c>
      <c r="R13" s="3">
        <f t="shared" si="9"/>
        <v>18164.300000000003</v>
      </c>
      <c r="S13" s="10">
        <f>S14+S15</f>
        <v>0</v>
      </c>
      <c r="T13" s="10">
        <f>T14+T15</f>
        <v>0</v>
      </c>
      <c r="U13" s="8"/>
      <c r="V13" s="8">
        <v>1</v>
      </c>
    </row>
    <row r="14" spans="1:26" ht="33.75" customHeight="1" x14ac:dyDescent="0.25">
      <c r="A14" s="37">
        <v>6</v>
      </c>
      <c r="B14" s="38" t="s">
        <v>25</v>
      </c>
      <c r="C14" s="38" t="s">
        <v>26</v>
      </c>
      <c r="D14" s="37" t="s">
        <v>27</v>
      </c>
      <c r="E14" s="38" t="s">
        <v>9</v>
      </c>
      <c r="F14" s="38" t="s">
        <v>104</v>
      </c>
      <c r="G14" s="51" t="s">
        <v>10</v>
      </c>
      <c r="H14" s="56"/>
      <c r="I14" s="13">
        <f>_2021_VB_ar_MK_grozījumiem!S14</f>
        <v>71</v>
      </c>
      <c r="J14" s="13">
        <f>_2021_VB_ar_MK_grozījumiem!T14</f>
        <v>71</v>
      </c>
      <c r="K14" s="74">
        <f>ROUND(_2021_VB_ar_MK_grozījumiem!K14*1.05,0)</f>
        <v>7</v>
      </c>
      <c r="L14" s="74">
        <f>K14</f>
        <v>7</v>
      </c>
      <c r="M14" s="13">
        <f t="shared" ref="M14:N15" si="10">I14+(K14*12)</f>
        <v>155</v>
      </c>
      <c r="N14" s="13">
        <f t="shared" si="10"/>
        <v>155</v>
      </c>
      <c r="O14" s="13">
        <f>M14</f>
        <v>155</v>
      </c>
      <c r="P14" s="74">
        <f>O14</f>
        <v>155</v>
      </c>
      <c r="Q14" s="39">
        <f>'_2021_VB_bez izmaiņām'!Q14*1.1</f>
        <v>38.5</v>
      </c>
      <c r="R14" s="4">
        <f t="shared" si="4"/>
        <v>5967.5</v>
      </c>
      <c r="S14" s="18">
        <f t="shared" ref="S14:T15" si="11">M14-O14</f>
        <v>0</v>
      </c>
      <c r="T14" s="18">
        <f t="shared" si="11"/>
        <v>0</v>
      </c>
      <c r="U14" s="1"/>
      <c r="V14" s="1">
        <v>1</v>
      </c>
      <c r="W14" s="33" t="s">
        <v>103</v>
      </c>
    </row>
    <row r="15" spans="1:26" ht="24" customHeight="1" x14ac:dyDescent="0.25">
      <c r="A15" s="37">
        <v>7</v>
      </c>
      <c r="B15" s="38" t="s">
        <v>25</v>
      </c>
      <c r="C15" s="38" t="s">
        <v>26</v>
      </c>
      <c r="D15" s="37" t="s">
        <v>28</v>
      </c>
      <c r="E15" s="38" t="s">
        <v>9</v>
      </c>
      <c r="F15" s="38" t="s">
        <v>104</v>
      </c>
      <c r="G15" s="51" t="s">
        <v>10</v>
      </c>
      <c r="H15" s="56"/>
      <c r="I15" s="13">
        <f>_2021_VB_ar_MK_grozījumiem!S15</f>
        <v>90</v>
      </c>
      <c r="J15" s="13">
        <f>_2021_VB_ar_MK_grozījumiem!T15</f>
        <v>90</v>
      </c>
      <c r="K15" s="74">
        <f>ROUND(_2021_VB_ar_MK_grozījumiem!K15*1.05,0)</f>
        <v>9</v>
      </c>
      <c r="L15" s="74">
        <f>K15</f>
        <v>9</v>
      </c>
      <c r="M15" s="13">
        <f t="shared" si="10"/>
        <v>198</v>
      </c>
      <c r="N15" s="13">
        <f t="shared" si="10"/>
        <v>198</v>
      </c>
      <c r="O15" s="13">
        <f>M15</f>
        <v>198</v>
      </c>
      <c r="P15" s="74">
        <f>O15</f>
        <v>198</v>
      </c>
      <c r="Q15" s="39">
        <f>'_2021_VB_bez izmaiņām'!Q15*1.1</f>
        <v>61.600000000000009</v>
      </c>
      <c r="R15" s="4">
        <f t="shared" si="4"/>
        <v>12196.800000000001</v>
      </c>
      <c r="S15" s="18">
        <f t="shared" si="11"/>
        <v>0</v>
      </c>
      <c r="T15" s="18">
        <f t="shared" si="11"/>
        <v>0</v>
      </c>
      <c r="U15" s="1"/>
      <c r="V15" s="1">
        <v>1</v>
      </c>
      <c r="W15" s="33" t="s">
        <v>103</v>
      </c>
    </row>
    <row r="16" spans="1:26" ht="18" customHeight="1" x14ac:dyDescent="0.25">
      <c r="A16" s="48"/>
      <c r="B16" s="49"/>
      <c r="C16" s="50">
        <v>15</v>
      </c>
      <c r="D16" s="91" t="s">
        <v>29</v>
      </c>
      <c r="E16" s="91"/>
      <c r="F16" s="91"/>
      <c r="G16" s="91"/>
      <c r="H16" s="137"/>
      <c r="I16" s="10">
        <f>_2021_VB_ar_MK_grozījumiem!S16</f>
        <v>140</v>
      </c>
      <c r="J16" s="10">
        <f>_2021_VB_ar_MK_grozījumiem!T16</f>
        <v>140</v>
      </c>
      <c r="K16" s="10">
        <f>ROUND(_2021_VB_ar_MK_grozījumiem!K16*1.05,0)</f>
        <v>16</v>
      </c>
      <c r="L16" s="10">
        <f t="shared" ref="L16:P16" si="12">L17+L18</f>
        <v>15</v>
      </c>
      <c r="M16" s="10">
        <f t="shared" si="12"/>
        <v>320</v>
      </c>
      <c r="N16" s="10">
        <f t="shared" si="12"/>
        <v>320</v>
      </c>
      <c r="O16" s="10">
        <f>'_2022_VB_bez izmaiņām'!O16</f>
        <v>78</v>
      </c>
      <c r="P16" s="10">
        <f t="shared" si="12"/>
        <v>79</v>
      </c>
      <c r="Q16" s="73" t="s">
        <v>119</v>
      </c>
      <c r="R16" s="3">
        <f t="shared" ref="R16" si="13">R17+R18</f>
        <v>2841.1900000000005</v>
      </c>
      <c r="S16" s="10">
        <f>S17+S18</f>
        <v>241</v>
      </c>
      <c r="T16" s="10">
        <f>T17+T18</f>
        <v>241</v>
      </c>
      <c r="U16" s="8"/>
      <c r="V16" s="8">
        <v>1</v>
      </c>
    </row>
    <row r="17" spans="1:23" ht="18" customHeight="1" x14ac:dyDescent="0.25">
      <c r="A17" s="37">
        <v>8</v>
      </c>
      <c r="B17" s="38" t="s">
        <v>16</v>
      </c>
      <c r="C17" s="38" t="s">
        <v>30</v>
      </c>
      <c r="D17" s="37" t="s">
        <v>31</v>
      </c>
      <c r="E17" s="38" t="s">
        <v>9</v>
      </c>
      <c r="F17" s="38">
        <v>5</v>
      </c>
      <c r="G17" s="51" t="s">
        <v>10</v>
      </c>
      <c r="H17" s="56"/>
      <c r="I17" s="13">
        <f>_2021_VB_ar_MK_grozījumiem!S17</f>
        <v>72</v>
      </c>
      <c r="J17" s="13">
        <f>_2021_VB_ar_MK_grozījumiem!T17</f>
        <v>72</v>
      </c>
      <c r="K17" s="74">
        <f>ROUND(_2021_VB_ar_MK_grozījumiem!K17*1.05,0)</f>
        <v>8</v>
      </c>
      <c r="L17" s="74">
        <f>K17</f>
        <v>8</v>
      </c>
      <c r="M17" s="13">
        <f t="shared" ref="M17:N18" si="14">I17+(K17*12)</f>
        <v>168</v>
      </c>
      <c r="N17" s="13">
        <f t="shared" si="14"/>
        <v>168</v>
      </c>
      <c r="O17" s="13">
        <f>'_2022_VB_bez izmaiņām'!O17</f>
        <v>41</v>
      </c>
      <c r="P17" s="74">
        <f>O17</f>
        <v>41</v>
      </c>
      <c r="Q17" s="39">
        <f>'_2021_VB_bez izmaiņām'!Q17*1.1</f>
        <v>53.24</v>
      </c>
      <c r="R17" s="4">
        <f t="shared" si="4"/>
        <v>2182.84</v>
      </c>
      <c r="S17" s="18">
        <f t="shared" ref="S17:T18" si="15">M17-O17</f>
        <v>127</v>
      </c>
      <c r="T17" s="18">
        <f t="shared" si="15"/>
        <v>127</v>
      </c>
      <c r="U17" s="1"/>
      <c r="V17" s="1">
        <v>1</v>
      </c>
    </row>
    <row r="18" spans="1:23" ht="33" customHeight="1" x14ac:dyDescent="0.25">
      <c r="A18" s="37">
        <v>9</v>
      </c>
      <c r="B18" s="38" t="s">
        <v>6</v>
      </c>
      <c r="C18" s="38" t="s">
        <v>30</v>
      </c>
      <c r="D18" s="37" t="s">
        <v>32</v>
      </c>
      <c r="E18" s="38" t="s">
        <v>9</v>
      </c>
      <c r="F18" s="38">
        <v>2</v>
      </c>
      <c r="G18" s="51" t="s">
        <v>10</v>
      </c>
      <c r="H18" s="56"/>
      <c r="I18" s="13">
        <f>_2021_VB_ar_MK_grozījumiem!S18</f>
        <v>68</v>
      </c>
      <c r="J18" s="13">
        <f>_2021_VB_ar_MK_grozījumiem!T18</f>
        <v>68</v>
      </c>
      <c r="K18" s="74">
        <f>ROUND(_2021_VB_ar_MK_grozījumiem!K18*1.05,0)</f>
        <v>7</v>
      </c>
      <c r="L18" s="74">
        <f>K18</f>
        <v>7</v>
      </c>
      <c r="M18" s="13">
        <f t="shared" si="14"/>
        <v>152</v>
      </c>
      <c r="N18" s="13">
        <f t="shared" si="14"/>
        <v>152</v>
      </c>
      <c r="O18" s="13">
        <f>'_2022_VB_bez izmaiņām'!O18</f>
        <v>38</v>
      </c>
      <c r="P18" s="74">
        <f>O18</f>
        <v>38</v>
      </c>
      <c r="Q18" s="39">
        <f>'_2021_VB_bez izmaiņām'!Q18*1.1</f>
        <v>17.325000000000003</v>
      </c>
      <c r="R18" s="4">
        <f t="shared" si="4"/>
        <v>658.35000000000014</v>
      </c>
      <c r="S18" s="18">
        <f t="shared" si="15"/>
        <v>114</v>
      </c>
      <c r="T18" s="18">
        <f t="shared" si="15"/>
        <v>114</v>
      </c>
      <c r="U18" s="1"/>
      <c r="V18" s="1">
        <v>1</v>
      </c>
    </row>
    <row r="19" spans="1:23" ht="18" customHeight="1" x14ac:dyDescent="0.25">
      <c r="A19" s="48"/>
      <c r="B19" s="49"/>
      <c r="C19" s="50">
        <v>22</v>
      </c>
      <c r="D19" s="91" t="s">
        <v>33</v>
      </c>
      <c r="E19" s="91"/>
      <c r="F19" s="91"/>
      <c r="G19" s="91"/>
      <c r="H19" s="137"/>
      <c r="I19" s="10">
        <f>_2021_VB_ar_MK_grozījumiem!S19</f>
        <v>6835</v>
      </c>
      <c r="J19" s="10">
        <f>_2021_VB_ar_MK_grozījumiem!T19</f>
        <v>8606</v>
      </c>
      <c r="K19" s="10">
        <f>ROUND(_2021_VB_ar_MK_grozījumiem!K19*1.05,0)</f>
        <v>615</v>
      </c>
      <c r="L19" s="10">
        <f t="shared" ref="L19:P19" si="16">SUM(L20:L46)</f>
        <v>745</v>
      </c>
      <c r="M19" s="10">
        <f t="shared" si="16"/>
        <v>14263</v>
      </c>
      <c r="N19" s="10">
        <f t="shared" si="16"/>
        <v>17546</v>
      </c>
      <c r="O19" s="10">
        <f>'_2022_VB_bez izmaiņām'!O19</f>
        <v>4388</v>
      </c>
      <c r="P19" s="10">
        <f t="shared" si="16"/>
        <v>9252</v>
      </c>
      <c r="Q19" s="73" t="s">
        <v>119</v>
      </c>
      <c r="R19" s="3">
        <f>SUM(R20:R46)</f>
        <v>4462446.2153333342</v>
      </c>
      <c r="S19" s="10">
        <f>SUM(S20:S46)</f>
        <v>6759</v>
      </c>
      <c r="T19" s="10">
        <f>SUM(T20:T46)</f>
        <v>8294</v>
      </c>
      <c r="U19" s="8">
        <v>1</v>
      </c>
      <c r="V19" s="8">
        <v>1</v>
      </c>
    </row>
    <row r="20" spans="1:23" ht="17.25" customHeight="1" x14ac:dyDescent="0.25">
      <c r="A20" s="37">
        <v>10</v>
      </c>
      <c r="B20" s="38" t="s">
        <v>34</v>
      </c>
      <c r="C20" s="38" t="s">
        <v>35</v>
      </c>
      <c r="D20" s="37" t="s">
        <v>36</v>
      </c>
      <c r="E20" s="38" t="s">
        <v>9</v>
      </c>
      <c r="F20" s="38">
        <v>2</v>
      </c>
      <c r="G20" s="51" t="s">
        <v>37</v>
      </c>
      <c r="H20" s="56"/>
      <c r="I20" s="13">
        <f>_2021_VB_ar_MK_grozījumiem!S20</f>
        <v>134</v>
      </c>
      <c r="J20" s="13">
        <f>_2021_VB_ar_MK_grozījumiem!T20</f>
        <v>134</v>
      </c>
      <c r="K20" s="74">
        <f>ROUND(_2021_VB_ar_MK_grozījumiem!K20*1.05,0)</f>
        <v>10</v>
      </c>
      <c r="L20" s="74">
        <f>K20</f>
        <v>10</v>
      </c>
      <c r="M20" s="13">
        <f t="shared" ref="M20:N35" si="17">I20+(K20*12)</f>
        <v>254</v>
      </c>
      <c r="N20" s="13">
        <f t="shared" si="17"/>
        <v>254</v>
      </c>
      <c r="O20" s="13">
        <f>'_2022_VB_bez izmaiņām'!O20</f>
        <v>68</v>
      </c>
      <c r="P20" s="74">
        <f>O20</f>
        <v>68</v>
      </c>
      <c r="Q20" s="39">
        <f>'_2021_VB_bez izmaiņām'!Q20*1.1</f>
        <v>73.204999999999998</v>
      </c>
      <c r="R20" s="4">
        <f t="shared" si="4"/>
        <v>4977.9399999999996</v>
      </c>
      <c r="S20" s="18">
        <f t="shared" ref="S20:T35" si="18">M20-O20</f>
        <v>186</v>
      </c>
      <c r="T20" s="18">
        <f t="shared" si="18"/>
        <v>186</v>
      </c>
      <c r="U20" s="1"/>
      <c r="V20" s="1">
        <v>1</v>
      </c>
    </row>
    <row r="21" spans="1:23" ht="30.75" customHeight="1" x14ac:dyDescent="0.25">
      <c r="A21" s="37">
        <v>11</v>
      </c>
      <c r="B21" s="38" t="s">
        <v>34</v>
      </c>
      <c r="C21" s="38" t="s">
        <v>38</v>
      </c>
      <c r="D21" s="37" t="s">
        <v>39</v>
      </c>
      <c r="E21" s="38" t="s">
        <v>9</v>
      </c>
      <c r="F21" s="38" t="s">
        <v>98</v>
      </c>
      <c r="G21" s="51" t="s">
        <v>37</v>
      </c>
      <c r="H21" s="56"/>
      <c r="I21" s="13">
        <f>_2021_VB_ar_MK_grozījumiem!S21</f>
        <v>105</v>
      </c>
      <c r="J21" s="13">
        <f>_2021_VB_ar_MK_grozījumiem!T21</f>
        <v>105</v>
      </c>
      <c r="K21" s="74">
        <f>ROUND(_2021_VB_ar_MK_grozījumiem!K21*1.05,0)</f>
        <v>13</v>
      </c>
      <c r="L21" s="74">
        <f>K21</f>
        <v>13</v>
      </c>
      <c r="M21" s="13">
        <f t="shared" si="17"/>
        <v>261</v>
      </c>
      <c r="N21" s="13">
        <f t="shared" si="17"/>
        <v>261</v>
      </c>
      <c r="O21" s="13">
        <f>M21</f>
        <v>261</v>
      </c>
      <c r="P21" s="74">
        <f>O21</f>
        <v>261</v>
      </c>
      <c r="Q21" s="39">
        <f>'_2021_VB_bez izmaiņām'!Q21*1.1</f>
        <v>55.902000000000008</v>
      </c>
      <c r="R21" s="4">
        <f t="shared" si="4"/>
        <v>14590.422000000002</v>
      </c>
      <c r="S21" s="18">
        <f t="shared" si="18"/>
        <v>0</v>
      </c>
      <c r="T21" s="18">
        <f t="shared" si="18"/>
        <v>0</v>
      </c>
      <c r="U21" s="1"/>
      <c r="V21" s="1">
        <v>1</v>
      </c>
      <c r="W21" s="33" t="s">
        <v>105</v>
      </c>
    </row>
    <row r="22" spans="1:23" ht="36" customHeight="1" x14ac:dyDescent="0.25">
      <c r="A22" s="37">
        <v>12</v>
      </c>
      <c r="B22" s="38" t="s">
        <v>40</v>
      </c>
      <c r="C22" s="38" t="s">
        <v>41</v>
      </c>
      <c r="D22" s="37" t="s">
        <v>42</v>
      </c>
      <c r="E22" s="38" t="s">
        <v>9</v>
      </c>
      <c r="F22" s="38">
        <v>5</v>
      </c>
      <c r="G22" s="51" t="s">
        <v>43</v>
      </c>
      <c r="H22" s="56"/>
      <c r="I22" s="13">
        <f>_2021_VB_ar_MK_grozījumiem!S22</f>
        <v>36</v>
      </c>
      <c r="J22" s="13">
        <f>_2021_VB_ar_MK_grozījumiem!T22</f>
        <v>36</v>
      </c>
      <c r="K22" s="74">
        <f>ROUND(_2021_VB_ar_MK_grozījumiem!K22*1.05,0)</f>
        <v>5</v>
      </c>
      <c r="L22" s="74">
        <f t="shared" ref="L22:L49" si="19">K22</f>
        <v>5</v>
      </c>
      <c r="M22" s="13">
        <f t="shared" si="17"/>
        <v>96</v>
      </c>
      <c r="N22" s="13">
        <f t="shared" si="17"/>
        <v>96</v>
      </c>
      <c r="O22" s="13">
        <f>'_2022_VB_bez izmaiņām'!O22</f>
        <v>28</v>
      </c>
      <c r="P22" s="74">
        <f t="shared" ref="P22:P49" si="20">O22</f>
        <v>28</v>
      </c>
      <c r="Q22" s="39">
        <f>'_2021_VB_bez izmaiņām'!Q22*1.1</f>
        <v>99.825000000000003</v>
      </c>
      <c r="R22" s="4">
        <f t="shared" si="4"/>
        <v>2795.1</v>
      </c>
      <c r="S22" s="18">
        <f t="shared" si="18"/>
        <v>68</v>
      </c>
      <c r="T22" s="18">
        <f t="shared" si="18"/>
        <v>68</v>
      </c>
      <c r="U22" s="1"/>
      <c r="V22" s="1">
        <v>1</v>
      </c>
    </row>
    <row r="23" spans="1:23" ht="24" customHeight="1" x14ac:dyDescent="0.25">
      <c r="A23" s="37">
        <v>13</v>
      </c>
      <c r="B23" s="38" t="s">
        <v>40</v>
      </c>
      <c r="C23" s="38" t="s">
        <v>41</v>
      </c>
      <c r="D23" s="37" t="s">
        <v>106</v>
      </c>
      <c r="E23" s="38" t="s">
        <v>9</v>
      </c>
      <c r="F23" s="38">
        <v>5</v>
      </c>
      <c r="G23" s="51" t="s">
        <v>43</v>
      </c>
      <c r="H23" s="56"/>
      <c r="I23" s="13">
        <f>_2021_VB_ar_MK_grozījumiem!S23</f>
        <v>14</v>
      </c>
      <c r="J23" s="13">
        <f>_2021_VB_ar_MK_grozījumiem!T23</f>
        <v>14</v>
      </c>
      <c r="K23" s="74">
        <f>ROUND(_2021_VB_ar_MK_grozījumiem!K23*1.05,0)</f>
        <v>2</v>
      </c>
      <c r="L23" s="74">
        <f t="shared" si="19"/>
        <v>2</v>
      </c>
      <c r="M23" s="13">
        <f t="shared" si="17"/>
        <v>38</v>
      </c>
      <c r="N23" s="13">
        <f t="shared" si="17"/>
        <v>38</v>
      </c>
      <c r="O23" s="13">
        <f>'_2022_VB_bez izmaiņām'!O23</f>
        <v>11</v>
      </c>
      <c r="P23" s="74">
        <f t="shared" si="20"/>
        <v>11</v>
      </c>
      <c r="Q23" s="39">
        <f>'_2021_VB_bez izmaiņām'!Q23*1.1</f>
        <v>53.24</v>
      </c>
      <c r="R23" s="4">
        <f t="shared" si="4"/>
        <v>585.64</v>
      </c>
      <c r="S23" s="18">
        <f t="shared" si="18"/>
        <v>27</v>
      </c>
      <c r="T23" s="18">
        <f t="shared" si="18"/>
        <v>27</v>
      </c>
      <c r="U23" s="1"/>
      <c r="V23" s="1">
        <v>1</v>
      </c>
      <c r="W23" s="33" t="s">
        <v>107</v>
      </c>
    </row>
    <row r="24" spans="1:23" ht="35.25" customHeight="1" x14ac:dyDescent="0.25">
      <c r="A24" s="37">
        <v>14</v>
      </c>
      <c r="B24" s="38" t="s">
        <v>34</v>
      </c>
      <c r="C24" s="38" t="s">
        <v>44</v>
      </c>
      <c r="D24" s="37" t="s">
        <v>45</v>
      </c>
      <c r="E24" s="38" t="s">
        <v>9</v>
      </c>
      <c r="F24" s="38">
        <v>5</v>
      </c>
      <c r="G24" s="51" t="s">
        <v>37</v>
      </c>
      <c r="H24" s="56"/>
      <c r="I24" s="13">
        <f>_2021_VB_ar_MK_grozījumiem!S24</f>
        <v>658</v>
      </c>
      <c r="J24" s="13">
        <f>_2021_VB_ar_MK_grozījumiem!T24</f>
        <v>658</v>
      </c>
      <c r="K24" s="74">
        <f>ROUND(_2021_VB_ar_MK_grozījumiem!K24*1.05,0)</f>
        <v>61</v>
      </c>
      <c r="L24" s="74">
        <f t="shared" si="19"/>
        <v>61</v>
      </c>
      <c r="M24" s="13">
        <f t="shared" si="17"/>
        <v>1390</v>
      </c>
      <c r="N24" s="13">
        <f t="shared" si="17"/>
        <v>1390</v>
      </c>
      <c r="O24" s="13">
        <f>'_2022_VB_bez izmaiņām'!O24</f>
        <v>277</v>
      </c>
      <c r="P24" s="74">
        <f t="shared" si="20"/>
        <v>277</v>
      </c>
      <c r="Q24" s="39">
        <f>'_2021_VB_bez izmaiņām'!Q24*1.1</f>
        <v>625.32800000000009</v>
      </c>
      <c r="R24" s="4">
        <f t="shared" si="4"/>
        <v>173215.85600000003</v>
      </c>
      <c r="S24" s="18">
        <f t="shared" si="18"/>
        <v>1113</v>
      </c>
      <c r="T24" s="18">
        <f t="shared" si="18"/>
        <v>1113</v>
      </c>
      <c r="U24" s="1"/>
      <c r="V24" s="1">
        <v>1</v>
      </c>
    </row>
    <row r="25" spans="1:23" ht="36" customHeight="1" x14ac:dyDescent="0.25">
      <c r="A25" s="37">
        <v>15</v>
      </c>
      <c r="B25" s="38" t="s">
        <v>177</v>
      </c>
      <c r="C25" s="38" t="s">
        <v>46</v>
      </c>
      <c r="D25" s="37" t="s">
        <v>178</v>
      </c>
      <c r="E25" s="38" t="s">
        <v>9</v>
      </c>
      <c r="F25" s="38">
        <v>3</v>
      </c>
      <c r="G25" s="51" t="s">
        <v>47</v>
      </c>
      <c r="H25" s="56"/>
      <c r="I25" s="17">
        <f>_2021_VB_ar_MK_grozījumiem!S25</f>
        <v>9</v>
      </c>
      <c r="J25" s="17">
        <f>_2021_VB_ar_MK_grozījumiem!T25</f>
        <v>9</v>
      </c>
      <c r="K25" s="74">
        <f>ROUND(_2021_VB_ar_MK_grozījumiem!K25*1.05,0)</f>
        <v>1</v>
      </c>
      <c r="L25" s="74">
        <f t="shared" si="19"/>
        <v>1</v>
      </c>
      <c r="M25" s="17">
        <f t="shared" si="17"/>
        <v>21</v>
      </c>
      <c r="N25" s="17">
        <f t="shared" si="17"/>
        <v>21</v>
      </c>
      <c r="O25" s="17">
        <f>'_2022_VB_bez izmaiņām'!O25</f>
        <v>5</v>
      </c>
      <c r="P25" s="74">
        <f t="shared" si="20"/>
        <v>5</v>
      </c>
      <c r="Q25" s="41">
        <f>'_2021_VB_bez izmaiņām'!Q25*1.1</f>
        <v>225.01600000000002</v>
      </c>
      <c r="R25" s="6">
        <f t="shared" si="4"/>
        <v>1125.0800000000002</v>
      </c>
      <c r="S25" s="19">
        <f t="shared" si="18"/>
        <v>16</v>
      </c>
      <c r="T25" s="19">
        <f t="shared" si="18"/>
        <v>16</v>
      </c>
      <c r="U25" s="1">
        <v>1</v>
      </c>
      <c r="V25" s="1"/>
    </row>
    <row r="26" spans="1:23" ht="42.75" customHeight="1" x14ac:dyDescent="0.25">
      <c r="A26" s="37" t="s">
        <v>179</v>
      </c>
      <c r="B26" s="38" t="s">
        <v>48</v>
      </c>
      <c r="C26" s="38" t="s">
        <v>49</v>
      </c>
      <c r="D26" s="37" t="s">
        <v>180</v>
      </c>
      <c r="E26" s="38" t="s">
        <v>9</v>
      </c>
      <c r="F26" s="38">
        <v>5</v>
      </c>
      <c r="G26" s="51" t="s">
        <v>47</v>
      </c>
      <c r="H26" s="56"/>
      <c r="I26" s="17">
        <f>_2021_VB_ar_MK_grozījumiem!S26</f>
        <v>2951</v>
      </c>
      <c r="J26" s="17">
        <f>_2021_VB_ar_MK_grozījumiem!T26</f>
        <v>4722</v>
      </c>
      <c r="K26" s="75">
        <f>ROUND(_2021_VB_ar_MK_grozījumiem!K26*1.05,0)</f>
        <v>210</v>
      </c>
      <c r="L26" s="75">
        <f>ROUND(K26*1.6,0)</f>
        <v>336</v>
      </c>
      <c r="M26" s="17">
        <f t="shared" si="17"/>
        <v>5471</v>
      </c>
      <c r="N26" s="17">
        <f t="shared" si="17"/>
        <v>8754</v>
      </c>
      <c r="O26" s="17">
        <f>'_2022_VB_bez izmaiņām'!O26</f>
        <v>2914</v>
      </c>
      <c r="P26" s="75">
        <f>ROUND(O26*1.6,0)</f>
        <v>4662</v>
      </c>
      <c r="Q26" s="41">
        <f>'_2021_VB_bez izmaiņām'!Q26*1.1</f>
        <v>221.65</v>
      </c>
      <c r="R26" s="6">
        <f>Q26*P26</f>
        <v>1033332.3</v>
      </c>
      <c r="S26" s="19">
        <f>M26-O26</f>
        <v>2557</v>
      </c>
      <c r="T26" s="19">
        <f t="shared" si="18"/>
        <v>4092</v>
      </c>
      <c r="U26" s="1">
        <v>1</v>
      </c>
      <c r="V26" s="1"/>
    </row>
    <row r="27" spans="1:23" ht="46.5" customHeight="1" x14ac:dyDescent="0.25">
      <c r="A27" s="37">
        <v>19</v>
      </c>
      <c r="B27" s="38" t="s">
        <v>50</v>
      </c>
      <c r="C27" s="38" t="s">
        <v>51</v>
      </c>
      <c r="D27" s="37" t="s">
        <v>120</v>
      </c>
      <c r="E27" s="38" t="s">
        <v>9</v>
      </c>
      <c r="F27" s="38">
        <v>5</v>
      </c>
      <c r="G27" s="51" t="s">
        <v>52</v>
      </c>
      <c r="H27" s="56"/>
      <c r="I27" s="17">
        <f>_2021_VB_ar_MK_grozījumiem!S27</f>
        <v>326</v>
      </c>
      <c r="J27" s="17">
        <f>_2021_VB_ar_MK_grozījumiem!T27</f>
        <v>326</v>
      </c>
      <c r="K27" s="74">
        <f>ROUND(_2021_VB_ar_MK_grozījumiem!K27*1.05,0)</f>
        <v>21</v>
      </c>
      <c r="L27" s="74">
        <f t="shared" si="19"/>
        <v>21</v>
      </c>
      <c r="M27" s="17">
        <f t="shared" si="17"/>
        <v>578</v>
      </c>
      <c r="N27" s="17">
        <f t="shared" si="17"/>
        <v>578</v>
      </c>
      <c r="O27" s="17">
        <f>'_2022_VB_bez izmaiņām'!O27</f>
        <v>90</v>
      </c>
      <c r="P27" s="74">
        <f t="shared" si="20"/>
        <v>90</v>
      </c>
      <c r="Q27" s="41">
        <f>'_2021_VB_bez izmaiņām'!Q27*1.1</f>
        <v>285.38400000000001</v>
      </c>
      <c r="R27" s="6">
        <f t="shared" si="4"/>
        <v>25684.560000000001</v>
      </c>
      <c r="S27" s="19">
        <f t="shared" si="18"/>
        <v>488</v>
      </c>
      <c r="T27" s="19">
        <f t="shared" si="18"/>
        <v>488</v>
      </c>
      <c r="U27" s="1">
        <v>1</v>
      </c>
      <c r="V27" s="1"/>
      <c r="W27" s="33" t="s">
        <v>109</v>
      </c>
    </row>
    <row r="28" spans="1:23" ht="46.5" customHeight="1" x14ac:dyDescent="0.25">
      <c r="A28" s="37">
        <v>20</v>
      </c>
      <c r="B28" s="38" t="s">
        <v>53</v>
      </c>
      <c r="C28" s="38" t="s">
        <v>51</v>
      </c>
      <c r="D28" s="37" t="s">
        <v>54</v>
      </c>
      <c r="E28" s="38" t="s">
        <v>9</v>
      </c>
      <c r="F28" s="38">
        <v>5</v>
      </c>
      <c r="G28" s="51" t="s">
        <v>55</v>
      </c>
      <c r="H28" s="56"/>
      <c r="I28" s="17">
        <f>_2021_VB_ar_MK_grozījumiem!S28</f>
        <v>60</v>
      </c>
      <c r="J28" s="17">
        <f>_2021_VB_ar_MK_grozījumiem!T28</f>
        <v>60</v>
      </c>
      <c r="K28" s="74">
        <f>ROUND(_2021_VB_ar_MK_grozījumiem!K28*1.05,0)</f>
        <v>2</v>
      </c>
      <c r="L28" s="74">
        <f t="shared" si="19"/>
        <v>2</v>
      </c>
      <c r="M28" s="17">
        <f t="shared" si="17"/>
        <v>84</v>
      </c>
      <c r="N28" s="17">
        <f t="shared" si="17"/>
        <v>84</v>
      </c>
      <c r="O28" s="17">
        <f>'_2022_VB_bez izmaiņām'!O28</f>
        <v>9</v>
      </c>
      <c r="P28" s="74">
        <f t="shared" si="20"/>
        <v>9</v>
      </c>
      <c r="Q28" s="41">
        <f>'_2021_VB_bez izmaiņām'!Q28*1.1</f>
        <v>1155</v>
      </c>
      <c r="R28" s="6">
        <f t="shared" si="4"/>
        <v>10395</v>
      </c>
      <c r="S28" s="19">
        <f t="shared" si="18"/>
        <v>75</v>
      </c>
      <c r="T28" s="19">
        <f t="shared" si="18"/>
        <v>75</v>
      </c>
      <c r="U28" s="1">
        <v>1</v>
      </c>
      <c r="V28" s="1"/>
    </row>
    <row r="29" spans="1:23" ht="36" customHeight="1" x14ac:dyDescent="0.25">
      <c r="A29" s="37">
        <v>21</v>
      </c>
      <c r="B29" s="38" t="s">
        <v>6</v>
      </c>
      <c r="C29" s="38" t="s">
        <v>56</v>
      </c>
      <c r="D29" s="37" t="s">
        <v>57</v>
      </c>
      <c r="E29" s="38" t="s">
        <v>9</v>
      </c>
      <c r="F29" s="38">
        <v>2</v>
      </c>
      <c r="G29" s="51" t="s">
        <v>10</v>
      </c>
      <c r="H29" s="56"/>
      <c r="I29" s="13">
        <f>_2021_VB_ar_MK_grozījumiem!S29</f>
        <v>6</v>
      </c>
      <c r="J29" s="13">
        <f>_2021_VB_ar_MK_grozījumiem!T29</f>
        <v>6</v>
      </c>
      <c r="K29" s="74">
        <f>ROUND(_2021_VB_ar_MK_grozījumiem!K29*1.05,0)</f>
        <v>1</v>
      </c>
      <c r="L29" s="74">
        <f t="shared" si="19"/>
        <v>1</v>
      </c>
      <c r="M29" s="13">
        <f t="shared" si="17"/>
        <v>18</v>
      </c>
      <c r="N29" s="13">
        <f t="shared" si="17"/>
        <v>18</v>
      </c>
      <c r="O29" s="13">
        <f>'_2022_VB_bez izmaiņām'!O29</f>
        <v>5</v>
      </c>
      <c r="P29" s="74">
        <f t="shared" si="20"/>
        <v>5</v>
      </c>
      <c r="Q29" s="39">
        <f>'_2021_VB_bez izmaiņām'!Q29*1.1</f>
        <v>15.400000000000002</v>
      </c>
      <c r="R29" s="4">
        <f t="shared" si="4"/>
        <v>77.000000000000014</v>
      </c>
      <c r="S29" s="18">
        <f t="shared" si="18"/>
        <v>13</v>
      </c>
      <c r="T29" s="18">
        <f t="shared" si="18"/>
        <v>13</v>
      </c>
      <c r="U29" s="1"/>
      <c r="V29" s="1">
        <v>1</v>
      </c>
    </row>
    <row r="30" spans="1:23" ht="21.75" customHeight="1" x14ac:dyDescent="0.25">
      <c r="A30" s="37">
        <v>22</v>
      </c>
      <c r="B30" s="38" t="s">
        <v>6</v>
      </c>
      <c r="C30" s="38" t="s">
        <v>58</v>
      </c>
      <c r="D30" s="37" t="s">
        <v>59</v>
      </c>
      <c r="E30" s="38" t="s">
        <v>9</v>
      </c>
      <c r="F30" s="38">
        <v>5</v>
      </c>
      <c r="G30" s="51" t="s">
        <v>10</v>
      </c>
      <c r="H30" s="56"/>
      <c r="I30" s="13">
        <f>_2021_VB_ar_MK_grozījumiem!S30</f>
        <v>6</v>
      </c>
      <c r="J30" s="13">
        <f>_2021_VB_ar_MK_grozījumiem!T30</f>
        <v>6</v>
      </c>
      <c r="K30" s="74">
        <f>ROUND(_2021_VB_ar_MK_grozījumiem!K30*1.05,0)</f>
        <v>1</v>
      </c>
      <c r="L30" s="74">
        <f t="shared" si="19"/>
        <v>1</v>
      </c>
      <c r="M30" s="13">
        <f t="shared" si="17"/>
        <v>18</v>
      </c>
      <c r="N30" s="13">
        <f t="shared" si="17"/>
        <v>18</v>
      </c>
      <c r="O30" s="13">
        <f>'_2022_VB_bez izmaiņām'!O30</f>
        <v>5</v>
      </c>
      <c r="P30" s="74">
        <f t="shared" si="20"/>
        <v>5</v>
      </c>
      <c r="Q30" s="39">
        <f>'_2021_VB_bez izmaiņām'!Q30*1.1</f>
        <v>958.32000000000016</v>
      </c>
      <c r="R30" s="4">
        <f t="shared" si="4"/>
        <v>4791.6000000000004</v>
      </c>
      <c r="S30" s="18">
        <f t="shared" si="18"/>
        <v>13</v>
      </c>
      <c r="T30" s="18">
        <f t="shared" si="18"/>
        <v>13</v>
      </c>
      <c r="U30" s="1"/>
      <c r="V30" s="1">
        <v>1</v>
      </c>
    </row>
    <row r="31" spans="1:23" ht="21.75" customHeight="1" x14ac:dyDescent="0.25">
      <c r="A31" s="37">
        <v>23</v>
      </c>
      <c r="B31" s="38" t="s">
        <v>60</v>
      </c>
      <c r="C31" s="38" t="s">
        <v>61</v>
      </c>
      <c r="D31" s="37" t="s">
        <v>62</v>
      </c>
      <c r="E31" s="38" t="s">
        <v>9</v>
      </c>
      <c r="F31" s="38">
        <v>3</v>
      </c>
      <c r="G31" s="51" t="s">
        <v>10</v>
      </c>
      <c r="H31" s="56"/>
      <c r="I31" s="13">
        <f>_2021_VB_ar_MK_grozījumiem!S31</f>
        <v>445</v>
      </c>
      <c r="J31" s="13">
        <f>_2021_VB_ar_MK_grozījumiem!T31</f>
        <v>445</v>
      </c>
      <c r="K31" s="74">
        <f>ROUND(_2021_VB_ar_MK_grozījumiem!K31*1.05,0)</f>
        <v>41</v>
      </c>
      <c r="L31" s="74">
        <f t="shared" si="19"/>
        <v>41</v>
      </c>
      <c r="M31" s="13">
        <f t="shared" si="17"/>
        <v>937</v>
      </c>
      <c r="N31" s="13">
        <f t="shared" si="17"/>
        <v>937</v>
      </c>
      <c r="O31" s="13">
        <f>'_2022_VB_bez izmaiņām'!O31</f>
        <v>360</v>
      </c>
      <c r="P31" s="74">
        <f t="shared" si="20"/>
        <v>360</v>
      </c>
      <c r="Q31" s="39">
        <f>'_2021_VB_bez izmaiņām'!Q31*1.1</f>
        <v>367.40000000000003</v>
      </c>
      <c r="R31" s="4">
        <f t="shared" si="4"/>
        <v>132264</v>
      </c>
      <c r="S31" s="18">
        <f t="shared" si="18"/>
        <v>577</v>
      </c>
      <c r="T31" s="18">
        <f t="shared" si="18"/>
        <v>577</v>
      </c>
      <c r="U31" s="1"/>
      <c r="V31" s="1">
        <v>1</v>
      </c>
    </row>
    <row r="32" spans="1:23" ht="32.25" customHeight="1" x14ac:dyDescent="0.25">
      <c r="A32" s="37">
        <v>24</v>
      </c>
      <c r="B32" s="38" t="s">
        <v>60</v>
      </c>
      <c r="C32" s="38" t="s">
        <v>61</v>
      </c>
      <c r="D32" s="37" t="s">
        <v>108</v>
      </c>
      <c r="E32" s="38" t="s">
        <v>9</v>
      </c>
      <c r="F32" s="38">
        <v>5</v>
      </c>
      <c r="G32" s="51" t="s">
        <v>10</v>
      </c>
      <c r="H32" s="56"/>
      <c r="I32" s="13">
        <f>_2021_VB_ar_MK_grozījumiem!S32</f>
        <v>352</v>
      </c>
      <c r="J32" s="13">
        <f>_2021_VB_ar_MK_grozījumiem!T32</f>
        <v>352</v>
      </c>
      <c r="K32" s="74">
        <f>ROUND(_2021_VB_ar_MK_grozījumiem!K32*1.05,0)</f>
        <v>48</v>
      </c>
      <c r="L32" s="74">
        <f t="shared" si="19"/>
        <v>48</v>
      </c>
      <c r="M32" s="13">
        <f t="shared" si="17"/>
        <v>928</v>
      </c>
      <c r="N32" s="13">
        <f t="shared" si="17"/>
        <v>928</v>
      </c>
      <c r="O32" s="13">
        <f>M32</f>
        <v>928</v>
      </c>
      <c r="P32" s="74">
        <f t="shared" si="20"/>
        <v>928</v>
      </c>
      <c r="Q32" s="39">
        <f>'_2021_VB_bez izmaiņām'!Q32*1.1</f>
        <v>797.50000000000011</v>
      </c>
      <c r="R32" s="4">
        <f t="shared" si="4"/>
        <v>740080.00000000012</v>
      </c>
      <c r="S32" s="18">
        <f t="shared" si="18"/>
        <v>0</v>
      </c>
      <c r="T32" s="18">
        <f t="shared" si="18"/>
        <v>0</v>
      </c>
      <c r="U32" s="1"/>
      <c r="V32" s="1">
        <v>1</v>
      </c>
      <c r="W32" s="33" t="s">
        <v>189</v>
      </c>
    </row>
    <row r="33" spans="1:23" ht="49.5" customHeight="1" x14ac:dyDescent="0.25">
      <c r="A33" s="37">
        <v>25</v>
      </c>
      <c r="B33" s="38" t="s">
        <v>60</v>
      </c>
      <c r="C33" s="38" t="s">
        <v>61</v>
      </c>
      <c r="D33" s="37" t="s">
        <v>63</v>
      </c>
      <c r="E33" s="38" t="s">
        <v>9</v>
      </c>
      <c r="F33" s="38">
        <v>3</v>
      </c>
      <c r="G33" s="51" t="s">
        <v>64</v>
      </c>
      <c r="H33" s="56"/>
      <c r="I33" s="13">
        <f>_2021_VB_ar_MK_grozījumiem!S33</f>
        <v>42</v>
      </c>
      <c r="J33" s="13">
        <f>_2021_VB_ar_MK_grozījumiem!T33</f>
        <v>42</v>
      </c>
      <c r="K33" s="74">
        <f>ROUND(_2021_VB_ar_MK_grozījumiem!K33*1.05,0)</f>
        <v>7</v>
      </c>
      <c r="L33" s="74">
        <f t="shared" si="19"/>
        <v>7</v>
      </c>
      <c r="M33" s="13">
        <f t="shared" si="17"/>
        <v>126</v>
      </c>
      <c r="N33" s="13">
        <f t="shared" si="17"/>
        <v>126</v>
      </c>
      <c r="O33" s="13">
        <f>'_2022_VB_bez izmaiņām'!O33</f>
        <v>32</v>
      </c>
      <c r="P33" s="74">
        <f t="shared" si="20"/>
        <v>32</v>
      </c>
      <c r="Q33" s="39">
        <f>'_2021_VB_bez izmaiņām'!Q33*1.1</f>
        <v>159.72</v>
      </c>
      <c r="R33" s="4">
        <f t="shared" si="4"/>
        <v>5111.04</v>
      </c>
      <c r="S33" s="18">
        <f t="shared" si="18"/>
        <v>94</v>
      </c>
      <c r="T33" s="18">
        <f t="shared" si="18"/>
        <v>94</v>
      </c>
      <c r="U33" s="1"/>
      <c r="V33" s="1">
        <v>1</v>
      </c>
    </row>
    <row r="34" spans="1:23" ht="25.5" customHeight="1" x14ac:dyDescent="0.25">
      <c r="A34" s="37">
        <v>26</v>
      </c>
      <c r="B34" s="38" t="s">
        <v>147</v>
      </c>
      <c r="C34" s="38" t="s">
        <v>65</v>
      </c>
      <c r="D34" s="37" t="s">
        <v>66</v>
      </c>
      <c r="E34" s="38" t="s">
        <v>9</v>
      </c>
      <c r="F34" s="38">
        <v>5</v>
      </c>
      <c r="G34" s="51" t="s">
        <v>110</v>
      </c>
      <c r="H34" s="56"/>
      <c r="I34" s="13">
        <f>_2021_VB_ar_MK_grozījumiem!S34</f>
        <v>466</v>
      </c>
      <c r="J34" s="13">
        <f>_2021_VB_ar_MK_grozījumiem!T34</f>
        <v>466</v>
      </c>
      <c r="K34" s="74">
        <f>ROUND(_2021_VB_ar_MK_grozījumiem!K34*1.05,0)</f>
        <v>45</v>
      </c>
      <c r="L34" s="74">
        <f t="shared" si="19"/>
        <v>45</v>
      </c>
      <c r="M34" s="13">
        <f t="shared" si="17"/>
        <v>1006</v>
      </c>
      <c r="N34" s="13">
        <f t="shared" si="17"/>
        <v>1006</v>
      </c>
      <c r="O34" s="13">
        <f>M34</f>
        <v>1006</v>
      </c>
      <c r="P34" s="74">
        <f t="shared" si="20"/>
        <v>1006</v>
      </c>
      <c r="Q34" s="39">
        <f>'_2021_VB_bez izmaiņām'!Q34*1.1</f>
        <v>210.83333333333334</v>
      </c>
      <c r="R34" s="4">
        <f t="shared" si="4"/>
        <v>212098.33333333334</v>
      </c>
      <c r="S34" s="18">
        <f t="shared" si="18"/>
        <v>0</v>
      </c>
      <c r="T34" s="18">
        <f t="shared" si="18"/>
        <v>0</v>
      </c>
      <c r="U34" s="1"/>
      <c r="V34" s="1">
        <v>1</v>
      </c>
      <c r="W34" s="33" t="s">
        <v>126</v>
      </c>
    </row>
    <row r="35" spans="1:23" ht="60.75" customHeight="1" x14ac:dyDescent="0.25">
      <c r="A35" s="37">
        <v>27</v>
      </c>
      <c r="B35" s="38" t="s">
        <v>181</v>
      </c>
      <c r="C35" s="38" t="s">
        <v>67</v>
      </c>
      <c r="D35" s="37" t="s">
        <v>68</v>
      </c>
      <c r="E35" s="38" t="s">
        <v>9</v>
      </c>
      <c r="F35" s="38">
        <v>3</v>
      </c>
      <c r="G35" s="51" t="s">
        <v>69</v>
      </c>
      <c r="H35" s="56"/>
      <c r="I35" s="17">
        <f>_2021_VB_ar_MK_grozījumiem!S35</f>
        <v>247</v>
      </c>
      <c r="J35" s="17">
        <f>_2021_VB_ar_MK_grozījumiem!T35</f>
        <v>247</v>
      </c>
      <c r="K35" s="74">
        <f>ROUND(_2021_VB_ar_MK_grozījumiem!K35*1.05,0)</f>
        <v>11</v>
      </c>
      <c r="L35" s="74">
        <f t="shared" si="19"/>
        <v>11</v>
      </c>
      <c r="M35" s="17">
        <f t="shared" si="17"/>
        <v>379</v>
      </c>
      <c r="N35" s="17">
        <f t="shared" si="17"/>
        <v>379</v>
      </c>
      <c r="O35" s="17">
        <f>'_2022_VB_bez izmaiņām'!O35</f>
        <v>90</v>
      </c>
      <c r="P35" s="74">
        <f t="shared" si="20"/>
        <v>90</v>
      </c>
      <c r="Q35" s="40">
        <f>'_2021_VB_bez izmaiņām'!Q35*1.1</f>
        <v>533.25800000000004</v>
      </c>
      <c r="R35" s="22">
        <f t="shared" si="4"/>
        <v>47993.22</v>
      </c>
      <c r="S35" s="19">
        <f t="shared" si="18"/>
        <v>289</v>
      </c>
      <c r="T35" s="19">
        <f t="shared" si="18"/>
        <v>289</v>
      </c>
      <c r="U35" s="1">
        <v>1</v>
      </c>
      <c r="V35" s="1"/>
    </row>
    <row r="36" spans="1:23" x14ac:dyDescent="0.25">
      <c r="A36" s="37">
        <v>28</v>
      </c>
      <c r="B36" s="38" t="s">
        <v>70</v>
      </c>
      <c r="C36" s="38" t="s">
        <v>121</v>
      </c>
      <c r="D36" s="37" t="s">
        <v>122</v>
      </c>
      <c r="E36" s="38" t="s">
        <v>9</v>
      </c>
      <c r="F36" s="38">
        <v>5</v>
      </c>
      <c r="G36" s="51" t="s">
        <v>47</v>
      </c>
      <c r="H36" s="56"/>
      <c r="I36" s="17">
        <f>_2021_VB_ar_MK_grozījumiem!S36</f>
        <v>0</v>
      </c>
      <c r="J36" s="17">
        <f>_2021_VB_ar_MK_grozījumiem!T36</f>
        <v>0</v>
      </c>
      <c r="K36" s="74">
        <f>ROUND(_2021_VB_ar_MK_grozījumiem!K36*1.05,0)</f>
        <v>11</v>
      </c>
      <c r="L36" s="74">
        <f t="shared" si="19"/>
        <v>11</v>
      </c>
      <c r="M36" s="17">
        <f t="shared" ref="M36:N46" si="21">I36+(K36*12)</f>
        <v>132</v>
      </c>
      <c r="N36" s="17">
        <f t="shared" si="21"/>
        <v>132</v>
      </c>
      <c r="O36" s="17">
        <f>M36</f>
        <v>132</v>
      </c>
      <c r="P36" s="74">
        <f t="shared" si="20"/>
        <v>132</v>
      </c>
      <c r="Q36" s="40">
        <f>'_2021_VB_bez izmaiņām'!Q36*1.1</f>
        <v>136.642</v>
      </c>
      <c r="R36" s="22">
        <f t="shared" si="4"/>
        <v>18036.743999999999</v>
      </c>
      <c r="S36" s="19">
        <f t="shared" ref="S36:T46" si="22">M36-O36</f>
        <v>0</v>
      </c>
      <c r="T36" s="19">
        <f t="shared" si="22"/>
        <v>0</v>
      </c>
      <c r="U36" s="1">
        <v>1</v>
      </c>
      <c r="V36" s="1"/>
      <c r="W36" s="33" t="s">
        <v>126</v>
      </c>
    </row>
    <row r="37" spans="1:23" ht="40.5" customHeight="1" x14ac:dyDescent="0.25">
      <c r="A37" s="37">
        <v>29</v>
      </c>
      <c r="B37" s="59" t="s">
        <v>71</v>
      </c>
      <c r="C37" s="59" t="s">
        <v>72</v>
      </c>
      <c r="D37" s="58" t="s">
        <v>73</v>
      </c>
      <c r="E37" s="59" t="s">
        <v>9</v>
      </c>
      <c r="F37" s="59">
        <v>5</v>
      </c>
      <c r="G37" s="61" t="s">
        <v>74</v>
      </c>
      <c r="H37" s="57"/>
      <c r="I37" s="17">
        <f>_2021_VB_ar_MK_grozījumiem!S37</f>
        <v>0</v>
      </c>
      <c r="J37" s="17">
        <f>_2021_VB_ar_MK_grozījumiem!T37</f>
        <v>0</v>
      </c>
      <c r="K37" s="74">
        <f>ROUND(_2021_VB_ar_MK_grozījumiem!K37*1.05,0)</f>
        <v>11</v>
      </c>
      <c r="L37" s="74">
        <f t="shared" si="19"/>
        <v>11</v>
      </c>
      <c r="M37" s="17">
        <f t="shared" si="21"/>
        <v>132</v>
      </c>
      <c r="N37" s="17">
        <f t="shared" si="21"/>
        <v>132</v>
      </c>
      <c r="O37" s="17">
        <f>'_2022_VB_bez izmaiņām'!O37</f>
        <v>54</v>
      </c>
      <c r="P37" s="74">
        <f t="shared" si="20"/>
        <v>54</v>
      </c>
      <c r="Q37" s="42">
        <f>'_2021_VB_bez izmaiņām'!Q37*1.1</f>
        <v>459.09600000000006</v>
      </c>
      <c r="R37" s="23">
        <f t="shared" si="4"/>
        <v>24791.184000000005</v>
      </c>
      <c r="S37" s="18">
        <f t="shared" si="22"/>
        <v>78</v>
      </c>
      <c r="T37" s="18">
        <f t="shared" si="22"/>
        <v>78</v>
      </c>
      <c r="U37" s="24">
        <v>1</v>
      </c>
      <c r="V37" s="24"/>
      <c r="W37" s="32"/>
    </row>
    <row r="38" spans="1:23" ht="117" customHeight="1" x14ac:dyDescent="0.25">
      <c r="A38" s="59">
        <v>30</v>
      </c>
      <c r="B38" s="59" t="s">
        <v>71</v>
      </c>
      <c r="C38" s="59" t="s">
        <v>72</v>
      </c>
      <c r="D38" s="58" t="s">
        <v>75</v>
      </c>
      <c r="E38" s="59" t="s">
        <v>9</v>
      </c>
      <c r="F38" s="59">
        <v>5</v>
      </c>
      <c r="G38" s="61" t="s">
        <v>76</v>
      </c>
      <c r="H38" s="57"/>
      <c r="I38" s="17">
        <f>_2021_VB_ar_MK_grozījumiem!S38</f>
        <v>0</v>
      </c>
      <c r="J38" s="17">
        <f>_2021_VB_ar_MK_grozījumiem!T38</f>
        <v>0</v>
      </c>
      <c r="K38" s="74">
        <f>ROUND(_2021_VB_ar_MK_grozījumiem!K38*1.05,0)</f>
        <v>11</v>
      </c>
      <c r="L38" s="74">
        <f t="shared" si="19"/>
        <v>11</v>
      </c>
      <c r="M38" s="17">
        <f t="shared" si="21"/>
        <v>132</v>
      </c>
      <c r="N38" s="17">
        <f>J38+(L38*12)</f>
        <v>132</v>
      </c>
      <c r="O38" s="17">
        <f>M38</f>
        <v>132</v>
      </c>
      <c r="P38" s="74">
        <f t="shared" si="20"/>
        <v>132</v>
      </c>
      <c r="Q38" s="42">
        <f>'_2021_VB_bez izmaiņām'!Q38*1.1</f>
        <v>382.71200000000005</v>
      </c>
      <c r="R38" s="23">
        <f t="shared" si="4"/>
        <v>50517.984000000004</v>
      </c>
      <c r="S38" s="18">
        <f t="shared" si="22"/>
        <v>0</v>
      </c>
      <c r="T38" s="18">
        <f t="shared" si="22"/>
        <v>0</v>
      </c>
      <c r="U38" s="24">
        <v>1</v>
      </c>
      <c r="V38" s="24"/>
      <c r="W38" s="32" t="s">
        <v>126</v>
      </c>
    </row>
    <row r="39" spans="1:23" ht="42.75" customHeight="1" x14ac:dyDescent="0.25">
      <c r="A39" s="37">
        <v>31</v>
      </c>
      <c r="B39" s="38" t="s">
        <v>77</v>
      </c>
      <c r="C39" s="38" t="s">
        <v>78</v>
      </c>
      <c r="D39" s="37" t="s">
        <v>99</v>
      </c>
      <c r="E39" s="38" t="s">
        <v>9</v>
      </c>
      <c r="F39" s="38">
        <v>2</v>
      </c>
      <c r="G39" s="51" t="s">
        <v>10</v>
      </c>
      <c r="H39" s="56"/>
      <c r="I39" s="13">
        <f>_2021_VB_ar_MK_grozījumiem!S39</f>
        <v>157</v>
      </c>
      <c r="J39" s="13">
        <f>_2021_VB_ar_MK_grozījumiem!T39</f>
        <v>157</v>
      </c>
      <c r="K39" s="74">
        <f>ROUND(_2021_VB_ar_MK_grozījumiem!K39*1.05,0)</f>
        <v>24</v>
      </c>
      <c r="L39" s="74">
        <f t="shared" si="19"/>
        <v>24</v>
      </c>
      <c r="M39" s="13">
        <f t="shared" si="21"/>
        <v>445</v>
      </c>
      <c r="N39" s="13">
        <f t="shared" si="21"/>
        <v>445</v>
      </c>
      <c r="O39" s="13">
        <f>'_2022_VB_bez izmaiņām'!O39</f>
        <v>179</v>
      </c>
      <c r="P39" s="74">
        <f t="shared" si="20"/>
        <v>179</v>
      </c>
      <c r="Q39" s="42">
        <f>'_2021_VB_bez izmaiņām'!Q39*1.1</f>
        <v>77.451000000000008</v>
      </c>
      <c r="R39" s="23">
        <f t="shared" si="4"/>
        <v>13863.729000000001</v>
      </c>
      <c r="S39" s="18">
        <f t="shared" si="22"/>
        <v>266</v>
      </c>
      <c r="T39" s="18">
        <f t="shared" si="22"/>
        <v>266</v>
      </c>
      <c r="U39" s="1"/>
      <c r="V39" s="1">
        <v>1</v>
      </c>
      <c r="W39" s="33" t="s">
        <v>111</v>
      </c>
    </row>
    <row r="40" spans="1:23" ht="20.25" customHeight="1" x14ac:dyDescent="0.25">
      <c r="A40" s="37">
        <v>32</v>
      </c>
      <c r="B40" s="38" t="s">
        <v>148</v>
      </c>
      <c r="C40" s="38" t="s">
        <v>79</v>
      </c>
      <c r="D40" s="37" t="s">
        <v>80</v>
      </c>
      <c r="E40" s="38" t="s">
        <v>9</v>
      </c>
      <c r="F40" s="38">
        <v>5</v>
      </c>
      <c r="G40" s="51" t="s">
        <v>110</v>
      </c>
      <c r="H40" s="56"/>
      <c r="I40" s="13">
        <f>_2021_VB_ar_MK_grozījumiem!S40</f>
        <v>265</v>
      </c>
      <c r="J40" s="13">
        <f>_2021_VB_ar_MK_grozījumiem!T40</f>
        <v>265</v>
      </c>
      <c r="K40" s="74">
        <f>ROUND(_2021_VB_ar_MK_grozījumiem!K40*1.05,0)</f>
        <v>32</v>
      </c>
      <c r="L40" s="74">
        <f t="shared" si="19"/>
        <v>32</v>
      </c>
      <c r="M40" s="13">
        <f t="shared" si="21"/>
        <v>649</v>
      </c>
      <c r="N40" s="13">
        <f t="shared" si="21"/>
        <v>649</v>
      </c>
      <c r="O40" s="13">
        <f>M40</f>
        <v>649</v>
      </c>
      <c r="P40" s="74">
        <f t="shared" si="20"/>
        <v>649</v>
      </c>
      <c r="Q40" s="39">
        <f>'_2021_VB_bez izmaiņām'!Q40*1.1</f>
        <v>2750</v>
      </c>
      <c r="R40" s="4">
        <f t="shared" si="4"/>
        <v>1784750</v>
      </c>
      <c r="S40" s="18">
        <f t="shared" si="22"/>
        <v>0</v>
      </c>
      <c r="T40" s="18">
        <f t="shared" si="22"/>
        <v>0</v>
      </c>
      <c r="U40" s="1"/>
      <c r="V40" s="1">
        <v>1</v>
      </c>
      <c r="W40" s="33" t="s">
        <v>126</v>
      </c>
    </row>
    <row r="41" spans="1:23" ht="22.5" customHeight="1" x14ac:dyDescent="0.25">
      <c r="A41" s="37">
        <v>33</v>
      </c>
      <c r="B41" s="38" t="s">
        <v>6</v>
      </c>
      <c r="C41" s="38" t="s">
        <v>81</v>
      </c>
      <c r="D41" s="37" t="s">
        <v>82</v>
      </c>
      <c r="E41" s="38" t="s">
        <v>9</v>
      </c>
      <c r="F41" s="38">
        <v>7</v>
      </c>
      <c r="G41" s="51" t="s">
        <v>112</v>
      </c>
      <c r="H41" s="56"/>
      <c r="I41" s="13">
        <f>_2021_VB_ar_MK_grozījumiem!S41</f>
        <v>14</v>
      </c>
      <c r="J41" s="13">
        <f>_2021_VB_ar_MK_grozījumiem!T41</f>
        <v>14</v>
      </c>
      <c r="K41" s="74">
        <f>ROUND(_2021_VB_ar_MK_grozījumiem!K41*1.05,0)</f>
        <v>2</v>
      </c>
      <c r="L41" s="74">
        <f t="shared" si="19"/>
        <v>2</v>
      </c>
      <c r="M41" s="13">
        <f t="shared" si="21"/>
        <v>38</v>
      </c>
      <c r="N41" s="13">
        <f t="shared" si="21"/>
        <v>38</v>
      </c>
      <c r="O41" s="13">
        <f>M41</f>
        <v>38</v>
      </c>
      <c r="P41" s="74">
        <f t="shared" si="20"/>
        <v>38</v>
      </c>
      <c r="Q41" s="39">
        <f>'_2021_VB_bez izmaiņām'!Q41*1.1</f>
        <v>2750</v>
      </c>
      <c r="R41" s="4">
        <f t="shared" si="4"/>
        <v>104500</v>
      </c>
      <c r="S41" s="18">
        <f t="shared" si="22"/>
        <v>0</v>
      </c>
      <c r="T41" s="18">
        <f t="shared" si="22"/>
        <v>0</v>
      </c>
      <c r="U41" s="1"/>
      <c r="V41" s="1">
        <v>1</v>
      </c>
      <c r="W41" s="33" t="s">
        <v>126</v>
      </c>
    </row>
    <row r="42" spans="1:23" ht="30" customHeight="1" x14ac:dyDescent="0.25">
      <c r="A42" s="37">
        <v>34</v>
      </c>
      <c r="B42" s="38" t="s">
        <v>77</v>
      </c>
      <c r="C42" s="38" t="s">
        <v>78</v>
      </c>
      <c r="D42" s="37" t="s">
        <v>83</v>
      </c>
      <c r="E42" s="38" t="s">
        <v>9</v>
      </c>
      <c r="F42" s="38">
        <v>5</v>
      </c>
      <c r="G42" s="51" t="s">
        <v>74</v>
      </c>
      <c r="H42" s="56"/>
      <c r="I42" s="13">
        <f>_2021_VB_ar_MK_grozījumiem!S42</f>
        <v>250</v>
      </c>
      <c r="J42" s="13">
        <f>_2021_VB_ar_MK_grozījumiem!T42</f>
        <v>250</v>
      </c>
      <c r="K42" s="74">
        <f>ROUND(_2021_VB_ar_MK_grozījumiem!K42*1.05,0)</f>
        <v>11</v>
      </c>
      <c r="L42" s="74">
        <f t="shared" si="19"/>
        <v>11</v>
      </c>
      <c r="M42" s="13">
        <f>I42+(K42*12)</f>
        <v>382</v>
      </c>
      <c r="N42" s="13">
        <f t="shared" si="21"/>
        <v>382</v>
      </c>
      <c r="O42" s="13">
        <f>'_2022_VB_bez izmaiņām'!O42</f>
        <v>91</v>
      </c>
      <c r="P42" s="74">
        <f t="shared" si="20"/>
        <v>91</v>
      </c>
      <c r="Q42" s="39">
        <f>'_2021_VB_bez izmaiņām'!Q42*1.1</f>
        <v>77</v>
      </c>
      <c r="R42" s="4">
        <f t="shared" si="4"/>
        <v>7007</v>
      </c>
      <c r="S42" s="18">
        <f>M42-O42</f>
        <v>291</v>
      </c>
      <c r="T42" s="18">
        <f t="shared" si="22"/>
        <v>291</v>
      </c>
      <c r="U42" s="1">
        <v>1</v>
      </c>
      <c r="V42" s="1"/>
    </row>
    <row r="43" spans="1:23" ht="30" customHeight="1" x14ac:dyDescent="0.25">
      <c r="A43" s="37">
        <v>35</v>
      </c>
      <c r="B43" s="38" t="s">
        <v>182</v>
      </c>
      <c r="C43" s="38" t="s">
        <v>183</v>
      </c>
      <c r="D43" s="37" t="s">
        <v>184</v>
      </c>
      <c r="E43" s="38" t="s">
        <v>9</v>
      </c>
      <c r="F43" s="38">
        <v>5</v>
      </c>
      <c r="G43" s="51" t="s">
        <v>185</v>
      </c>
      <c r="H43" s="56"/>
      <c r="I43" s="13">
        <f>_2021_VB_ar_MK_grozījumiem!S43</f>
        <v>90</v>
      </c>
      <c r="J43" s="13">
        <f>_2021_VB_ar_MK_grozījumiem!T43</f>
        <v>90</v>
      </c>
      <c r="K43" s="74">
        <f>ROUND(_2021_VB_ar_MK_grozījumiem!K43*1.05,0)</f>
        <v>16</v>
      </c>
      <c r="L43" s="74">
        <f t="shared" si="19"/>
        <v>16</v>
      </c>
      <c r="M43" s="13">
        <f>I43+(K43*12)</f>
        <v>282</v>
      </c>
      <c r="N43" s="13">
        <f t="shared" si="21"/>
        <v>282</v>
      </c>
      <c r="O43" s="13">
        <f>'_2022_VB_bez izmaiņām'!O43</f>
        <v>81</v>
      </c>
      <c r="P43" s="74">
        <f t="shared" si="20"/>
        <v>81</v>
      </c>
      <c r="Q43" s="39">
        <f>'_2021_VB_bez izmaiņām'!Q43*1.1</f>
        <v>205.70000000000002</v>
      </c>
      <c r="R43" s="4">
        <f>Q43*P43</f>
        <v>16661.7</v>
      </c>
      <c r="S43" s="18">
        <f>M43-O43</f>
        <v>201</v>
      </c>
      <c r="T43" s="18">
        <f t="shared" si="22"/>
        <v>201</v>
      </c>
      <c r="U43" s="1"/>
      <c r="V43" s="1"/>
    </row>
    <row r="44" spans="1:23" ht="63.75" customHeight="1" x14ac:dyDescent="0.25">
      <c r="A44" s="37">
        <v>36</v>
      </c>
      <c r="B44" s="38" t="s">
        <v>84</v>
      </c>
      <c r="C44" s="38" t="s">
        <v>79</v>
      </c>
      <c r="D44" s="37" t="s">
        <v>85</v>
      </c>
      <c r="E44" s="38" t="s">
        <v>9</v>
      </c>
      <c r="F44" s="38">
        <v>5</v>
      </c>
      <c r="G44" s="51" t="s">
        <v>86</v>
      </c>
      <c r="H44" s="56"/>
      <c r="I44" s="13">
        <f>_2021_VB_ar_MK_grozījumiem!S44</f>
        <v>35</v>
      </c>
      <c r="J44" s="13">
        <f>_2021_VB_ar_MK_grozījumiem!T44</f>
        <v>35</v>
      </c>
      <c r="K44" s="74">
        <f>ROUND(_2021_VB_ar_MK_grozījumiem!K44*1.05,0)</f>
        <v>5</v>
      </c>
      <c r="L44" s="74">
        <f t="shared" si="19"/>
        <v>5</v>
      </c>
      <c r="M44" s="13">
        <f t="shared" si="21"/>
        <v>95</v>
      </c>
      <c r="N44" s="13">
        <f t="shared" si="21"/>
        <v>95</v>
      </c>
      <c r="O44" s="13">
        <f>'_2022_VB_bez izmaiņām'!O44</f>
        <v>27</v>
      </c>
      <c r="P44" s="74">
        <f t="shared" si="20"/>
        <v>27</v>
      </c>
      <c r="Q44" s="39">
        <f>'_2021_VB_bez izmaiņām'!Q44*1.1</f>
        <v>170.36799999999999</v>
      </c>
      <c r="R44" s="4">
        <f t="shared" si="4"/>
        <v>4599.9359999999997</v>
      </c>
      <c r="S44" s="18">
        <f t="shared" si="22"/>
        <v>68</v>
      </c>
      <c r="T44" s="18">
        <f t="shared" si="22"/>
        <v>68</v>
      </c>
      <c r="U44" s="1"/>
      <c r="V44" s="1">
        <v>1</v>
      </c>
    </row>
    <row r="45" spans="1:23" ht="53.25" customHeight="1" x14ac:dyDescent="0.25">
      <c r="A45" s="60">
        <v>37</v>
      </c>
      <c r="B45" s="59" t="s">
        <v>87</v>
      </c>
      <c r="C45" s="59" t="s">
        <v>88</v>
      </c>
      <c r="D45" s="58" t="s">
        <v>89</v>
      </c>
      <c r="E45" s="59" t="s">
        <v>9</v>
      </c>
      <c r="F45" s="59">
        <v>5</v>
      </c>
      <c r="G45" s="61" t="s">
        <v>10</v>
      </c>
      <c r="H45" s="57"/>
      <c r="I45" s="13">
        <f>_2021_VB_ar_MK_grozījumiem!S45</f>
        <v>72</v>
      </c>
      <c r="J45" s="13">
        <f>_2021_VB_ar_MK_grozījumiem!T45</f>
        <v>72</v>
      </c>
      <c r="K45" s="74">
        <f>ROUND(_2021_VB_ar_MK_grozījumiem!K45*1.05,0)</f>
        <v>7</v>
      </c>
      <c r="L45" s="74">
        <f t="shared" si="19"/>
        <v>7</v>
      </c>
      <c r="M45" s="13">
        <f t="shared" si="21"/>
        <v>156</v>
      </c>
      <c r="N45" s="13">
        <f t="shared" si="21"/>
        <v>156</v>
      </c>
      <c r="O45" s="13">
        <f>'_2022_VB_bez izmaiņām'!O45</f>
        <v>13</v>
      </c>
      <c r="P45" s="74">
        <f t="shared" si="20"/>
        <v>13</v>
      </c>
      <c r="Q45" s="39">
        <f>'_2021_VB_bez izmaiņām'!Q45*1.1</f>
        <v>1396.2190000000001</v>
      </c>
      <c r="R45" s="4">
        <f t="shared" si="4"/>
        <v>18150.847000000002</v>
      </c>
      <c r="S45" s="18">
        <f t="shared" si="22"/>
        <v>143</v>
      </c>
      <c r="T45" s="18">
        <f t="shared" si="22"/>
        <v>143</v>
      </c>
      <c r="U45" s="1"/>
      <c r="V45" s="1">
        <v>1</v>
      </c>
    </row>
    <row r="46" spans="1:23" x14ac:dyDescent="0.25">
      <c r="A46" s="37">
        <v>38</v>
      </c>
      <c r="B46" s="38" t="s">
        <v>87</v>
      </c>
      <c r="C46" s="38" t="s">
        <v>90</v>
      </c>
      <c r="D46" s="37" t="s">
        <v>113</v>
      </c>
      <c r="E46" s="38" t="s">
        <v>9</v>
      </c>
      <c r="F46" s="38">
        <v>5</v>
      </c>
      <c r="G46" s="51" t="s">
        <v>10</v>
      </c>
      <c r="H46" s="56"/>
      <c r="I46" s="13">
        <f>_2021_VB_ar_MK_grozījumiem!S46</f>
        <v>95</v>
      </c>
      <c r="J46" s="13">
        <f>_2021_VB_ar_MK_grozījumiem!T46</f>
        <v>95</v>
      </c>
      <c r="K46" s="74">
        <f>ROUND(_2021_VB_ar_MK_grozījumiem!K46*1.05,0)</f>
        <v>10</v>
      </c>
      <c r="L46" s="74">
        <f t="shared" si="19"/>
        <v>10</v>
      </c>
      <c r="M46" s="13">
        <f t="shared" si="21"/>
        <v>215</v>
      </c>
      <c r="N46" s="13">
        <f t="shared" si="21"/>
        <v>215</v>
      </c>
      <c r="O46" s="13">
        <f>'_2022_VB_bez izmaiņām'!O46</f>
        <v>19</v>
      </c>
      <c r="P46" s="74">
        <f t="shared" si="20"/>
        <v>19</v>
      </c>
      <c r="Q46" s="39">
        <f>'_2021_VB_bez izmaiņām'!Q46*1.1</f>
        <v>550</v>
      </c>
      <c r="R46" s="4">
        <f t="shared" si="4"/>
        <v>10450</v>
      </c>
      <c r="S46" s="18">
        <f t="shared" si="22"/>
        <v>196</v>
      </c>
      <c r="T46" s="18">
        <f t="shared" si="22"/>
        <v>196</v>
      </c>
      <c r="U46" s="1"/>
      <c r="V46" s="1">
        <v>1</v>
      </c>
      <c r="W46" s="33" t="s">
        <v>109</v>
      </c>
    </row>
    <row r="47" spans="1:23" ht="20.25" customHeight="1" x14ac:dyDescent="0.25">
      <c r="A47" s="48"/>
      <c r="B47" s="49"/>
      <c r="C47" s="50">
        <v>27</v>
      </c>
      <c r="D47" s="91" t="s">
        <v>91</v>
      </c>
      <c r="E47" s="91"/>
      <c r="F47" s="91"/>
      <c r="G47" s="91"/>
      <c r="H47" s="137"/>
      <c r="I47" s="10">
        <f>_2021_VB_ar_MK_grozījumiem!S47</f>
        <v>91</v>
      </c>
      <c r="J47" s="10">
        <f>_2021_VB_ar_MK_grozījumiem!T47</f>
        <v>91</v>
      </c>
      <c r="K47" s="10">
        <f>ROUND(_2021_VB_ar_MK_grozījumiem!K47*1.05,0)</f>
        <v>14</v>
      </c>
      <c r="L47" s="10">
        <f t="shared" ref="L47:R47" si="23">L48+L49</f>
        <v>13</v>
      </c>
      <c r="M47" s="10">
        <f t="shared" si="23"/>
        <v>247</v>
      </c>
      <c r="N47" s="10">
        <f t="shared" si="23"/>
        <v>247</v>
      </c>
      <c r="O47" s="10">
        <f>'_2022_VB_bez izmaiņām'!O47</f>
        <v>70</v>
      </c>
      <c r="P47" s="10">
        <f t="shared" si="23"/>
        <v>71</v>
      </c>
      <c r="Q47" s="73" t="s">
        <v>119</v>
      </c>
      <c r="R47" s="3">
        <f t="shared" si="23"/>
        <v>6541.8650000000016</v>
      </c>
      <c r="S47" s="10">
        <f>S48+S49</f>
        <v>176</v>
      </c>
      <c r="T47" s="10">
        <f>T48+T49</f>
        <v>176</v>
      </c>
      <c r="U47" s="8"/>
      <c r="V47" s="8">
        <v>1</v>
      </c>
    </row>
    <row r="48" spans="1:23" ht="30" x14ac:dyDescent="0.25">
      <c r="A48" s="37">
        <v>39</v>
      </c>
      <c r="B48" s="38" t="s">
        <v>6</v>
      </c>
      <c r="C48" s="38" t="s">
        <v>92</v>
      </c>
      <c r="D48" s="37" t="s">
        <v>93</v>
      </c>
      <c r="E48" s="38" t="s">
        <v>9</v>
      </c>
      <c r="F48" s="38">
        <v>3</v>
      </c>
      <c r="G48" s="51" t="s">
        <v>10</v>
      </c>
      <c r="H48" s="56"/>
      <c r="I48" s="13">
        <f>_2021_VB_ar_MK_grozījumiem!S48</f>
        <v>64</v>
      </c>
      <c r="J48" s="13">
        <f>_2021_VB_ar_MK_grozījumiem!T48</f>
        <v>64</v>
      </c>
      <c r="K48" s="74">
        <f>ROUND(_2021_VB_ar_MK_grozījumiem!K48*1.05,0)</f>
        <v>9</v>
      </c>
      <c r="L48" s="74">
        <f t="shared" si="19"/>
        <v>9</v>
      </c>
      <c r="M48" s="13">
        <f t="shared" ref="M48:N49" si="24">I48+(K48*12)</f>
        <v>172</v>
      </c>
      <c r="N48" s="13">
        <f t="shared" si="24"/>
        <v>172</v>
      </c>
      <c r="O48" s="13">
        <f>'_2022_VB_bez izmaiņām'!O48</f>
        <v>50</v>
      </c>
      <c r="P48" s="74">
        <f t="shared" si="20"/>
        <v>50</v>
      </c>
      <c r="Q48" s="39">
        <f>'_2021_VB_bez izmaiņām'!Q48*1.1</f>
        <v>38.599000000000004</v>
      </c>
      <c r="R48" s="4">
        <f t="shared" si="4"/>
        <v>1929.9500000000003</v>
      </c>
      <c r="S48" s="18">
        <f t="shared" ref="S48:T49" si="25">M48-O48</f>
        <v>122</v>
      </c>
      <c r="T48" s="18">
        <f t="shared" si="25"/>
        <v>122</v>
      </c>
      <c r="U48" s="1"/>
      <c r="V48" s="1">
        <v>1</v>
      </c>
    </row>
    <row r="49" spans="1:24" x14ac:dyDescent="0.25">
      <c r="A49" s="37">
        <v>40</v>
      </c>
      <c r="B49" s="38" t="s">
        <v>6</v>
      </c>
      <c r="C49" s="38" t="s">
        <v>94</v>
      </c>
      <c r="D49" s="37" t="s">
        <v>95</v>
      </c>
      <c r="E49" s="38" t="s">
        <v>9</v>
      </c>
      <c r="F49" s="38">
        <v>5</v>
      </c>
      <c r="G49" s="51" t="s">
        <v>10</v>
      </c>
      <c r="H49" s="56"/>
      <c r="I49" s="13">
        <f>_2021_VB_ar_MK_grozījumiem!S49</f>
        <v>27</v>
      </c>
      <c r="J49" s="13">
        <f>_2021_VB_ar_MK_grozījumiem!T49</f>
        <v>27</v>
      </c>
      <c r="K49" s="74">
        <f>ROUND(_2021_VB_ar_MK_grozījumiem!K49*1.05,0)</f>
        <v>4</v>
      </c>
      <c r="L49" s="74">
        <f t="shared" si="19"/>
        <v>4</v>
      </c>
      <c r="M49" s="13">
        <f t="shared" si="24"/>
        <v>75</v>
      </c>
      <c r="N49" s="13">
        <f t="shared" si="24"/>
        <v>75</v>
      </c>
      <c r="O49" s="13">
        <f>'_2022_VB_bez izmaiņām'!O49</f>
        <v>21</v>
      </c>
      <c r="P49" s="74">
        <f t="shared" si="20"/>
        <v>21</v>
      </c>
      <c r="Q49" s="39">
        <f>'_2021_VB_bez izmaiņām'!Q49*1.1</f>
        <v>219.61500000000004</v>
      </c>
      <c r="R49" s="4">
        <f t="shared" si="4"/>
        <v>4611.9150000000009</v>
      </c>
      <c r="S49" s="18">
        <f t="shared" si="25"/>
        <v>54</v>
      </c>
      <c r="T49" s="18">
        <f t="shared" si="25"/>
        <v>54</v>
      </c>
      <c r="U49" s="1"/>
      <c r="V49" s="1">
        <v>1</v>
      </c>
    </row>
    <row r="50" spans="1:24" x14ac:dyDescent="0.25">
      <c r="I50" s="20">
        <f t="shared" ref="I50:P50" si="26">I6+I11+I13+I16+I19+I47</f>
        <v>8114</v>
      </c>
      <c r="J50" s="20">
        <f t="shared" si="26"/>
        <v>9885</v>
      </c>
      <c r="K50" s="20">
        <f t="shared" si="26"/>
        <v>773</v>
      </c>
      <c r="L50" s="20">
        <f t="shared" si="26"/>
        <v>900</v>
      </c>
      <c r="M50" s="20">
        <f t="shared" si="26"/>
        <v>17402</v>
      </c>
      <c r="N50" s="20">
        <f t="shared" si="26"/>
        <v>20685</v>
      </c>
      <c r="O50" s="20">
        <f t="shared" si="26"/>
        <v>5458</v>
      </c>
      <c r="P50" s="20">
        <f t="shared" si="26"/>
        <v>11080</v>
      </c>
      <c r="Q50" s="26" t="s">
        <v>119</v>
      </c>
      <c r="R50" s="20">
        <f>R6+R11+R13+R16+R19+R47</f>
        <v>4873503.1143333344</v>
      </c>
      <c r="S50" s="20">
        <f>S6+S11+S13+S16+S19+S47</f>
        <v>8070</v>
      </c>
      <c r="T50" s="20">
        <f>T6+T11+T13+T16+T19+T47</f>
        <v>9605</v>
      </c>
      <c r="X50" s="131"/>
    </row>
    <row r="51" spans="1:24" x14ac:dyDescent="0.25">
      <c r="I51" s="21">
        <f>I25+I26+I27+I28+I35+I36+I37+I38+I42+I43</f>
        <v>3933</v>
      </c>
      <c r="J51" s="21">
        <f t="shared" ref="J51:P51" si="27">J25+J26+J27+J28+J35+J36+J37+J38+J42+J43</f>
        <v>5704</v>
      </c>
      <c r="K51" s="21">
        <f t="shared" si="27"/>
        <v>305</v>
      </c>
      <c r="L51" s="21">
        <f t="shared" si="27"/>
        <v>431</v>
      </c>
      <c r="M51" s="21">
        <f t="shared" si="27"/>
        <v>7593</v>
      </c>
      <c r="N51" s="21">
        <f t="shared" si="27"/>
        <v>10876</v>
      </c>
      <c r="O51" s="21">
        <f t="shared" si="27"/>
        <v>3598</v>
      </c>
      <c r="P51" s="21">
        <f t="shared" si="27"/>
        <v>5346</v>
      </c>
      <c r="Q51" s="21"/>
      <c r="R51" s="21">
        <f>R25+R26+R27+R28+R35+R36+R37+R38+R42+R43</f>
        <v>1235544.7719999996</v>
      </c>
      <c r="S51" s="21">
        <f>S25+S26+S27+S28+S35+S36+S37+S38+S42+S43</f>
        <v>3995</v>
      </c>
      <c r="T51" s="21">
        <f>T25+T26+T27+T28+T35+T36+T37+T38+T42+T43</f>
        <v>5530</v>
      </c>
    </row>
    <row r="52" spans="1:24" x14ac:dyDescent="0.25">
      <c r="P52" s="89" t="s">
        <v>131</v>
      </c>
      <c r="Q52" s="90" t="s">
        <v>131</v>
      </c>
      <c r="R52" s="21">
        <v>1166981</v>
      </c>
    </row>
    <row r="53" spans="1:24" x14ac:dyDescent="0.25">
      <c r="P53" s="89" t="s">
        <v>132</v>
      </c>
      <c r="Q53" s="90" t="s">
        <v>132</v>
      </c>
      <c r="R53" s="21">
        <f>R51-R52</f>
        <v>68563.771999999648</v>
      </c>
    </row>
    <row r="55" spans="1:24" x14ac:dyDescent="0.25">
      <c r="I55" s="21">
        <f t="shared" ref="I55:P55" si="28">I7+I8+I9+I10+I12+I14+I15+I17+I18+I20+I21+I22+I23+I24+I29+I30+I31+I32+I33+I34+I39+I40+I41+I44+I46+I48+I49+I45</f>
        <v>4181</v>
      </c>
      <c r="J55" s="21">
        <f t="shared" si="28"/>
        <v>4181</v>
      </c>
      <c r="K55" s="21">
        <f t="shared" si="28"/>
        <v>469</v>
      </c>
      <c r="L55" s="21">
        <f t="shared" si="28"/>
        <v>469</v>
      </c>
      <c r="M55" s="21">
        <f t="shared" si="28"/>
        <v>9809</v>
      </c>
      <c r="N55" s="21">
        <f t="shared" si="28"/>
        <v>9809</v>
      </c>
      <c r="O55" s="21">
        <f t="shared" si="28"/>
        <v>5734</v>
      </c>
      <c r="P55" s="21">
        <f t="shared" si="28"/>
        <v>5734</v>
      </c>
      <c r="Q55" s="21"/>
      <c r="R55" s="21">
        <f>R7+R8+R9+R10+R12+R14+R15+R17+R18+R20+R21+R22+R23+R24+R29+R30+R31+R32+R33+R34+R39+R40+R41+R44+R46+R48+R49+R45</f>
        <v>3637958.342333334</v>
      </c>
      <c r="S55" s="21">
        <f>S7+S8+S9+S10+S12+S14+S15+S17+S18+S20+S21+S22+S23+S24+S29+S30+S31+S32+S33+S34+S39+S40+S41+S44+S46+S48+S49+S45</f>
        <v>4075</v>
      </c>
      <c r="T55" s="21">
        <f t="shared" ref="T55" si="29">T7+T8+T9+T10+T12+T14+T15+T17+T18+T20+T21+T22+T23+T24+T29+T30+T31+T32+T33+T34+T39+T40+T41+T44+T46+T48+T49+T45</f>
        <v>4075</v>
      </c>
      <c r="U55" s="21"/>
      <c r="V55" s="21"/>
      <c r="W55" s="21"/>
    </row>
    <row r="56" spans="1:24" x14ac:dyDescent="0.25">
      <c r="P56" s="89" t="s">
        <v>133</v>
      </c>
      <c r="Q56" s="90" t="s">
        <v>131</v>
      </c>
      <c r="R56" s="55">
        <v>727737</v>
      </c>
    </row>
    <row r="57" spans="1:24" x14ac:dyDescent="0.25">
      <c r="P57" s="89" t="s">
        <v>134</v>
      </c>
      <c r="Q57" s="90" t="s">
        <v>132</v>
      </c>
      <c r="R57" s="21">
        <f>R55-R56</f>
        <v>2910221.342333334</v>
      </c>
    </row>
    <row r="59" spans="1:24" x14ac:dyDescent="0.25">
      <c r="Q59" s="139" t="s">
        <v>135</v>
      </c>
      <c r="R59" s="21">
        <f>R52+R56</f>
        <v>1894718</v>
      </c>
    </row>
    <row r="60" spans="1:24" ht="19.5" x14ac:dyDescent="0.25">
      <c r="O60" s="140"/>
      <c r="P60" s="140"/>
      <c r="Q60" s="141" t="s">
        <v>163</v>
      </c>
      <c r="R60" s="142">
        <f>R50-R59</f>
        <v>2978785.1143333344</v>
      </c>
    </row>
    <row r="61" spans="1:24" x14ac:dyDescent="0.25">
      <c r="R61" s="21">
        <f>R50-R52-R56-R57-R53</f>
        <v>6.9849193096160889E-10</v>
      </c>
    </row>
    <row r="62" spans="1:24" x14ac:dyDescent="0.25">
      <c r="I62" s="21">
        <f>I50-I51-I55</f>
        <v>0</v>
      </c>
      <c r="J62" s="21">
        <f t="shared" ref="J62:P62" si="30">J50-J51-J55</f>
        <v>0</v>
      </c>
      <c r="K62" s="21">
        <f t="shared" si="30"/>
        <v>-1</v>
      </c>
      <c r="L62" s="21">
        <f t="shared" si="30"/>
        <v>0</v>
      </c>
      <c r="M62" s="21">
        <f t="shared" si="30"/>
        <v>0</v>
      </c>
      <c r="N62" s="21">
        <f t="shared" si="30"/>
        <v>0</v>
      </c>
      <c r="O62" s="21">
        <f t="shared" si="30"/>
        <v>-3874</v>
      </c>
      <c r="P62" s="21">
        <f t="shared" si="30"/>
        <v>0</v>
      </c>
      <c r="Q62" s="21"/>
      <c r="R62" s="21">
        <f>R50-R51-R55</f>
        <v>0</v>
      </c>
      <c r="S62" s="21">
        <f>S50-S51-S55</f>
        <v>0</v>
      </c>
      <c r="T62" s="21">
        <f>T50-T51-T55</f>
        <v>0</v>
      </c>
    </row>
    <row r="64" spans="1:24" x14ac:dyDescent="0.25">
      <c r="I64" s="21"/>
      <c r="J64" s="21"/>
      <c r="K64" s="21"/>
      <c r="L64" s="21"/>
      <c r="M64" s="21"/>
      <c r="N64" s="21"/>
      <c r="O64" s="21"/>
      <c r="P64" s="21"/>
      <c r="Q64" s="21"/>
      <c r="R64" s="21"/>
      <c r="S64" s="21"/>
      <c r="T64" s="21"/>
      <c r="U64" s="21"/>
    </row>
  </sheetData>
  <mergeCells count="20">
    <mergeCell ref="A1:T1"/>
    <mergeCell ref="I2:R2"/>
    <mergeCell ref="A3:G3"/>
    <mergeCell ref="I3:J3"/>
    <mergeCell ref="K3:L3"/>
    <mergeCell ref="M3:N3"/>
    <mergeCell ref="O3:P3"/>
    <mergeCell ref="Q3:Q4"/>
    <mergeCell ref="R3:R4"/>
    <mergeCell ref="S3:T3"/>
    <mergeCell ref="P52:Q52"/>
    <mergeCell ref="P53:Q53"/>
    <mergeCell ref="P56:Q56"/>
    <mergeCell ref="P57:Q57"/>
    <mergeCell ref="D6:G6"/>
    <mergeCell ref="D11:G11"/>
    <mergeCell ref="D13:G13"/>
    <mergeCell ref="D16:G16"/>
    <mergeCell ref="D19:G19"/>
    <mergeCell ref="D47:G47"/>
  </mergeCells>
  <pageMargins left="0.51181102362204722" right="0.31496062992125984" top="0.94488188976377963" bottom="0.59055118110236227" header="0.31496062992125984" footer="0.31496062992125984"/>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DD9F8-72EA-4F55-BB57-B3D17BAA36DF}">
  <sheetPr>
    <tabColor theme="0" tint="-0.249977111117893"/>
  </sheetPr>
  <dimension ref="A1:Z68"/>
  <sheetViews>
    <sheetView zoomScale="60" zoomScaleNormal="60" workbookViewId="0">
      <pane ySplit="5" topLeftCell="A6" activePane="bottomLeft" state="frozen"/>
      <selection activeCell="D1" sqref="D1"/>
      <selection pane="bottomLeft" activeCell="I9" sqref="I9"/>
    </sheetView>
  </sheetViews>
  <sheetFormatPr defaultColWidth="9.140625" defaultRowHeight="15" x14ac:dyDescent="0.25"/>
  <cols>
    <col min="1" max="1" width="4" style="53" customWidth="1"/>
    <col min="2" max="2" width="13" style="54" customWidth="1"/>
    <col min="3" max="3" width="11.7109375" style="54" customWidth="1"/>
    <col min="4" max="4" width="31.140625" style="53" customWidth="1"/>
    <col min="5" max="5" width="12.140625" style="54" customWidth="1"/>
    <col min="6" max="6" width="8.85546875" style="54" customWidth="1"/>
    <col min="7" max="7" width="33.85546875" style="55" customWidth="1"/>
    <col min="8" max="8" width="2.140625" style="55" customWidth="1"/>
    <col min="9" max="16" width="9.140625" style="55" customWidth="1"/>
    <col min="17" max="17" width="9.140625" style="139" customWidth="1"/>
    <col min="18" max="18" width="14.7109375" style="55" customWidth="1"/>
    <col min="19" max="20" width="9.140625" style="55" customWidth="1"/>
    <col min="21" max="22" width="5.42578125" style="9" hidden="1" customWidth="1"/>
    <col min="23" max="23" width="50" style="33" hidden="1" customWidth="1"/>
    <col min="24" max="24" width="20.140625" style="53" customWidth="1"/>
    <col min="25" max="25" width="16" style="53" customWidth="1"/>
    <col min="26" max="16384" width="9.140625" style="53"/>
  </cols>
  <sheetData>
    <row r="1" spans="1:26" ht="54" customHeight="1" x14ac:dyDescent="0.25">
      <c r="A1" s="128" t="s">
        <v>200</v>
      </c>
      <c r="B1" s="128"/>
      <c r="C1" s="128"/>
      <c r="D1" s="128"/>
      <c r="E1" s="128"/>
      <c r="F1" s="128"/>
      <c r="G1" s="128"/>
      <c r="H1" s="128"/>
      <c r="I1" s="128"/>
      <c r="J1" s="128"/>
      <c r="K1" s="128"/>
      <c r="L1" s="128"/>
      <c r="M1" s="128"/>
      <c r="N1" s="128"/>
      <c r="O1" s="128"/>
      <c r="P1" s="128"/>
      <c r="Q1" s="128"/>
      <c r="R1" s="128"/>
      <c r="S1" s="128"/>
      <c r="T1" s="128"/>
      <c r="X1" s="129"/>
      <c r="Y1" s="130"/>
      <c r="Z1" s="131"/>
    </row>
    <row r="2" spans="1:26" s="43" customFormat="1" ht="18.75" x14ac:dyDescent="0.3">
      <c r="B2" s="44"/>
      <c r="C2" s="44"/>
      <c r="E2" s="44"/>
      <c r="F2" s="44"/>
      <c r="G2" s="45"/>
      <c r="H2" s="45"/>
      <c r="I2" s="92" t="s">
        <v>192</v>
      </c>
      <c r="J2" s="93"/>
      <c r="K2" s="93"/>
      <c r="L2" s="93"/>
      <c r="M2" s="93"/>
      <c r="N2" s="93"/>
      <c r="O2" s="93"/>
      <c r="P2" s="93"/>
      <c r="Q2" s="94"/>
      <c r="R2" s="95"/>
      <c r="S2" s="45"/>
      <c r="T2" s="132"/>
      <c r="U2" s="31"/>
      <c r="V2" s="31"/>
      <c r="W2" s="133"/>
      <c r="X2" s="134"/>
      <c r="Y2" s="135"/>
      <c r="Z2" s="143"/>
    </row>
    <row r="3" spans="1:26" ht="27.75" customHeight="1" x14ac:dyDescent="0.25">
      <c r="A3" s="96" t="s">
        <v>100</v>
      </c>
      <c r="B3" s="96"/>
      <c r="C3" s="96"/>
      <c r="D3" s="96"/>
      <c r="E3" s="96"/>
      <c r="F3" s="96"/>
      <c r="G3" s="96"/>
      <c r="H3" s="7"/>
      <c r="I3" s="97" t="s">
        <v>138</v>
      </c>
      <c r="J3" s="97"/>
      <c r="K3" s="97" t="s">
        <v>167</v>
      </c>
      <c r="L3" s="97"/>
      <c r="M3" s="98" t="s">
        <v>169</v>
      </c>
      <c r="N3" s="98"/>
      <c r="O3" s="98" t="s">
        <v>128</v>
      </c>
      <c r="P3" s="98"/>
      <c r="Q3" s="99" t="s">
        <v>129</v>
      </c>
      <c r="R3" s="100" t="s">
        <v>170</v>
      </c>
      <c r="S3" s="97" t="s">
        <v>171</v>
      </c>
      <c r="T3" s="97"/>
      <c r="U3" s="7"/>
      <c r="V3" s="7"/>
      <c r="W3" s="76"/>
    </row>
    <row r="4" spans="1:26" ht="150.75" customHeight="1" x14ac:dyDescent="0.2">
      <c r="A4" s="46" t="s">
        <v>96</v>
      </c>
      <c r="B4" s="2" t="s">
        <v>0</v>
      </c>
      <c r="C4" s="2" t="s">
        <v>101</v>
      </c>
      <c r="D4" s="46" t="s">
        <v>1</v>
      </c>
      <c r="E4" s="2" t="s">
        <v>2</v>
      </c>
      <c r="F4" s="2" t="s">
        <v>3</v>
      </c>
      <c r="G4" s="47" t="s">
        <v>4</v>
      </c>
      <c r="H4" s="136"/>
      <c r="I4" s="2" t="s">
        <v>127</v>
      </c>
      <c r="J4" s="2" t="s">
        <v>187</v>
      </c>
      <c r="K4" s="2" t="s">
        <v>168</v>
      </c>
      <c r="L4" s="2" t="s">
        <v>188</v>
      </c>
      <c r="M4" s="88" t="s">
        <v>117</v>
      </c>
      <c r="N4" s="88" t="s">
        <v>118</v>
      </c>
      <c r="O4" s="88" t="s">
        <v>123</v>
      </c>
      <c r="P4" s="88" t="s">
        <v>124</v>
      </c>
      <c r="Q4" s="99"/>
      <c r="R4" s="100"/>
      <c r="S4" s="2" t="s">
        <v>127</v>
      </c>
      <c r="T4" s="2" t="s">
        <v>130</v>
      </c>
      <c r="U4" s="1" t="s">
        <v>115</v>
      </c>
      <c r="V4" s="1" t="s">
        <v>116</v>
      </c>
      <c r="W4" s="34" t="s">
        <v>114</v>
      </c>
    </row>
    <row r="5" spans="1:26" s="9" customFormat="1" ht="12" customHeight="1" x14ac:dyDescent="0.2">
      <c r="A5" s="2">
        <v>1</v>
      </c>
      <c r="B5" s="2">
        <v>2</v>
      </c>
      <c r="C5" s="2">
        <v>3</v>
      </c>
      <c r="D5" s="2">
        <v>4</v>
      </c>
      <c r="E5" s="2">
        <v>5</v>
      </c>
      <c r="F5" s="2">
        <v>6</v>
      </c>
      <c r="G5" s="2">
        <v>7</v>
      </c>
      <c r="H5" s="136"/>
      <c r="I5" s="1">
        <v>8</v>
      </c>
      <c r="J5" s="1">
        <v>9</v>
      </c>
      <c r="K5" s="1">
        <v>10</v>
      </c>
      <c r="L5" s="1">
        <v>11</v>
      </c>
      <c r="M5" s="1">
        <v>12</v>
      </c>
      <c r="N5" s="1">
        <v>13</v>
      </c>
      <c r="O5" s="1">
        <v>14</v>
      </c>
      <c r="P5" s="1">
        <v>15</v>
      </c>
      <c r="Q5" s="29">
        <v>16</v>
      </c>
      <c r="R5" s="1">
        <v>17</v>
      </c>
      <c r="S5" s="2">
        <v>18</v>
      </c>
      <c r="T5" s="2">
        <v>19</v>
      </c>
      <c r="U5" s="1"/>
      <c r="V5" s="1"/>
      <c r="W5" s="34"/>
    </row>
    <row r="6" spans="1:26" ht="18" customHeight="1" x14ac:dyDescent="0.25">
      <c r="A6" s="48"/>
      <c r="B6" s="49"/>
      <c r="C6" s="50">
        <v>4</v>
      </c>
      <c r="D6" s="91" t="s">
        <v>5</v>
      </c>
      <c r="E6" s="91"/>
      <c r="F6" s="91"/>
      <c r="G6" s="91"/>
      <c r="H6" s="137"/>
      <c r="I6" s="10">
        <f>_2022_VB_ar_MK_grozījumiem!S6</f>
        <v>1325</v>
      </c>
      <c r="J6" s="10">
        <f>_2022_VB_ar_MK_grozījumiem!T6</f>
        <v>1325</v>
      </c>
      <c r="K6" s="10">
        <f>ROUND(_2022_VB_ar_MK_grozījumiem!K6*1.05,0)</f>
        <v>68</v>
      </c>
      <c r="L6" s="10">
        <f t="shared" ref="L6:R6" si="0">L7+L8+L9+L10</f>
        <v>68</v>
      </c>
      <c r="M6" s="10">
        <f t="shared" si="0"/>
        <v>2141</v>
      </c>
      <c r="N6" s="10">
        <f t="shared" si="0"/>
        <v>2141</v>
      </c>
      <c r="O6" s="10">
        <f>'_2023_VB_bez izmaiņām'!O6</f>
        <v>304</v>
      </c>
      <c r="P6" s="10">
        <f t="shared" si="0"/>
        <v>1087</v>
      </c>
      <c r="Q6" s="73" t="s">
        <v>119</v>
      </c>
      <c r="R6" s="3">
        <f t="shared" si="0"/>
        <v>104358.50700000001</v>
      </c>
      <c r="S6" s="10">
        <f>S7+S8+S9+S10</f>
        <v>1054</v>
      </c>
      <c r="T6" s="10">
        <f>T7+T8+T9+T10</f>
        <v>1054</v>
      </c>
      <c r="U6" s="8"/>
      <c r="V6" s="8">
        <v>1</v>
      </c>
    </row>
    <row r="7" spans="1:26" ht="27.75" customHeight="1" x14ac:dyDescent="0.25">
      <c r="A7" s="37">
        <v>1</v>
      </c>
      <c r="B7" s="38" t="s">
        <v>6</v>
      </c>
      <c r="C7" s="38" t="s">
        <v>7</v>
      </c>
      <c r="D7" s="37" t="s">
        <v>8</v>
      </c>
      <c r="E7" s="38" t="s">
        <v>9</v>
      </c>
      <c r="F7" s="38" t="s">
        <v>97</v>
      </c>
      <c r="G7" s="51" t="s">
        <v>10</v>
      </c>
      <c r="H7" s="56"/>
      <c r="I7" s="13">
        <f>_2022_VB_ar_MK_grozījumiem!S7</f>
        <v>576</v>
      </c>
      <c r="J7" s="13">
        <f>_2022_VB_ar_MK_grozījumiem!T7</f>
        <v>576</v>
      </c>
      <c r="K7" s="74">
        <f>ROUND(_2022_VB_ar_MK_grozījumiem!K7*1.05,0)</f>
        <v>28</v>
      </c>
      <c r="L7" s="74">
        <f>K7</f>
        <v>28</v>
      </c>
      <c r="M7" s="13">
        <f>I7+(K7*12)</f>
        <v>912</v>
      </c>
      <c r="N7" s="13">
        <f>J7+(L7*12)</f>
        <v>912</v>
      </c>
      <c r="O7" s="13">
        <f>M7</f>
        <v>912</v>
      </c>
      <c r="P7" s="74">
        <f>O7</f>
        <v>912</v>
      </c>
      <c r="Q7" s="39">
        <f>'_2022_VB_bez izmaiņām'!Q7*1.1</f>
        <v>101.64000000000001</v>
      </c>
      <c r="R7" s="4">
        <f>Q7*P7</f>
        <v>92695.680000000008</v>
      </c>
      <c r="S7" s="18">
        <f>M7-O7</f>
        <v>0</v>
      </c>
      <c r="T7" s="18">
        <f>N7-P7</f>
        <v>0</v>
      </c>
      <c r="U7" s="1"/>
      <c r="V7" s="1">
        <v>1</v>
      </c>
      <c r="W7" s="33" t="s">
        <v>102</v>
      </c>
      <c r="X7" s="138"/>
    </row>
    <row r="8" spans="1:26" ht="18" customHeight="1" x14ac:dyDescent="0.25">
      <c r="A8" s="37">
        <v>2</v>
      </c>
      <c r="B8" s="38" t="s">
        <v>6</v>
      </c>
      <c r="C8" s="38" t="s">
        <v>11</v>
      </c>
      <c r="D8" s="37" t="s">
        <v>12</v>
      </c>
      <c r="E8" s="38" t="s">
        <v>9</v>
      </c>
      <c r="F8" s="38">
        <v>5</v>
      </c>
      <c r="G8" s="51" t="s">
        <v>10</v>
      </c>
      <c r="H8" s="56"/>
      <c r="I8" s="13">
        <f>_2022_VB_ar_MK_grozījumiem!S8</f>
        <v>161</v>
      </c>
      <c r="J8" s="13">
        <f>_2022_VB_ar_MK_grozījumiem!T8</f>
        <v>161</v>
      </c>
      <c r="K8" s="74">
        <f>ROUND(_2022_VB_ar_MK_grozījumiem!K8*1.05,0)</f>
        <v>8</v>
      </c>
      <c r="L8" s="74">
        <f t="shared" ref="L8:L10" si="1">K8</f>
        <v>8</v>
      </c>
      <c r="M8" s="13">
        <f t="shared" ref="M8:N10" si="2">I8+(K8*12)</f>
        <v>257</v>
      </c>
      <c r="N8" s="13">
        <f t="shared" si="2"/>
        <v>257</v>
      </c>
      <c r="O8" s="13">
        <f>'_2023_VB_bez izmaiņām'!O8</f>
        <v>39</v>
      </c>
      <c r="P8" s="74">
        <f t="shared" ref="P8:P10" si="3">O8</f>
        <v>39</v>
      </c>
      <c r="Q8" s="39">
        <f>'_2022_VB_bez izmaiņām'!Q8*1.1</f>
        <v>101.64000000000001</v>
      </c>
      <c r="R8" s="4">
        <f t="shared" ref="R8:R49" si="4">Q8*P8</f>
        <v>3963.9600000000005</v>
      </c>
      <c r="S8" s="18">
        <f t="shared" ref="S8:T10" si="5">M8-O8</f>
        <v>218</v>
      </c>
      <c r="T8" s="18">
        <f t="shared" si="5"/>
        <v>218</v>
      </c>
      <c r="U8" s="1"/>
      <c r="V8" s="1">
        <v>1</v>
      </c>
    </row>
    <row r="9" spans="1:26" ht="36" customHeight="1" x14ac:dyDescent="0.25">
      <c r="A9" s="37">
        <v>3</v>
      </c>
      <c r="B9" s="38" t="s">
        <v>13</v>
      </c>
      <c r="C9" s="38" t="s">
        <v>14</v>
      </c>
      <c r="D9" s="37" t="s">
        <v>15</v>
      </c>
      <c r="E9" s="38" t="s">
        <v>9</v>
      </c>
      <c r="F9" s="38">
        <v>2</v>
      </c>
      <c r="G9" s="51" t="s">
        <v>10</v>
      </c>
      <c r="H9" s="56"/>
      <c r="I9" s="13">
        <f>_2022_VB_ar_MK_grozījumiem!S9</f>
        <v>226</v>
      </c>
      <c r="J9" s="13">
        <f>_2022_VB_ar_MK_grozījumiem!T9</f>
        <v>226</v>
      </c>
      <c r="K9" s="74">
        <f>ROUND(_2022_VB_ar_MK_grozījumiem!K9*1.05,0)</f>
        <v>12</v>
      </c>
      <c r="L9" s="74">
        <f t="shared" si="1"/>
        <v>12</v>
      </c>
      <c r="M9" s="13">
        <f t="shared" si="2"/>
        <v>370</v>
      </c>
      <c r="N9" s="13">
        <f t="shared" si="2"/>
        <v>370</v>
      </c>
      <c r="O9" s="13">
        <f>'_2023_VB_bez izmaiņām'!O9</f>
        <v>50</v>
      </c>
      <c r="P9" s="74">
        <f t="shared" si="3"/>
        <v>50</v>
      </c>
      <c r="Q9" s="39">
        <f>'_2022_VB_bez izmaiņām'!Q9*1.1</f>
        <v>40.656000000000013</v>
      </c>
      <c r="R9" s="4">
        <f t="shared" si="4"/>
        <v>2032.8000000000006</v>
      </c>
      <c r="S9" s="18">
        <f t="shared" si="5"/>
        <v>320</v>
      </c>
      <c r="T9" s="18">
        <f t="shared" si="5"/>
        <v>320</v>
      </c>
      <c r="U9" s="1"/>
      <c r="V9" s="1">
        <v>1</v>
      </c>
    </row>
    <row r="10" spans="1:26" ht="18" customHeight="1" x14ac:dyDescent="0.25">
      <c r="A10" s="37">
        <v>4</v>
      </c>
      <c r="B10" s="38" t="s">
        <v>16</v>
      </c>
      <c r="C10" s="38" t="s">
        <v>17</v>
      </c>
      <c r="D10" s="37" t="s">
        <v>18</v>
      </c>
      <c r="E10" s="38" t="s">
        <v>9</v>
      </c>
      <c r="F10" s="38">
        <v>5</v>
      </c>
      <c r="G10" s="51" t="s">
        <v>10</v>
      </c>
      <c r="H10" s="56"/>
      <c r="I10" s="13">
        <f>_2022_VB_ar_MK_grozījumiem!S10</f>
        <v>362</v>
      </c>
      <c r="J10" s="13">
        <f>_2022_VB_ar_MK_grozījumiem!T10</f>
        <v>362</v>
      </c>
      <c r="K10" s="74">
        <f>ROUND(_2022_VB_ar_MK_grozījumiem!K10*1.05,0)</f>
        <v>20</v>
      </c>
      <c r="L10" s="74">
        <f t="shared" si="1"/>
        <v>20</v>
      </c>
      <c r="M10" s="13">
        <f t="shared" si="2"/>
        <v>602</v>
      </c>
      <c r="N10" s="13">
        <f t="shared" si="2"/>
        <v>602</v>
      </c>
      <c r="O10" s="13">
        <f>'_2023_VB_bez izmaiņām'!O10</f>
        <v>86</v>
      </c>
      <c r="P10" s="74">
        <f t="shared" si="3"/>
        <v>86</v>
      </c>
      <c r="Q10" s="39">
        <f>'_2022_VB_bez izmaiņām'!Q10*1.1</f>
        <v>65.884500000000017</v>
      </c>
      <c r="R10" s="4">
        <f t="shared" si="4"/>
        <v>5666.0670000000018</v>
      </c>
      <c r="S10" s="18">
        <f t="shared" si="5"/>
        <v>516</v>
      </c>
      <c r="T10" s="18">
        <f t="shared" si="5"/>
        <v>516</v>
      </c>
      <c r="U10" s="1"/>
      <c r="V10" s="1">
        <v>1</v>
      </c>
    </row>
    <row r="11" spans="1:26" ht="18" customHeight="1" x14ac:dyDescent="0.25">
      <c r="A11" s="48"/>
      <c r="B11" s="49"/>
      <c r="C11" s="50">
        <v>6</v>
      </c>
      <c r="D11" s="91" t="s">
        <v>19</v>
      </c>
      <c r="E11" s="91"/>
      <c r="F11" s="91"/>
      <c r="G11" s="91"/>
      <c r="H11" s="137"/>
      <c r="I11" s="14">
        <f>_2022_VB_ar_MK_grozījumiem!S11</f>
        <v>444</v>
      </c>
      <c r="J11" s="14">
        <f>_2022_VB_ar_MK_grozījumiem!T11</f>
        <v>444</v>
      </c>
      <c r="K11" s="14">
        <f>ROUND(_2022_VB_ar_MK_grozījumiem!K11*1.05,0)</f>
        <v>48</v>
      </c>
      <c r="L11" s="14">
        <f t="shared" ref="L11:R11" si="6">L12</f>
        <v>48</v>
      </c>
      <c r="M11" s="14">
        <f t="shared" si="6"/>
        <v>1020</v>
      </c>
      <c r="N11" s="14">
        <f t="shared" si="6"/>
        <v>1020</v>
      </c>
      <c r="O11" s="14">
        <f>'_2023_VB_bez izmaiņām'!O11</f>
        <v>450</v>
      </c>
      <c r="P11" s="14">
        <f t="shared" si="6"/>
        <v>470</v>
      </c>
      <c r="Q11" s="73" t="s">
        <v>119</v>
      </c>
      <c r="R11" s="5">
        <f t="shared" si="6"/>
        <v>318125.09300000005</v>
      </c>
      <c r="S11" s="14">
        <f>S12</f>
        <v>550</v>
      </c>
      <c r="T11" s="14">
        <f>T12</f>
        <v>550</v>
      </c>
      <c r="U11" s="8"/>
      <c r="V11" s="8">
        <v>1</v>
      </c>
    </row>
    <row r="12" spans="1:26" s="43" customFormat="1" ht="34.5" customHeight="1" x14ac:dyDescent="0.25">
      <c r="A12" s="35">
        <v>5</v>
      </c>
      <c r="B12" s="36" t="s">
        <v>20</v>
      </c>
      <c r="C12" s="36" t="s">
        <v>21</v>
      </c>
      <c r="D12" s="35" t="s">
        <v>22</v>
      </c>
      <c r="E12" s="36" t="s">
        <v>9</v>
      </c>
      <c r="F12" s="36">
        <v>2</v>
      </c>
      <c r="G12" s="52" t="s">
        <v>23</v>
      </c>
      <c r="H12" s="57"/>
      <c r="I12" s="13">
        <f>_2022_VB_ar_MK_grozījumiem!S12</f>
        <v>444</v>
      </c>
      <c r="J12" s="13">
        <f>_2022_VB_ar_MK_grozījumiem!T12</f>
        <v>444</v>
      </c>
      <c r="K12" s="74">
        <f>ROUND(_2022_VB_ar_MK_grozījumiem!K12*1.05,0)</f>
        <v>48</v>
      </c>
      <c r="L12" s="74">
        <f>K12</f>
        <v>48</v>
      </c>
      <c r="M12" s="13">
        <f t="shared" ref="M12:N12" si="7">I12+(K12*12)</f>
        <v>1020</v>
      </c>
      <c r="N12" s="13">
        <f t="shared" si="7"/>
        <v>1020</v>
      </c>
      <c r="O12" s="13">
        <f>'_2023_VB_bez izmaiņām'!O12</f>
        <v>470</v>
      </c>
      <c r="P12" s="74">
        <f>O12</f>
        <v>470</v>
      </c>
      <c r="Q12" s="40">
        <f>'_2022_VB_bez izmaiņām'!Q12*1.1</f>
        <v>676.86190000000011</v>
      </c>
      <c r="R12" s="22">
        <f>Q12*P12</f>
        <v>318125.09300000005</v>
      </c>
      <c r="S12" s="19">
        <f t="shared" ref="S12:T12" si="8">M12-O12</f>
        <v>550</v>
      </c>
      <c r="T12" s="19">
        <f t="shared" si="8"/>
        <v>550</v>
      </c>
      <c r="U12" s="24"/>
      <c r="V12" s="24">
        <v>1</v>
      </c>
      <c r="W12" s="32"/>
    </row>
    <row r="13" spans="1:26" ht="18" customHeight="1" x14ac:dyDescent="0.25">
      <c r="A13" s="48"/>
      <c r="B13" s="49"/>
      <c r="C13" s="50">
        <v>12</v>
      </c>
      <c r="D13" s="91" t="s">
        <v>24</v>
      </c>
      <c r="E13" s="91"/>
      <c r="F13" s="91"/>
      <c r="G13" s="91"/>
      <c r="H13" s="137"/>
      <c r="I13" s="10">
        <f>_2022_VB_ar_MK_grozījumiem!S13</f>
        <v>317</v>
      </c>
      <c r="J13" s="10">
        <f>_2022_VB_ar_MK_grozījumiem!T13</f>
        <v>317</v>
      </c>
      <c r="K13" s="10">
        <f>ROUND(_2022_VB_ar_MK_grozījumiem!K13*1.05,0)</f>
        <v>18</v>
      </c>
      <c r="L13" s="10">
        <f t="shared" ref="L13:R13" si="9">L14+L15</f>
        <v>16</v>
      </c>
      <c r="M13" s="10">
        <f t="shared" si="9"/>
        <v>509</v>
      </c>
      <c r="N13" s="10">
        <f t="shared" si="9"/>
        <v>509</v>
      </c>
      <c r="O13" s="10">
        <f>'_2023_VB_bez izmaiņām'!O13</f>
        <v>76</v>
      </c>
      <c r="P13" s="10">
        <f t="shared" si="9"/>
        <v>509</v>
      </c>
      <c r="Q13" s="73" t="s">
        <v>119</v>
      </c>
      <c r="R13" s="3">
        <f t="shared" si="9"/>
        <v>28874.230000000003</v>
      </c>
      <c r="S13" s="10">
        <f>S14+S15</f>
        <v>0</v>
      </c>
      <c r="T13" s="10">
        <f>T14+T15</f>
        <v>0</v>
      </c>
      <c r="U13" s="8"/>
      <c r="V13" s="8">
        <v>1</v>
      </c>
    </row>
    <row r="14" spans="1:26" ht="33.75" customHeight="1" x14ac:dyDescent="0.25">
      <c r="A14" s="37">
        <v>6</v>
      </c>
      <c r="B14" s="38" t="s">
        <v>25</v>
      </c>
      <c r="C14" s="38" t="s">
        <v>26</v>
      </c>
      <c r="D14" s="37" t="s">
        <v>27</v>
      </c>
      <c r="E14" s="38" t="s">
        <v>9</v>
      </c>
      <c r="F14" s="38" t="s">
        <v>104</v>
      </c>
      <c r="G14" s="51" t="s">
        <v>10</v>
      </c>
      <c r="H14" s="56"/>
      <c r="I14" s="13">
        <f>_2022_VB_ar_MK_grozījumiem!S14</f>
        <v>137</v>
      </c>
      <c r="J14" s="13">
        <f>_2022_VB_ar_MK_grozījumiem!T14</f>
        <v>137</v>
      </c>
      <c r="K14" s="74">
        <f>ROUND(_2022_VB_ar_MK_grozījumiem!K14*1.05,0)</f>
        <v>7</v>
      </c>
      <c r="L14" s="74">
        <f>K14</f>
        <v>7</v>
      </c>
      <c r="M14" s="13">
        <f t="shared" ref="M14:N15" si="10">I14+(K14*12)</f>
        <v>221</v>
      </c>
      <c r="N14" s="13">
        <f t="shared" si="10"/>
        <v>221</v>
      </c>
      <c r="O14" s="13">
        <f>M14</f>
        <v>221</v>
      </c>
      <c r="P14" s="74">
        <f>O14</f>
        <v>221</v>
      </c>
      <c r="Q14" s="39">
        <f>'_2022_VB_bez izmaiņām'!Q14*1.1</f>
        <v>42.35</v>
      </c>
      <c r="R14" s="4">
        <f t="shared" si="4"/>
        <v>9359.35</v>
      </c>
      <c r="S14" s="18">
        <f t="shared" ref="S14:T15" si="11">M14-O14</f>
        <v>0</v>
      </c>
      <c r="T14" s="18">
        <f t="shared" si="11"/>
        <v>0</v>
      </c>
      <c r="U14" s="1"/>
      <c r="V14" s="1">
        <v>1</v>
      </c>
      <c r="W14" s="33" t="s">
        <v>103</v>
      </c>
    </row>
    <row r="15" spans="1:26" ht="24" customHeight="1" x14ac:dyDescent="0.25">
      <c r="A15" s="37">
        <v>7</v>
      </c>
      <c r="B15" s="38" t="s">
        <v>25</v>
      </c>
      <c r="C15" s="38" t="s">
        <v>26</v>
      </c>
      <c r="D15" s="37" t="s">
        <v>28</v>
      </c>
      <c r="E15" s="38" t="s">
        <v>9</v>
      </c>
      <c r="F15" s="38" t="s">
        <v>104</v>
      </c>
      <c r="G15" s="51" t="s">
        <v>10</v>
      </c>
      <c r="H15" s="56"/>
      <c r="I15" s="13">
        <f>_2022_VB_ar_MK_grozījumiem!S15</f>
        <v>180</v>
      </c>
      <c r="J15" s="13">
        <f>_2022_VB_ar_MK_grozījumiem!T15</f>
        <v>180</v>
      </c>
      <c r="K15" s="74">
        <f>ROUND(_2022_VB_ar_MK_grozījumiem!K15*1.05,0)</f>
        <v>9</v>
      </c>
      <c r="L15" s="74">
        <f>K15</f>
        <v>9</v>
      </c>
      <c r="M15" s="13">
        <f t="shared" si="10"/>
        <v>288</v>
      </c>
      <c r="N15" s="13">
        <f t="shared" si="10"/>
        <v>288</v>
      </c>
      <c r="O15" s="13">
        <f>M15</f>
        <v>288</v>
      </c>
      <c r="P15" s="74">
        <f>O15</f>
        <v>288</v>
      </c>
      <c r="Q15" s="39">
        <f>'_2022_VB_bez izmaiņām'!Q15*1.1</f>
        <v>67.760000000000019</v>
      </c>
      <c r="R15" s="4">
        <f t="shared" si="4"/>
        <v>19514.880000000005</v>
      </c>
      <c r="S15" s="18">
        <f t="shared" si="11"/>
        <v>0</v>
      </c>
      <c r="T15" s="18">
        <f t="shared" si="11"/>
        <v>0</v>
      </c>
      <c r="U15" s="1"/>
      <c r="V15" s="1">
        <v>1</v>
      </c>
      <c r="W15" s="33" t="s">
        <v>103</v>
      </c>
    </row>
    <row r="16" spans="1:26" ht="18" customHeight="1" x14ac:dyDescent="0.25">
      <c r="A16" s="48"/>
      <c r="B16" s="49"/>
      <c r="C16" s="50">
        <v>15</v>
      </c>
      <c r="D16" s="91" t="s">
        <v>29</v>
      </c>
      <c r="E16" s="91"/>
      <c r="F16" s="91"/>
      <c r="G16" s="91"/>
      <c r="H16" s="137"/>
      <c r="I16" s="10">
        <f>_2022_VB_ar_MK_grozījumiem!S16</f>
        <v>277</v>
      </c>
      <c r="J16" s="10">
        <f>_2022_VB_ar_MK_grozījumiem!T16</f>
        <v>277</v>
      </c>
      <c r="K16" s="10">
        <f>ROUND(_2022_VB_ar_MK_grozījumiem!K16*1.05,0)</f>
        <v>17</v>
      </c>
      <c r="L16" s="10">
        <f t="shared" ref="L16:P16" si="12">L17+L18</f>
        <v>15</v>
      </c>
      <c r="M16" s="10">
        <f t="shared" si="12"/>
        <v>457</v>
      </c>
      <c r="N16" s="10">
        <f t="shared" si="12"/>
        <v>457</v>
      </c>
      <c r="O16" s="10">
        <f>'_2023_VB_bez izmaiņām'!O16</f>
        <v>70</v>
      </c>
      <c r="P16" s="10">
        <f t="shared" si="12"/>
        <v>71</v>
      </c>
      <c r="Q16" s="73" t="s">
        <v>119</v>
      </c>
      <c r="R16" s="3">
        <f t="shared" ref="R16" si="13">R17+R18</f>
        <v>2814.8230000000003</v>
      </c>
      <c r="S16" s="10">
        <f>S17+S18</f>
        <v>386</v>
      </c>
      <c r="T16" s="10">
        <f>T17+T18</f>
        <v>386</v>
      </c>
      <c r="U16" s="8"/>
      <c r="V16" s="8">
        <v>1</v>
      </c>
    </row>
    <row r="17" spans="1:23" ht="18" customHeight="1" x14ac:dyDescent="0.25">
      <c r="A17" s="37">
        <v>8</v>
      </c>
      <c r="B17" s="38" t="s">
        <v>16</v>
      </c>
      <c r="C17" s="38" t="s">
        <v>30</v>
      </c>
      <c r="D17" s="37" t="s">
        <v>31</v>
      </c>
      <c r="E17" s="38" t="s">
        <v>9</v>
      </c>
      <c r="F17" s="38">
        <v>5</v>
      </c>
      <c r="G17" s="51" t="s">
        <v>10</v>
      </c>
      <c r="H17" s="56"/>
      <c r="I17" s="13">
        <f>_2022_VB_ar_MK_grozījumiem!S17</f>
        <v>145</v>
      </c>
      <c r="J17" s="13">
        <f>_2022_VB_ar_MK_grozījumiem!T17</f>
        <v>145</v>
      </c>
      <c r="K17" s="74">
        <f>ROUND(_2022_VB_ar_MK_grozījumiem!K17*1.05,0)</f>
        <v>8</v>
      </c>
      <c r="L17" s="74">
        <f>K17</f>
        <v>8</v>
      </c>
      <c r="M17" s="13">
        <f t="shared" ref="M17:N18" si="14">I17+(K17*12)</f>
        <v>241</v>
      </c>
      <c r="N17" s="13">
        <f t="shared" si="14"/>
        <v>241</v>
      </c>
      <c r="O17" s="13">
        <f>'_2023_VB_bez izmaiņām'!O17</f>
        <v>37</v>
      </c>
      <c r="P17" s="74">
        <f>O17</f>
        <v>37</v>
      </c>
      <c r="Q17" s="39">
        <f>'_2022_VB_bez izmaiņām'!Q17*1.1</f>
        <v>58.564000000000007</v>
      </c>
      <c r="R17" s="4">
        <f t="shared" si="4"/>
        <v>2166.8680000000004</v>
      </c>
      <c r="S17" s="18">
        <f t="shared" ref="S17:T18" si="15">M17-O17</f>
        <v>204</v>
      </c>
      <c r="T17" s="18">
        <f t="shared" si="15"/>
        <v>204</v>
      </c>
      <c r="U17" s="1"/>
      <c r="V17" s="1">
        <v>1</v>
      </c>
    </row>
    <row r="18" spans="1:23" ht="33" customHeight="1" x14ac:dyDescent="0.25">
      <c r="A18" s="37">
        <v>9</v>
      </c>
      <c r="B18" s="38" t="s">
        <v>6</v>
      </c>
      <c r="C18" s="38" t="s">
        <v>30</v>
      </c>
      <c r="D18" s="37" t="s">
        <v>32</v>
      </c>
      <c r="E18" s="38" t="s">
        <v>9</v>
      </c>
      <c r="F18" s="38">
        <v>2</v>
      </c>
      <c r="G18" s="51" t="s">
        <v>10</v>
      </c>
      <c r="H18" s="56"/>
      <c r="I18" s="13">
        <f>_2022_VB_ar_MK_grozījumiem!S18</f>
        <v>132</v>
      </c>
      <c r="J18" s="13">
        <f>_2022_VB_ar_MK_grozījumiem!T18</f>
        <v>132</v>
      </c>
      <c r="K18" s="74">
        <f>ROUND(_2022_VB_ar_MK_grozījumiem!K18*1.05,0)</f>
        <v>7</v>
      </c>
      <c r="L18" s="74">
        <f>K18</f>
        <v>7</v>
      </c>
      <c r="M18" s="13">
        <f t="shared" si="14"/>
        <v>216</v>
      </c>
      <c r="N18" s="13">
        <f t="shared" si="14"/>
        <v>216</v>
      </c>
      <c r="O18" s="13">
        <f>'_2023_VB_bez izmaiņām'!O18</f>
        <v>34</v>
      </c>
      <c r="P18" s="74">
        <f>O18</f>
        <v>34</v>
      </c>
      <c r="Q18" s="39">
        <f>'_2022_VB_bez izmaiņām'!Q18*1.1</f>
        <v>19.057500000000005</v>
      </c>
      <c r="R18" s="4">
        <f t="shared" si="4"/>
        <v>647.95500000000015</v>
      </c>
      <c r="S18" s="18">
        <f t="shared" si="15"/>
        <v>182</v>
      </c>
      <c r="T18" s="18">
        <f t="shared" si="15"/>
        <v>182</v>
      </c>
      <c r="U18" s="1"/>
      <c r="V18" s="1">
        <v>1</v>
      </c>
    </row>
    <row r="19" spans="1:23" ht="18" customHeight="1" x14ac:dyDescent="0.25">
      <c r="A19" s="48"/>
      <c r="B19" s="49"/>
      <c r="C19" s="50">
        <v>22</v>
      </c>
      <c r="D19" s="91" t="s">
        <v>33</v>
      </c>
      <c r="E19" s="91"/>
      <c r="F19" s="91"/>
      <c r="G19" s="91"/>
      <c r="H19" s="137"/>
      <c r="I19" s="10">
        <f>_2022_VB_ar_MK_grozījumiem!S19</f>
        <v>10143</v>
      </c>
      <c r="J19" s="10">
        <f>_2022_VB_ar_MK_grozījumiem!T19</f>
        <v>11815</v>
      </c>
      <c r="K19" s="10">
        <f>ROUND(_2022_VB_ar_MK_grozījumiem!K19*1.05,0)</f>
        <v>646</v>
      </c>
      <c r="L19" s="10">
        <f t="shared" ref="L19:P19" si="16">SUM(L20:L46)</f>
        <v>785</v>
      </c>
      <c r="M19" s="10">
        <f t="shared" si="16"/>
        <v>17967</v>
      </c>
      <c r="N19" s="10">
        <f t="shared" si="16"/>
        <v>21235</v>
      </c>
      <c r="O19" s="10">
        <f>'_2023_VB_bez izmaiņām'!O19</f>
        <v>3949</v>
      </c>
      <c r="P19" s="10">
        <f t="shared" si="16"/>
        <v>10163</v>
      </c>
      <c r="Q19" s="73" t="s">
        <v>119</v>
      </c>
      <c r="R19" s="3">
        <f>SUM(R20:R46)</f>
        <v>6288782.6785666682</v>
      </c>
      <c r="S19" s="10">
        <f>SUM(S20:S46)</f>
        <v>9396</v>
      </c>
      <c r="T19" s="10">
        <f>SUM(T20:T46)</f>
        <v>11072</v>
      </c>
      <c r="U19" s="8">
        <v>1</v>
      </c>
      <c r="V19" s="8">
        <v>1</v>
      </c>
    </row>
    <row r="20" spans="1:23" ht="17.25" customHeight="1" x14ac:dyDescent="0.25">
      <c r="A20" s="37">
        <v>10</v>
      </c>
      <c r="B20" s="38" t="s">
        <v>34</v>
      </c>
      <c r="C20" s="38" t="s">
        <v>35</v>
      </c>
      <c r="D20" s="37" t="s">
        <v>36</v>
      </c>
      <c r="E20" s="38" t="s">
        <v>9</v>
      </c>
      <c r="F20" s="38">
        <v>2</v>
      </c>
      <c r="G20" s="51" t="s">
        <v>37</v>
      </c>
      <c r="H20" s="56"/>
      <c r="I20" s="13">
        <f>_2022_VB_ar_MK_grozījumiem!S20</f>
        <v>231</v>
      </c>
      <c r="J20" s="13">
        <f>_2022_VB_ar_MK_grozījumiem!T20</f>
        <v>231</v>
      </c>
      <c r="K20" s="74">
        <f>ROUND(_2022_VB_ar_MK_grozījumiem!K20*1.05,0)</f>
        <v>11</v>
      </c>
      <c r="L20" s="74">
        <f>K20</f>
        <v>11</v>
      </c>
      <c r="M20" s="13">
        <f t="shared" ref="M20:N35" si="17">I20+(K20*12)</f>
        <v>363</v>
      </c>
      <c r="N20" s="13">
        <f t="shared" si="17"/>
        <v>363</v>
      </c>
      <c r="O20" s="13">
        <f>'_2023_VB_bez izmaiņām'!O20</f>
        <v>61</v>
      </c>
      <c r="P20" s="74">
        <f>O20</f>
        <v>61</v>
      </c>
      <c r="Q20" s="39">
        <f>'_2022_VB_bez izmaiņām'!Q20*1.1</f>
        <v>80.525500000000008</v>
      </c>
      <c r="R20" s="4">
        <f t="shared" si="4"/>
        <v>4912.0555000000004</v>
      </c>
      <c r="S20" s="18">
        <f t="shared" ref="S20:T35" si="18">M20-O20</f>
        <v>302</v>
      </c>
      <c r="T20" s="18">
        <f t="shared" si="18"/>
        <v>302</v>
      </c>
      <c r="U20" s="1"/>
      <c r="V20" s="1">
        <v>1</v>
      </c>
    </row>
    <row r="21" spans="1:23" ht="30.75" customHeight="1" x14ac:dyDescent="0.25">
      <c r="A21" s="37">
        <v>11</v>
      </c>
      <c r="B21" s="38" t="s">
        <v>34</v>
      </c>
      <c r="C21" s="38" t="s">
        <v>38</v>
      </c>
      <c r="D21" s="37" t="s">
        <v>39</v>
      </c>
      <c r="E21" s="38" t="s">
        <v>9</v>
      </c>
      <c r="F21" s="38" t="s">
        <v>98</v>
      </c>
      <c r="G21" s="51" t="s">
        <v>37</v>
      </c>
      <c r="H21" s="56"/>
      <c r="I21" s="13">
        <f>_2022_VB_ar_MK_grozījumiem!S21</f>
        <v>216</v>
      </c>
      <c r="J21" s="13">
        <f>_2022_VB_ar_MK_grozījumiem!T21</f>
        <v>216</v>
      </c>
      <c r="K21" s="74">
        <f>ROUND(_2022_VB_ar_MK_grozījumiem!K21*1.05,0)</f>
        <v>14</v>
      </c>
      <c r="L21" s="74">
        <f>K21</f>
        <v>14</v>
      </c>
      <c r="M21" s="13">
        <f t="shared" si="17"/>
        <v>384</v>
      </c>
      <c r="N21" s="13">
        <f t="shared" si="17"/>
        <v>384</v>
      </c>
      <c r="O21" s="13">
        <f>M21</f>
        <v>384</v>
      </c>
      <c r="P21" s="74">
        <f>O21</f>
        <v>384</v>
      </c>
      <c r="Q21" s="39">
        <f>'_2022_VB_bez izmaiņām'!Q21*1.1</f>
        <v>61.492200000000011</v>
      </c>
      <c r="R21" s="4">
        <f t="shared" si="4"/>
        <v>23613.004800000002</v>
      </c>
      <c r="S21" s="18">
        <f t="shared" si="18"/>
        <v>0</v>
      </c>
      <c r="T21" s="18">
        <f t="shared" si="18"/>
        <v>0</v>
      </c>
      <c r="U21" s="1"/>
      <c r="V21" s="1">
        <v>1</v>
      </c>
      <c r="W21" s="33" t="s">
        <v>105</v>
      </c>
    </row>
    <row r="22" spans="1:23" ht="36" customHeight="1" x14ac:dyDescent="0.25">
      <c r="A22" s="37">
        <v>12</v>
      </c>
      <c r="B22" s="38" t="s">
        <v>40</v>
      </c>
      <c r="C22" s="38" t="s">
        <v>41</v>
      </c>
      <c r="D22" s="37" t="s">
        <v>42</v>
      </c>
      <c r="E22" s="38" t="s">
        <v>9</v>
      </c>
      <c r="F22" s="38">
        <v>5</v>
      </c>
      <c r="G22" s="51" t="s">
        <v>43</v>
      </c>
      <c r="H22" s="56"/>
      <c r="I22" s="13">
        <f>_2022_VB_ar_MK_grozījumiem!S22</f>
        <v>68</v>
      </c>
      <c r="J22" s="13">
        <f>_2022_VB_ar_MK_grozījumiem!T22</f>
        <v>68</v>
      </c>
      <c r="K22" s="74">
        <f>ROUND(_2022_VB_ar_MK_grozījumiem!K22*1.05,0)</f>
        <v>5</v>
      </c>
      <c r="L22" s="74">
        <f t="shared" ref="L22:L49" si="19">K22</f>
        <v>5</v>
      </c>
      <c r="M22" s="13">
        <f t="shared" si="17"/>
        <v>128</v>
      </c>
      <c r="N22" s="13">
        <f t="shared" si="17"/>
        <v>128</v>
      </c>
      <c r="O22" s="13">
        <f>'_2023_VB_bez izmaiņām'!O22</f>
        <v>25</v>
      </c>
      <c r="P22" s="74">
        <f t="shared" ref="P22:P49" si="20">O22</f>
        <v>25</v>
      </c>
      <c r="Q22" s="39">
        <f>'_2022_VB_bez izmaiņām'!Q22*1.1</f>
        <v>109.80750000000002</v>
      </c>
      <c r="R22" s="4">
        <f t="shared" si="4"/>
        <v>2745.1875000000005</v>
      </c>
      <c r="S22" s="18">
        <f t="shared" si="18"/>
        <v>103</v>
      </c>
      <c r="T22" s="18">
        <f t="shared" si="18"/>
        <v>103</v>
      </c>
      <c r="U22" s="1"/>
      <c r="V22" s="1">
        <v>1</v>
      </c>
    </row>
    <row r="23" spans="1:23" ht="24" customHeight="1" x14ac:dyDescent="0.25">
      <c r="A23" s="37">
        <v>13</v>
      </c>
      <c r="B23" s="38" t="s">
        <v>40</v>
      </c>
      <c r="C23" s="38" t="s">
        <v>41</v>
      </c>
      <c r="D23" s="37" t="s">
        <v>106</v>
      </c>
      <c r="E23" s="38" t="s">
        <v>9</v>
      </c>
      <c r="F23" s="38">
        <v>5</v>
      </c>
      <c r="G23" s="51" t="s">
        <v>43</v>
      </c>
      <c r="H23" s="56"/>
      <c r="I23" s="13">
        <f>_2022_VB_ar_MK_grozījumiem!S23</f>
        <v>27</v>
      </c>
      <c r="J23" s="13">
        <f>_2022_VB_ar_MK_grozījumiem!T23</f>
        <v>27</v>
      </c>
      <c r="K23" s="74">
        <f>ROUND(_2022_VB_ar_MK_grozījumiem!K23*1.05,0)</f>
        <v>2</v>
      </c>
      <c r="L23" s="74">
        <f t="shared" si="19"/>
        <v>2</v>
      </c>
      <c r="M23" s="13">
        <f t="shared" si="17"/>
        <v>51</v>
      </c>
      <c r="N23" s="13">
        <f t="shared" si="17"/>
        <v>51</v>
      </c>
      <c r="O23" s="13">
        <f>'_2023_VB_bez izmaiņām'!O23</f>
        <v>10</v>
      </c>
      <c r="P23" s="74">
        <f t="shared" si="20"/>
        <v>10</v>
      </c>
      <c r="Q23" s="39">
        <f>'_2022_VB_bez izmaiņām'!Q23*1.1</f>
        <v>58.564000000000007</v>
      </c>
      <c r="R23" s="4">
        <f t="shared" si="4"/>
        <v>585.6400000000001</v>
      </c>
      <c r="S23" s="18">
        <f t="shared" si="18"/>
        <v>41</v>
      </c>
      <c r="T23" s="18">
        <f t="shared" si="18"/>
        <v>41</v>
      </c>
      <c r="U23" s="1"/>
      <c r="V23" s="1">
        <v>1</v>
      </c>
      <c r="W23" s="33" t="s">
        <v>107</v>
      </c>
    </row>
    <row r="24" spans="1:23" ht="35.25" customHeight="1" x14ac:dyDescent="0.25">
      <c r="A24" s="37">
        <v>14</v>
      </c>
      <c r="B24" s="38" t="s">
        <v>34</v>
      </c>
      <c r="C24" s="38" t="s">
        <v>44</v>
      </c>
      <c r="D24" s="37" t="s">
        <v>45</v>
      </c>
      <c r="E24" s="38" t="s">
        <v>9</v>
      </c>
      <c r="F24" s="38">
        <v>5</v>
      </c>
      <c r="G24" s="51" t="s">
        <v>37</v>
      </c>
      <c r="H24" s="56"/>
      <c r="I24" s="13">
        <f>_2022_VB_ar_MK_grozījumiem!S24</f>
        <v>1345</v>
      </c>
      <c r="J24" s="13">
        <f>_2022_VB_ar_MK_grozījumiem!T24</f>
        <v>1345</v>
      </c>
      <c r="K24" s="74">
        <f>ROUND(_2022_VB_ar_MK_grozījumiem!K24*1.05,0)</f>
        <v>64</v>
      </c>
      <c r="L24" s="74">
        <f t="shared" si="19"/>
        <v>64</v>
      </c>
      <c r="M24" s="13">
        <f t="shared" si="17"/>
        <v>2113</v>
      </c>
      <c r="N24" s="13">
        <f t="shared" si="17"/>
        <v>2113</v>
      </c>
      <c r="O24" s="13">
        <f>'_2023_VB_bez izmaiņām'!O24</f>
        <v>249</v>
      </c>
      <c r="P24" s="74">
        <f t="shared" si="20"/>
        <v>249</v>
      </c>
      <c r="Q24" s="39">
        <f>'_2022_VB_bez izmaiņām'!Q24*1.1</f>
        <v>687.86080000000015</v>
      </c>
      <c r="R24" s="4">
        <f t="shared" si="4"/>
        <v>171277.33920000005</v>
      </c>
      <c r="S24" s="18">
        <f t="shared" si="18"/>
        <v>1864</v>
      </c>
      <c r="T24" s="18">
        <f t="shared" si="18"/>
        <v>1864</v>
      </c>
      <c r="U24" s="1"/>
      <c r="V24" s="1">
        <v>1</v>
      </c>
    </row>
    <row r="25" spans="1:23" ht="36" customHeight="1" x14ac:dyDescent="0.25">
      <c r="A25" s="37">
        <v>15</v>
      </c>
      <c r="B25" s="38" t="s">
        <v>177</v>
      </c>
      <c r="C25" s="38" t="s">
        <v>46</v>
      </c>
      <c r="D25" s="37" t="s">
        <v>178</v>
      </c>
      <c r="E25" s="38" t="s">
        <v>9</v>
      </c>
      <c r="F25" s="38">
        <v>3</v>
      </c>
      <c r="G25" s="51" t="s">
        <v>47</v>
      </c>
      <c r="H25" s="56"/>
      <c r="I25" s="17">
        <f>_2022_VB_ar_MK_grozījumiem!S25</f>
        <v>16</v>
      </c>
      <c r="J25" s="17">
        <f>_2022_VB_ar_MK_grozījumiem!T25</f>
        <v>16</v>
      </c>
      <c r="K25" s="74">
        <f>ROUND(_2022_VB_ar_MK_grozījumiem!K25*1.05,0)</f>
        <v>1</v>
      </c>
      <c r="L25" s="74">
        <f t="shared" si="19"/>
        <v>1</v>
      </c>
      <c r="M25" s="17">
        <f t="shared" si="17"/>
        <v>28</v>
      </c>
      <c r="N25" s="17">
        <f t="shared" si="17"/>
        <v>28</v>
      </c>
      <c r="O25" s="17">
        <f>'_2023_VB_bez izmaiņām'!O25</f>
        <v>5</v>
      </c>
      <c r="P25" s="74">
        <f t="shared" si="20"/>
        <v>5</v>
      </c>
      <c r="Q25" s="41">
        <f>'_2022_VB_bez izmaiņām'!Q25*1.1</f>
        <v>247.51760000000004</v>
      </c>
      <c r="R25" s="6">
        <f t="shared" si="4"/>
        <v>1237.5880000000002</v>
      </c>
      <c r="S25" s="19">
        <f t="shared" si="18"/>
        <v>23</v>
      </c>
      <c r="T25" s="19">
        <f t="shared" si="18"/>
        <v>23</v>
      </c>
      <c r="U25" s="1">
        <v>1</v>
      </c>
      <c r="V25" s="1"/>
    </row>
    <row r="26" spans="1:23" ht="42.75" customHeight="1" x14ac:dyDescent="0.25">
      <c r="A26" s="37" t="s">
        <v>179</v>
      </c>
      <c r="B26" s="38" t="s">
        <v>48</v>
      </c>
      <c r="C26" s="38" t="s">
        <v>49</v>
      </c>
      <c r="D26" s="37" t="s">
        <v>180</v>
      </c>
      <c r="E26" s="38" t="s">
        <v>9</v>
      </c>
      <c r="F26" s="38">
        <v>5</v>
      </c>
      <c r="G26" s="51" t="s">
        <v>47</v>
      </c>
      <c r="H26" s="56"/>
      <c r="I26" s="17">
        <f>_2022_VB_ar_MK_grozījumiem!S26</f>
        <v>2786</v>
      </c>
      <c r="J26" s="17">
        <f>_2022_VB_ar_MK_grozījumiem!T26</f>
        <v>4458</v>
      </c>
      <c r="K26" s="75">
        <f>ROUND(_2022_VB_ar_MK_grozījumiem!K26*1.05,0)</f>
        <v>221</v>
      </c>
      <c r="L26" s="75">
        <f>ROUND(K26*1.6,0)</f>
        <v>354</v>
      </c>
      <c r="M26" s="17">
        <f t="shared" si="17"/>
        <v>5438</v>
      </c>
      <c r="N26" s="17">
        <f t="shared" si="17"/>
        <v>8706</v>
      </c>
      <c r="O26" s="17">
        <f>'_2023_VB_bez izmaiņām'!O26</f>
        <v>2653</v>
      </c>
      <c r="P26" s="75">
        <f>ROUND(O26*1.6,0)</f>
        <v>4245</v>
      </c>
      <c r="Q26" s="41">
        <f>'_2022_VB_bez izmaiņām'!Q26*1.1</f>
        <v>243.81500000000003</v>
      </c>
      <c r="R26" s="6">
        <f>Q26*P26</f>
        <v>1034994.6750000002</v>
      </c>
      <c r="S26" s="19">
        <f>M26-O26</f>
        <v>2785</v>
      </c>
      <c r="T26" s="19">
        <f t="shared" si="18"/>
        <v>4461</v>
      </c>
      <c r="U26" s="1">
        <v>1</v>
      </c>
      <c r="V26" s="1"/>
    </row>
    <row r="27" spans="1:23" ht="46.5" customHeight="1" x14ac:dyDescent="0.25">
      <c r="A27" s="37">
        <v>19</v>
      </c>
      <c r="B27" s="38" t="s">
        <v>50</v>
      </c>
      <c r="C27" s="38" t="s">
        <v>51</v>
      </c>
      <c r="D27" s="37" t="s">
        <v>120</v>
      </c>
      <c r="E27" s="38" t="s">
        <v>9</v>
      </c>
      <c r="F27" s="38">
        <v>5</v>
      </c>
      <c r="G27" s="51" t="s">
        <v>52</v>
      </c>
      <c r="H27" s="56"/>
      <c r="I27" s="17">
        <f>_2022_VB_ar_MK_grozījumiem!S27</f>
        <v>488</v>
      </c>
      <c r="J27" s="17">
        <f>_2022_VB_ar_MK_grozījumiem!T27</f>
        <v>488</v>
      </c>
      <c r="K27" s="74">
        <f>ROUND(_2022_VB_ar_MK_grozījumiem!K27*1.05,0)</f>
        <v>22</v>
      </c>
      <c r="L27" s="74">
        <f t="shared" si="19"/>
        <v>22</v>
      </c>
      <c r="M27" s="17">
        <f t="shared" si="17"/>
        <v>752</v>
      </c>
      <c r="N27" s="17">
        <f t="shared" si="17"/>
        <v>752</v>
      </c>
      <c r="O27" s="17">
        <f>'_2023_VB_bez izmaiņām'!O27</f>
        <v>81</v>
      </c>
      <c r="P27" s="74">
        <f t="shared" si="20"/>
        <v>81</v>
      </c>
      <c r="Q27" s="41">
        <f>'_2022_VB_bez izmaiņām'!Q27*1.1</f>
        <v>313.92240000000004</v>
      </c>
      <c r="R27" s="6">
        <f t="shared" si="4"/>
        <v>25427.714400000004</v>
      </c>
      <c r="S27" s="19">
        <f t="shared" si="18"/>
        <v>671</v>
      </c>
      <c r="T27" s="19">
        <f t="shared" si="18"/>
        <v>671</v>
      </c>
      <c r="U27" s="1">
        <v>1</v>
      </c>
      <c r="V27" s="1"/>
      <c r="W27" s="33" t="s">
        <v>109</v>
      </c>
    </row>
    <row r="28" spans="1:23" ht="46.5" customHeight="1" x14ac:dyDescent="0.25">
      <c r="A28" s="37">
        <v>20</v>
      </c>
      <c r="B28" s="38" t="s">
        <v>53</v>
      </c>
      <c r="C28" s="38" t="s">
        <v>51</v>
      </c>
      <c r="D28" s="37" t="s">
        <v>54</v>
      </c>
      <c r="E28" s="38" t="s">
        <v>9</v>
      </c>
      <c r="F28" s="38">
        <v>5</v>
      </c>
      <c r="G28" s="51" t="s">
        <v>55</v>
      </c>
      <c r="H28" s="56"/>
      <c r="I28" s="17">
        <f>_2022_VB_ar_MK_grozījumiem!S28</f>
        <v>75</v>
      </c>
      <c r="J28" s="17">
        <f>_2022_VB_ar_MK_grozījumiem!T28</f>
        <v>75</v>
      </c>
      <c r="K28" s="74">
        <f>ROUND(_2022_VB_ar_MK_grozījumiem!K28*1.05,0)</f>
        <v>2</v>
      </c>
      <c r="L28" s="74">
        <f t="shared" si="19"/>
        <v>2</v>
      </c>
      <c r="M28" s="17">
        <f t="shared" si="17"/>
        <v>99</v>
      </c>
      <c r="N28" s="17">
        <f t="shared" si="17"/>
        <v>99</v>
      </c>
      <c r="O28" s="17">
        <f>'_2023_VB_bez izmaiņām'!O28</f>
        <v>8</v>
      </c>
      <c r="P28" s="74">
        <f t="shared" si="20"/>
        <v>8</v>
      </c>
      <c r="Q28" s="41">
        <f>'_2022_VB_bez izmaiņām'!Q28*1.1</f>
        <v>1270.5</v>
      </c>
      <c r="R28" s="6">
        <f t="shared" si="4"/>
        <v>10164</v>
      </c>
      <c r="S28" s="19">
        <f t="shared" si="18"/>
        <v>91</v>
      </c>
      <c r="T28" s="19">
        <f t="shared" si="18"/>
        <v>91</v>
      </c>
      <c r="U28" s="1">
        <v>1</v>
      </c>
      <c r="V28" s="1"/>
    </row>
    <row r="29" spans="1:23" ht="36" customHeight="1" x14ac:dyDescent="0.25">
      <c r="A29" s="37">
        <v>21</v>
      </c>
      <c r="B29" s="38" t="s">
        <v>6</v>
      </c>
      <c r="C29" s="38" t="s">
        <v>56</v>
      </c>
      <c r="D29" s="37" t="s">
        <v>57</v>
      </c>
      <c r="E29" s="38" t="s">
        <v>9</v>
      </c>
      <c r="F29" s="38">
        <v>2</v>
      </c>
      <c r="G29" s="51" t="s">
        <v>10</v>
      </c>
      <c r="H29" s="56"/>
      <c r="I29" s="13">
        <f>_2022_VB_ar_MK_grozījumiem!S29</f>
        <v>13</v>
      </c>
      <c r="J29" s="13">
        <f>_2022_VB_ar_MK_grozījumiem!T29</f>
        <v>13</v>
      </c>
      <c r="K29" s="74">
        <f>ROUND(_2022_VB_ar_MK_grozījumiem!K29*1.05,0)</f>
        <v>1</v>
      </c>
      <c r="L29" s="74">
        <f t="shared" si="19"/>
        <v>1</v>
      </c>
      <c r="M29" s="13">
        <f t="shared" si="17"/>
        <v>25</v>
      </c>
      <c r="N29" s="13">
        <f t="shared" si="17"/>
        <v>25</v>
      </c>
      <c r="O29" s="13">
        <f>'_2023_VB_bez izmaiņām'!O29</f>
        <v>5</v>
      </c>
      <c r="P29" s="74">
        <f t="shared" si="20"/>
        <v>5</v>
      </c>
      <c r="Q29" s="39">
        <f>'_2022_VB_bez izmaiņām'!Q29*1.1</f>
        <v>16.940000000000005</v>
      </c>
      <c r="R29" s="4">
        <f t="shared" si="4"/>
        <v>84.700000000000017</v>
      </c>
      <c r="S29" s="18">
        <f t="shared" si="18"/>
        <v>20</v>
      </c>
      <c r="T29" s="18">
        <f t="shared" si="18"/>
        <v>20</v>
      </c>
      <c r="U29" s="1"/>
      <c r="V29" s="1">
        <v>1</v>
      </c>
    </row>
    <row r="30" spans="1:23" ht="21.75" customHeight="1" x14ac:dyDescent="0.25">
      <c r="A30" s="37">
        <v>22</v>
      </c>
      <c r="B30" s="38" t="s">
        <v>6</v>
      </c>
      <c r="C30" s="38" t="s">
        <v>58</v>
      </c>
      <c r="D30" s="37" t="s">
        <v>59</v>
      </c>
      <c r="E30" s="38" t="s">
        <v>9</v>
      </c>
      <c r="F30" s="38">
        <v>5</v>
      </c>
      <c r="G30" s="51" t="s">
        <v>10</v>
      </c>
      <c r="H30" s="56"/>
      <c r="I30" s="13">
        <f>_2022_VB_ar_MK_grozījumiem!S30</f>
        <v>13</v>
      </c>
      <c r="J30" s="13">
        <f>_2022_VB_ar_MK_grozījumiem!T30</f>
        <v>13</v>
      </c>
      <c r="K30" s="74">
        <f>ROUND(_2022_VB_ar_MK_grozījumiem!K30*1.05,0)</f>
        <v>1</v>
      </c>
      <c r="L30" s="74">
        <f t="shared" si="19"/>
        <v>1</v>
      </c>
      <c r="M30" s="13">
        <f t="shared" si="17"/>
        <v>25</v>
      </c>
      <c r="N30" s="13">
        <f t="shared" si="17"/>
        <v>25</v>
      </c>
      <c r="O30" s="13">
        <f>'_2023_VB_bez izmaiņām'!O30</f>
        <v>5</v>
      </c>
      <c r="P30" s="74">
        <f t="shared" si="20"/>
        <v>5</v>
      </c>
      <c r="Q30" s="39">
        <f>'_2022_VB_bez izmaiņām'!Q30*1.1</f>
        <v>1054.1520000000003</v>
      </c>
      <c r="R30" s="4">
        <f t="shared" si="4"/>
        <v>5270.7600000000011</v>
      </c>
      <c r="S30" s="18">
        <f t="shared" si="18"/>
        <v>20</v>
      </c>
      <c r="T30" s="18">
        <f t="shared" si="18"/>
        <v>20</v>
      </c>
      <c r="U30" s="1"/>
      <c r="V30" s="1">
        <v>1</v>
      </c>
    </row>
    <row r="31" spans="1:23" ht="21.75" customHeight="1" x14ac:dyDescent="0.25">
      <c r="A31" s="37">
        <v>23</v>
      </c>
      <c r="B31" s="38" t="s">
        <v>60</v>
      </c>
      <c r="C31" s="38" t="s">
        <v>61</v>
      </c>
      <c r="D31" s="37" t="s">
        <v>62</v>
      </c>
      <c r="E31" s="38" t="s">
        <v>9</v>
      </c>
      <c r="F31" s="38">
        <v>3</v>
      </c>
      <c r="G31" s="51" t="s">
        <v>10</v>
      </c>
      <c r="H31" s="56"/>
      <c r="I31" s="13">
        <f>_2022_VB_ar_MK_grozījumiem!S31</f>
        <v>892</v>
      </c>
      <c r="J31" s="13">
        <f>_2022_VB_ar_MK_grozījumiem!T31</f>
        <v>892</v>
      </c>
      <c r="K31" s="74">
        <f>ROUND(_2022_VB_ar_MK_grozījumiem!K31*1.05,0)</f>
        <v>43</v>
      </c>
      <c r="L31" s="74">
        <f t="shared" si="19"/>
        <v>43</v>
      </c>
      <c r="M31" s="13">
        <f t="shared" si="17"/>
        <v>1408</v>
      </c>
      <c r="N31" s="13">
        <f t="shared" si="17"/>
        <v>1408</v>
      </c>
      <c r="O31" s="13">
        <f>'_2023_VB_bez izmaiņām'!O31</f>
        <v>324</v>
      </c>
      <c r="P31" s="74">
        <f t="shared" si="20"/>
        <v>324</v>
      </c>
      <c r="Q31" s="39">
        <f>'_2022_VB_bez izmaiņām'!Q31*1.1</f>
        <v>404.14000000000004</v>
      </c>
      <c r="R31" s="4">
        <f t="shared" si="4"/>
        <v>130941.36000000002</v>
      </c>
      <c r="S31" s="18">
        <f t="shared" si="18"/>
        <v>1084</v>
      </c>
      <c r="T31" s="18">
        <f t="shared" si="18"/>
        <v>1084</v>
      </c>
      <c r="U31" s="1"/>
      <c r="V31" s="1">
        <v>1</v>
      </c>
    </row>
    <row r="32" spans="1:23" ht="32.25" customHeight="1" x14ac:dyDescent="0.25">
      <c r="A32" s="37">
        <v>24</v>
      </c>
      <c r="B32" s="38" t="s">
        <v>60</v>
      </c>
      <c r="C32" s="38" t="s">
        <v>61</v>
      </c>
      <c r="D32" s="37" t="s">
        <v>108</v>
      </c>
      <c r="E32" s="38" t="s">
        <v>9</v>
      </c>
      <c r="F32" s="38">
        <v>5</v>
      </c>
      <c r="G32" s="51" t="s">
        <v>10</v>
      </c>
      <c r="H32" s="56"/>
      <c r="I32" s="13">
        <f>_2022_VB_ar_MK_grozījumiem!S32</f>
        <v>748</v>
      </c>
      <c r="J32" s="13">
        <f>_2022_VB_ar_MK_grozījumiem!T32</f>
        <v>748</v>
      </c>
      <c r="K32" s="74">
        <f>ROUND(_2022_VB_ar_MK_grozījumiem!K32*1.05,0)</f>
        <v>50</v>
      </c>
      <c r="L32" s="74">
        <f t="shared" si="19"/>
        <v>50</v>
      </c>
      <c r="M32" s="13">
        <f t="shared" si="17"/>
        <v>1348</v>
      </c>
      <c r="N32" s="13">
        <f t="shared" si="17"/>
        <v>1348</v>
      </c>
      <c r="O32" s="13">
        <f>M32</f>
        <v>1348</v>
      </c>
      <c r="P32" s="74">
        <f t="shared" si="20"/>
        <v>1348</v>
      </c>
      <c r="Q32" s="39">
        <f>'_2022_VB_bez izmaiņām'!Q32*1.1</f>
        <v>877.25000000000023</v>
      </c>
      <c r="R32" s="4">
        <f t="shared" si="4"/>
        <v>1182533.0000000002</v>
      </c>
      <c r="S32" s="18">
        <f t="shared" si="18"/>
        <v>0</v>
      </c>
      <c r="T32" s="18">
        <f t="shared" si="18"/>
        <v>0</v>
      </c>
      <c r="U32" s="1"/>
      <c r="V32" s="1">
        <v>1</v>
      </c>
      <c r="W32" s="33" t="s">
        <v>189</v>
      </c>
    </row>
    <row r="33" spans="1:23" ht="49.5" customHeight="1" x14ac:dyDescent="0.25">
      <c r="A33" s="37">
        <v>25</v>
      </c>
      <c r="B33" s="38" t="s">
        <v>60</v>
      </c>
      <c r="C33" s="38" t="s">
        <v>61</v>
      </c>
      <c r="D33" s="37" t="s">
        <v>63</v>
      </c>
      <c r="E33" s="38" t="s">
        <v>9</v>
      </c>
      <c r="F33" s="38">
        <v>3</v>
      </c>
      <c r="G33" s="51" t="s">
        <v>64</v>
      </c>
      <c r="H33" s="56"/>
      <c r="I33" s="13">
        <f>_2022_VB_ar_MK_grozījumiem!S33</f>
        <v>94</v>
      </c>
      <c r="J33" s="13">
        <f>_2022_VB_ar_MK_grozījumiem!T33</f>
        <v>94</v>
      </c>
      <c r="K33" s="74">
        <f>ROUND(_2022_VB_ar_MK_grozījumiem!K33*1.05,0)</f>
        <v>7</v>
      </c>
      <c r="L33" s="74">
        <f t="shared" si="19"/>
        <v>7</v>
      </c>
      <c r="M33" s="13">
        <f t="shared" si="17"/>
        <v>178</v>
      </c>
      <c r="N33" s="13">
        <f t="shared" si="17"/>
        <v>178</v>
      </c>
      <c r="O33" s="13">
        <f>'_2023_VB_bez izmaiņām'!O33</f>
        <v>29</v>
      </c>
      <c r="P33" s="74">
        <f t="shared" si="20"/>
        <v>29</v>
      </c>
      <c r="Q33" s="39">
        <f>'_2022_VB_bez izmaiņām'!Q33*1.1</f>
        <v>175.69200000000001</v>
      </c>
      <c r="R33" s="4">
        <f t="shared" si="4"/>
        <v>5095.0680000000002</v>
      </c>
      <c r="S33" s="18">
        <f t="shared" si="18"/>
        <v>149</v>
      </c>
      <c r="T33" s="18">
        <f t="shared" si="18"/>
        <v>149</v>
      </c>
      <c r="U33" s="1"/>
      <c r="V33" s="1">
        <v>1</v>
      </c>
    </row>
    <row r="34" spans="1:23" ht="25.5" customHeight="1" x14ac:dyDescent="0.25">
      <c r="A34" s="37">
        <v>26</v>
      </c>
      <c r="B34" s="38" t="s">
        <v>147</v>
      </c>
      <c r="C34" s="38" t="s">
        <v>65</v>
      </c>
      <c r="D34" s="37" t="s">
        <v>66</v>
      </c>
      <c r="E34" s="38" t="s">
        <v>9</v>
      </c>
      <c r="F34" s="38">
        <v>5</v>
      </c>
      <c r="G34" s="51" t="s">
        <v>110</v>
      </c>
      <c r="H34" s="56"/>
      <c r="I34" s="13">
        <f>_2022_VB_ar_MK_grozījumiem!S34</f>
        <v>961</v>
      </c>
      <c r="J34" s="13">
        <f>_2022_VB_ar_MK_grozījumiem!T34</f>
        <v>961</v>
      </c>
      <c r="K34" s="74">
        <f>ROUND(_2022_VB_ar_MK_grozījumiem!K34*1.05,0)</f>
        <v>47</v>
      </c>
      <c r="L34" s="74">
        <f t="shared" si="19"/>
        <v>47</v>
      </c>
      <c r="M34" s="13">
        <f t="shared" si="17"/>
        <v>1525</v>
      </c>
      <c r="N34" s="13">
        <f t="shared" si="17"/>
        <v>1525</v>
      </c>
      <c r="O34" s="13">
        <f>M34</f>
        <v>1525</v>
      </c>
      <c r="P34" s="74">
        <f t="shared" si="20"/>
        <v>1525</v>
      </c>
      <c r="Q34" s="39">
        <f>'_2022_VB_bez izmaiņām'!Q34*1.1</f>
        <v>231.91666666666669</v>
      </c>
      <c r="R34" s="4">
        <f t="shared" si="4"/>
        <v>353672.91666666669</v>
      </c>
      <c r="S34" s="18">
        <f t="shared" si="18"/>
        <v>0</v>
      </c>
      <c r="T34" s="18">
        <f t="shared" si="18"/>
        <v>0</v>
      </c>
      <c r="U34" s="1"/>
      <c r="V34" s="1">
        <v>1</v>
      </c>
      <c r="W34" s="33" t="s">
        <v>126</v>
      </c>
    </row>
    <row r="35" spans="1:23" ht="60.75" customHeight="1" x14ac:dyDescent="0.25">
      <c r="A35" s="37">
        <v>27</v>
      </c>
      <c r="B35" s="38" t="s">
        <v>181</v>
      </c>
      <c r="C35" s="38" t="s">
        <v>67</v>
      </c>
      <c r="D35" s="37" t="s">
        <v>68</v>
      </c>
      <c r="E35" s="38" t="s">
        <v>9</v>
      </c>
      <c r="F35" s="38">
        <v>3</v>
      </c>
      <c r="G35" s="51" t="s">
        <v>69</v>
      </c>
      <c r="H35" s="56"/>
      <c r="I35" s="17">
        <f>_2022_VB_ar_MK_grozījumiem!S35</f>
        <v>289</v>
      </c>
      <c r="J35" s="17">
        <f>_2022_VB_ar_MK_grozījumiem!T35</f>
        <v>289</v>
      </c>
      <c r="K35" s="74">
        <f>ROUND(_2022_VB_ar_MK_grozījumiem!K35*1.05,0)</f>
        <v>12</v>
      </c>
      <c r="L35" s="74">
        <f t="shared" si="19"/>
        <v>12</v>
      </c>
      <c r="M35" s="17">
        <f t="shared" si="17"/>
        <v>433</v>
      </c>
      <c r="N35" s="17">
        <f t="shared" si="17"/>
        <v>433</v>
      </c>
      <c r="O35" s="17">
        <f>'_2023_VB_bez izmaiņām'!O35</f>
        <v>81</v>
      </c>
      <c r="P35" s="74">
        <f t="shared" si="20"/>
        <v>81</v>
      </c>
      <c r="Q35" s="40">
        <f>'_2022_VB_bez izmaiņām'!Q35*1.1</f>
        <v>586.58380000000011</v>
      </c>
      <c r="R35" s="22">
        <f t="shared" si="4"/>
        <v>47513.287800000006</v>
      </c>
      <c r="S35" s="19">
        <f t="shared" si="18"/>
        <v>352</v>
      </c>
      <c r="T35" s="19">
        <f t="shared" si="18"/>
        <v>352</v>
      </c>
      <c r="U35" s="1">
        <v>1</v>
      </c>
      <c r="V35" s="1"/>
    </row>
    <row r="36" spans="1:23" x14ac:dyDescent="0.25">
      <c r="A36" s="37">
        <v>28</v>
      </c>
      <c r="B36" s="38" t="s">
        <v>70</v>
      </c>
      <c r="C36" s="38" t="s">
        <v>121</v>
      </c>
      <c r="D36" s="37" t="s">
        <v>122</v>
      </c>
      <c r="E36" s="38" t="s">
        <v>9</v>
      </c>
      <c r="F36" s="38">
        <v>5</v>
      </c>
      <c r="G36" s="51" t="s">
        <v>47</v>
      </c>
      <c r="H36" s="56"/>
      <c r="I36" s="17">
        <f>_2022_VB_ar_MK_grozījumiem!S36</f>
        <v>24</v>
      </c>
      <c r="J36" s="17">
        <f>_2022_VB_ar_MK_grozījumiem!T36</f>
        <v>24</v>
      </c>
      <c r="K36" s="74">
        <f>ROUND(_2022_VB_ar_MK_grozījumiem!K36*1.05,0)</f>
        <v>12</v>
      </c>
      <c r="L36" s="74">
        <f t="shared" si="19"/>
        <v>12</v>
      </c>
      <c r="M36" s="17">
        <f t="shared" ref="M36:N46" si="21">I36+(K36*12)</f>
        <v>168</v>
      </c>
      <c r="N36" s="17">
        <f t="shared" si="21"/>
        <v>168</v>
      </c>
      <c r="O36" s="17">
        <f>M36</f>
        <v>168</v>
      </c>
      <c r="P36" s="74">
        <f t="shared" si="20"/>
        <v>168</v>
      </c>
      <c r="Q36" s="40">
        <f>'_2022_VB_bez izmaiņām'!Q36*1.1</f>
        <v>150.30620000000002</v>
      </c>
      <c r="R36" s="22">
        <f t="shared" si="4"/>
        <v>25251.441600000002</v>
      </c>
      <c r="S36" s="19">
        <f t="shared" ref="S36:T46" si="22">M36-O36</f>
        <v>0</v>
      </c>
      <c r="T36" s="19">
        <f t="shared" si="22"/>
        <v>0</v>
      </c>
      <c r="U36" s="1">
        <v>1</v>
      </c>
      <c r="V36" s="1"/>
      <c r="W36" s="33" t="s">
        <v>126</v>
      </c>
    </row>
    <row r="37" spans="1:23" ht="40.5" customHeight="1" x14ac:dyDescent="0.25">
      <c r="A37" s="37">
        <v>29</v>
      </c>
      <c r="B37" s="59" t="s">
        <v>71</v>
      </c>
      <c r="C37" s="59" t="s">
        <v>72</v>
      </c>
      <c r="D37" s="58" t="s">
        <v>73</v>
      </c>
      <c r="E37" s="59" t="s">
        <v>9</v>
      </c>
      <c r="F37" s="59">
        <v>5</v>
      </c>
      <c r="G37" s="61" t="s">
        <v>74</v>
      </c>
      <c r="H37" s="57"/>
      <c r="I37" s="17">
        <f>_2022_VB_ar_MK_grozījumiem!S37</f>
        <v>24</v>
      </c>
      <c r="J37" s="17">
        <f>_2022_VB_ar_MK_grozījumiem!T37</f>
        <v>24</v>
      </c>
      <c r="K37" s="74">
        <f>ROUND(_2022_VB_ar_MK_grozījumiem!K37*1.05,0)</f>
        <v>12</v>
      </c>
      <c r="L37" s="74">
        <f t="shared" si="19"/>
        <v>12</v>
      </c>
      <c r="M37" s="17">
        <f t="shared" si="21"/>
        <v>168</v>
      </c>
      <c r="N37" s="17">
        <f t="shared" si="21"/>
        <v>168</v>
      </c>
      <c r="O37" s="17">
        <f>'_2023_VB_bez izmaiņām'!O37</f>
        <v>49</v>
      </c>
      <c r="P37" s="74">
        <f t="shared" si="20"/>
        <v>49</v>
      </c>
      <c r="Q37" s="42">
        <f>'_2022_VB_bez izmaiņām'!Q37*1.1</f>
        <v>505.00560000000013</v>
      </c>
      <c r="R37" s="23">
        <f t="shared" si="4"/>
        <v>24745.274400000006</v>
      </c>
      <c r="S37" s="18">
        <f t="shared" si="22"/>
        <v>119</v>
      </c>
      <c r="T37" s="18">
        <f t="shared" si="22"/>
        <v>119</v>
      </c>
      <c r="U37" s="24">
        <v>1</v>
      </c>
      <c r="V37" s="24"/>
      <c r="W37" s="32"/>
    </row>
    <row r="38" spans="1:23" ht="117" customHeight="1" x14ac:dyDescent="0.25">
      <c r="A38" s="59">
        <v>30</v>
      </c>
      <c r="B38" s="59" t="s">
        <v>71</v>
      </c>
      <c r="C38" s="59" t="s">
        <v>72</v>
      </c>
      <c r="D38" s="58" t="s">
        <v>75</v>
      </c>
      <c r="E38" s="59" t="s">
        <v>9</v>
      </c>
      <c r="F38" s="59">
        <v>5</v>
      </c>
      <c r="G38" s="61" t="s">
        <v>76</v>
      </c>
      <c r="H38" s="57"/>
      <c r="I38" s="17">
        <f>_2022_VB_ar_MK_grozījumiem!S38</f>
        <v>24</v>
      </c>
      <c r="J38" s="17">
        <f>_2022_VB_ar_MK_grozījumiem!T38</f>
        <v>24</v>
      </c>
      <c r="K38" s="74">
        <f>ROUND(_2022_VB_ar_MK_grozījumiem!K38*1.05,0)</f>
        <v>12</v>
      </c>
      <c r="L38" s="74">
        <f t="shared" si="19"/>
        <v>12</v>
      </c>
      <c r="M38" s="17">
        <f t="shared" si="21"/>
        <v>168</v>
      </c>
      <c r="N38" s="17">
        <f>J38+(L38*12)</f>
        <v>168</v>
      </c>
      <c r="O38" s="17">
        <f>M38</f>
        <v>168</v>
      </c>
      <c r="P38" s="74">
        <f t="shared" si="20"/>
        <v>168</v>
      </c>
      <c r="Q38" s="42">
        <f>'_2022_VB_bez izmaiņām'!Q38*1.1</f>
        <v>420.98320000000007</v>
      </c>
      <c r="R38" s="23">
        <f t="shared" si="4"/>
        <v>70725.17760000001</v>
      </c>
      <c r="S38" s="18">
        <f t="shared" si="22"/>
        <v>0</v>
      </c>
      <c r="T38" s="18">
        <f t="shared" si="22"/>
        <v>0</v>
      </c>
      <c r="U38" s="24">
        <v>1</v>
      </c>
      <c r="V38" s="24"/>
      <c r="W38" s="32" t="s">
        <v>126</v>
      </c>
    </row>
    <row r="39" spans="1:23" ht="42.75" customHeight="1" x14ac:dyDescent="0.25">
      <c r="A39" s="37">
        <v>31</v>
      </c>
      <c r="B39" s="38" t="s">
        <v>77</v>
      </c>
      <c r="C39" s="38" t="s">
        <v>78</v>
      </c>
      <c r="D39" s="37" t="s">
        <v>99</v>
      </c>
      <c r="E39" s="38" t="s">
        <v>9</v>
      </c>
      <c r="F39" s="38">
        <v>2</v>
      </c>
      <c r="G39" s="51" t="s">
        <v>10</v>
      </c>
      <c r="H39" s="56"/>
      <c r="I39" s="13">
        <f>_2022_VB_ar_MK_grozījumiem!S39</f>
        <v>310</v>
      </c>
      <c r="J39" s="13">
        <f>_2022_VB_ar_MK_grozījumiem!T39</f>
        <v>310</v>
      </c>
      <c r="K39" s="74">
        <f>ROUND(_2022_VB_ar_MK_grozījumiem!K39*1.05,0)</f>
        <v>25</v>
      </c>
      <c r="L39" s="74">
        <f t="shared" si="19"/>
        <v>25</v>
      </c>
      <c r="M39" s="13">
        <f t="shared" si="21"/>
        <v>610</v>
      </c>
      <c r="N39" s="13">
        <f t="shared" si="21"/>
        <v>610</v>
      </c>
      <c r="O39" s="13">
        <f>'_2023_VB_bez izmaiņām'!O39</f>
        <v>161</v>
      </c>
      <c r="P39" s="74">
        <f t="shared" si="20"/>
        <v>161</v>
      </c>
      <c r="Q39" s="42">
        <f>'_2022_VB_bez izmaiņām'!Q39*1.1</f>
        <v>85.196100000000015</v>
      </c>
      <c r="R39" s="23">
        <f t="shared" si="4"/>
        <v>13716.572100000003</v>
      </c>
      <c r="S39" s="18">
        <f t="shared" si="22"/>
        <v>449</v>
      </c>
      <c r="T39" s="18">
        <f t="shared" si="22"/>
        <v>449</v>
      </c>
      <c r="U39" s="1"/>
      <c r="V39" s="1">
        <v>1</v>
      </c>
      <c r="W39" s="33" t="s">
        <v>111</v>
      </c>
    </row>
    <row r="40" spans="1:23" ht="20.25" customHeight="1" x14ac:dyDescent="0.25">
      <c r="A40" s="37">
        <v>32</v>
      </c>
      <c r="B40" s="38" t="s">
        <v>148</v>
      </c>
      <c r="C40" s="38" t="s">
        <v>79</v>
      </c>
      <c r="D40" s="37" t="s">
        <v>80</v>
      </c>
      <c r="E40" s="38" t="s">
        <v>9</v>
      </c>
      <c r="F40" s="38">
        <v>5</v>
      </c>
      <c r="G40" s="51" t="s">
        <v>110</v>
      </c>
      <c r="H40" s="56"/>
      <c r="I40" s="13">
        <f>_2022_VB_ar_MK_grozījumiem!S40</f>
        <v>563</v>
      </c>
      <c r="J40" s="13">
        <f>_2022_VB_ar_MK_grozījumiem!T40</f>
        <v>563</v>
      </c>
      <c r="K40" s="74">
        <f>ROUND(_2022_VB_ar_MK_grozījumiem!K40*1.05,0)</f>
        <v>34</v>
      </c>
      <c r="L40" s="74">
        <f t="shared" si="19"/>
        <v>34</v>
      </c>
      <c r="M40" s="13">
        <f t="shared" si="21"/>
        <v>971</v>
      </c>
      <c r="N40" s="13">
        <f t="shared" si="21"/>
        <v>971</v>
      </c>
      <c r="O40" s="13">
        <f>M40</f>
        <v>971</v>
      </c>
      <c r="P40" s="74">
        <f t="shared" si="20"/>
        <v>971</v>
      </c>
      <c r="Q40" s="39">
        <f>'_2022_VB_bez izmaiņām'!Q40*1.1</f>
        <v>3025.0000000000005</v>
      </c>
      <c r="R40" s="4">
        <f t="shared" si="4"/>
        <v>2937275.0000000005</v>
      </c>
      <c r="S40" s="18">
        <f t="shared" si="22"/>
        <v>0</v>
      </c>
      <c r="T40" s="18">
        <f t="shared" si="22"/>
        <v>0</v>
      </c>
      <c r="U40" s="1"/>
      <c r="V40" s="1">
        <v>1</v>
      </c>
      <c r="W40" s="33" t="s">
        <v>126</v>
      </c>
    </row>
    <row r="41" spans="1:23" ht="22.5" customHeight="1" x14ac:dyDescent="0.25">
      <c r="A41" s="37">
        <v>33</v>
      </c>
      <c r="B41" s="38" t="s">
        <v>6</v>
      </c>
      <c r="C41" s="38" t="s">
        <v>81</v>
      </c>
      <c r="D41" s="37" t="s">
        <v>82</v>
      </c>
      <c r="E41" s="38" t="s">
        <v>9</v>
      </c>
      <c r="F41" s="38">
        <v>7</v>
      </c>
      <c r="G41" s="51" t="s">
        <v>112</v>
      </c>
      <c r="H41" s="56"/>
      <c r="I41" s="13">
        <f>_2022_VB_ar_MK_grozījumiem!S41</f>
        <v>29</v>
      </c>
      <c r="J41" s="13">
        <f>_2022_VB_ar_MK_grozījumiem!T41</f>
        <v>29</v>
      </c>
      <c r="K41" s="74">
        <f>ROUND(_2022_VB_ar_MK_grozījumiem!K41*1.05,0)</f>
        <v>2</v>
      </c>
      <c r="L41" s="74">
        <f t="shared" si="19"/>
        <v>2</v>
      </c>
      <c r="M41" s="13">
        <f t="shared" si="21"/>
        <v>53</v>
      </c>
      <c r="N41" s="13">
        <f t="shared" si="21"/>
        <v>53</v>
      </c>
      <c r="O41" s="13">
        <f>M41</f>
        <v>53</v>
      </c>
      <c r="P41" s="74">
        <f t="shared" si="20"/>
        <v>53</v>
      </c>
      <c r="Q41" s="39">
        <f>'_2022_VB_bez izmaiņām'!Q41*1.1</f>
        <v>3025.0000000000005</v>
      </c>
      <c r="R41" s="4">
        <f t="shared" si="4"/>
        <v>160325.00000000003</v>
      </c>
      <c r="S41" s="18">
        <f t="shared" si="22"/>
        <v>0</v>
      </c>
      <c r="T41" s="18">
        <f t="shared" si="22"/>
        <v>0</v>
      </c>
      <c r="U41" s="1"/>
      <c r="V41" s="1">
        <v>1</v>
      </c>
      <c r="W41" s="33" t="s">
        <v>126</v>
      </c>
    </row>
    <row r="42" spans="1:23" ht="30" customHeight="1" x14ac:dyDescent="0.25">
      <c r="A42" s="37">
        <v>34</v>
      </c>
      <c r="B42" s="38" t="s">
        <v>77</v>
      </c>
      <c r="C42" s="38" t="s">
        <v>78</v>
      </c>
      <c r="D42" s="37" t="s">
        <v>83</v>
      </c>
      <c r="E42" s="38" t="s">
        <v>9</v>
      </c>
      <c r="F42" s="38">
        <v>5</v>
      </c>
      <c r="G42" s="51" t="s">
        <v>74</v>
      </c>
      <c r="H42" s="56"/>
      <c r="I42" s="13">
        <f>_2022_VB_ar_MK_grozījumiem!S42</f>
        <v>291</v>
      </c>
      <c r="J42" s="13">
        <f>_2022_VB_ar_MK_grozījumiem!T42</f>
        <v>291</v>
      </c>
      <c r="K42" s="74">
        <f>ROUND(_2022_VB_ar_MK_grozījumiem!K42*1.05,0)</f>
        <v>12</v>
      </c>
      <c r="L42" s="74">
        <f t="shared" si="19"/>
        <v>12</v>
      </c>
      <c r="M42" s="13">
        <f>I42+(K42*12)</f>
        <v>435</v>
      </c>
      <c r="N42" s="13">
        <f t="shared" si="21"/>
        <v>435</v>
      </c>
      <c r="O42" s="13">
        <f>'_2023_VB_bez izmaiņām'!O42</f>
        <v>82</v>
      </c>
      <c r="P42" s="74">
        <f t="shared" si="20"/>
        <v>82</v>
      </c>
      <c r="Q42" s="39">
        <f>'_2022_VB_bez izmaiņām'!Q42*1.1</f>
        <v>84.7</v>
      </c>
      <c r="R42" s="4">
        <f t="shared" si="4"/>
        <v>6945.4000000000005</v>
      </c>
      <c r="S42" s="18">
        <f>M42-O42</f>
        <v>353</v>
      </c>
      <c r="T42" s="18">
        <f t="shared" si="22"/>
        <v>353</v>
      </c>
      <c r="U42" s="1">
        <v>1</v>
      </c>
      <c r="V42" s="1"/>
    </row>
    <row r="43" spans="1:23" ht="30" customHeight="1" x14ac:dyDescent="0.25">
      <c r="A43" s="37">
        <v>35</v>
      </c>
      <c r="B43" s="38" t="s">
        <v>182</v>
      </c>
      <c r="C43" s="38" t="s">
        <v>183</v>
      </c>
      <c r="D43" s="37" t="s">
        <v>184</v>
      </c>
      <c r="E43" s="38" t="s">
        <v>9</v>
      </c>
      <c r="F43" s="38">
        <v>5</v>
      </c>
      <c r="G43" s="51" t="s">
        <v>185</v>
      </c>
      <c r="H43" s="56"/>
      <c r="I43" s="13">
        <f>_2022_VB_ar_MK_grozījumiem!S43</f>
        <v>201</v>
      </c>
      <c r="J43" s="13">
        <f>_2022_VB_ar_MK_grozījumiem!T43</f>
        <v>201</v>
      </c>
      <c r="K43" s="74">
        <f>ROUND(_2022_VB_ar_MK_grozījumiem!K43*1.05,0)</f>
        <v>17</v>
      </c>
      <c r="L43" s="74">
        <f t="shared" si="19"/>
        <v>17</v>
      </c>
      <c r="M43" s="13">
        <f>I43+(K43*12)</f>
        <v>405</v>
      </c>
      <c r="N43" s="13">
        <f t="shared" si="21"/>
        <v>405</v>
      </c>
      <c r="O43" s="13">
        <f>'_2023_VB_bez izmaiņām'!O43</f>
        <v>73</v>
      </c>
      <c r="P43" s="74">
        <f t="shared" si="20"/>
        <v>73</v>
      </c>
      <c r="Q43" s="39">
        <f>'_2022_VB_bez izmaiņām'!Q43*1.1</f>
        <v>226.27000000000004</v>
      </c>
      <c r="R43" s="4">
        <f>Q43*P43</f>
        <v>16517.710000000003</v>
      </c>
      <c r="S43" s="18">
        <f>M43-O43</f>
        <v>332</v>
      </c>
      <c r="T43" s="18">
        <f t="shared" si="22"/>
        <v>332</v>
      </c>
      <c r="U43" s="1"/>
      <c r="V43" s="1"/>
    </row>
    <row r="44" spans="1:23" ht="63.75" customHeight="1" x14ac:dyDescent="0.25">
      <c r="A44" s="37">
        <v>36</v>
      </c>
      <c r="B44" s="38" t="s">
        <v>84</v>
      </c>
      <c r="C44" s="38" t="s">
        <v>79</v>
      </c>
      <c r="D44" s="37" t="s">
        <v>85</v>
      </c>
      <c r="E44" s="38" t="s">
        <v>9</v>
      </c>
      <c r="F44" s="38">
        <v>5</v>
      </c>
      <c r="G44" s="51" t="s">
        <v>86</v>
      </c>
      <c r="H44" s="56"/>
      <c r="I44" s="13">
        <f>_2022_VB_ar_MK_grozījumiem!S44</f>
        <v>68</v>
      </c>
      <c r="J44" s="13">
        <f>_2022_VB_ar_MK_grozījumiem!T44</f>
        <v>68</v>
      </c>
      <c r="K44" s="74">
        <f>ROUND(_2022_VB_ar_MK_grozījumiem!K44*1.05,0)</f>
        <v>5</v>
      </c>
      <c r="L44" s="74">
        <f t="shared" si="19"/>
        <v>5</v>
      </c>
      <c r="M44" s="13">
        <f t="shared" si="21"/>
        <v>128</v>
      </c>
      <c r="N44" s="13">
        <f t="shared" si="21"/>
        <v>128</v>
      </c>
      <c r="O44" s="13">
        <f>'_2023_VB_bez izmaiņām'!O44</f>
        <v>24</v>
      </c>
      <c r="P44" s="74">
        <f t="shared" si="20"/>
        <v>24</v>
      </c>
      <c r="Q44" s="39">
        <f>'_2022_VB_bez izmaiņām'!Q44*1.1</f>
        <v>187.40480000000002</v>
      </c>
      <c r="R44" s="4">
        <f t="shared" si="4"/>
        <v>4497.7152000000006</v>
      </c>
      <c r="S44" s="18">
        <f t="shared" si="22"/>
        <v>104</v>
      </c>
      <c r="T44" s="18">
        <f t="shared" si="22"/>
        <v>104</v>
      </c>
      <c r="U44" s="1"/>
      <c r="V44" s="1">
        <v>1</v>
      </c>
    </row>
    <row r="45" spans="1:23" ht="53.25" customHeight="1" x14ac:dyDescent="0.25">
      <c r="A45" s="60">
        <v>37</v>
      </c>
      <c r="B45" s="59" t="s">
        <v>87</v>
      </c>
      <c r="C45" s="59" t="s">
        <v>88</v>
      </c>
      <c r="D45" s="58" t="s">
        <v>89</v>
      </c>
      <c r="E45" s="59" t="s">
        <v>9</v>
      </c>
      <c r="F45" s="59">
        <v>5</v>
      </c>
      <c r="G45" s="61" t="s">
        <v>10</v>
      </c>
      <c r="H45" s="57"/>
      <c r="I45" s="13">
        <f>_2022_VB_ar_MK_grozījumiem!S45</f>
        <v>151</v>
      </c>
      <c r="J45" s="13">
        <f>_2022_VB_ar_MK_grozījumiem!T45</f>
        <v>151</v>
      </c>
      <c r="K45" s="74">
        <f>ROUND(_2022_VB_ar_MK_grozījumiem!K45*1.05,0)</f>
        <v>7</v>
      </c>
      <c r="L45" s="74">
        <f t="shared" si="19"/>
        <v>7</v>
      </c>
      <c r="M45" s="13">
        <f t="shared" si="21"/>
        <v>235</v>
      </c>
      <c r="N45" s="13">
        <f t="shared" si="21"/>
        <v>235</v>
      </c>
      <c r="O45" s="13">
        <f>'_2023_VB_bez izmaiņām'!O45</f>
        <v>12</v>
      </c>
      <c r="P45" s="74">
        <f t="shared" si="20"/>
        <v>12</v>
      </c>
      <c r="Q45" s="39">
        <f>'_2022_VB_bez izmaiņām'!Q45*1.1</f>
        <v>1535.8409000000001</v>
      </c>
      <c r="R45" s="4">
        <f t="shared" si="4"/>
        <v>18430.090800000002</v>
      </c>
      <c r="S45" s="18">
        <f t="shared" si="22"/>
        <v>223</v>
      </c>
      <c r="T45" s="18">
        <f t="shared" si="22"/>
        <v>223</v>
      </c>
      <c r="U45" s="1"/>
      <c r="V45" s="1">
        <v>1</v>
      </c>
    </row>
    <row r="46" spans="1:23" x14ac:dyDescent="0.25">
      <c r="A46" s="37">
        <v>38</v>
      </c>
      <c r="B46" s="38" t="s">
        <v>87</v>
      </c>
      <c r="C46" s="38" t="s">
        <v>90</v>
      </c>
      <c r="D46" s="37" t="s">
        <v>113</v>
      </c>
      <c r="E46" s="38" t="s">
        <v>9</v>
      </c>
      <c r="F46" s="38">
        <v>5</v>
      </c>
      <c r="G46" s="51" t="s">
        <v>10</v>
      </c>
      <c r="H46" s="56"/>
      <c r="I46" s="13">
        <f>_2022_VB_ar_MK_grozījumiem!S46</f>
        <v>196</v>
      </c>
      <c r="J46" s="13">
        <f>_2022_VB_ar_MK_grozījumiem!T46</f>
        <v>196</v>
      </c>
      <c r="K46" s="74">
        <f>ROUND(_2022_VB_ar_MK_grozījumiem!K46*1.05,0)</f>
        <v>11</v>
      </c>
      <c r="L46" s="74">
        <f t="shared" si="19"/>
        <v>11</v>
      </c>
      <c r="M46" s="13">
        <f t="shared" si="21"/>
        <v>328</v>
      </c>
      <c r="N46" s="13">
        <f t="shared" si="21"/>
        <v>328</v>
      </c>
      <c r="O46" s="13">
        <f>'_2023_VB_bez izmaiņām'!O46</f>
        <v>17</v>
      </c>
      <c r="P46" s="74">
        <f t="shared" si="20"/>
        <v>17</v>
      </c>
      <c r="Q46" s="39">
        <f>'_2022_VB_bez izmaiņām'!Q46*1.1</f>
        <v>605</v>
      </c>
      <c r="R46" s="4">
        <f t="shared" si="4"/>
        <v>10285</v>
      </c>
      <c r="S46" s="18">
        <f t="shared" si="22"/>
        <v>311</v>
      </c>
      <c r="T46" s="18">
        <f t="shared" si="22"/>
        <v>311</v>
      </c>
      <c r="U46" s="1"/>
      <c r="V46" s="1">
        <v>1</v>
      </c>
      <c r="W46" s="33" t="s">
        <v>109</v>
      </c>
    </row>
    <row r="47" spans="1:23" ht="20.25" customHeight="1" x14ac:dyDescent="0.25">
      <c r="A47" s="48"/>
      <c r="B47" s="49"/>
      <c r="C47" s="50">
        <v>27</v>
      </c>
      <c r="D47" s="91" t="s">
        <v>91</v>
      </c>
      <c r="E47" s="91"/>
      <c r="F47" s="91"/>
      <c r="G47" s="91"/>
      <c r="H47" s="137"/>
      <c r="I47" s="10">
        <f>_2022_VB_ar_MK_grozījumiem!S47</f>
        <v>176</v>
      </c>
      <c r="J47" s="10">
        <f>_2022_VB_ar_MK_grozījumiem!T47</f>
        <v>176</v>
      </c>
      <c r="K47" s="10">
        <f>ROUND(_2022_VB_ar_MK_grozījumiem!K47*1.05,0)</f>
        <v>15</v>
      </c>
      <c r="L47" s="10">
        <f t="shared" ref="L47:R47" si="23">L48+L49</f>
        <v>13</v>
      </c>
      <c r="M47" s="10">
        <f t="shared" si="23"/>
        <v>332</v>
      </c>
      <c r="N47" s="10">
        <f t="shared" si="23"/>
        <v>332</v>
      </c>
      <c r="O47" s="10">
        <f>'_2023_VB_bez izmaiņām'!O47</f>
        <v>63</v>
      </c>
      <c r="P47" s="10">
        <f t="shared" si="23"/>
        <v>64</v>
      </c>
      <c r="Q47" s="73" t="s">
        <v>119</v>
      </c>
      <c r="R47" s="3">
        <f t="shared" si="23"/>
        <v>6500.6040000000021</v>
      </c>
      <c r="S47" s="10">
        <f>S48+S49</f>
        <v>268</v>
      </c>
      <c r="T47" s="10">
        <f>T48+T49</f>
        <v>268</v>
      </c>
      <c r="U47" s="8"/>
      <c r="V47" s="8">
        <v>1</v>
      </c>
    </row>
    <row r="48" spans="1:23" ht="30" x14ac:dyDescent="0.25">
      <c r="A48" s="37">
        <v>39</v>
      </c>
      <c r="B48" s="38" t="s">
        <v>6</v>
      </c>
      <c r="C48" s="38" t="s">
        <v>92</v>
      </c>
      <c r="D48" s="37" t="s">
        <v>93</v>
      </c>
      <c r="E48" s="38" t="s">
        <v>9</v>
      </c>
      <c r="F48" s="38">
        <v>3</v>
      </c>
      <c r="G48" s="51" t="s">
        <v>10</v>
      </c>
      <c r="H48" s="56"/>
      <c r="I48" s="13">
        <f>_2022_VB_ar_MK_grozījumiem!S48</f>
        <v>122</v>
      </c>
      <c r="J48" s="13">
        <f>_2022_VB_ar_MK_grozījumiem!T48</f>
        <v>122</v>
      </c>
      <c r="K48" s="74">
        <f>ROUND(_2022_VB_ar_MK_grozījumiem!K48*1.05,0)</f>
        <v>9</v>
      </c>
      <c r="L48" s="74">
        <f t="shared" si="19"/>
        <v>9</v>
      </c>
      <c r="M48" s="13">
        <f t="shared" ref="M48:N49" si="24">I48+(K48*12)</f>
        <v>230</v>
      </c>
      <c r="N48" s="13">
        <f t="shared" si="24"/>
        <v>230</v>
      </c>
      <c r="O48" s="13">
        <f>'_2023_VB_bez izmaiņām'!O48</f>
        <v>45</v>
      </c>
      <c r="P48" s="74">
        <f t="shared" si="20"/>
        <v>45</v>
      </c>
      <c r="Q48" s="39">
        <f>'_2022_VB_bez izmaiņām'!Q48*1.1</f>
        <v>42.458900000000007</v>
      </c>
      <c r="R48" s="4">
        <f t="shared" si="4"/>
        <v>1910.6505000000004</v>
      </c>
      <c r="S48" s="18">
        <f t="shared" ref="S48:T49" si="25">M48-O48</f>
        <v>185</v>
      </c>
      <c r="T48" s="18">
        <f t="shared" si="25"/>
        <v>185</v>
      </c>
      <c r="U48" s="1"/>
      <c r="V48" s="1">
        <v>1</v>
      </c>
    </row>
    <row r="49" spans="1:24" x14ac:dyDescent="0.25">
      <c r="A49" s="37">
        <v>40</v>
      </c>
      <c r="B49" s="38" t="s">
        <v>6</v>
      </c>
      <c r="C49" s="38" t="s">
        <v>94</v>
      </c>
      <c r="D49" s="37" t="s">
        <v>95</v>
      </c>
      <c r="E49" s="38" t="s">
        <v>9</v>
      </c>
      <c r="F49" s="38">
        <v>5</v>
      </c>
      <c r="G49" s="51" t="s">
        <v>10</v>
      </c>
      <c r="H49" s="56"/>
      <c r="I49" s="13">
        <f>_2022_VB_ar_MK_grozījumiem!S49</f>
        <v>54</v>
      </c>
      <c r="J49" s="13">
        <f>_2022_VB_ar_MK_grozījumiem!T49</f>
        <v>54</v>
      </c>
      <c r="K49" s="74">
        <f>ROUND(_2022_VB_ar_MK_grozījumiem!K49*1.05,0)</f>
        <v>4</v>
      </c>
      <c r="L49" s="74">
        <f t="shared" si="19"/>
        <v>4</v>
      </c>
      <c r="M49" s="13">
        <f t="shared" si="24"/>
        <v>102</v>
      </c>
      <c r="N49" s="13">
        <f t="shared" si="24"/>
        <v>102</v>
      </c>
      <c r="O49" s="13">
        <f>'_2023_VB_bez izmaiņām'!O49</f>
        <v>19</v>
      </c>
      <c r="P49" s="74">
        <f t="shared" si="20"/>
        <v>19</v>
      </c>
      <c r="Q49" s="39">
        <f>'_2022_VB_bez izmaiņām'!Q49*1.1</f>
        <v>241.57650000000007</v>
      </c>
      <c r="R49" s="4">
        <f t="shared" si="4"/>
        <v>4589.9535000000014</v>
      </c>
      <c r="S49" s="18">
        <f t="shared" si="25"/>
        <v>83</v>
      </c>
      <c r="T49" s="18">
        <f t="shared" si="25"/>
        <v>83</v>
      </c>
      <c r="U49" s="1"/>
      <c r="V49" s="1">
        <v>1</v>
      </c>
    </row>
    <row r="50" spans="1:24" x14ac:dyDescent="0.25">
      <c r="I50" s="20">
        <f t="shared" ref="I50:P50" si="26">I6+I11+I13+I16+I19+I47</f>
        <v>12682</v>
      </c>
      <c r="J50" s="20">
        <f t="shared" si="26"/>
        <v>14354</v>
      </c>
      <c r="K50" s="20">
        <f t="shared" si="26"/>
        <v>812</v>
      </c>
      <c r="L50" s="20">
        <f t="shared" si="26"/>
        <v>945</v>
      </c>
      <c r="M50" s="20">
        <f t="shared" si="26"/>
        <v>22426</v>
      </c>
      <c r="N50" s="20">
        <f t="shared" si="26"/>
        <v>25694</v>
      </c>
      <c r="O50" s="20">
        <f t="shared" si="26"/>
        <v>4912</v>
      </c>
      <c r="P50" s="20">
        <f t="shared" si="26"/>
        <v>12364</v>
      </c>
      <c r="Q50" s="26" t="s">
        <v>119</v>
      </c>
      <c r="R50" s="20">
        <f>R6+R11+R13+R16+R19+R47</f>
        <v>6749455.9355666684</v>
      </c>
      <c r="S50" s="20">
        <f>S6+S11+S13+S16+S19+S47</f>
        <v>11654</v>
      </c>
      <c r="T50" s="20">
        <f>T6+T11+T13+T16+T19+T47</f>
        <v>13330</v>
      </c>
      <c r="X50" s="131"/>
    </row>
    <row r="51" spans="1:24" x14ac:dyDescent="0.25">
      <c r="I51" s="21">
        <f>I25+I26+I27+I28+I35+I36+I37+I38+I42+I43</f>
        <v>4218</v>
      </c>
      <c r="J51" s="21">
        <f t="shared" ref="J51:P51" si="27">J25+J26+J27+J28+J35+J36+J37+J38+J42+J43</f>
        <v>5890</v>
      </c>
      <c r="K51" s="21">
        <f t="shared" si="27"/>
        <v>323</v>
      </c>
      <c r="L51" s="21">
        <f t="shared" si="27"/>
        <v>456</v>
      </c>
      <c r="M51" s="21">
        <f t="shared" si="27"/>
        <v>8094</v>
      </c>
      <c r="N51" s="21">
        <f t="shared" si="27"/>
        <v>11362</v>
      </c>
      <c r="O51" s="21">
        <f t="shared" si="27"/>
        <v>3368</v>
      </c>
      <c r="P51" s="21">
        <f t="shared" si="27"/>
        <v>4960</v>
      </c>
      <c r="Q51" s="21"/>
      <c r="R51" s="21">
        <f>R25+R26+R27+R28+R35+R36+R37+R38+R42+R43</f>
        <v>1263522.2688000002</v>
      </c>
      <c r="S51" s="21">
        <f>S25+S26+S27+S28+S35+S36+S37+S38+S42+S43</f>
        <v>4726</v>
      </c>
      <c r="T51" s="21">
        <f>T25+T26+T27+T28+T35+T36+T37+T38+T42+T43</f>
        <v>6402</v>
      </c>
    </row>
    <row r="52" spans="1:24" x14ac:dyDescent="0.25">
      <c r="P52" s="89" t="s">
        <v>131</v>
      </c>
      <c r="Q52" s="90" t="s">
        <v>131</v>
      </c>
      <c r="R52" s="21">
        <v>1166981</v>
      </c>
    </row>
    <row r="53" spans="1:24" x14ac:dyDescent="0.25">
      <c r="P53" s="89" t="s">
        <v>132</v>
      </c>
      <c r="Q53" s="90" t="s">
        <v>132</v>
      </c>
      <c r="R53" s="21">
        <f>R51-R52</f>
        <v>96541.268800000194</v>
      </c>
    </row>
    <row r="55" spans="1:24" x14ac:dyDescent="0.25">
      <c r="I55" s="21">
        <f t="shared" ref="I55:P55" si="28">I7+I8+I9+I10+I12+I14+I15+I17+I18+I20+I21+I22+I23+I24+I29+I30+I31+I32+I33+I34+I39+I40+I41+I44+I46+I48+I49+I45</f>
        <v>8464</v>
      </c>
      <c r="J55" s="21">
        <f t="shared" si="28"/>
        <v>8464</v>
      </c>
      <c r="K55" s="21">
        <f t="shared" si="28"/>
        <v>489</v>
      </c>
      <c r="L55" s="21">
        <f t="shared" si="28"/>
        <v>489</v>
      </c>
      <c r="M55" s="21">
        <f t="shared" si="28"/>
        <v>14332</v>
      </c>
      <c r="N55" s="21">
        <f t="shared" si="28"/>
        <v>14332</v>
      </c>
      <c r="O55" s="21">
        <f t="shared" si="28"/>
        <v>7404</v>
      </c>
      <c r="P55" s="21">
        <f t="shared" si="28"/>
        <v>7404</v>
      </c>
      <c r="Q55" s="21"/>
      <c r="R55" s="21">
        <f>R7+R8+R9+R10+R12+R14+R15+R17+R18+R20+R21+R22+R23+R24+R29+R30+R31+R32+R33+R34+R39+R40+R41+R44+R46+R48+R49+R45</f>
        <v>5485933.6667666687</v>
      </c>
      <c r="S55" s="21">
        <f>S7+S8+S9+S10+S12+S14+S15+S17+S18+S20+S21+S22+S23+S24+S29+S30+S31+S32+S33+S34+S39+S40+S41+S44+S46+S48+S49+S45</f>
        <v>6928</v>
      </c>
      <c r="T55" s="21">
        <f t="shared" ref="T55" si="29">T7+T8+T9+T10+T12+T14+T15+T17+T18+T20+T21+T22+T23+T24+T29+T30+T31+T32+T33+T34+T39+T40+T41+T44+T46+T48+T49+T45</f>
        <v>6928</v>
      </c>
      <c r="U55" s="21"/>
      <c r="V55" s="21"/>
      <c r="W55" s="21"/>
    </row>
    <row r="56" spans="1:24" x14ac:dyDescent="0.25">
      <c r="P56" s="89" t="s">
        <v>133</v>
      </c>
      <c r="Q56" s="90" t="s">
        <v>131</v>
      </c>
      <c r="R56" s="55">
        <v>727737</v>
      </c>
    </row>
    <row r="57" spans="1:24" x14ac:dyDescent="0.25">
      <c r="P57" s="89" t="s">
        <v>134</v>
      </c>
      <c r="Q57" s="90" t="s">
        <v>132</v>
      </c>
      <c r="R57" s="21">
        <f>R55-R56</f>
        <v>4758196.6667666687</v>
      </c>
    </row>
    <row r="59" spans="1:24" x14ac:dyDescent="0.25">
      <c r="Q59" s="139" t="s">
        <v>135</v>
      </c>
      <c r="R59" s="21">
        <f>R52+R56</f>
        <v>1894718</v>
      </c>
    </row>
    <row r="60" spans="1:24" ht="19.5" x14ac:dyDescent="0.25">
      <c r="O60" s="140"/>
      <c r="P60" s="140"/>
      <c r="Q60" s="141" t="s">
        <v>172</v>
      </c>
      <c r="R60" s="142">
        <f>R50-R59</f>
        <v>4854737.9355666684</v>
      </c>
    </row>
    <row r="61" spans="1:24" x14ac:dyDescent="0.25">
      <c r="R61" s="21">
        <f>R50-R52-R56-R57-R53</f>
        <v>-4.6566128730773926E-10</v>
      </c>
    </row>
    <row r="62" spans="1:24" x14ac:dyDescent="0.25">
      <c r="I62" s="21">
        <f>I50-I51-I55</f>
        <v>0</v>
      </c>
      <c r="J62" s="21">
        <f t="shared" ref="J62:P62" si="30">J50-J51-J55</f>
        <v>0</v>
      </c>
      <c r="K62" s="21">
        <f t="shared" si="30"/>
        <v>0</v>
      </c>
      <c r="L62" s="21">
        <f t="shared" si="30"/>
        <v>0</v>
      </c>
      <c r="M62" s="21">
        <f t="shared" si="30"/>
        <v>0</v>
      </c>
      <c r="N62" s="21">
        <f t="shared" si="30"/>
        <v>0</v>
      </c>
      <c r="O62" s="21">
        <f t="shared" si="30"/>
        <v>-5860</v>
      </c>
      <c r="P62" s="21">
        <f t="shared" si="30"/>
        <v>0</v>
      </c>
      <c r="Q62" s="21"/>
      <c r="R62" s="21">
        <f>R50-R51-R55</f>
        <v>0</v>
      </c>
      <c r="S62" s="21">
        <f>S50-S51-S55</f>
        <v>0</v>
      </c>
      <c r="T62" s="21">
        <f>T50-T51-T55</f>
        <v>0</v>
      </c>
    </row>
    <row r="64" spans="1:24" x14ac:dyDescent="0.25">
      <c r="I64" s="21"/>
      <c r="J64" s="21"/>
      <c r="K64" s="21"/>
      <c r="L64" s="21"/>
      <c r="M64" s="21"/>
      <c r="N64" s="21"/>
      <c r="O64" s="21"/>
      <c r="P64" s="21"/>
      <c r="Q64" s="21"/>
      <c r="R64" s="21"/>
      <c r="S64" s="21"/>
      <c r="T64" s="21"/>
      <c r="U64" s="21"/>
    </row>
    <row r="68" spans="18:18" x14ac:dyDescent="0.25">
      <c r="R68" s="139"/>
    </row>
  </sheetData>
  <mergeCells count="20">
    <mergeCell ref="A1:T1"/>
    <mergeCell ref="I2:R2"/>
    <mergeCell ref="A3:G3"/>
    <mergeCell ref="I3:J3"/>
    <mergeCell ref="K3:L3"/>
    <mergeCell ref="M3:N3"/>
    <mergeCell ref="O3:P3"/>
    <mergeCell ref="Q3:Q4"/>
    <mergeCell ref="R3:R4"/>
    <mergeCell ref="S3:T3"/>
    <mergeCell ref="P52:Q52"/>
    <mergeCell ref="P53:Q53"/>
    <mergeCell ref="P56:Q56"/>
    <mergeCell ref="P57:Q57"/>
    <mergeCell ref="D6:G6"/>
    <mergeCell ref="D11:G11"/>
    <mergeCell ref="D13:G13"/>
    <mergeCell ref="D16:G16"/>
    <mergeCell ref="D19:G19"/>
    <mergeCell ref="D47:G47"/>
  </mergeCells>
  <pageMargins left="0.51181102362204722" right="0.31496062992125984" top="0.94488188976377963" bottom="0.59055118110236227" header="0.31496062992125984"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42BA1-C116-480E-BC08-C4CD110B1987}">
  <sheetPr>
    <tabColor theme="0" tint="-0.249977111117893"/>
  </sheetPr>
  <dimension ref="A1:Z64"/>
  <sheetViews>
    <sheetView zoomScale="70" zoomScaleNormal="70" workbookViewId="0">
      <pane ySplit="5" topLeftCell="A6" activePane="bottomLeft" state="frozen"/>
      <selection activeCell="D1" sqref="D1"/>
      <selection pane="bottomLeft" activeCell="C55" sqref="A1:XFD1048576"/>
    </sheetView>
  </sheetViews>
  <sheetFormatPr defaultColWidth="9.140625" defaultRowHeight="15" x14ac:dyDescent="0.25"/>
  <cols>
    <col min="1" max="1" width="4" style="53" customWidth="1"/>
    <col min="2" max="2" width="13" style="54" customWidth="1"/>
    <col min="3" max="3" width="11.7109375" style="54" customWidth="1"/>
    <col min="4" max="4" width="31.140625" style="53" customWidth="1"/>
    <col min="5" max="5" width="12.140625" style="54" customWidth="1"/>
    <col min="6" max="6" width="8.85546875" style="54" customWidth="1"/>
    <col min="7" max="7" width="33.85546875" style="55" customWidth="1"/>
    <col min="8" max="8" width="2.140625" style="55" customWidth="1"/>
    <col min="9" max="16" width="9.140625" style="55" customWidth="1"/>
    <col min="17" max="17" width="9.140625" style="139" customWidth="1"/>
    <col min="18" max="18" width="14.7109375" style="55" customWidth="1"/>
    <col min="19" max="20" width="9.140625" style="55" customWidth="1"/>
    <col min="21" max="22" width="5.42578125" style="9" hidden="1" customWidth="1"/>
    <col min="23" max="23" width="50" style="33" hidden="1" customWidth="1"/>
    <col min="24" max="24" width="20.140625" style="53" customWidth="1"/>
    <col min="25" max="16384" width="9.140625" style="53"/>
  </cols>
  <sheetData>
    <row r="1" spans="1:26" ht="54" customHeight="1" x14ac:dyDescent="0.25">
      <c r="A1" s="128" t="s">
        <v>200</v>
      </c>
      <c r="B1" s="128"/>
      <c r="C1" s="128"/>
      <c r="D1" s="128"/>
      <c r="E1" s="128"/>
      <c r="F1" s="128"/>
      <c r="G1" s="128"/>
      <c r="H1" s="128"/>
      <c r="I1" s="128"/>
      <c r="J1" s="128"/>
      <c r="K1" s="128"/>
      <c r="L1" s="128"/>
      <c r="M1" s="128"/>
      <c r="N1" s="128"/>
      <c r="O1" s="128"/>
      <c r="P1" s="128"/>
      <c r="Q1" s="128"/>
      <c r="R1" s="128"/>
      <c r="S1" s="128"/>
      <c r="T1" s="128"/>
      <c r="W1" s="76"/>
      <c r="Y1" s="130"/>
      <c r="Z1" s="131"/>
    </row>
    <row r="2" spans="1:26" s="43" customFormat="1" ht="18.75" x14ac:dyDescent="0.3">
      <c r="B2" s="44"/>
      <c r="C2" s="44"/>
      <c r="E2" s="44"/>
      <c r="F2" s="44"/>
      <c r="G2" s="45"/>
      <c r="H2" s="45"/>
      <c r="I2" s="92" t="s">
        <v>191</v>
      </c>
      <c r="J2" s="93"/>
      <c r="K2" s="93"/>
      <c r="L2" s="93"/>
      <c r="M2" s="93"/>
      <c r="N2" s="93"/>
      <c r="O2" s="93"/>
      <c r="P2" s="93"/>
      <c r="Q2" s="94"/>
      <c r="R2" s="95"/>
      <c r="S2" s="45"/>
      <c r="T2" s="132"/>
      <c r="U2" s="31"/>
      <c r="V2" s="31"/>
      <c r="W2" s="133"/>
      <c r="Y2" s="135"/>
      <c r="Z2" s="143"/>
    </row>
    <row r="3" spans="1:26" ht="27.75" customHeight="1" x14ac:dyDescent="0.25">
      <c r="A3" s="96" t="s">
        <v>100</v>
      </c>
      <c r="B3" s="96"/>
      <c r="C3" s="96"/>
      <c r="D3" s="96"/>
      <c r="E3" s="96"/>
      <c r="F3" s="96"/>
      <c r="G3" s="96"/>
      <c r="H3" s="7"/>
      <c r="I3" s="97" t="s">
        <v>125</v>
      </c>
      <c r="J3" s="97"/>
      <c r="K3" s="97" t="s">
        <v>141</v>
      </c>
      <c r="L3" s="97"/>
      <c r="M3" s="98" t="s">
        <v>142</v>
      </c>
      <c r="N3" s="98"/>
      <c r="O3" s="98" t="s">
        <v>128</v>
      </c>
      <c r="P3" s="98"/>
      <c r="Q3" s="99" t="s">
        <v>129</v>
      </c>
      <c r="R3" s="100" t="s">
        <v>143</v>
      </c>
      <c r="S3" s="97" t="s">
        <v>136</v>
      </c>
      <c r="T3" s="97"/>
      <c r="U3" s="7"/>
      <c r="V3" s="7"/>
      <c r="W3" s="76"/>
    </row>
    <row r="4" spans="1:26" ht="150.75" customHeight="1" x14ac:dyDescent="0.2">
      <c r="A4" s="46" t="s">
        <v>96</v>
      </c>
      <c r="B4" s="2" t="s">
        <v>0</v>
      </c>
      <c r="C4" s="2" t="s">
        <v>101</v>
      </c>
      <c r="D4" s="46" t="s">
        <v>1</v>
      </c>
      <c r="E4" s="2" t="s">
        <v>2</v>
      </c>
      <c r="F4" s="2" t="s">
        <v>3</v>
      </c>
      <c r="G4" s="47" t="s">
        <v>4</v>
      </c>
      <c r="H4" s="136"/>
      <c r="I4" s="2" t="s">
        <v>127</v>
      </c>
      <c r="J4" s="2" t="s">
        <v>187</v>
      </c>
      <c r="K4" s="2" t="s">
        <v>144</v>
      </c>
      <c r="L4" s="2" t="s">
        <v>188</v>
      </c>
      <c r="M4" s="88" t="s">
        <v>117</v>
      </c>
      <c r="N4" s="88" t="s">
        <v>118</v>
      </c>
      <c r="O4" s="88" t="s">
        <v>123</v>
      </c>
      <c r="P4" s="88" t="s">
        <v>124</v>
      </c>
      <c r="Q4" s="99"/>
      <c r="R4" s="100"/>
      <c r="S4" s="2" t="s">
        <v>127</v>
      </c>
      <c r="T4" s="2" t="s">
        <v>130</v>
      </c>
      <c r="U4" s="1" t="s">
        <v>115</v>
      </c>
      <c r="V4" s="1" t="s">
        <v>116</v>
      </c>
      <c r="W4" s="34" t="s">
        <v>114</v>
      </c>
    </row>
    <row r="5" spans="1:26" s="9" customFormat="1" ht="12" customHeight="1" x14ac:dyDescent="0.2">
      <c r="A5" s="2">
        <v>1</v>
      </c>
      <c r="B5" s="2">
        <v>2</v>
      </c>
      <c r="C5" s="2">
        <v>3</v>
      </c>
      <c r="D5" s="2">
        <v>4</v>
      </c>
      <c r="E5" s="2">
        <v>5</v>
      </c>
      <c r="F5" s="2">
        <v>6</v>
      </c>
      <c r="G5" s="2">
        <v>7</v>
      </c>
      <c r="H5" s="136"/>
      <c r="I5" s="1">
        <v>8</v>
      </c>
      <c r="J5" s="1">
        <v>9</v>
      </c>
      <c r="K5" s="1">
        <v>10</v>
      </c>
      <c r="L5" s="1">
        <v>11</v>
      </c>
      <c r="M5" s="1">
        <v>12</v>
      </c>
      <c r="N5" s="1">
        <v>13</v>
      </c>
      <c r="O5" s="1">
        <v>14</v>
      </c>
      <c r="P5" s="1">
        <v>15</v>
      </c>
      <c r="Q5" s="29">
        <v>16</v>
      </c>
      <c r="R5" s="1">
        <v>17</v>
      </c>
      <c r="S5" s="2">
        <v>18</v>
      </c>
      <c r="T5" s="2">
        <v>19</v>
      </c>
      <c r="U5" s="1"/>
      <c r="V5" s="1"/>
      <c r="W5" s="34"/>
    </row>
    <row r="6" spans="1:26" ht="18" customHeight="1" x14ac:dyDescent="0.25">
      <c r="A6" s="48"/>
      <c r="B6" s="49"/>
      <c r="C6" s="50">
        <v>4</v>
      </c>
      <c r="D6" s="91" t="s">
        <v>5</v>
      </c>
      <c r="E6" s="91"/>
      <c r="F6" s="91"/>
      <c r="G6" s="91"/>
      <c r="H6" s="137"/>
      <c r="I6" s="10">
        <f>I7+I8+I9+I10</f>
        <v>67</v>
      </c>
      <c r="J6" s="10">
        <f t="shared" ref="J6:R6" si="0">J7+J8+J9+J10</f>
        <v>67</v>
      </c>
      <c r="K6" s="10">
        <f t="shared" si="0"/>
        <v>62</v>
      </c>
      <c r="L6" s="10">
        <f t="shared" si="0"/>
        <v>62</v>
      </c>
      <c r="M6" s="10">
        <f t="shared" si="0"/>
        <v>811</v>
      </c>
      <c r="N6" s="10">
        <f t="shared" si="0"/>
        <v>811</v>
      </c>
      <c r="O6" s="10">
        <f t="shared" si="0"/>
        <v>140</v>
      </c>
      <c r="P6" s="10">
        <f t="shared" si="0"/>
        <v>140</v>
      </c>
      <c r="Q6" s="25" t="s">
        <v>119</v>
      </c>
      <c r="R6" s="3">
        <f t="shared" si="0"/>
        <v>9274.5</v>
      </c>
      <c r="S6" s="10">
        <f>S7+S8+S9+S10</f>
        <v>671</v>
      </c>
      <c r="T6" s="10">
        <f>T7+T8+T9+T10</f>
        <v>671</v>
      </c>
      <c r="U6" s="8"/>
      <c r="V6" s="8">
        <v>1</v>
      </c>
    </row>
    <row r="7" spans="1:26" ht="27.75" customHeight="1" x14ac:dyDescent="0.25">
      <c r="A7" s="37">
        <v>1</v>
      </c>
      <c r="B7" s="38" t="s">
        <v>6</v>
      </c>
      <c r="C7" s="38" t="s">
        <v>7</v>
      </c>
      <c r="D7" s="37" t="s">
        <v>8</v>
      </c>
      <c r="E7" s="38" t="s">
        <v>9</v>
      </c>
      <c r="F7" s="38" t="s">
        <v>97</v>
      </c>
      <c r="G7" s="51" t="s">
        <v>10</v>
      </c>
      <c r="H7" s="56"/>
      <c r="I7" s="11">
        <v>35</v>
      </c>
      <c r="J7" s="74">
        <f>I7</f>
        <v>35</v>
      </c>
      <c r="K7" s="12">
        <v>26</v>
      </c>
      <c r="L7" s="74">
        <f>K7</f>
        <v>26</v>
      </c>
      <c r="M7" s="13">
        <f>I7+(K7*12)</f>
        <v>347</v>
      </c>
      <c r="N7" s="13">
        <f>J7+(L7*12)</f>
        <v>347</v>
      </c>
      <c r="O7" s="12">
        <v>50</v>
      </c>
      <c r="P7" s="74">
        <f>O7</f>
        <v>50</v>
      </c>
      <c r="Q7" s="27">
        <v>84</v>
      </c>
      <c r="R7" s="4">
        <f>Q7*P7</f>
        <v>4200</v>
      </c>
      <c r="S7" s="18">
        <f>M7-O7</f>
        <v>297</v>
      </c>
      <c r="T7" s="18">
        <f>N7-P7</f>
        <v>297</v>
      </c>
      <c r="U7" s="1"/>
      <c r="V7" s="1">
        <v>1</v>
      </c>
      <c r="W7" s="33" t="s">
        <v>102</v>
      </c>
      <c r="X7" s="138"/>
    </row>
    <row r="8" spans="1:26" ht="18" customHeight="1" x14ac:dyDescent="0.25">
      <c r="A8" s="37">
        <v>2</v>
      </c>
      <c r="B8" s="38" t="s">
        <v>6</v>
      </c>
      <c r="C8" s="38" t="s">
        <v>11</v>
      </c>
      <c r="D8" s="37" t="s">
        <v>12</v>
      </c>
      <c r="E8" s="38" t="s">
        <v>9</v>
      </c>
      <c r="F8" s="38">
        <v>5</v>
      </c>
      <c r="G8" s="51" t="s">
        <v>10</v>
      </c>
      <c r="H8" s="56"/>
      <c r="I8" s="11">
        <v>7</v>
      </c>
      <c r="J8" s="74">
        <f t="shared" ref="J8:J10" si="1">I8</f>
        <v>7</v>
      </c>
      <c r="K8" s="12">
        <v>8</v>
      </c>
      <c r="L8" s="74">
        <f t="shared" ref="L8:L10" si="2">K8</f>
        <v>8</v>
      </c>
      <c r="M8" s="13">
        <f t="shared" ref="M8:N10" si="3">I8+(K8*12)</f>
        <v>103</v>
      </c>
      <c r="N8" s="13">
        <f t="shared" si="3"/>
        <v>103</v>
      </c>
      <c r="O8" s="12">
        <v>20</v>
      </c>
      <c r="P8" s="74">
        <f t="shared" ref="P8:P10" si="4">O8</f>
        <v>20</v>
      </c>
      <c r="Q8" s="27">
        <v>84</v>
      </c>
      <c r="R8" s="4">
        <f t="shared" ref="R8:R49" si="5">Q8*P8</f>
        <v>1680</v>
      </c>
      <c r="S8" s="18">
        <f t="shared" ref="S8:T10" si="6">M8-O8</f>
        <v>83</v>
      </c>
      <c r="T8" s="18">
        <f t="shared" si="6"/>
        <v>83</v>
      </c>
      <c r="U8" s="1"/>
      <c r="V8" s="1">
        <v>1</v>
      </c>
    </row>
    <row r="9" spans="1:26" ht="36" customHeight="1" x14ac:dyDescent="0.25">
      <c r="A9" s="37">
        <v>3</v>
      </c>
      <c r="B9" s="38" t="s">
        <v>13</v>
      </c>
      <c r="C9" s="38" t="s">
        <v>14</v>
      </c>
      <c r="D9" s="37" t="s">
        <v>15</v>
      </c>
      <c r="E9" s="38" t="s">
        <v>9</v>
      </c>
      <c r="F9" s="38">
        <v>2</v>
      </c>
      <c r="G9" s="51" t="s">
        <v>10</v>
      </c>
      <c r="H9" s="56"/>
      <c r="I9" s="11">
        <v>12</v>
      </c>
      <c r="J9" s="74">
        <f t="shared" si="1"/>
        <v>12</v>
      </c>
      <c r="K9" s="12">
        <v>10</v>
      </c>
      <c r="L9" s="74">
        <f t="shared" si="2"/>
        <v>10</v>
      </c>
      <c r="M9" s="13">
        <f t="shared" si="3"/>
        <v>132</v>
      </c>
      <c r="N9" s="13">
        <f t="shared" si="3"/>
        <v>132</v>
      </c>
      <c r="O9" s="12">
        <v>20</v>
      </c>
      <c r="P9" s="74">
        <f t="shared" si="4"/>
        <v>20</v>
      </c>
      <c r="Q9" s="27">
        <v>33.6</v>
      </c>
      <c r="R9" s="4">
        <f t="shared" si="5"/>
        <v>672</v>
      </c>
      <c r="S9" s="18">
        <f t="shared" si="6"/>
        <v>112</v>
      </c>
      <c r="T9" s="18">
        <f t="shared" si="6"/>
        <v>112</v>
      </c>
      <c r="U9" s="1"/>
      <c r="V9" s="1">
        <v>1</v>
      </c>
    </row>
    <row r="10" spans="1:26" ht="18" customHeight="1" x14ac:dyDescent="0.25">
      <c r="A10" s="37">
        <v>4</v>
      </c>
      <c r="B10" s="38" t="s">
        <v>16</v>
      </c>
      <c r="C10" s="38" t="s">
        <v>17</v>
      </c>
      <c r="D10" s="37" t="s">
        <v>18</v>
      </c>
      <c r="E10" s="38" t="s">
        <v>9</v>
      </c>
      <c r="F10" s="38">
        <v>5</v>
      </c>
      <c r="G10" s="51" t="s">
        <v>10</v>
      </c>
      <c r="H10" s="56"/>
      <c r="I10" s="11">
        <v>13</v>
      </c>
      <c r="J10" s="74">
        <f t="shared" si="1"/>
        <v>13</v>
      </c>
      <c r="K10" s="12">
        <v>18</v>
      </c>
      <c r="L10" s="74">
        <f t="shared" si="2"/>
        <v>18</v>
      </c>
      <c r="M10" s="13">
        <f t="shared" si="3"/>
        <v>229</v>
      </c>
      <c r="N10" s="13">
        <f t="shared" si="3"/>
        <v>229</v>
      </c>
      <c r="O10" s="12">
        <v>50</v>
      </c>
      <c r="P10" s="74">
        <f t="shared" si="4"/>
        <v>50</v>
      </c>
      <c r="Q10" s="27">
        <v>54.45</v>
      </c>
      <c r="R10" s="4">
        <f t="shared" si="5"/>
        <v>2722.5</v>
      </c>
      <c r="S10" s="18">
        <f t="shared" si="6"/>
        <v>179</v>
      </c>
      <c r="T10" s="18">
        <f t="shared" si="6"/>
        <v>179</v>
      </c>
      <c r="U10" s="1"/>
      <c r="V10" s="1">
        <v>1</v>
      </c>
    </row>
    <row r="11" spans="1:26" ht="18" customHeight="1" x14ac:dyDescent="0.25">
      <c r="A11" s="48"/>
      <c r="B11" s="49"/>
      <c r="C11" s="50">
        <v>6</v>
      </c>
      <c r="D11" s="91" t="s">
        <v>19</v>
      </c>
      <c r="E11" s="91"/>
      <c r="F11" s="91"/>
      <c r="G11" s="91"/>
      <c r="H11" s="137"/>
      <c r="I11" s="14">
        <f>I12</f>
        <v>39</v>
      </c>
      <c r="J11" s="14">
        <f t="shared" ref="J11:R11" si="7">J12</f>
        <v>39</v>
      </c>
      <c r="K11" s="14">
        <f t="shared" si="7"/>
        <v>44</v>
      </c>
      <c r="L11" s="14">
        <f t="shared" si="7"/>
        <v>44</v>
      </c>
      <c r="M11" s="14">
        <f t="shared" si="7"/>
        <v>567</v>
      </c>
      <c r="N11" s="14">
        <f t="shared" si="7"/>
        <v>567</v>
      </c>
      <c r="O11" s="14">
        <f t="shared" si="7"/>
        <v>351</v>
      </c>
      <c r="P11" s="14">
        <f t="shared" si="7"/>
        <v>351</v>
      </c>
      <c r="Q11" s="30" t="s">
        <v>119</v>
      </c>
      <c r="R11" s="5">
        <f t="shared" si="7"/>
        <v>196310.41999999998</v>
      </c>
      <c r="S11" s="14">
        <f>S12</f>
        <v>216</v>
      </c>
      <c r="T11" s="14">
        <f>T12</f>
        <v>216</v>
      </c>
      <c r="U11" s="8"/>
      <c r="V11" s="8">
        <v>1</v>
      </c>
    </row>
    <row r="12" spans="1:26" s="43" customFormat="1" ht="34.5" customHeight="1" x14ac:dyDescent="0.25">
      <c r="A12" s="35">
        <v>5</v>
      </c>
      <c r="B12" s="36" t="s">
        <v>20</v>
      </c>
      <c r="C12" s="36" t="s">
        <v>21</v>
      </c>
      <c r="D12" s="35" t="s">
        <v>22</v>
      </c>
      <c r="E12" s="36" t="s">
        <v>9</v>
      </c>
      <c r="F12" s="36">
        <v>2</v>
      </c>
      <c r="G12" s="52" t="s">
        <v>23</v>
      </c>
      <c r="H12" s="57"/>
      <c r="I12" s="11">
        <v>39</v>
      </c>
      <c r="J12" s="74">
        <f>I12</f>
        <v>39</v>
      </c>
      <c r="K12" s="12">
        <v>44</v>
      </c>
      <c r="L12" s="74">
        <f>K12</f>
        <v>44</v>
      </c>
      <c r="M12" s="13">
        <f t="shared" ref="M12:N12" si="8">I12+(K12*12)</f>
        <v>567</v>
      </c>
      <c r="N12" s="13">
        <f t="shared" si="8"/>
        <v>567</v>
      </c>
      <c r="O12" s="12">
        <v>351</v>
      </c>
      <c r="P12" s="74">
        <f>O12</f>
        <v>351</v>
      </c>
      <c r="Q12" s="27">
        <v>559.39</v>
      </c>
      <c r="R12" s="22">
        <f>Q12*P12-35.47</f>
        <v>196310.41999999998</v>
      </c>
      <c r="S12" s="19">
        <f t="shared" ref="S12:T12" si="9">M12-O12</f>
        <v>216</v>
      </c>
      <c r="T12" s="19">
        <f t="shared" si="9"/>
        <v>216</v>
      </c>
      <c r="U12" s="24"/>
      <c r="V12" s="24">
        <v>1</v>
      </c>
      <c r="W12" s="32"/>
    </row>
    <row r="13" spans="1:26" ht="18" customHeight="1" x14ac:dyDescent="0.25">
      <c r="A13" s="48"/>
      <c r="B13" s="49"/>
      <c r="C13" s="50">
        <v>12</v>
      </c>
      <c r="D13" s="91" t="s">
        <v>24</v>
      </c>
      <c r="E13" s="91"/>
      <c r="F13" s="91"/>
      <c r="G13" s="91"/>
      <c r="H13" s="137"/>
      <c r="I13" s="10">
        <f>I14+I15</f>
        <v>9</v>
      </c>
      <c r="J13" s="10">
        <f t="shared" ref="J13:R13" si="10">J14+J15</f>
        <v>9</v>
      </c>
      <c r="K13" s="10">
        <f t="shared" si="10"/>
        <v>16</v>
      </c>
      <c r="L13" s="10">
        <f t="shared" si="10"/>
        <v>16</v>
      </c>
      <c r="M13" s="10">
        <f t="shared" si="10"/>
        <v>201</v>
      </c>
      <c r="N13" s="10">
        <f t="shared" si="10"/>
        <v>201</v>
      </c>
      <c r="O13" s="10">
        <f t="shared" si="10"/>
        <v>40</v>
      </c>
      <c r="P13" s="10">
        <f t="shared" si="10"/>
        <v>40</v>
      </c>
      <c r="Q13" s="25" t="s">
        <v>119</v>
      </c>
      <c r="R13" s="3">
        <f t="shared" si="10"/>
        <v>1820</v>
      </c>
      <c r="S13" s="10">
        <f>S14+S15</f>
        <v>161</v>
      </c>
      <c r="T13" s="10">
        <f>T14+T15</f>
        <v>161</v>
      </c>
      <c r="U13" s="8"/>
      <c r="V13" s="8">
        <v>1</v>
      </c>
    </row>
    <row r="14" spans="1:26" ht="33.75" customHeight="1" x14ac:dyDescent="0.25">
      <c r="A14" s="37">
        <v>6</v>
      </c>
      <c r="B14" s="38" t="s">
        <v>25</v>
      </c>
      <c r="C14" s="38" t="s">
        <v>26</v>
      </c>
      <c r="D14" s="37" t="s">
        <v>27</v>
      </c>
      <c r="E14" s="38" t="s">
        <v>9</v>
      </c>
      <c r="F14" s="38" t="s">
        <v>104</v>
      </c>
      <c r="G14" s="51" t="s">
        <v>10</v>
      </c>
      <c r="H14" s="56"/>
      <c r="I14" s="11">
        <v>7</v>
      </c>
      <c r="J14" s="74">
        <f>I14</f>
        <v>7</v>
      </c>
      <c r="K14" s="12">
        <v>7</v>
      </c>
      <c r="L14" s="74">
        <f>K14</f>
        <v>7</v>
      </c>
      <c r="M14" s="13">
        <f t="shared" ref="M14:N15" si="11">I14+(K14*12)</f>
        <v>91</v>
      </c>
      <c r="N14" s="13">
        <f t="shared" si="11"/>
        <v>91</v>
      </c>
      <c r="O14" s="12">
        <v>20</v>
      </c>
      <c r="P14" s="74">
        <f>O14</f>
        <v>20</v>
      </c>
      <c r="Q14" s="27">
        <v>35</v>
      </c>
      <c r="R14" s="4">
        <f t="shared" si="5"/>
        <v>700</v>
      </c>
      <c r="S14" s="18">
        <f t="shared" ref="S14:T15" si="12">M14-O14</f>
        <v>71</v>
      </c>
      <c r="T14" s="18">
        <f t="shared" si="12"/>
        <v>71</v>
      </c>
      <c r="U14" s="1"/>
      <c r="V14" s="1">
        <v>1</v>
      </c>
      <c r="W14" s="33" t="s">
        <v>103</v>
      </c>
    </row>
    <row r="15" spans="1:26" ht="24" customHeight="1" x14ac:dyDescent="0.25">
      <c r="A15" s="37">
        <v>7</v>
      </c>
      <c r="B15" s="38" t="s">
        <v>25</v>
      </c>
      <c r="C15" s="38" t="s">
        <v>26</v>
      </c>
      <c r="D15" s="37" t="s">
        <v>28</v>
      </c>
      <c r="E15" s="38" t="s">
        <v>9</v>
      </c>
      <c r="F15" s="38" t="s">
        <v>104</v>
      </c>
      <c r="G15" s="51" t="s">
        <v>10</v>
      </c>
      <c r="H15" s="56"/>
      <c r="I15" s="11">
        <v>2</v>
      </c>
      <c r="J15" s="74">
        <f>I15</f>
        <v>2</v>
      </c>
      <c r="K15" s="12">
        <v>9</v>
      </c>
      <c r="L15" s="74">
        <f>K15</f>
        <v>9</v>
      </c>
      <c r="M15" s="13">
        <f t="shared" si="11"/>
        <v>110</v>
      </c>
      <c r="N15" s="13">
        <f t="shared" si="11"/>
        <v>110</v>
      </c>
      <c r="O15" s="12">
        <v>20</v>
      </c>
      <c r="P15" s="74">
        <f>O15</f>
        <v>20</v>
      </c>
      <c r="Q15" s="27">
        <v>56</v>
      </c>
      <c r="R15" s="4">
        <f t="shared" si="5"/>
        <v>1120</v>
      </c>
      <c r="S15" s="18">
        <f t="shared" si="12"/>
        <v>90</v>
      </c>
      <c r="T15" s="18">
        <f t="shared" si="12"/>
        <v>90</v>
      </c>
      <c r="U15" s="1"/>
      <c r="V15" s="1">
        <v>1</v>
      </c>
      <c r="W15" s="33" t="s">
        <v>103</v>
      </c>
    </row>
    <row r="16" spans="1:26" ht="18" customHeight="1" x14ac:dyDescent="0.25">
      <c r="A16" s="48"/>
      <c r="B16" s="49"/>
      <c r="C16" s="50">
        <v>15</v>
      </c>
      <c r="D16" s="91" t="s">
        <v>29</v>
      </c>
      <c r="E16" s="91"/>
      <c r="F16" s="91"/>
      <c r="G16" s="91"/>
      <c r="H16" s="137"/>
      <c r="I16" s="10">
        <f>I17+I18</f>
        <v>7</v>
      </c>
      <c r="J16" s="10">
        <f t="shared" ref="J16:P16" si="13">J17+J18</f>
        <v>7</v>
      </c>
      <c r="K16" s="10">
        <f t="shared" si="13"/>
        <v>15</v>
      </c>
      <c r="L16" s="10">
        <f t="shared" si="13"/>
        <v>15</v>
      </c>
      <c r="M16" s="10">
        <f t="shared" si="13"/>
        <v>187</v>
      </c>
      <c r="N16" s="10">
        <f t="shared" si="13"/>
        <v>187</v>
      </c>
      <c r="O16" s="10">
        <f t="shared" si="13"/>
        <v>47</v>
      </c>
      <c r="P16" s="10">
        <f t="shared" si="13"/>
        <v>47</v>
      </c>
      <c r="Q16" s="25" t="s">
        <v>119</v>
      </c>
      <c r="R16" s="3">
        <f t="shared" ref="R16" si="14">R17+R18</f>
        <v>1556.5</v>
      </c>
      <c r="S16" s="10">
        <f>S17+S18</f>
        <v>140</v>
      </c>
      <c r="T16" s="10">
        <f>T17+T18</f>
        <v>140</v>
      </c>
      <c r="U16" s="8"/>
      <c r="V16" s="8">
        <v>1</v>
      </c>
    </row>
    <row r="17" spans="1:23" ht="18" customHeight="1" x14ac:dyDescent="0.25">
      <c r="A17" s="37">
        <v>8</v>
      </c>
      <c r="B17" s="38" t="s">
        <v>16</v>
      </c>
      <c r="C17" s="38" t="s">
        <v>30</v>
      </c>
      <c r="D17" s="37" t="s">
        <v>31</v>
      </c>
      <c r="E17" s="38" t="s">
        <v>9</v>
      </c>
      <c r="F17" s="38">
        <v>5</v>
      </c>
      <c r="G17" s="51" t="s">
        <v>10</v>
      </c>
      <c r="H17" s="56"/>
      <c r="I17" s="11">
        <v>1</v>
      </c>
      <c r="J17" s="74">
        <f>I17</f>
        <v>1</v>
      </c>
      <c r="K17" s="12">
        <v>8</v>
      </c>
      <c r="L17" s="74">
        <f>K17</f>
        <v>8</v>
      </c>
      <c r="M17" s="13">
        <f t="shared" ref="M17:N18" si="15">I17+(K17*12)</f>
        <v>97</v>
      </c>
      <c r="N17" s="13">
        <f t="shared" si="15"/>
        <v>97</v>
      </c>
      <c r="O17" s="12">
        <v>25</v>
      </c>
      <c r="P17" s="74">
        <f>O17</f>
        <v>25</v>
      </c>
      <c r="Q17" s="27">
        <v>48.4</v>
      </c>
      <c r="R17" s="4">
        <f t="shared" si="5"/>
        <v>1210</v>
      </c>
      <c r="S17" s="18">
        <f t="shared" ref="S17:T18" si="16">M17-O17</f>
        <v>72</v>
      </c>
      <c r="T17" s="18">
        <f t="shared" si="16"/>
        <v>72</v>
      </c>
      <c r="U17" s="1"/>
      <c r="V17" s="1">
        <v>1</v>
      </c>
    </row>
    <row r="18" spans="1:23" ht="33" customHeight="1" x14ac:dyDescent="0.25">
      <c r="A18" s="37">
        <v>9</v>
      </c>
      <c r="B18" s="38" t="s">
        <v>6</v>
      </c>
      <c r="C18" s="38" t="s">
        <v>30</v>
      </c>
      <c r="D18" s="37" t="s">
        <v>32</v>
      </c>
      <c r="E18" s="38" t="s">
        <v>9</v>
      </c>
      <c r="F18" s="38">
        <v>2</v>
      </c>
      <c r="G18" s="51" t="s">
        <v>10</v>
      </c>
      <c r="H18" s="56"/>
      <c r="I18" s="11">
        <v>6</v>
      </c>
      <c r="J18" s="74">
        <f>I18</f>
        <v>6</v>
      </c>
      <c r="K18" s="12">
        <v>7</v>
      </c>
      <c r="L18" s="74">
        <f>K18</f>
        <v>7</v>
      </c>
      <c r="M18" s="13">
        <f t="shared" si="15"/>
        <v>90</v>
      </c>
      <c r="N18" s="13">
        <f t="shared" si="15"/>
        <v>90</v>
      </c>
      <c r="O18" s="12">
        <v>22</v>
      </c>
      <c r="P18" s="74">
        <f>O18</f>
        <v>22</v>
      </c>
      <c r="Q18" s="27">
        <v>15.75</v>
      </c>
      <c r="R18" s="4">
        <f t="shared" si="5"/>
        <v>346.5</v>
      </c>
      <c r="S18" s="18">
        <f t="shared" si="16"/>
        <v>68</v>
      </c>
      <c r="T18" s="18">
        <f t="shared" si="16"/>
        <v>68</v>
      </c>
      <c r="U18" s="1"/>
      <c r="V18" s="1">
        <v>1</v>
      </c>
    </row>
    <row r="19" spans="1:23" ht="18" customHeight="1" x14ac:dyDescent="0.25">
      <c r="A19" s="48"/>
      <c r="B19" s="49"/>
      <c r="C19" s="50">
        <v>22</v>
      </c>
      <c r="D19" s="91" t="s">
        <v>33</v>
      </c>
      <c r="E19" s="91"/>
      <c r="F19" s="91"/>
      <c r="G19" s="91"/>
      <c r="H19" s="137"/>
      <c r="I19" s="10">
        <f t="shared" ref="I19:P19" si="17">SUM(I20:I46)</f>
        <v>4346</v>
      </c>
      <c r="J19" s="10">
        <f t="shared" si="17"/>
        <v>6446</v>
      </c>
      <c r="K19" s="10">
        <f t="shared" si="17"/>
        <v>585.83333333333326</v>
      </c>
      <c r="L19" s="10">
        <f t="shared" si="17"/>
        <v>705.83333333333337</v>
      </c>
      <c r="M19" s="10">
        <f t="shared" si="17"/>
        <v>11376</v>
      </c>
      <c r="N19" s="10">
        <f t="shared" si="17"/>
        <v>14916</v>
      </c>
      <c r="O19" s="10">
        <f t="shared" si="17"/>
        <v>4541</v>
      </c>
      <c r="P19" s="10">
        <f t="shared" si="17"/>
        <v>6310</v>
      </c>
      <c r="Q19" s="25" t="s">
        <v>119</v>
      </c>
      <c r="R19" s="3">
        <f>SUM(R20:R46)</f>
        <v>1679234.6833333329</v>
      </c>
      <c r="S19" s="10">
        <f>SUM(S20:S46)</f>
        <v>6835</v>
      </c>
      <c r="T19" s="10">
        <f>SUM(T20:T46)</f>
        <v>8606</v>
      </c>
      <c r="U19" s="8">
        <v>1</v>
      </c>
      <c r="V19" s="8">
        <v>1</v>
      </c>
    </row>
    <row r="20" spans="1:23" ht="17.25" customHeight="1" x14ac:dyDescent="0.25">
      <c r="A20" s="37">
        <v>10</v>
      </c>
      <c r="B20" s="38" t="s">
        <v>34</v>
      </c>
      <c r="C20" s="38" t="s">
        <v>35</v>
      </c>
      <c r="D20" s="37" t="s">
        <v>36</v>
      </c>
      <c r="E20" s="38" t="s">
        <v>9</v>
      </c>
      <c r="F20" s="38">
        <v>2</v>
      </c>
      <c r="G20" s="51" t="s">
        <v>37</v>
      </c>
      <c r="H20" s="56"/>
      <c r="I20" s="11">
        <v>43</v>
      </c>
      <c r="J20" s="74">
        <f>I20</f>
        <v>43</v>
      </c>
      <c r="K20" s="12">
        <v>9.6666666666666661</v>
      </c>
      <c r="L20" s="74">
        <f>K20</f>
        <v>9.6666666666666661</v>
      </c>
      <c r="M20" s="13">
        <f t="shared" ref="M20:N35" si="18">I20+(K20*12)</f>
        <v>159</v>
      </c>
      <c r="N20" s="13">
        <f t="shared" si="18"/>
        <v>159</v>
      </c>
      <c r="O20" s="12">
        <v>25</v>
      </c>
      <c r="P20" s="74">
        <f>O20</f>
        <v>25</v>
      </c>
      <c r="Q20" s="27">
        <v>66.55</v>
      </c>
      <c r="R20" s="4">
        <f t="shared" si="5"/>
        <v>1663.75</v>
      </c>
      <c r="S20" s="18">
        <f t="shared" ref="S20:T35" si="19">M20-O20</f>
        <v>134</v>
      </c>
      <c r="T20" s="18">
        <f t="shared" si="19"/>
        <v>134</v>
      </c>
      <c r="U20" s="1"/>
      <c r="V20" s="1">
        <v>1</v>
      </c>
    </row>
    <row r="21" spans="1:23" ht="30.75" customHeight="1" x14ac:dyDescent="0.25">
      <c r="A21" s="37">
        <v>11</v>
      </c>
      <c r="B21" s="38" t="s">
        <v>34</v>
      </c>
      <c r="C21" s="38" t="s">
        <v>38</v>
      </c>
      <c r="D21" s="37" t="s">
        <v>39</v>
      </c>
      <c r="E21" s="38" t="s">
        <v>9</v>
      </c>
      <c r="F21" s="38" t="s">
        <v>98</v>
      </c>
      <c r="G21" s="51" t="s">
        <v>37</v>
      </c>
      <c r="H21" s="56"/>
      <c r="I21" s="11">
        <v>11</v>
      </c>
      <c r="J21" s="74">
        <f>I21</f>
        <v>11</v>
      </c>
      <c r="K21" s="12">
        <v>12</v>
      </c>
      <c r="L21" s="74">
        <f>K21</f>
        <v>12</v>
      </c>
      <c r="M21" s="13">
        <f t="shared" si="18"/>
        <v>155</v>
      </c>
      <c r="N21" s="13">
        <f t="shared" si="18"/>
        <v>155</v>
      </c>
      <c r="O21" s="12">
        <v>50</v>
      </c>
      <c r="P21" s="74">
        <f>O21</f>
        <v>50</v>
      </c>
      <c r="Q21" s="27">
        <v>50.82</v>
      </c>
      <c r="R21" s="4">
        <f t="shared" si="5"/>
        <v>2541</v>
      </c>
      <c r="S21" s="18">
        <f t="shared" si="19"/>
        <v>105</v>
      </c>
      <c r="T21" s="18">
        <f t="shared" si="19"/>
        <v>105</v>
      </c>
      <c r="U21" s="1"/>
      <c r="V21" s="1">
        <v>1</v>
      </c>
      <c r="W21" s="33" t="s">
        <v>105</v>
      </c>
    </row>
    <row r="22" spans="1:23" ht="36" customHeight="1" x14ac:dyDescent="0.25">
      <c r="A22" s="37">
        <v>12</v>
      </c>
      <c r="B22" s="38" t="s">
        <v>40</v>
      </c>
      <c r="C22" s="38" t="s">
        <v>41</v>
      </c>
      <c r="D22" s="37" t="s">
        <v>42</v>
      </c>
      <c r="E22" s="38" t="s">
        <v>9</v>
      </c>
      <c r="F22" s="38">
        <v>5</v>
      </c>
      <c r="G22" s="51" t="s">
        <v>43</v>
      </c>
      <c r="H22" s="56"/>
      <c r="I22" s="11">
        <v>7</v>
      </c>
      <c r="J22" s="74">
        <f t="shared" ref="J22:J49" si="20">I22</f>
        <v>7</v>
      </c>
      <c r="K22" s="12">
        <v>5</v>
      </c>
      <c r="L22" s="74">
        <f t="shared" ref="L22:L49" si="21">K22</f>
        <v>5</v>
      </c>
      <c r="M22" s="13">
        <f t="shared" si="18"/>
        <v>67</v>
      </c>
      <c r="N22" s="13">
        <f t="shared" si="18"/>
        <v>67</v>
      </c>
      <c r="O22" s="12">
        <v>31</v>
      </c>
      <c r="P22" s="74">
        <f t="shared" ref="P22:P49" si="22">O22</f>
        <v>31</v>
      </c>
      <c r="Q22" s="27">
        <v>90.75</v>
      </c>
      <c r="R22" s="4">
        <f t="shared" si="5"/>
        <v>2813.25</v>
      </c>
      <c r="S22" s="18">
        <f t="shared" si="19"/>
        <v>36</v>
      </c>
      <c r="T22" s="18">
        <f t="shared" si="19"/>
        <v>36</v>
      </c>
      <c r="U22" s="1"/>
      <c r="V22" s="1">
        <v>1</v>
      </c>
    </row>
    <row r="23" spans="1:23" ht="24" customHeight="1" x14ac:dyDescent="0.25">
      <c r="A23" s="37">
        <v>13</v>
      </c>
      <c r="B23" s="38" t="s">
        <v>40</v>
      </c>
      <c r="C23" s="38" t="s">
        <v>41</v>
      </c>
      <c r="D23" s="37" t="s">
        <v>106</v>
      </c>
      <c r="E23" s="38" t="s">
        <v>9</v>
      </c>
      <c r="F23" s="38">
        <v>5</v>
      </c>
      <c r="G23" s="51" t="s">
        <v>43</v>
      </c>
      <c r="H23" s="56"/>
      <c r="I23" s="11">
        <v>2</v>
      </c>
      <c r="J23" s="74">
        <f t="shared" si="20"/>
        <v>2</v>
      </c>
      <c r="K23" s="12">
        <v>2</v>
      </c>
      <c r="L23" s="74">
        <f t="shared" si="21"/>
        <v>2</v>
      </c>
      <c r="M23" s="13">
        <f t="shared" si="18"/>
        <v>26</v>
      </c>
      <c r="N23" s="13">
        <f t="shared" si="18"/>
        <v>26</v>
      </c>
      <c r="O23" s="12">
        <v>12</v>
      </c>
      <c r="P23" s="74">
        <f t="shared" si="22"/>
        <v>12</v>
      </c>
      <c r="Q23" s="27">
        <v>48.4</v>
      </c>
      <c r="R23" s="4">
        <f t="shared" si="5"/>
        <v>580.79999999999995</v>
      </c>
      <c r="S23" s="18">
        <f t="shared" si="19"/>
        <v>14</v>
      </c>
      <c r="T23" s="18">
        <f t="shared" si="19"/>
        <v>14</v>
      </c>
      <c r="U23" s="1"/>
      <c r="V23" s="1">
        <v>1</v>
      </c>
      <c r="W23" s="33" t="s">
        <v>107</v>
      </c>
    </row>
    <row r="24" spans="1:23" ht="35.25" customHeight="1" x14ac:dyDescent="0.25">
      <c r="A24" s="37">
        <v>14</v>
      </c>
      <c r="B24" s="38" t="s">
        <v>34</v>
      </c>
      <c r="C24" s="38" t="s">
        <v>44</v>
      </c>
      <c r="D24" s="37" t="s">
        <v>45</v>
      </c>
      <c r="E24" s="38" t="s">
        <v>9</v>
      </c>
      <c r="F24" s="38">
        <v>5</v>
      </c>
      <c r="G24" s="51" t="s">
        <v>37</v>
      </c>
      <c r="H24" s="56"/>
      <c r="I24" s="11">
        <v>16</v>
      </c>
      <c r="J24" s="74">
        <f t="shared" si="20"/>
        <v>16</v>
      </c>
      <c r="K24" s="12">
        <v>57.666666666666664</v>
      </c>
      <c r="L24" s="74">
        <f t="shared" si="21"/>
        <v>57.666666666666664</v>
      </c>
      <c r="M24" s="13">
        <f t="shared" si="18"/>
        <v>708</v>
      </c>
      <c r="N24" s="13">
        <f t="shared" si="18"/>
        <v>708</v>
      </c>
      <c r="O24" s="12">
        <v>50</v>
      </c>
      <c r="P24" s="74">
        <f t="shared" si="22"/>
        <v>50</v>
      </c>
      <c r="Q24" s="27">
        <v>568.48</v>
      </c>
      <c r="R24" s="4">
        <f t="shared" si="5"/>
        <v>28424</v>
      </c>
      <c r="S24" s="18">
        <f t="shared" si="19"/>
        <v>658</v>
      </c>
      <c r="T24" s="18">
        <f t="shared" si="19"/>
        <v>658</v>
      </c>
      <c r="U24" s="1"/>
      <c r="V24" s="1">
        <v>1</v>
      </c>
    </row>
    <row r="25" spans="1:23" ht="36" customHeight="1" x14ac:dyDescent="0.25">
      <c r="A25" s="37">
        <v>15</v>
      </c>
      <c r="B25" s="38" t="s">
        <v>177</v>
      </c>
      <c r="C25" s="38" t="s">
        <v>46</v>
      </c>
      <c r="D25" s="37" t="s">
        <v>178</v>
      </c>
      <c r="E25" s="38" t="s">
        <v>9</v>
      </c>
      <c r="F25" s="38">
        <v>3</v>
      </c>
      <c r="G25" s="51" t="s">
        <v>47</v>
      </c>
      <c r="H25" s="56"/>
      <c r="I25" s="15">
        <v>2</v>
      </c>
      <c r="J25" s="74">
        <f t="shared" si="20"/>
        <v>2</v>
      </c>
      <c r="K25" s="16">
        <v>1</v>
      </c>
      <c r="L25" s="74">
        <f t="shared" si="21"/>
        <v>1</v>
      </c>
      <c r="M25" s="17">
        <f t="shared" si="18"/>
        <v>14</v>
      </c>
      <c r="N25" s="17">
        <f t="shared" si="18"/>
        <v>14</v>
      </c>
      <c r="O25" s="16">
        <v>5</v>
      </c>
      <c r="P25" s="74">
        <f t="shared" si="22"/>
        <v>5</v>
      </c>
      <c r="Q25" s="28">
        <v>204.56</v>
      </c>
      <c r="R25" s="6">
        <f t="shared" si="5"/>
        <v>1022.8</v>
      </c>
      <c r="S25" s="19">
        <f t="shared" si="19"/>
        <v>9</v>
      </c>
      <c r="T25" s="19">
        <f t="shared" si="19"/>
        <v>9</v>
      </c>
      <c r="U25" s="1">
        <v>1</v>
      </c>
      <c r="V25" s="1"/>
    </row>
    <row r="26" spans="1:23" ht="42.75" customHeight="1" x14ac:dyDescent="0.25">
      <c r="A26" s="37" t="s">
        <v>179</v>
      </c>
      <c r="B26" s="38" t="s">
        <v>48</v>
      </c>
      <c r="C26" s="38" t="s">
        <v>49</v>
      </c>
      <c r="D26" s="37" t="s">
        <v>180</v>
      </c>
      <c r="E26" s="38" t="s">
        <v>9</v>
      </c>
      <c r="F26" s="38">
        <v>5</v>
      </c>
      <c r="G26" s="51" t="s">
        <v>47</v>
      </c>
      <c r="H26" s="56"/>
      <c r="I26" s="15">
        <v>3500</v>
      </c>
      <c r="J26" s="75">
        <f>ROUND(I26*1.6,0)</f>
        <v>5600</v>
      </c>
      <c r="K26" s="16">
        <v>200</v>
      </c>
      <c r="L26" s="75">
        <f>ROUND(K26*1.6,0)</f>
        <v>320</v>
      </c>
      <c r="M26" s="17">
        <f t="shared" si="18"/>
        <v>5900</v>
      </c>
      <c r="N26" s="17">
        <f t="shared" si="18"/>
        <v>9440</v>
      </c>
      <c r="O26" s="16">
        <v>2949</v>
      </c>
      <c r="P26" s="75">
        <f>ROUND(O26*1.6,0)</f>
        <v>4718</v>
      </c>
      <c r="Q26" s="28">
        <v>201.5</v>
      </c>
      <c r="R26" s="6">
        <f>Q26*P26-280.8</f>
        <v>950396.2</v>
      </c>
      <c r="S26" s="19">
        <f>M26-O26</f>
        <v>2951</v>
      </c>
      <c r="T26" s="19">
        <f t="shared" si="19"/>
        <v>4722</v>
      </c>
      <c r="U26" s="1">
        <v>1</v>
      </c>
      <c r="V26" s="1"/>
    </row>
    <row r="27" spans="1:23" ht="46.5" customHeight="1" x14ac:dyDescent="0.25">
      <c r="A27" s="37">
        <v>19</v>
      </c>
      <c r="B27" s="38" t="s">
        <v>50</v>
      </c>
      <c r="C27" s="38" t="s">
        <v>51</v>
      </c>
      <c r="D27" s="37" t="s">
        <v>120</v>
      </c>
      <c r="E27" s="38" t="s">
        <v>9</v>
      </c>
      <c r="F27" s="38">
        <v>5</v>
      </c>
      <c r="G27" s="51" t="s">
        <v>52</v>
      </c>
      <c r="H27" s="56"/>
      <c r="I27" s="15">
        <v>186</v>
      </c>
      <c r="J27" s="74">
        <f t="shared" si="20"/>
        <v>186</v>
      </c>
      <c r="K27" s="16">
        <v>20</v>
      </c>
      <c r="L27" s="74">
        <f t="shared" si="21"/>
        <v>20</v>
      </c>
      <c r="M27" s="17">
        <f t="shared" si="18"/>
        <v>426</v>
      </c>
      <c r="N27" s="17">
        <f t="shared" si="18"/>
        <v>426</v>
      </c>
      <c r="O27" s="16">
        <v>100</v>
      </c>
      <c r="P27" s="74">
        <f t="shared" si="22"/>
        <v>100</v>
      </c>
      <c r="Q27" s="28">
        <v>259.44</v>
      </c>
      <c r="R27" s="6">
        <f t="shared" si="5"/>
        <v>25944</v>
      </c>
      <c r="S27" s="19">
        <f t="shared" si="19"/>
        <v>326</v>
      </c>
      <c r="T27" s="19">
        <f t="shared" si="19"/>
        <v>326</v>
      </c>
      <c r="U27" s="1">
        <v>1</v>
      </c>
      <c r="V27" s="1"/>
      <c r="W27" s="33" t="s">
        <v>109</v>
      </c>
    </row>
    <row r="28" spans="1:23" ht="46.5" customHeight="1" x14ac:dyDescent="0.25">
      <c r="A28" s="37">
        <v>20</v>
      </c>
      <c r="B28" s="38" t="s">
        <v>53</v>
      </c>
      <c r="C28" s="38" t="s">
        <v>51</v>
      </c>
      <c r="D28" s="37" t="s">
        <v>54</v>
      </c>
      <c r="E28" s="38" t="s">
        <v>9</v>
      </c>
      <c r="F28" s="38">
        <v>5</v>
      </c>
      <c r="G28" s="51" t="s">
        <v>55</v>
      </c>
      <c r="H28" s="56"/>
      <c r="I28" s="15">
        <v>52</v>
      </c>
      <c r="J28" s="74">
        <f t="shared" si="20"/>
        <v>52</v>
      </c>
      <c r="K28" s="16">
        <v>1.5</v>
      </c>
      <c r="L28" s="74">
        <f t="shared" si="21"/>
        <v>1.5</v>
      </c>
      <c r="M28" s="17">
        <f t="shared" si="18"/>
        <v>70</v>
      </c>
      <c r="N28" s="17">
        <f t="shared" si="18"/>
        <v>70</v>
      </c>
      <c r="O28" s="16">
        <v>10</v>
      </c>
      <c r="P28" s="74">
        <f t="shared" si="22"/>
        <v>10</v>
      </c>
      <c r="Q28" s="28">
        <v>1050</v>
      </c>
      <c r="R28" s="6">
        <f t="shared" si="5"/>
        <v>10500</v>
      </c>
      <c r="S28" s="19">
        <f t="shared" si="19"/>
        <v>60</v>
      </c>
      <c r="T28" s="19">
        <f t="shared" si="19"/>
        <v>60</v>
      </c>
      <c r="U28" s="1">
        <v>1</v>
      </c>
      <c r="V28" s="1"/>
    </row>
    <row r="29" spans="1:23" ht="36" customHeight="1" x14ac:dyDescent="0.25">
      <c r="A29" s="37">
        <v>21</v>
      </c>
      <c r="B29" s="38" t="s">
        <v>6</v>
      </c>
      <c r="C29" s="38" t="s">
        <v>56</v>
      </c>
      <c r="D29" s="37" t="s">
        <v>57</v>
      </c>
      <c r="E29" s="38" t="s">
        <v>9</v>
      </c>
      <c r="F29" s="38">
        <v>2</v>
      </c>
      <c r="G29" s="51" t="s">
        <v>10</v>
      </c>
      <c r="H29" s="56"/>
      <c r="I29" s="11">
        <v>0</v>
      </c>
      <c r="J29" s="74">
        <f t="shared" si="20"/>
        <v>0</v>
      </c>
      <c r="K29" s="12">
        <v>1</v>
      </c>
      <c r="L29" s="74">
        <f t="shared" si="21"/>
        <v>1</v>
      </c>
      <c r="M29" s="13">
        <f t="shared" si="18"/>
        <v>12</v>
      </c>
      <c r="N29" s="13">
        <f t="shared" si="18"/>
        <v>12</v>
      </c>
      <c r="O29" s="12">
        <v>6</v>
      </c>
      <c r="P29" s="74">
        <f t="shared" si="22"/>
        <v>6</v>
      </c>
      <c r="Q29" s="27">
        <v>14</v>
      </c>
      <c r="R29" s="4">
        <f t="shared" si="5"/>
        <v>84</v>
      </c>
      <c r="S29" s="18">
        <f t="shared" si="19"/>
        <v>6</v>
      </c>
      <c r="T29" s="18">
        <f t="shared" si="19"/>
        <v>6</v>
      </c>
      <c r="U29" s="1"/>
      <c r="V29" s="1">
        <v>1</v>
      </c>
    </row>
    <row r="30" spans="1:23" ht="21.75" customHeight="1" x14ac:dyDescent="0.25">
      <c r="A30" s="37">
        <v>22</v>
      </c>
      <c r="B30" s="38" t="s">
        <v>6</v>
      </c>
      <c r="C30" s="38" t="s">
        <v>58</v>
      </c>
      <c r="D30" s="37" t="s">
        <v>59</v>
      </c>
      <c r="E30" s="38" t="s">
        <v>9</v>
      </c>
      <c r="F30" s="38">
        <v>5</v>
      </c>
      <c r="G30" s="51" t="s">
        <v>10</v>
      </c>
      <c r="H30" s="56"/>
      <c r="I30" s="11">
        <v>0</v>
      </c>
      <c r="J30" s="74">
        <f t="shared" si="20"/>
        <v>0</v>
      </c>
      <c r="K30" s="12">
        <v>1</v>
      </c>
      <c r="L30" s="74">
        <f t="shared" si="21"/>
        <v>1</v>
      </c>
      <c r="M30" s="13">
        <f t="shared" si="18"/>
        <v>12</v>
      </c>
      <c r="N30" s="13">
        <f t="shared" si="18"/>
        <v>12</v>
      </c>
      <c r="O30" s="12">
        <v>6</v>
      </c>
      <c r="P30" s="74">
        <f t="shared" si="22"/>
        <v>6</v>
      </c>
      <c r="Q30" s="27">
        <v>871.2</v>
      </c>
      <c r="R30" s="4">
        <f t="shared" si="5"/>
        <v>5227.2000000000007</v>
      </c>
      <c r="S30" s="18">
        <f t="shared" si="19"/>
        <v>6</v>
      </c>
      <c r="T30" s="18">
        <f t="shared" si="19"/>
        <v>6</v>
      </c>
      <c r="U30" s="1"/>
      <c r="V30" s="1">
        <v>1</v>
      </c>
    </row>
    <row r="31" spans="1:23" ht="21.75" customHeight="1" x14ac:dyDescent="0.25">
      <c r="A31" s="37">
        <v>23</v>
      </c>
      <c r="B31" s="38" t="s">
        <v>60</v>
      </c>
      <c r="C31" s="38" t="s">
        <v>61</v>
      </c>
      <c r="D31" s="37" t="s">
        <v>62</v>
      </c>
      <c r="E31" s="38" t="s">
        <v>9</v>
      </c>
      <c r="F31" s="38">
        <v>3</v>
      </c>
      <c r="G31" s="51" t="s">
        <v>10</v>
      </c>
      <c r="H31" s="56"/>
      <c r="I31" s="11">
        <v>31</v>
      </c>
      <c r="J31" s="74">
        <f t="shared" si="20"/>
        <v>31</v>
      </c>
      <c r="K31" s="12">
        <v>38.666666666666664</v>
      </c>
      <c r="L31" s="74">
        <f t="shared" si="21"/>
        <v>38.666666666666664</v>
      </c>
      <c r="M31" s="13">
        <f t="shared" si="18"/>
        <v>495</v>
      </c>
      <c r="N31" s="13">
        <f t="shared" si="18"/>
        <v>495</v>
      </c>
      <c r="O31" s="12">
        <v>50</v>
      </c>
      <c r="P31" s="74">
        <f t="shared" si="22"/>
        <v>50</v>
      </c>
      <c r="Q31" s="27">
        <v>334</v>
      </c>
      <c r="R31" s="4">
        <f t="shared" si="5"/>
        <v>16700</v>
      </c>
      <c r="S31" s="18">
        <f t="shared" si="19"/>
        <v>445</v>
      </c>
      <c r="T31" s="18">
        <f t="shared" si="19"/>
        <v>445</v>
      </c>
      <c r="U31" s="1"/>
      <c r="V31" s="1">
        <v>1</v>
      </c>
    </row>
    <row r="32" spans="1:23" ht="32.25" customHeight="1" x14ac:dyDescent="0.25">
      <c r="A32" s="37">
        <v>24</v>
      </c>
      <c r="B32" s="38" t="s">
        <v>60</v>
      </c>
      <c r="C32" s="38" t="s">
        <v>61</v>
      </c>
      <c r="D32" s="37" t="s">
        <v>108</v>
      </c>
      <c r="E32" s="38" t="s">
        <v>9</v>
      </c>
      <c r="F32" s="38">
        <v>5</v>
      </c>
      <c r="G32" s="51" t="s">
        <v>10</v>
      </c>
      <c r="H32" s="56"/>
      <c r="I32" s="11">
        <v>0</v>
      </c>
      <c r="J32" s="74">
        <f t="shared" si="20"/>
        <v>0</v>
      </c>
      <c r="K32" s="12">
        <v>46</v>
      </c>
      <c r="L32" s="74">
        <f t="shared" si="21"/>
        <v>46</v>
      </c>
      <c r="M32" s="13">
        <f t="shared" si="18"/>
        <v>552</v>
      </c>
      <c r="N32" s="13">
        <f t="shared" si="18"/>
        <v>552</v>
      </c>
      <c r="O32" s="12">
        <v>200</v>
      </c>
      <c r="P32" s="74">
        <f t="shared" si="22"/>
        <v>200</v>
      </c>
      <c r="Q32" s="27">
        <v>725</v>
      </c>
      <c r="R32" s="4">
        <f t="shared" si="5"/>
        <v>145000</v>
      </c>
      <c r="S32" s="18">
        <f t="shared" si="19"/>
        <v>352</v>
      </c>
      <c r="T32" s="18">
        <f t="shared" si="19"/>
        <v>352</v>
      </c>
      <c r="U32" s="1"/>
      <c r="V32" s="1">
        <v>1</v>
      </c>
      <c r="W32" s="33" t="s">
        <v>189</v>
      </c>
    </row>
    <row r="33" spans="1:23" ht="49.5" customHeight="1" x14ac:dyDescent="0.25">
      <c r="A33" s="37">
        <v>25</v>
      </c>
      <c r="B33" s="38" t="s">
        <v>60</v>
      </c>
      <c r="C33" s="38" t="s">
        <v>61</v>
      </c>
      <c r="D33" s="37" t="s">
        <v>63</v>
      </c>
      <c r="E33" s="38" t="s">
        <v>9</v>
      </c>
      <c r="F33" s="38">
        <v>3</v>
      </c>
      <c r="G33" s="51" t="s">
        <v>64</v>
      </c>
      <c r="H33" s="56"/>
      <c r="I33" s="11">
        <v>1</v>
      </c>
      <c r="J33" s="74">
        <f t="shared" si="20"/>
        <v>1</v>
      </c>
      <c r="K33" s="12">
        <v>6.333333333333333</v>
      </c>
      <c r="L33" s="74">
        <f t="shared" si="21"/>
        <v>6.333333333333333</v>
      </c>
      <c r="M33" s="13">
        <f t="shared" si="18"/>
        <v>77</v>
      </c>
      <c r="N33" s="13">
        <f t="shared" si="18"/>
        <v>77</v>
      </c>
      <c r="O33" s="12">
        <v>35</v>
      </c>
      <c r="P33" s="74">
        <f t="shared" si="22"/>
        <v>35</v>
      </c>
      <c r="Q33" s="27">
        <v>145.19999999999999</v>
      </c>
      <c r="R33" s="4">
        <f t="shared" si="5"/>
        <v>5082</v>
      </c>
      <c r="S33" s="18">
        <f t="shared" si="19"/>
        <v>42</v>
      </c>
      <c r="T33" s="18">
        <f t="shared" si="19"/>
        <v>42</v>
      </c>
      <c r="U33" s="1"/>
      <c r="V33" s="1">
        <v>1</v>
      </c>
    </row>
    <row r="34" spans="1:23" ht="25.5" customHeight="1" x14ac:dyDescent="0.25">
      <c r="A34" s="37">
        <v>26</v>
      </c>
      <c r="B34" s="38" t="s">
        <v>147</v>
      </c>
      <c r="C34" s="38" t="s">
        <v>65</v>
      </c>
      <c r="D34" s="37" t="s">
        <v>66</v>
      </c>
      <c r="E34" s="38" t="s">
        <v>9</v>
      </c>
      <c r="F34" s="38">
        <v>5</v>
      </c>
      <c r="G34" s="51" t="s">
        <v>110</v>
      </c>
      <c r="H34" s="56"/>
      <c r="I34" s="11">
        <v>0</v>
      </c>
      <c r="J34" s="74">
        <f t="shared" si="20"/>
        <v>0</v>
      </c>
      <c r="K34" s="12">
        <v>43</v>
      </c>
      <c r="L34" s="74">
        <f t="shared" si="21"/>
        <v>43</v>
      </c>
      <c r="M34" s="13">
        <f t="shared" si="18"/>
        <v>516</v>
      </c>
      <c r="N34" s="13">
        <f t="shared" si="18"/>
        <v>516</v>
      </c>
      <c r="O34" s="12">
        <v>50</v>
      </c>
      <c r="P34" s="74">
        <f t="shared" si="22"/>
        <v>50</v>
      </c>
      <c r="Q34" s="27">
        <f>575/3</f>
        <v>191.66666666666666</v>
      </c>
      <c r="R34" s="4">
        <f t="shared" si="5"/>
        <v>9583.3333333333321</v>
      </c>
      <c r="S34" s="18">
        <f t="shared" si="19"/>
        <v>466</v>
      </c>
      <c r="T34" s="18">
        <f t="shared" si="19"/>
        <v>466</v>
      </c>
      <c r="U34" s="1"/>
      <c r="V34" s="1">
        <v>1</v>
      </c>
      <c r="W34" s="33" t="s">
        <v>126</v>
      </c>
    </row>
    <row r="35" spans="1:23" ht="60.75" customHeight="1" x14ac:dyDescent="0.25">
      <c r="A35" s="37">
        <v>27</v>
      </c>
      <c r="B35" s="38" t="s">
        <v>181</v>
      </c>
      <c r="C35" s="38" t="s">
        <v>67</v>
      </c>
      <c r="D35" s="37" t="s">
        <v>68</v>
      </c>
      <c r="E35" s="38" t="s">
        <v>9</v>
      </c>
      <c r="F35" s="38">
        <v>3</v>
      </c>
      <c r="G35" s="51" t="s">
        <v>69</v>
      </c>
      <c r="H35" s="56"/>
      <c r="I35" s="15">
        <v>227</v>
      </c>
      <c r="J35" s="74">
        <f t="shared" si="20"/>
        <v>227</v>
      </c>
      <c r="K35" s="16">
        <v>10</v>
      </c>
      <c r="L35" s="74">
        <f t="shared" si="21"/>
        <v>10</v>
      </c>
      <c r="M35" s="17">
        <f t="shared" si="18"/>
        <v>347</v>
      </c>
      <c r="N35" s="17">
        <f t="shared" si="18"/>
        <v>347</v>
      </c>
      <c r="O35" s="16">
        <v>100</v>
      </c>
      <c r="P35" s="74">
        <f t="shared" si="22"/>
        <v>100</v>
      </c>
      <c r="Q35" s="28">
        <v>484.78</v>
      </c>
      <c r="R35" s="22">
        <f t="shared" si="5"/>
        <v>48478</v>
      </c>
      <c r="S35" s="19">
        <f t="shared" si="19"/>
        <v>247</v>
      </c>
      <c r="T35" s="19">
        <f t="shared" si="19"/>
        <v>247</v>
      </c>
      <c r="U35" s="1">
        <v>1</v>
      </c>
      <c r="V35" s="1"/>
    </row>
    <row r="36" spans="1:23" x14ac:dyDescent="0.25">
      <c r="A36" s="37">
        <v>28</v>
      </c>
      <c r="B36" s="38" t="s">
        <v>70</v>
      </c>
      <c r="C36" s="38" t="s">
        <v>121</v>
      </c>
      <c r="D36" s="37" t="s">
        <v>122</v>
      </c>
      <c r="E36" s="38" t="s">
        <v>9</v>
      </c>
      <c r="F36" s="38">
        <v>5</v>
      </c>
      <c r="G36" s="51" t="s">
        <v>47</v>
      </c>
      <c r="H36" s="56"/>
      <c r="I36" s="15">
        <v>0</v>
      </c>
      <c r="J36" s="74">
        <f t="shared" si="20"/>
        <v>0</v>
      </c>
      <c r="K36" s="16">
        <v>10</v>
      </c>
      <c r="L36" s="74">
        <f t="shared" si="21"/>
        <v>10</v>
      </c>
      <c r="M36" s="17">
        <f t="shared" ref="M36:N46" si="23">I36+(K36*12)</f>
        <v>120</v>
      </c>
      <c r="N36" s="17">
        <f t="shared" si="23"/>
        <v>120</v>
      </c>
      <c r="O36" s="16">
        <v>120</v>
      </c>
      <c r="P36" s="74">
        <f t="shared" si="22"/>
        <v>120</v>
      </c>
      <c r="Q36" s="28">
        <v>124.22</v>
      </c>
      <c r="R36" s="22">
        <f t="shared" si="5"/>
        <v>14906.4</v>
      </c>
      <c r="S36" s="19">
        <f t="shared" ref="S36:T46" si="24">M36-O36</f>
        <v>0</v>
      </c>
      <c r="T36" s="19">
        <f t="shared" si="24"/>
        <v>0</v>
      </c>
      <c r="U36" s="1">
        <v>1</v>
      </c>
      <c r="V36" s="1"/>
      <c r="W36" s="33" t="s">
        <v>126</v>
      </c>
    </row>
    <row r="37" spans="1:23" ht="40.5" customHeight="1" x14ac:dyDescent="0.25">
      <c r="A37" s="37">
        <v>29</v>
      </c>
      <c r="B37" s="59" t="s">
        <v>71</v>
      </c>
      <c r="C37" s="59" t="s">
        <v>72</v>
      </c>
      <c r="D37" s="58" t="s">
        <v>73</v>
      </c>
      <c r="E37" s="59" t="s">
        <v>9</v>
      </c>
      <c r="F37" s="59">
        <v>5</v>
      </c>
      <c r="G37" s="61" t="s">
        <v>74</v>
      </c>
      <c r="H37" s="57"/>
      <c r="I37" s="15">
        <v>0</v>
      </c>
      <c r="J37" s="74">
        <f t="shared" si="20"/>
        <v>0</v>
      </c>
      <c r="K37" s="16">
        <v>10</v>
      </c>
      <c r="L37" s="74">
        <f t="shared" si="21"/>
        <v>10</v>
      </c>
      <c r="M37" s="17">
        <f t="shared" si="23"/>
        <v>120</v>
      </c>
      <c r="N37" s="17">
        <f t="shared" si="23"/>
        <v>120</v>
      </c>
      <c r="O37" s="16">
        <v>120</v>
      </c>
      <c r="P37" s="74">
        <f t="shared" si="22"/>
        <v>120</v>
      </c>
      <c r="Q37" s="28">
        <v>417.36</v>
      </c>
      <c r="R37" s="23">
        <f t="shared" si="5"/>
        <v>50083.200000000004</v>
      </c>
      <c r="S37" s="18">
        <f t="shared" si="24"/>
        <v>0</v>
      </c>
      <c r="T37" s="18">
        <f t="shared" si="24"/>
        <v>0</v>
      </c>
      <c r="U37" s="24">
        <v>1</v>
      </c>
      <c r="V37" s="24"/>
      <c r="W37" s="32"/>
    </row>
    <row r="38" spans="1:23" ht="117" customHeight="1" x14ac:dyDescent="0.25">
      <c r="A38" s="59">
        <v>30</v>
      </c>
      <c r="B38" s="59" t="s">
        <v>71</v>
      </c>
      <c r="C38" s="59" t="s">
        <v>72</v>
      </c>
      <c r="D38" s="58" t="s">
        <v>75</v>
      </c>
      <c r="E38" s="59" t="s">
        <v>9</v>
      </c>
      <c r="F38" s="59">
        <v>5</v>
      </c>
      <c r="G38" s="61" t="s">
        <v>76</v>
      </c>
      <c r="H38" s="57"/>
      <c r="I38" s="15">
        <v>0</v>
      </c>
      <c r="J38" s="74">
        <f t="shared" si="20"/>
        <v>0</v>
      </c>
      <c r="K38" s="16">
        <v>10</v>
      </c>
      <c r="L38" s="74">
        <f t="shared" si="21"/>
        <v>10</v>
      </c>
      <c r="M38" s="17">
        <f t="shared" si="23"/>
        <v>120</v>
      </c>
      <c r="N38" s="17">
        <f>J38+(L38*12)</f>
        <v>120</v>
      </c>
      <c r="O38" s="16">
        <v>120</v>
      </c>
      <c r="P38" s="74">
        <f t="shared" si="22"/>
        <v>120</v>
      </c>
      <c r="Q38" s="28">
        <v>347.92</v>
      </c>
      <c r="R38" s="23">
        <f t="shared" si="5"/>
        <v>41750.400000000001</v>
      </c>
      <c r="S38" s="18">
        <f t="shared" si="24"/>
        <v>0</v>
      </c>
      <c r="T38" s="18">
        <f t="shared" si="24"/>
        <v>0</v>
      </c>
      <c r="U38" s="24">
        <v>1</v>
      </c>
      <c r="V38" s="24"/>
      <c r="W38" s="32" t="s">
        <v>126</v>
      </c>
    </row>
    <row r="39" spans="1:23" ht="42.75" customHeight="1" x14ac:dyDescent="0.25">
      <c r="A39" s="37">
        <v>31</v>
      </c>
      <c r="B39" s="38" t="s">
        <v>77</v>
      </c>
      <c r="C39" s="38" t="s">
        <v>78</v>
      </c>
      <c r="D39" s="37" t="s">
        <v>99</v>
      </c>
      <c r="E39" s="38" t="s">
        <v>9</v>
      </c>
      <c r="F39" s="38">
        <v>2</v>
      </c>
      <c r="G39" s="51" t="s">
        <v>10</v>
      </c>
      <c r="H39" s="56"/>
      <c r="I39" s="11">
        <v>31</v>
      </c>
      <c r="J39" s="74">
        <f t="shared" si="20"/>
        <v>31</v>
      </c>
      <c r="K39" s="12">
        <v>23</v>
      </c>
      <c r="L39" s="74">
        <f t="shared" si="21"/>
        <v>23</v>
      </c>
      <c r="M39" s="13">
        <f t="shared" si="23"/>
        <v>307</v>
      </c>
      <c r="N39" s="13">
        <f t="shared" si="23"/>
        <v>307</v>
      </c>
      <c r="O39" s="12">
        <v>150</v>
      </c>
      <c r="P39" s="74">
        <f t="shared" si="22"/>
        <v>150</v>
      </c>
      <c r="Q39" s="27">
        <v>70.41</v>
      </c>
      <c r="R39" s="23">
        <f t="shared" si="5"/>
        <v>10561.5</v>
      </c>
      <c r="S39" s="18">
        <f t="shared" si="24"/>
        <v>157</v>
      </c>
      <c r="T39" s="18">
        <f t="shared" si="24"/>
        <v>157</v>
      </c>
      <c r="U39" s="1"/>
      <c r="V39" s="1">
        <v>1</v>
      </c>
      <c r="W39" s="33" t="s">
        <v>111</v>
      </c>
    </row>
    <row r="40" spans="1:23" ht="20.25" customHeight="1" x14ac:dyDescent="0.25">
      <c r="A40" s="37">
        <v>32</v>
      </c>
      <c r="B40" s="38" t="s">
        <v>148</v>
      </c>
      <c r="C40" s="38" t="s">
        <v>79</v>
      </c>
      <c r="D40" s="37" t="s">
        <v>80</v>
      </c>
      <c r="E40" s="38" t="s">
        <v>9</v>
      </c>
      <c r="F40" s="38">
        <v>5</v>
      </c>
      <c r="G40" s="51" t="s">
        <v>110</v>
      </c>
      <c r="H40" s="56"/>
      <c r="I40" s="11">
        <v>0</v>
      </c>
      <c r="J40" s="74">
        <f t="shared" si="20"/>
        <v>0</v>
      </c>
      <c r="K40" s="12">
        <v>30</v>
      </c>
      <c r="L40" s="74">
        <f t="shared" si="21"/>
        <v>30</v>
      </c>
      <c r="M40" s="13">
        <f t="shared" si="23"/>
        <v>360</v>
      </c>
      <c r="N40" s="13">
        <f t="shared" si="23"/>
        <v>360</v>
      </c>
      <c r="O40" s="12">
        <v>95</v>
      </c>
      <c r="P40" s="74">
        <f t="shared" si="22"/>
        <v>95</v>
      </c>
      <c r="Q40" s="27">
        <v>2500</v>
      </c>
      <c r="R40" s="4">
        <f t="shared" si="5"/>
        <v>237500</v>
      </c>
      <c r="S40" s="18">
        <f t="shared" si="24"/>
        <v>265</v>
      </c>
      <c r="T40" s="18">
        <f t="shared" si="24"/>
        <v>265</v>
      </c>
      <c r="U40" s="1"/>
      <c r="V40" s="1">
        <v>1</v>
      </c>
      <c r="W40" s="33" t="s">
        <v>126</v>
      </c>
    </row>
    <row r="41" spans="1:23" ht="22.5" customHeight="1" x14ac:dyDescent="0.25">
      <c r="A41" s="37">
        <v>33</v>
      </c>
      <c r="B41" s="38" t="s">
        <v>6</v>
      </c>
      <c r="C41" s="38" t="s">
        <v>81</v>
      </c>
      <c r="D41" s="37" t="s">
        <v>82</v>
      </c>
      <c r="E41" s="38" t="s">
        <v>9</v>
      </c>
      <c r="F41" s="38">
        <v>7</v>
      </c>
      <c r="G41" s="51" t="s">
        <v>112</v>
      </c>
      <c r="H41" s="56"/>
      <c r="I41" s="11">
        <v>0</v>
      </c>
      <c r="J41" s="74">
        <f t="shared" si="20"/>
        <v>0</v>
      </c>
      <c r="K41" s="12">
        <v>2</v>
      </c>
      <c r="L41" s="74">
        <f t="shared" si="21"/>
        <v>2</v>
      </c>
      <c r="M41" s="13">
        <f t="shared" si="23"/>
        <v>24</v>
      </c>
      <c r="N41" s="13">
        <f t="shared" si="23"/>
        <v>24</v>
      </c>
      <c r="O41" s="12">
        <v>10</v>
      </c>
      <c r="P41" s="74">
        <f t="shared" si="22"/>
        <v>10</v>
      </c>
      <c r="Q41" s="27">
        <v>2500</v>
      </c>
      <c r="R41" s="4">
        <f t="shared" si="5"/>
        <v>25000</v>
      </c>
      <c r="S41" s="18">
        <f t="shared" si="24"/>
        <v>14</v>
      </c>
      <c r="T41" s="18">
        <f t="shared" si="24"/>
        <v>14</v>
      </c>
      <c r="U41" s="1"/>
      <c r="V41" s="1">
        <v>1</v>
      </c>
      <c r="W41" s="33" t="s">
        <v>126</v>
      </c>
    </row>
    <row r="42" spans="1:23" ht="30" customHeight="1" x14ac:dyDescent="0.25">
      <c r="A42" s="37">
        <v>34</v>
      </c>
      <c r="B42" s="38" t="s">
        <v>77</v>
      </c>
      <c r="C42" s="38" t="s">
        <v>78</v>
      </c>
      <c r="D42" s="37" t="s">
        <v>83</v>
      </c>
      <c r="E42" s="38" t="s">
        <v>9</v>
      </c>
      <c r="F42" s="38">
        <v>5</v>
      </c>
      <c r="G42" s="51" t="s">
        <v>74</v>
      </c>
      <c r="H42" s="56"/>
      <c r="I42" s="11">
        <v>231</v>
      </c>
      <c r="J42" s="74">
        <f t="shared" si="20"/>
        <v>231</v>
      </c>
      <c r="K42" s="12">
        <v>10</v>
      </c>
      <c r="L42" s="74">
        <f t="shared" si="21"/>
        <v>10</v>
      </c>
      <c r="M42" s="13">
        <f>I42+(K42*12)</f>
        <v>351</v>
      </c>
      <c r="N42" s="13">
        <f t="shared" si="23"/>
        <v>351</v>
      </c>
      <c r="O42" s="12">
        <v>101</v>
      </c>
      <c r="P42" s="74">
        <f t="shared" si="22"/>
        <v>101</v>
      </c>
      <c r="Q42" s="27">
        <v>70</v>
      </c>
      <c r="R42" s="4">
        <f t="shared" si="5"/>
        <v>7070</v>
      </c>
      <c r="S42" s="18">
        <f>M42-O42</f>
        <v>250</v>
      </c>
      <c r="T42" s="18">
        <f t="shared" si="24"/>
        <v>250</v>
      </c>
      <c r="U42" s="1">
        <v>1</v>
      </c>
      <c r="V42" s="1"/>
    </row>
    <row r="43" spans="1:23" ht="30" customHeight="1" x14ac:dyDescent="0.25">
      <c r="A43" s="37">
        <v>35</v>
      </c>
      <c r="B43" s="38" t="s">
        <v>182</v>
      </c>
      <c r="C43" s="38" t="s">
        <v>183</v>
      </c>
      <c r="D43" s="37" t="s">
        <v>184</v>
      </c>
      <c r="E43" s="38" t="s">
        <v>9</v>
      </c>
      <c r="F43" s="38">
        <v>5</v>
      </c>
      <c r="G43" s="51" t="s">
        <v>185</v>
      </c>
      <c r="H43" s="56"/>
      <c r="I43" s="11">
        <v>0</v>
      </c>
      <c r="J43" s="74">
        <f t="shared" si="20"/>
        <v>0</v>
      </c>
      <c r="K43" s="12">
        <v>15</v>
      </c>
      <c r="L43" s="74">
        <f t="shared" si="21"/>
        <v>15</v>
      </c>
      <c r="M43" s="13">
        <f>I43+(K43*12)</f>
        <v>180</v>
      </c>
      <c r="N43" s="13">
        <f t="shared" si="23"/>
        <v>180</v>
      </c>
      <c r="O43" s="12">
        <v>90</v>
      </c>
      <c r="P43" s="74">
        <f t="shared" si="22"/>
        <v>90</v>
      </c>
      <c r="Q43" s="27">
        <v>187</v>
      </c>
      <c r="R43" s="4">
        <f>Q43*P43</f>
        <v>16830</v>
      </c>
      <c r="S43" s="18">
        <f>M43-O43</f>
        <v>90</v>
      </c>
      <c r="T43" s="18">
        <f t="shared" si="24"/>
        <v>90</v>
      </c>
      <c r="U43" s="1"/>
      <c r="V43" s="1"/>
    </row>
    <row r="44" spans="1:23" ht="63.75" customHeight="1" x14ac:dyDescent="0.25">
      <c r="A44" s="37">
        <v>36</v>
      </c>
      <c r="B44" s="38" t="s">
        <v>84</v>
      </c>
      <c r="C44" s="38" t="s">
        <v>79</v>
      </c>
      <c r="D44" s="37" t="s">
        <v>85</v>
      </c>
      <c r="E44" s="38" t="s">
        <v>9</v>
      </c>
      <c r="F44" s="38">
        <v>5</v>
      </c>
      <c r="G44" s="51" t="s">
        <v>86</v>
      </c>
      <c r="H44" s="56"/>
      <c r="I44" s="11">
        <v>5</v>
      </c>
      <c r="J44" s="74">
        <f t="shared" si="20"/>
        <v>5</v>
      </c>
      <c r="K44" s="12">
        <v>5</v>
      </c>
      <c r="L44" s="74">
        <f t="shared" si="21"/>
        <v>5</v>
      </c>
      <c r="M44" s="13">
        <f t="shared" si="23"/>
        <v>65</v>
      </c>
      <c r="N44" s="13">
        <f t="shared" si="23"/>
        <v>65</v>
      </c>
      <c r="O44" s="12">
        <v>30</v>
      </c>
      <c r="P44" s="74">
        <f t="shared" si="22"/>
        <v>30</v>
      </c>
      <c r="Q44" s="27">
        <v>154.88</v>
      </c>
      <c r="R44" s="4">
        <f t="shared" si="5"/>
        <v>4646.3999999999996</v>
      </c>
      <c r="S44" s="18">
        <f t="shared" si="24"/>
        <v>35</v>
      </c>
      <c r="T44" s="18">
        <f t="shared" si="24"/>
        <v>35</v>
      </c>
      <c r="U44" s="1"/>
      <c r="V44" s="1">
        <v>1</v>
      </c>
    </row>
    <row r="45" spans="1:23" ht="53.25" customHeight="1" x14ac:dyDescent="0.25">
      <c r="A45" s="60">
        <v>37</v>
      </c>
      <c r="B45" s="59" t="s">
        <v>87</v>
      </c>
      <c r="C45" s="59" t="s">
        <v>88</v>
      </c>
      <c r="D45" s="58" t="s">
        <v>89</v>
      </c>
      <c r="E45" s="59" t="s">
        <v>9</v>
      </c>
      <c r="F45" s="59">
        <v>5</v>
      </c>
      <c r="G45" s="61" t="s">
        <v>10</v>
      </c>
      <c r="H45" s="57"/>
      <c r="I45" s="11">
        <v>1</v>
      </c>
      <c r="J45" s="74">
        <f t="shared" si="20"/>
        <v>1</v>
      </c>
      <c r="K45" s="12">
        <v>6.333333333333333</v>
      </c>
      <c r="L45" s="74">
        <f t="shared" si="21"/>
        <v>6.333333333333333</v>
      </c>
      <c r="M45" s="13">
        <f t="shared" si="23"/>
        <v>77</v>
      </c>
      <c r="N45" s="13">
        <f t="shared" si="23"/>
        <v>77</v>
      </c>
      <c r="O45" s="12">
        <v>5</v>
      </c>
      <c r="P45" s="74">
        <f t="shared" si="22"/>
        <v>5</v>
      </c>
      <c r="Q45" s="27">
        <v>1269.29</v>
      </c>
      <c r="R45" s="4">
        <f t="shared" si="5"/>
        <v>6346.45</v>
      </c>
      <c r="S45" s="18">
        <f t="shared" si="24"/>
        <v>72</v>
      </c>
      <c r="T45" s="18">
        <f t="shared" si="24"/>
        <v>72</v>
      </c>
      <c r="U45" s="1"/>
      <c r="V45" s="1">
        <v>1</v>
      </c>
    </row>
    <row r="46" spans="1:23" x14ac:dyDescent="0.25">
      <c r="A46" s="37">
        <v>38</v>
      </c>
      <c r="B46" s="38" t="s">
        <v>87</v>
      </c>
      <c r="C46" s="38" t="s">
        <v>90</v>
      </c>
      <c r="D46" s="37" t="s">
        <v>113</v>
      </c>
      <c r="E46" s="38" t="s">
        <v>9</v>
      </c>
      <c r="F46" s="38">
        <v>5</v>
      </c>
      <c r="G46" s="51" t="s">
        <v>10</v>
      </c>
      <c r="H46" s="56"/>
      <c r="I46" s="11">
        <v>0</v>
      </c>
      <c r="J46" s="74">
        <f t="shared" si="20"/>
        <v>0</v>
      </c>
      <c r="K46" s="12">
        <v>9.6666666666666661</v>
      </c>
      <c r="L46" s="74">
        <f t="shared" si="21"/>
        <v>9.6666666666666661</v>
      </c>
      <c r="M46" s="13">
        <f t="shared" si="23"/>
        <v>116</v>
      </c>
      <c r="N46" s="13">
        <f t="shared" si="23"/>
        <v>116</v>
      </c>
      <c r="O46" s="12">
        <v>21</v>
      </c>
      <c r="P46" s="74">
        <f t="shared" si="22"/>
        <v>21</v>
      </c>
      <c r="Q46" s="27">
        <v>500</v>
      </c>
      <c r="R46" s="4">
        <f t="shared" si="5"/>
        <v>10500</v>
      </c>
      <c r="S46" s="18">
        <f t="shared" si="24"/>
        <v>95</v>
      </c>
      <c r="T46" s="18">
        <f t="shared" si="24"/>
        <v>95</v>
      </c>
      <c r="U46" s="1"/>
      <c r="V46" s="1">
        <v>1</v>
      </c>
      <c r="W46" s="33" t="s">
        <v>109</v>
      </c>
    </row>
    <row r="47" spans="1:23" ht="20.25" customHeight="1" x14ac:dyDescent="0.25">
      <c r="A47" s="48"/>
      <c r="B47" s="49"/>
      <c r="C47" s="50">
        <v>27</v>
      </c>
      <c r="D47" s="91" t="s">
        <v>91</v>
      </c>
      <c r="E47" s="91"/>
      <c r="F47" s="91"/>
      <c r="G47" s="91"/>
      <c r="H47" s="137"/>
      <c r="I47" s="10">
        <f>I48+I49</f>
        <v>13</v>
      </c>
      <c r="J47" s="10">
        <f t="shared" ref="J47:R47" si="25">J48+J49</f>
        <v>13</v>
      </c>
      <c r="K47" s="10">
        <f t="shared" si="25"/>
        <v>13</v>
      </c>
      <c r="L47" s="10">
        <f t="shared" si="25"/>
        <v>13</v>
      </c>
      <c r="M47" s="10">
        <f t="shared" si="25"/>
        <v>169</v>
      </c>
      <c r="N47" s="10">
        <f t="shared" si="25"/>
        <v>169</v>
      </c>
      <c r="O47" s="10">
        <f t="shared" si="25"/>
        <v>78</v>
      </c>
      <c r="P47" s="10">
        <f t="shared" si="25"/>
        <v>78</v>
      </c>
      <c r="Q47" s="25" t="s">
        <v>119</v>
      </c>
      <c r="R47" s="3">
        <f t="shared" si="25"/>
        <v>6521.9</v>
      </c>
      <c r="S47" s="10">
        <f>S48+S49</f>
        <v>91</v>
      </c>
      <c r="T47" s="10">
        <f>T48+T49</f>
        <v>91</v>
      </c>
      <c r="U47" s="8"/>
      <c r="V47" s="8">
        <v>1</v>
      </c>
    </row>
    <row r="48" spans="1:23" ht="30" x14ac:dyDescent="0.25">
      <c r="A48" s="37">
        <v>39</v>
      </c>
      <c r="B48" s="38" t="s">
        <v>6</v>
      </c>
      <c r="C48" s="38" t="s">
        <v>92</v>
      </c>
      <c r="D48" s="37" t="s">
        <v>93</v>
      </c>
      <c r="E48" s="38" t="s">
        <v>9</v>
      </c>
      <c r="F48" s="38">
        <v>3</v>
      </c>
      <c r="G48" s="51" t="s">
        <v>10</v>
      </c>
      <c r="H48" s="56"/>
      <c r="I48" s="11">
        <v>11</v>
      </c>
      <c r="J48" s="74">
        <f t="shared" si="20"/>
        <v>11</v>
      </c>
      <c r="K48" s="12">
        <v>9</v>
      </c>
      <c r="L48" s="74">
        <f t="shared" si="21"/>
        <v>9</v>
      </c>
      <c r="M48" s="13">
        <f t="shared" ref="M48:N49" si="26">I48+(K48*12)</f>
        <v>119</v>
      </c>
      <c r="N48" s="13">
        <f t="shared" si="26"/>
        <v>119</v>
      </c>
      <c r="O48" s="12">
        <v>55</v>
      </c>
      <c r="P48" s="74">
        <f t="shared" si="22"/>
        <v>55</v>
      </c>
      <c r="Q48" s="27">
        <v>35.090000000000003</v>
      </c>
      <c r="R48" s="4">
        <f t="shared" si="5"/>
        <v>1929.9500000000003</v>
      </c>
      <c r="S48" s="18">
        <f t="shared" ref="S48:T49" si="27">M48-O48</f>
        <v>64</v>
      </c>
      <c r="T48" s="18">
        <f t="shared" si="27"/>
        <v>64</v>
      </c>
      <c r="U48" s="1"/>
      <c r="V48" s="1">
        <v>1</v>
      </c>
    </row>
    <row r="49" spans="1:23" x14ac:dyDescent="0.25">
      <c r="A49" s="37">
        <v>40</v>
      </c>
      <c r="B49" s="38" t="s">
        <v>6</v>
      </c>
      <c r="C49" s="38" t="s">
        <v>94</v>
      </c>
      <c r="D49" s="37" t="s">
        <v>95</v>
      </c>
      <c r="E49" s="38" t="s">
        <v>9</v>
      </c>
      <c r="F49" s="38">
        <v>5</v>
      </c>
      <c r="G49" s="51" t="s">
        <v>10</v>
      </c>
      <c r="H49" s="56"/>
      <c r="I49" s="11">
        <v>2</v>
      </c>
      <c r="J49" s="74">
        <f t="shared" si="20"/>
        <v>2</v>
      </c>
      <c r="K49" s="12">
        <v>4</v>
      </c>
      <c r="L49" s="74">
        <f t="shared" si="21"/>
        <v>4</v>
      </c>
      <c r="M49" s="13">
        <f t="shared" si="26"/>
        <v>50</v>
      </c>
      <c r="N49" s="13">
        <f t="shared" si="26"/>
        <v>50</v>
      </c>
      <c r="O49" s="12">
        <v>23</v>
      </c>
      <c r="P49" s="74">
        <f t="shared" si="22"/>
        <v>23</v>
      </c>
      <c r="Q49" s="27">
        <v>199.65</v>
      </c>
      <c r="R49" s="4">
        <f t="shared" si="5"/>
        <v>4591.95</v>
      </c>
      <c r="S49" s="18">
        <f t="shared" si="27"/>
        <v>27</v>
      </c>
      <c r="T49" s="18">
        <f t="shared" si="27"/>
        <v>27</v>
      </c>
      <c r="U49" s="1"/>
      <c r="V49" s="1">
        <v>1</v>
      </c>
    </row>
    <row r="50" spans="1:23" x14ac:dyDescent="0.25">
      <c r="I50" s="20">
        <f t="shared" ref="I50:P50" si="28">I6+I11+I13+I16+I19+I47</f>
        <v>4481</v>
      </c>
      <c r="J50" s="20">
        <f t="shared" si="28"/>
        <v>6581</v>
      </c>
      <c r="K50" s="20">
        <f t="shared" si="28"/>
        <v>735.83333333333326</v>
      </c>
      <c r="L50" s="20">
        <f t="shared" si="28"/>
        <v>855.83333333333337</v>
      </c>
      <c r="M50" s="20">
        <f t="shared" si="28"/>
        <v>13311</v>
      </c>
      <c r="N50" s="20">
        <f t="shared" si="28"/>
        <v>16851</v>
      </c>
      <c r="O50" s="20">
        <f t="shared" si="28"/>
        <v>5197</v>
      </c>
      <c r="P50" s="20">
        <f t="shared" si="28"/>
        <v>6966</v>
      </c>
      <c r="Q50" s="26" t="s">
        <v>119</v>
      </c>
      <c r="R50" s="20">
        <f>R6+R11+R13+R16+R19+R47</f>
        <v>1894718.0033333327</v>
      </c>
      <c r="S50" s="20">
        <f>S6+S11+S13+S16+S19+S47</f>
        <v>8114</v>
      </c>
      <c r="T50" s="20">
        <f>T6+T11+T13+T16+T19+T47</f>
        <v>9885</v>
      </c>
    </row>
    <row r="51" spans="1:23" x14ac:dyDescent="0.25">
      <c r="I51" s="21">
        <f>I25+I26+I27+I28+I35+I36+I37+I38+I42+I43</f>
        <v>4198</v>
      </c>
      <c r="J51" s="21">
        <f t="shared" ref="J51:P51" si="29">J25+J26+J27+J28+J35+J36+J37+J38+J42+J43</f>
        <v>6298</v>
      </c>
      <c r="K51" s="21">
        <f t="shared" si="29"/>
        <v>287.5</v>
      </c>
      <c r="L51" s="21">
        <f t="shared" si="29"/>
        <v>407.5</v>
      </c>
      <c r="M51" s="21">
        <f t="shared" si="29"/>
        <v>7648</v>
      </c>
      <c r="N51" s="21">
        <f t="shared" si="29"/>
        <v>11188</v>
      </c>
      <c r="O51" s="21">
        <f t="shared" si="29"/>
        <v>3715</v>
      </c>
      <c r="P51" s="21">
        <f t="shared" si="29"/>
        <v>5484</v>
      </c>
      <c r="Q51" s="21"/>
      <c r="R51" s="21">
        <f>R25+R26+R27+R28+R35+R36+R37+R38+R42+R43</f>
        <v>1166980.9999999998</v>
      </c>
      <c r="S51" s="21">
        <f>S25+S26+S27+S28+S35+S36+S37+S38+S42+S43</f>
        <v>3933</v>
      </c>
      <c r="T51" s="21">
        <f>T25+T26+T27+T28+T35+T36+T37+T38+T42+T43</f>
        <v>5704</v>
      </c>
    </row>
    <row r="52" spans="1:23" x14ac:dyDescent="0.25">
      <c r="P52" s="89" t="s">
        <v>131</v>
      </c>
      <c r="Q52" s="90" t="s">
        <v>131</v>
      </c>
      <c r="R52" s="21">
        <v>1166981</v>
      </c>
    </row>
    <row r="53" spans="1:23" x14ac:dyDescent="0.25">
      <c r="P53" s="89" t="s">
        <v>132</v>
      </c>
      <c r="Q53" s="90" t="s">
        <v>132</v>
      </c>
      <c r="R53" s="21">
        <f>R51-R52</f>
        <v>0</v>
      </c>
    </row>
    <row r="55" spans="1:23" x14ac:dyDescent="0.25">
      <c r="I55" s="21">
        <f t="shared" ref="I55:P55" si="30">I7+I8+I9+I10+I12+I14+I15+I17+I18+I20+I21+I22+I23+I24+I29+I30+I31+I32+I33+I34+I39+I40+I41+I44+I46+I48+I49+I45</f>
        <v>283</v>
      </c>
      <c r="J55" s="21">
        <f t="shared" si="30"/>
        <v>283</v>
      </c>
      <c r="K55" s="21">
        <f t="shared" si="30"/>
        <v>448.33333333333331</v>
      </c>
      <c r="L55" s="21">
        <f t="shared" si="30"/>
        <v>448.33333333333331</v>
      </c>
      <c r="M55" s="21">
        <f t="shared" si="30"/>
        <v>5663</v>
      </c>
      <c r="N55" s="21">
        <f t="shared" si="30"/>
        <v>5663</v>
      </c>
      <c r="O55" s="21">
        <f t="shared" si="30"/>
        <v>1482</v>
      </c>
      <c r="P55" s="21">
        <f t="shared" si="30"/>
        <v>1482</v>
      </c>
      <c r="Q55" s="21"/>
      <c r="R55" s="21">
        <f>R7+R8+R9+R10+R12+R14+R15+R17+R18+R20+R21+R22+R23+R24+R29+R30+R31+R32+R33+R34+R39+R40+R41+R44+R46+R48+R49+R45</f>
        <v>727737.00333333318</v>
      </c>
      <c r="S55" s="21">
        <f>S7+S8+S9+S10+S12+S14+S15+S17+S18+S20+S21+S22+S23+S24+S29+S30+S31+S32+S33+S34+S39+S40+S41+S44+S46+S48+S49+S45</f>
        <v>4181</v>
      </c>
      <c r="T55" s="21">
        <f t="shared" ref="T55" si="31">T7+T8+T9+T10+T12+T14+T15+T17+T18+T20+T21+T22+T23+T24+T29+T30+T31+T32+T33+T34+T39+T40+T41+T44+T46+T48+T49+T45</f>
        <v>4181</v>
      </c>
      <c r="U55" s="21"/>
      <c r="V55" s="21"/>
      <c r="W55" s="21"/>
    </row>
    <row r="56" spans="1:23" x14ac:dyDescent="0.25">
      <c r="P56" s="89" t="s">
        <v>133</v>
      </c>
      <c r="Q56" s="90" t="s">
        <v>131</v>
      </c>
      <c r="R56" s="55">
        <v>727737</v>
      </c>
    </row>
    <row r="57" spans="1:23" x14ac:dyDescent="0.25">
      <c r="P57" s="89" t="s">
        <v>134</v>
      </c>
      <c r="Q57" s="90" t="s">
        <v>132</v>
      </c>
      <c r="R57" s="21">
        <f>R55-R56</f>
        <v>3.3333331812173128E-3</v>
      </c>
    </row>
    <row r="59" spans="1:23" x14ac:dyDescent="0.25">
      <c r="Q59" s="139" t="s">
        <v>135</v>
      </c>
      <c r="R59" s="21">
        <f>R52+R56</f>
        <v>1894718</v>
      </c>
    </row>
    <row r="60" spans="1:23" ht="19.5" x14ac:dyDescent="0.25">
      <c r="O60" s="140"/>
      <c r="P60" s="140"/>
      <c r="Q60" s="141" t="s">
        <v>137</v>
      </c>
      <c r="R60" s="142">
        <f>R50-R59</f>
        <v>3.3333327155560255E-3</v>
      </c>
    </row>
    <row r="61" spans="1:23" x14ac:dyDescent="0.25">
      <c r="R61" s="21">
        <f>R50-R52-R56-R57-R53</f>
        <v>-4.6566128730773926E-10</v>
      </c>
    </row>
    <row r="62" spans="1:23" x14ac:dyDescent="0.25">
      <c r="I62" s="21">
        <f>I50-I51-I55</f>
        <v>0</v>
      </c>
      <c r="J62" s="21">
        <f t="shared" ref="J62:P62" si="32">J50-J51-J55</f>
        <v>0</v>
      </c>
      <c r="K62" s="21">
        <f t="shared" si="32"/>
        <v>0</v>
      </c>
      <c r="L62" s="21">
        <f t="shared" si="32"/>
        <v>0</v>
      </c>
      <c r="M62" s="21">
        <f t="shared" si="32"/>
        <v>0</v>
      </c>
      <c r="N62" s="21">
        <f t="shared" si="32"/>
        <v>0</v>
      </c>
      <c r="O62" s="21">
        <f t="shared" si="32"/>
        <v>0</v>
      </c>
      <c r="P62" s="21">
        <f t="shared" si="32"/>
        <v>0</v>
      </c>
      <c r="Q62" s="21"/>
      <c r="R62" s="21">
        <f>R50-R51-R55</f>
        <v>0</v>
      </c>
      <c r="S62" s="21">
        <f>S50-S51-S55</f>
        <v>0</v>
      </c>
      <c r="T62" s="21">
        <f>T50-T51-T55</f>
        <v>0</v>
      </c>
    </row>
    <row r="64" spans="1:23" x14ac:dyDescent="0.25">
      <c r="I64" s="21"/>
      <c r="J64" s="21"/>
      <c r="K64" s="21"/>
      <c r="L64" s="21"/>
      <c r="M64" s="21"/>
      <c r="N64" s="21"/>
      <c r="O64" s="21"/>
      <c r="P64" s="21"/>
      <c r="Q64" s="21"/>
      <c r="R64" s="21"/>
      <c r="S64" s="21"/>
      <c r="T64" s="21"/>
      <c r="U64" s="21"/>
    </row>
  </sheetData>
  <mergeCells count="20">
    <mergeCell ref="A1:T1"/>
    <mergeCell ref="I2:R2"/>
    <mergeCell ref="A3:G3"/>
    <mergeCell ref="I3:J3"/>
    <mergeCell ref="K3:L3"/>
    <mergeCell ref="M3:N3"/>
    <mergeCell ref="O3:P3"/>
    <mergeCell ref="Q3:Q4"/>
    <mergeCell ref="R3:R4"/>
    <mergeCell ref="S3:T3"/>
    <mergeCell ref="P52:Q52"/>
    <mergeCell ref="P53:Q53"/>
    <mergeCell ref="P56:Q56"/>
    <mergeCell ref="P57:Q57"/>
    <mergeCell ref="D6:G6"/>
    <mergeCell ref="D11:G11"/>
    <mergeCell ref="D13:G13"/>
    <mergeCell ref="D16:G16"/>
    <mergeCell ref="D19:G19"/>
    <mergeCell ref="D47:G47"/>
  </mergeCells>
  <pageMargins left="0.51181102362204722" right="0.31496062992125984" top="0.94488188976377963" bottom="0.59055118110236227"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404FA-4B2D-467B-9298-57526793165C}">
  <sheetPr>
    <tabColor theme="0" tint="-0.249977111117893"/>
  </sheetPr>
  <dimension ref="A1:Z64"/>
  <sheetViews>
    <sheetView zoomScale="60" zoomScaleNormal="60" workbookViewId="0">
      <pane ySplit="5" topLeftCell="A6" activePane="bottomLeft" state="frozen"/>
      <selection activeCell="D1" sqref="D1"/>
      <selection pane="bottomLeft" activeCell="O61" sqref="O61"/>
    </sheetView>
  </sheetViews>
  <sheetFormatPr defaultColWidth="9.140625" defaultRowHeight="15" x14ac:dyDescent="0.25"/>
  <cols>
    <col min="1" max="1" width="4" style="53" customWidth="1"/>
    <col min="2" max="2" width="13" style="54" customWidth="1"/>
    <col min="3" max="3" width="11.7109375" style="54" customWidth="1"/>
    <col min="4" max="4" width="31.140625" style="53" customWidth="1"/>
    <col min="5" max="5" width="12.140625" style="54" customWidth="1"/>
    <col min="6" max="6" width="8.85546875" style="54" customWidth="1"/>
    <col min="7" max="7" width="33.85546875" style="55" customWidth="1"/>
    <col min="8" max="8" width="2.140625" style="55" customWidth="1"/>
    <col min="9" max="16" width="9.140625" style="55" customWidth="1"/>
    <col min="17" max="17" width="9.140625" style="139" customWidth="1"/>
    <col min="18" max="18" width="14.7109375" style="55" customWidth="1"/>
    <col min="19" max="20" width="9.140625" style="55" customWidth="1"/>
    <col min="21" max="22" width="5.42578125" style="9" hidden="1" customWidth="1"/>
    <col min="23" max="23" width="50" style="33" hidden="1" customWidth="1"/>
    <col min="24" max="24" width="20.140625" style="53" customWidth="1"/>
    <col min="25" max="25" width="16" style="53" customWidth="1"/>
    <col min="26" max="16384" width="9.140625" style="53"/>
  </cols>
  <sheetData>
    <row r="1" spans="1:26" ht="54" customHeight="1" x14ac:dyDescent="0.25">
      <c r="A1" s="128" t="s">
        <v>200</v>
      </c>
      <c r="B1" s="128"/>
      <c r="C1" s="128"/>
      <c r="D1" s="128"/>
      <c r="E1" s="128"/>
      <c r="F1" s="128"/>
      <c r="G1" s="128"/>
      <c r="H1" s="128"/>
      <c r="I1" s="128"/>
      <c r="J1" s="128"/>
      <c r="K1" s="128"/>
      <c r="L1" s="128"/>
      <c r="M1" s="128"/>
      <c r="N1" s="128"/>
      <c r="O1" s="128"/>
      <c r="P1" s="128"/>
      <c r="Q1" s="128"/>
      <c r="R1" s="128"/>
      <c r="S1" s="128"/>
      <c r="T1" s="128"/>
      <c r="X1" s="129"/>
      <c r="Y1" s="130"/>
      <c r="Z1" s="131"/>
    </row>
    <row r="2" spans="1:26" s="43" customFormat="1" ht="18.75" x14ac:dyDescent="0.3">
      <c r="B2" s="44"/>
      <c r="C2" s="44"/>
      <c r="E2" s="44"/>
      <c r="F2" s="44"/>
      <c r="G2" s="45"/>
      <c r="H2" s="45"/>
      <c r="I2" s="92" t="s">
        <v>190</v>
      </c>
      <c r="J2" s="93"/>
      <c r="K2" s="93"/>
      <c r="L2" s="93"/>
      <c r="M2" s="93"/>
      <c r="N2" s="93"/>
      <c r="O2" s="93"/>
      <c r="P2" s="93"/>
      <c r="Q2" s="94"/>
      <c r="R2" s="95"/>
      <c r="S2" s="45"/>
      <c r="T2" s="132"/>
      <c r="U2" s="31"/>
      <c r="V2" s="31"/>
      <c r="W2" s="133"/>
      <c r="X2" s="134"/>
      <c r="Y2" s="135"/>
      <c r="Z2" s="143"/>
    </row>
    <row r="3" spans="1:26" ht="27.75" customHeight="1" x14ac:dyDescent="0.25">
      <c r="A3" s="96" t="s">
        <v>100</v>
      </c>
      <c r="B3" s="96"/>
      <c r="C3" s="96"/>
      <c r="D3" s="96"/>
      <c r="E3" s="96"/>
      <c r="F3" s="96"/>
      <c r="G3" s="96"/>
      <c r="H3" s="7"/>
      <c r="I3" s="97" t="s">
        <v>136</v>
      </c>
      <c r="J3" s="97"/>
      <c r="K3" s="97" t="s">
        <v>145</v>
      </c>
      <c r="L3" s="97"/>
      <c r="M3" s="98" t="s">
        <v>139</v>
      </c>
      <c r="N3" s="98"/>
      <c r="O3" s="98" t="s">
        <v>128</v>
      </c>
      <c r="P3" s="98"/>
      <c r="Q3" s="99" t="s">
        <v>129</v>
      </c>
      <c r="R3" s="100" t="s">
        <v>146</v>
      </c>
      <c r="S3" s="97" t="s">
        <v>138</v>
      </c>
      <c r="T3" s="97"/>
      <c r="U3" s="7"/>
      <c r="V3" s="7"/>
      <c r="W3" s="76"/>
    </row>
    <row r="4" spans="1:26" ht="150.75" customHeight="1" x14ac:dyDescent="0.2">
      <c r="A4" s="46" t="s">
        <v>96</v>
      </c>
      <c r="B4" s="2" t="s">
        <v>0</v>
      </c>
      <c r="C4" s="2" t="s">
        <v>101</v>
      </c>
      <c r="D4" s="46" t="s">
        <v>1</v>
      </c>
      <c r="E4" s="2" t="s">
        <v>2</v>
      </c>
      <c r="F4" s="2" t="s">
        <v>3</v>
      </c>
      <c r="G4" s="47" t="s">
        <v>4</v>
      </c>
      <c r="H4" s="136"/>
      <c r="I4" s="2" t="s">
        <v>127</v>
      </c>
      <c r="J4" s="2" t="s">
        <v>187</v>
      </c>
      <c r="K4" s="2" t="s">
        <v>140</v>
      </c>
      <c r="L4" s="2" t="s">
        <v>188</v>
      </c>
      <c r="M4" s="88" t="s">
        <v>117</v>
      </c>
      <c r="N4" s="88" t="s">
        <v>118</v>
      </c>
      <c r="O4" s="88" t="s">
        <v>123</v>
      </c>
      <c r="P4" s="88" t="s">
        <v>124</v>
      </c>
      <c r="Q4" s="99"/>
      <c r="R4" s="100"/>
      <c r="S4" s="2" t="s">
        <v>127</v>
      </c>
      <c r="T4" s="2" t="s">
        <v>130</v>
      </c>
      <c r="U4" s="1" t="s">
        <v>115</v>
      </c>
      <c r="V4" s="1" t="s">
        <v>116</v>
      </c>
      <c r="W4" s="34" t="s">
        <v>114</v>
      </c>
    </row>
    <row r="5" spans="1:26" s="9" customFormat="1" ht="12" customHeight="1" x14ac:dyDescent="0.2">
      <c r="A5" s="2">
        <v>1</v>
      </c>
      <c r="B5" s="2">
        <v>2</v>
      </c>
      <c r="C5" s="2">
        <v>3</v>
      </c>
      <c r="D5" s="2">
        <v>4</v>
      </c>
      <c r="E5" s="2">
        <v>5</v>
      </c>
      <c r="F5" s="2">
        <v>6</v>
      </c>
      <c r="G5" s="2">
        <v>7</v>
      </c>
      <c r="H5" s="136"/>
      <c r="I5" s="1">
        <v>8</v>
      </c>
      <c r="J5" s="1">
        <v>9</v>
      </c>
      <c r="K5" s="1">
        <v>10</v>
      </c>
      <c r="L5" s="1">
        <v>11</v>
      </c>
      <c r="M5" s="1">
        <v>12</v>
      </c>
      <c r="N5" s="1">
        <v>13</v>
      </c>
      <c r="O5" s="1">
        <v>14</v>
      </c>
      <c r="P5" s="1">
        <v>15</v>
      </c>
      <c r="Q5" s="29">
        <v>16</v>
      </c>
      <c r="R5" s="1">
        <v>17</v>
      </c>
      <c r="S5" s="2">
        <v>18</v>
      </c>
      <c r="T5" s="2">
        <v>19</v>
      </c>
      <c r="U5" s="1"/>
      <c r="V5" s="1"/>
      <c r="W5" s="34"/>
    </row>
    <row r="6" spans="1:26" ht="18" customHeight="1" x14ac:dyDescent="0.25">
      <c r="A6" s="48"/>
      <c r="B6" s="49"/>
      <c r="C6" s="50">
        <v>4</v>
      </c>
      <c r="D6" s="91" t="s">
        <v>5</v>
      </c>
      <c r="E6" s="91"/>
      <c r="F6" s="91"/>
      <c r="G6" s="91"/>
      <c r="H6" s="137"/>
      <c r="I6" s="10">
        <f>_2021_VB_ar_MK_grozījumiem!S6</f>
        <v>671</v>
      </c>
      <c r="J6" s="10">
        <f>_2021_VB_ar_MK_grozījumiem!T6</f>
        <v>671</v>
      </c>
      <c r="K6" s="10">
        <f>ROUND(_2021_VB_ar_MK_grozījumiem!K6*1.05,0)</f>
        <v>65</v>
      </c>
      <c r="L6" s="10">
        <f t="shared" ref="L6:R6" si="0">L7+L8+L9+L10</f>
        <v>65</v>
      </c>
      <c r="M6" s="10">
        <f t="shared" si="0"/>
        <v>1451</v>
      </c>
      <c r="N6" s="10">
        <f t="shared" si="0"/>
        <v>1451</v>
      </c>
      <c r="O6" s="10">
        <f>ROUND(_2021_VB_ar_MK_grozījumiem!O6*0.9,0)</f>
        <v>126</v>
      </c>
      <c r="P6" s="10">
        <f t="shared" si="0"/>
        <v>126</v>
      </c>
      <c r="Q6" s="73" t="s">
        <v>119</v>
      </c>
      <c r="R6" s="3">
        <f t="shared" si="0"/>
        <v>9181.755000000001</v>
      </c>
      <c r="S6" s="10">
        <f>S7+S8+S9+S10</f>
        <v>1325</v>
      </c>
      <c r="T6" s="10">
        <f>T7+T8+T9+T10</f>
        <v>1325</v>
      </c>
      <c r="U6" s="8"/>
      <c r="V6" s="8">
        <v>1</v>
      </c>
    </row>
    <row r="7" spans="1:26" ht="27.75" customHeight="1" x14ac:dyDescent="0.25">
      <c r="A7" s="37">
        <v>1</v>
      </c>
      <c r="B7" s="38" t="s">
        <v>6</v>
      </c>
      <c r="C7" s="38" t="s">
        <v>7</v>
      </c>
      <c r="D7" s="37" t="s">
        <v>8</v>
      </c>
      <c r="E7" s="38" t="s">
        <v>9</v>
      </c>
      <c r="F7" s="38" t="s">
        <v>97</v>
      </c>
      <c r="G7" s="51" t="s">
        <v>10</v>
      </c>
      <c r="H7" s="56"/>
      <c r="I7" s="13">
        <f>_2021_VB_ar_MK_grozījumiem!S7</f>
        <v>297</v>
      </c>
      <c r="J7" s="13">
        <f>_2021_VB_ar_MK_grozījumiem!T7</f>
        <v>297</v>
      </c>
      <c r="K7" s="74">
        <f>ROUND(_2021_VB_ar_MK_grozījumiem!K7*1.05,0)</f>
        <v>27</v>
      </c>
      <c r="L7" s="74">
        <f>K7</f>
        <v>27</v>
      </c>
      <c r="M7" s="13">
        <f>I7+(K7*12)</f>
        <v>621</v>
      </c>
      <c r="N7" s="13">
        <f>J7+(L7*12)</f>
        <v>621</v>
      </c>
      <c r="O7" s="13">
        <f>ROUND(_2021_VB_ar_MK_grozījumiem!O7*0.9,0)</f>
        <v>45</v>
      </c>
      <c r="P7" s="74">
        <f>O7</f>
        <v>45</v>
      </c>
      <c r="Q7" s="39">
        <f>'_2021_VB_bez izmaiņām'!Q7*1.1</f>
        <v>92.4</v>
      </c>
      <c r="R7" s="4">
        <f>Q7*P7</f>
        <v>4158</v>
      </c>
      <c r="S7" s="18">
        <f>M7-O7</f>
        <v>576</v>
      </c>
      <c r="T7" s="18">
        <f>N7-P7</f>
        <v>576</v>
      </c>
      <c r="U7" s="1"/>
      <c r="V7" s="1">
        <v>1</v>
      </c>
      <c r="W7" s="33" t="s">
        <v>102</v>
      </c>
      <c r="X7" s="138"/>
    </row>
    <row r="8" spans="1:26" ht="18" customHeight="1" x14ac:dyDescent="0.25">
      <c r="A8" s="37">
        <v>2</v>
      </c>
      <c r="B8" s="38" t="s">
        <v>6</v>
      </c>
      <c r="C8" s="38" t="s">
        <v>11</v>
      </c>
      <c r="D8" s="37" t="s">
        <v>12</v>
      </c>
      <c r="E8" s="38" t="s">
        <v>9</v>
      </c>
      <c r="F8" s="38">
        <v>5</v>
      </c>
      <c r="G8" s="51" t="s">
        <v>10</v>
      </c>
      <c r="H8" s="56"/>
      <c r="I8" s="13">
        <f>_2021_VB_ar_MK_grozījumiem!S8</f>
        <v>83</v>
      </c>
      <c r="J8" s="13">
        <f>_2021_VB_ar_MK_grozījumiem!T8</f>
        <v>83</v>
      </c>
      <c r="K8" s="74">
        <f>ROUND(_2021_VB_ar_MK_grozījumiem!K8*1.05,0)</f>
        <v>8</v>
      </c>
      <c r="L8" s="74">
        <f t="shared" ref="L8:L10" si="1">K8</f>
        <v>8</v>
      </c>
      <c r="M8" s="13">
        <f t="shared" ref="M8:N10" si="2">I8+(K8*12)</f>
        <v>179</v>
      </c>
      <c r="N8" s="13">
        <f t="shared" si="2"/>
        <v>179</v>
      </c>
      <c r="O8" s="13">
        <f>ROUND(_2021_VB_ar_MK_grozījumiem!O8*0.9,0)</f>
        <v>18</v>
      </c>
      <c r="P8" s="74">
        <f t="shared" ref="P8:P10" si="3">O8</f>
        <v>18</v>
      </c>
      <c r="Q8" s="39">
        <f>'_2021_VB_bez izmaiņām'!Q8*1.1</f>
        <v>92.4</v>
      </c>
      <c r="R8" s="4">
        <f t="shared" ref="R8:R49" si="4">Q8*P8</f>
        <v>1663.2</v>
      </c>
      <c r="S8" s="18">
        <f t="shared" ref="S8:T10" si="5">M8-O8</f>
        <v>161</v>
      </c>
      <c r="T8" s="18">
        <f t="shared" si="5"/>
        <v>161</v>
      </c>
      <c r="U8" s="1"/>
      <c r="V8" s="1">
        <v>1</v>
      </c>
    </row>
    <row r="9" spans="1:26" ht="36" customHeight="1" x14ac:dyDescent="0.25">
      <c r="A9" s="37">
        <v>3</v>
      </c>
      <c r="B9" s="38" t="s">
        <v>13</v>
      </c>
      <c r="C9" s="38" t="s">
        <v>14</v>
      </c>
      <c r="D9" s="37" t="s">
        <v>15</v>
      </c>
      <c r="E9" s="38" t="s">
        <v>9</v>
      </c>
      <c r="F9" s="38">
        <v>2</v>
      </c>
      <c r="G9" s="51" t="s">
        <v>10</v>
      </c>
      <c r="H9" s="56"/>
      <c r="I9" s="13">
        <f>_2021_VB_ar_MK_grozījumiem!S9</f>
        <v>112</v>
      </c>
      <c r="J9" s="13">
        <f>_2021_VB_ar_MK_grozījumiem!T9</f>
        <v>112</v>
      </c>
      <c r="K9" s="74">
        <f>ROUND(_2021_VB_ar_MK_grozījumiem!K9*1.05,0)</f>
        <v>11</v>
      </c>
      <c r="L9" s="74">
        <f t="shared" si="1"/>
        <v>11</v>
      </c>
      <c r="M9" s="13">
        <f t="shared" si="2"/>
        <v>244</v>
      </c>
      <c r="N9" s="13">
        <f t="shared" si="2"/>
        <v>244</v>
      </c>
      <c r="O9" s="13">
        <f>ROUND(_2021_VB_ar_MK_grozījumiem!O9*0.9,0)</f>
        <v>18</v>
      </c>
      <c r="P9" s="74">
        <f t="shared" si="3"/>
        <v>18</v>
      </c>
      <c r="Q9" s="39">
        <f>'_2021_VB_bez izmaiņām'!Q9*1.1</f>
        <v>36.960000000000008</v>
      </c>
      <c r="R9" s="4">
        <f t="shared" si="4"/>
        <v>665.2800000000002</v>
      </c>
      <c r="S9" s="18">
        <f t="shared" si="5"/>
        <v>226</v>
      </c>
      <c r="T9" s="18">
        <f t="shared" si="5"/>
        <v>226</v>
      </c>
      <c r="U9" s="1"/>
      <c r="V9" s="1">
        <v>1</v>
      </c>
    </row>
    <row r="10" spans="1:26" ht="18" customHeight="1" x14ac:dyDescent="0.25">
      <c r="A10" s="37">
        <v>4</v>
      </c>
      <c r="B10" s="38" t="s">
        <v>16</v>
      </c>
      <c r="C10" s="38" t="s">
        <v>17</v>
      </c>
      <c r="D10" s="37" t="s">
        <v>18</v>
      </c>
      <c r="E10" s="38" t="s">
        <v>9</v>
      </c>
      <c r="F10" s="38">
        <v>5</v>
      </c>
      <c r="G10" s="51" t="s">
        <v>10</v>
      </c>
      <c r="H10" s="56"/>
      <c r="I10" s="13">
        <f>_2021_VB_ar_MK_grozījumiem!S10</f>
        <v>179</v>
      </c>
      <c r="J10" s="13">
        <f>_2021_VB_ar_MK_grozījumiem!T10</f>
        <v>179</v>
      </c>
      <c r="K10" s="74">
        <f>ROUND(_2021_VB_ar_MK_grozījumiem!K10*1.05,0)</f>
        <v>19</v>
      </c>
      <c r="L10" s="74">
        <f t="shared" si="1"/>
        <v>19</v>
      </c>
      <c r="M10" s="13">
        <f t="shared" si="2"/>
        <v>407</v>
      </c>
      <c r="N10" s="13">
        <f t="shared" si="2"/>
        <v>407</v>
      </c>
      <c r="O10" s="13">
        <f>ROUND(_2021_VB_ar_MK_grozījumiem!O10*0.9,0)</f>
        <v>45</v>
      </c>
      <c r="P10" s="74">
        <f t="shared" si="3"/>
        <v>45</v>
      </c>
      <c r="Q10" s="39">
        <f>'_2021_VB_bez izmaiņām'!Q10*1.1</f>
        <v>59.89500000000001</v>
      </c>
      <c r="R10" s="4">
        <f t="shared" si="4"/>
        <v>2695.2750000000005</v>
      </c>
      <c r="S10" s="18">
        <f t="shared" si="5"/>
        <v>362</v>
      </c>
      <c r="T10" s="18">
        <f t="shared" si="5"/>
        <v>362</v>
      </c>
      <c r="U10" s="1"/>
      <c r="V10" s="1">
        <v>1</v>
      </c>
    </row>
    <row r="11" spans="1:26" ht="18" customHeight="1" x14ac:dyDescent="0.25">
      <c r="A11" s="48"/>
      <c r="B11" s="49"/>
      <c r="C11" s="50">
        <v>6</v>
      </c>
      <c r="D11" s="91" t="s">
        <v>19</v>
      </c>
      <c r="E11" s="91"/>
      <c r="F11" s="91"/>
      <c r="G11" s="91"/>
      <c r="H11" s="137"/>
      <c r="I11" s="14">
        <f>_2021_VB_ar_MK_grozījumiem!S11</f>
        <v>216</v>
      </c>
      <c r="J11" s="14">
        <f>_2021_VB_ar_MK_grozījumiem!T11</f>
        <v>216</v>
      </c>
      <c r="K11" s="14">
        <f>ROUND(_2021_VB_ar_MK_grozījumiem!K11*1.05,0)</f>
        <v>46</v>
      </c>
      <c r="L11" s="14">
        <f t="shared" ref="L11:R11" si="6">L12</f>
        <v>46</v>
      </c>
      <c r="M11" s="14">
        <f t="shared" si="6"/>
        <v>768</v>
      </c>
      <c r="N11" s="14">
        <f t="shared" si="6"/>
        <v>768</v>
      </c>
      <c r="O11" s="14">
        <f>ROUND(_2021_VB_ar_MK_grozījumiem!O11*0.9,0)</f>
        <v>316</v>
      </c>
      <c r="P11" s="14">
        <f t="shared" si="6"/>
        <v>324</v>
      </c>
      <c r="Q11" s="73" t="s">
        <v>119</v>
      </c>
      <c r="R11" s="5">
        <f t="shared" si="6"/>
        <v>199633.69600000003</v>
      </c>
      <c r="S11" s="14">
        <f>S12</f>
        <v>444</v>
      </c>
      <c r="T11" s="14">
        <f>T12</f>
        <v>444</v>
      </c>
      <c r="U11" s="8"/>
      <c r="V11" s="8">
        <v>1</v>
      </c>
    </row>
    <row r="12" spans="1:26" s="43" customFormat="1" ht="34.5" customHeight="1" x14ac:dyDescent="0.25">
      <c r="A12" s="35">
        <v>5</v>
      </c>
      <c r="B12" s="36" t="s">
        <v>20</v>
      </c>
      <c r="C12" s="36" t="s">
        <v>21</v>
      </c>
      <c r="D12" s="35" t="s">
        <v>22</v>
      </c>
      <c r="E12" s="36" t="s">
        <v>9</v>
      </c>
      <c r="F12" s="36">
        <v>2</v>
      </c>
      <c r="G12" s="52" t="s">
        <v>23</v>
      </c>
      <c r="H12" s="57"/>
      <c r="I12" s="13">
        <f>_2021_VB_ar_MK_grozījumiem!S12</f>
        <v>216</v>
      </c>
      <c r="J12" s="13">
        <f>_2021_VB_ar_MK_grozījumiem!T12</f>
        <v>216</v>
      </c>
      <c r="K12" s="74">
        <f>ROUND(_2021_VB_ar_MK_grozījumiem!K12*1.05,0)</f>
        <v>46</v>
      </c>
      <c r="L12" s="74">
        <f>K12</f>
        <v>46</v>
      </c>
      <c r="M12" s="13">
        <f t="shared" ref="M12:N12" si="7">I12+(K12*12)</f>
        <v>768</v>
      </c>
      <c r="N12" s="13">
        <f t="shared" si="7"/>
        <v>768</v>
      </c>
      <c r="O12" s="13">
        <f>ROUND(_2021_VB_ar_MK_grozījumiem!O12*0.9,0)+8</f>
        <v>324</v>
      </c>
      <c r="P12" s="74">
        <f>O12</f>
        <v>324</v>
      </c>
      <c r="Q12" s="40">
        <f>'_2021_VB_bez izmaiņām'!Q12*1.1</f>
        <v>615.32900000000006</v>
      </c>
      <c r="R12" s="22">
        <f>Q12*P12+267.1</f>
        <v>199633.69600000003</v>
      </c>
      <c r="S12" s="19">
        <f t="shared" ref="S12:T12" si="8">M12-O12</f>
        <v>444</v>
      </c>
      <c r="T12" s="19">
        <f t="shared" si="8"/>
        <v>444</v>
      </c>
      <c r="U12" s="24"/>
      <c r="V12" s="24">
        <v>1</v>
      </c>
      <c r="W12" s="32"/>
    </row>
    <row r="13" spans="1:26" ht="18" customHeight="1" x14ac:dyDescent="0.25">
      <c r="A13" s="48"/>
      <c r="B13" s="49"/>
      <c r="C13" s="50">
        <v>12</v>
      </c>
      <c r="D13" s="91" t="s">
        <v>24</v>
      </c>
      <c r="E13" s="91"/>
      <c r="F13" s="91"/>
      <c r="G13" s="91"/>
      <c r="H13" s="137"/>
      <c r="I13" s="10">
        <f>_2021_VB_ar_MK_grozījumiem!S13</f>
        <v>161</v>
      </c>
      <c r="J13" s="10">
        <f>_2021_VB_ar_MK_grozījumiem!T13</f>
        <v>161</v>
      </c>
      <c r="K13" s="10">
        <f>ROUND(_2021_VB_ar_MK_grozījumiem!K13*1.05,0)</f>
        <v>17</v>
      </c>
      <c r="L13" s="10">
        <f t="shared" ref="L13:R13" si="9">L14+L15</f>
        <v>16</v>
      </c>
      <c r="M13" s="10">
        <f t="shared" si="9"/>
        <v>353</v>
      </c>
      <c r="N13" s="10">
        <f t="shared" si="9"/>
        <v>353</v>
      </c>
      <c r="O13" s="10">
        <f>ROUND(_2021_VB_ar_MK_grozījumiem!O13*0.9,0)</f>
        <v>36</v>
      </c>
      <c r="P13" s="10">
        <f t="shared" si="9"/>
        <v>36</v>
      </c>
      <c r="Q13" s="73" t="s">
        <v>119</v>
      </c>
      <c r="R13" s="3">
        <f t="shared" si="9"/>
        <v>1801.8000000000002</v>
      </c>
      <c r="S13" s="10">
        <f>S14+S15</f>
        <v>317</v>
      </c>
      <c r="T13" s="10">
        <f>T14+T15</f>
        <v>317</v>
      </c>
      <c r="U13" s="8"/>
      <c r="V13" s="8">
        <v>1</v>
      </c>
    </row>
    <row r="14" spans="1:26" ht="33.75" customHeight="1" x14ac:dyDescent="0.25">
      <c r="A14" s="37">
        <v>6</v>
      </c>
      <c r="B14" s="38" t="s">
        <v>25</v>
      </c>
      <c r="C14" s="38" t="s">
        <v>26</v>
      </c>
      <c r="D14" s="37" t="s">
        <v>27</v>
      </c>
      <c r="E14" s="38" t="s">
        <v>9</v>
      </c>
      <c r="F14" s="38" t="s">
        <v>104</v>
      </c>
      <c r="G14" s="51" t="s">
        <v>10</v>
      </c>
      <c r="H14" s="56"/>
      <c r="I14" s="13">
        <f>_2021_VB_ar_MK_grozījumiem!S14</f>
        <v>71</v>
      </c>
      <c r="J14" s="13">
        <f>_2021_VB_ar_MK_grozījumiem!T14</f>
        <v>71</v>
      </c>
      <c r="K14" s="74">
        <f>ROUND(_2021_VB_ar_MK_grozījumiem!K14*1.05,0)</f>
        <v>7</v>
      </c>
      <c r="L14" s="74">
        <f>K14</f>
        <v>7</v>
      </c>
      <c r="M14" s="13">
        <f t="shared" ref="M14:N15" si="10">I14+(K14*12)</f>
        <v>155</v>
      </c>
      <c r="N14" s="13">
        <f t="shared" si="10"/>
        <v>155</v>
      </c>
      <c r="O14" s="13">
        <f>ROUND(_2021_VB_ar_MK_grozījumiem!O14*0.9,0)</f>
        <v>18</v>
      </c>
      <c r="P14" s="74">
        <f>O14</f>
        <v>18</v>
      </c>
      <c r="Q14" s="39">
        <f>'_2021_VB_bez izmaiņām'!Q14*1.1</f>
        <v>38.5</v>
      </c>
      <c r="R14" s="4">
        <f t="shared" si="4"/>
        <v>693</v>
      </c>
      <c r="S14" s="18">
        <f t="shared" ref="S14:T15" si="11">M14-O14</f>
        <v>137</v>
      </c>
      <c r="T14" s="18">
        <f t="shared" si="11"/>
        <v>137</v>
      </c>
      <c r="U14" s="1"/>
      <c r="V14" s="1">
        <v>1</v>
      </c>
      <c r="W14" s="33" t="s">
        <v>103</v>
      </c>
    </row>
    <row r="15" spans="1:26" ht="24" customHeight="1" x14ac:dyDescent="0.25">
      <c r="A15" s="37">
        <v>7</v>
      </c>
      <c r="B15" s="38" t="s">
        <v>25</v>
      </c>
      <c r="C15" s="38" t="s">
        <v>26</v>
      </c>
      <c r="D15" s="37" t="s">
        <v>28</v>
      </c>
      <c r="E15" s="38" t="s">
        <v>9</v>
      </c>
      <c r="F15" s="38" t="s">
        <v>104</v>
      </c>
      <c r="G15" s="51" t="s">
        <v>10</v>
      </c>
      <c r="H15" s="56"/>
      <c r="I15" s="13">
        <f>_2021_VB_ar_MK_grozījumiem!S15</f>
        <v>90</v>
      </c>
      <c r="J15" s="13">
        <f>_2021_VB_ar_MK_grozījumiem!T15</f>
        <v>90</v>
      </c>
      <c r="K15" s="74">
        <f>ROUND(_2021_VB_ar_MK_grozījumiem!K15*1.05,0)</f>
        <v>9</v>
      </c>
      <c r="L15" s="74">
        <f>K15</f>
        <v>9</v>
      </c>
      <c r="M15" s="13">
        <f t="shared" si="10"/>
        <v>198</v>
      </c>
      <c r="N15" s="13">
        <f t="shared" si="10"/>
        <v>198</v>
      </c>
      <c r="O15" s="13">
        <f>ROUND(_2021_VB_ar_MK_grozījumiem!O15*0.9,0)</f>
        <v>18</v>
      </c>
      <c r="P15" s="74">
        <f>O15</f>
        <v>18</v>
      </c>
      <c r="Q15" s="39">
        <f>'_2021_VB_bez izmaiņām'!Q15*1.1</f>
        <v>61.600000000000009</v>
      </c>
      <c r="R15" s="4">
        <f t="shared" si="4"/>
        <v>1108.8000000000002</v>
      </c>
      <c r="S15" s="18">
        <f t="shared" si="11"/>
        <v>180</v>
      </c>
      <c r="T15" s="18">
        <f t="shared" si="11"/>
        <v>180</v>
      </c>
      <c r="U15" s="1"/>
      <c r="V15" s="1">
        <v>1</v>
      </c>
      <c r="W15" s="33" t="s">
        <v>103</v>
      </c>
    </row>
    <row r="16" spans="1:26" ht="18" customHeight="1" x14ac:dyDescent="0.25">
      <c r="A16" s="48"/>
      <c r="B16" s="49"/>
      <c r="C16" s="50">
        <v>15</v>
      </c>
      <c r="D16" s="91" t="s">
        <v>29</v>
      </c>
      <c r="E16" s="91"/>
      <c r="F16" s="91"/>
      <c r="G16" s="91"/>
      <c r="H16" s="137"/>
      <c r="I16" s="10">
        <f>_2021_VB_ar_MK_grozījumiem!S16</f>
        <v>140</v>
      </c>
      <c r="J16" s="10">
        <f>_2021_VB_ar_MK_grozījumiem!T16</f>
        <v>140</v>
      </c>
      <c r="K16" s="10">
        <f>ROUND(_2021_VB_ar_MK_grozījumiem!K16*1.05,0)</f>
        <v>16</v>
      </c>
      <c r="L16" s="10">
        <f t="shared" ref="L16:P16" si="12">L17+L18</f>
        <v>15</v>
      </c>
      <c r="M16" s="10">
        <f t="shared" si="12"/>
        <v>320</v>
      </c>
      <c r="N16" s="10">
        <f t="shared" si="12"/>
        <v>320</v>
      </c>
      <c r="O16" s="10">
        <f>ROUND(_2021_VB_ar_MK_grozījumiem!O16*0.9,0)</f>
        <v>42</v>
      </c>
      <c r="P16" s="10">
        <f t="shared" si="12"/>
        <v>43</v>
      </c>
      <c r="Q16" s="73" t="s">
        <v>119</v>
      </c>
      <c r="R16" s="3">
        <f t="shared" ref="R16" si="13">R17+R18</f>
        <v>1571.02</v>
      </c>
      <c r="S16" s="10">
        <f>S17+S18</f>
        <v>277</v>
      </c>
      <c r="T16" s="10">
        <f>T17+T18</f>
        <v>277</v>
      </c>
      <c r="U16" s="8"/>
      <c r="V16" s="8">
        <v>1</v>
      </c>
    </row>
    <row r="17" spans="1:23" ht="18" customHeight="1" x14ac:dyDescent="0.25">
      <c r="A17" s="37">
        <v>8</v>
      </c>
      <c r="B17" s="38" t="s">
        <v>16</v>
      </c>
      <c r="C17" s="38" t="s">
        <v>30</v>
      </c>
      <c r="D17" s="37" t="s">
        <v>31</v>
      </c>
      <c r="E17" s="38" t="s">
        <v>9</v>
      </c>
      <c r="F17" s="38">
        <v>5</v>
      </c>
      <c r="G17" s="51" t="s">
        <v>10</v>
      </c>
      <c r="H17" s="56"/>
      <c r="I17" s="13">
        <f>_2021_VB_ar_MK_grozījumiem!S17</f>
        <v>72</v>
      </c>
      <c r="J17" s="13">
        <f>_2021_VB_ar_MK_grozījumiem!T17</f>
        <v>72</v>
      </c>
      <c r="K17" s="74">
        <f>ROUND(_2021_VB_ar_MK_grozījumiem!K17*1.05,0)</f>
        <v>8</v>
      </c>
      <c r="L17" s="74">
        <f>K17</f>
        <v>8</v>
      </c>
      <c r="M17" s="13">
        <f t="shared" ref="M17:N18" si="14">I17+(K17*12)</f>
        <v>168</v>
      </c>
      <c r="N17" s="13">
        <f t="shared" si="14"/>
        <v>168</v>
      </c>
      <c r="O17" s="13">
        <f>ROUND(_2021_VB_ar_MK_grozījumiem!O17*0.9,0)</f>
        <v>23</v>
      </c>
      <c r="P17" s="74">
        <f>O17</f>
        <v>23</v>
      </c>
      <c r="Q17" s="39">
        <f>'_2021_VB_bez izmaiņām'!Q17*1.1</f>
        <v>53.24</v>
      </c>
      <c r="R17" s="4">
        <f t="shared" si="4"/>
        <v>1224.52</v>
      </c>
      <c r="S17" s="18">
        <f t="shared" ref="S17:T18" si="15">M17-O17</f>
        <v>145</v>
      </c>
      <c r="T17" s="18">
        <f t="shared" si="15"/>
        <v>145</v>
      </c>
      <c r="U17" s="1"/>
      <c r="V17" s="1">
        <v>1</v>
      </c>
    </row>
    <row r="18" spans="1:23" ht="33" customHeight="1" x14ac:dyDescent="0.25">
      <c r="A18" s="37">
        <v>9</v>
      </c>
      <c r="B18" s="38" t="s">
        <v>6</v>
      </c>
      <c r="C18" s="38" t="s">
        <v>30</v>
      </c>
      <c r="D18" s="37" t="s">
        <v>32</v>
      </c>
      <c r="E18" s="38" t="s">
        <v>9</v>
      </c>
      <c r="F18" s="38">
        <v>2</v>
      </c>
      <c r="G18" s="51" t="s">
        <v>10</v>
      </c>
      <c r="H18" s="56"/>
      <c r="I18" s="13">
        <f>_2021_VB_ar_MK_grozījumiem!S18</f>
        <v>68</v>
      </c>
      <c r="J18" s="13">
        <f>_2021_VB_ar_MK_grozījumiem!T18</f>
        <v>68</v>
      </c>
      <c r="K18" s="74">
        <f>ROUND(_2021_VB_ar_MK_grozījumiem!K18*1.05,0)</f>
        <v>7</v>
      </c>
      <c r="L18" s="74">
        <f>K18</f>
        <v>7</v>
      </c>
      <c r="M18" s="13">
        <f t="shared" si="14"/>
        <v>152</v>
      </c>
      <c r="N18" s="13">
        <f t="shared" si="14"/>
        <v>152</v>
      </c>
      <c r="O18" s="13">
        <f>ROUND(_2021_VB_ar_MK_grozījumiem!O18*0.9,0)</f>
        <v>20</v>
      </c>
      <c r="P18" s="74">
        <f>O18</f>
        <v>20</v>
      </c>
      <c r="Q18" s="39">
        <f>'_2021_VB_bez izmaiņām'!Q18*1.1</f>
        <v>17.325000000000003</v>
      </c>
      <c r="R18" s="4">
        <f t="shared" si="4"/>
        <v>346.50000000000006</v>
      </c>
      <c r="S18" s="18">
        <f t="shared" si="15"/>
        <v>132</v>
      </c>
      <c r="T18" s="18">
        <f t="shared" si="15"/>
        <v>132</v>
      </c>
      <c r="U18" s="1"/>
      <c r="V18" s="1">
        <v>1</v>
      </c>
    </row>
    <row r="19" spans="1:23" ht="18" customHeight="1" x14ac:dyDescent="0.25">
      <c r="A19" s="48"/>
      <c r="B19" s="49"/>
      <c r="C19" s="50">
        <v>22</v>
      </c>
      <c r="D19" s="91" t="s">
        <v>33</v>
      </c>
      <c r="E19" s="91"/>
      <c r="F19" s="91"/>
      <c r="G19" s="91"/>
      <c r="H19" s="137"/>
      <c r="I19" s="10">
        <f>_2021_VB_ar_MK_grozījumiem!S19</f>
        <v>6835</v>
      </c>
      <c r="J19" s="10">
        <f>_2021_VB_ar_MK_grozījumiem!T19</f>
        <v>8606</v>
      </c>
      <c r="K19" s="10">
        <f>ROUND(_2021_VB_ar_MK_grozījumiem!K19*1.05,0)</f>
        <v>615</v>
      </c>
      <c r="L19" s="10">
        <f t="shared" ref="L19:P19" si="16">SUM(L20:L46)</f>
        <v>745</v>
      </c>
      <c r="M19" s="10">
        <f t="shared" si="16"/>
        <v>14263</v>
      </c>
      <c r="N19" s="10">
        <f t="shared" si="16"/>
        <v>17546</v>
      </c>
      <c r="O19" s="10">
        <f>ROUND(_2021_VB_ar_MK_grozījumiem!O19*0.9,0)</f>
        <v>4087</v>
      </c>
      <c r="P19" s="10">
        <f t="shared" si="16"/>
        <v>5731</v>
      </c>
      <c r="Q19" s="73" t="s">
        <v>119</v>
      </c>
      <c r="R19" s="3">
        <f>SUM(R20:R46)</f>
        <v>1675987.8609999998</v>
      </c>
      <c r="S19" s="10">
        <f>SUM(S20:S46)</f>
        <v>10143</v>
      </c>
      <c r="T19" s="10">
        <f>SUM(T20:T46)</f>
        <v>11815</v>
      </c>
      <c r="U19" s="8">
        <v>1</v>
      </c>
      <c r="V19" s="8">
        <v>1</v>
      </c>
    </row>
    <row r="20" spans="1:23" ht="17.25" customHeight="1" x14ac:dyDescent="0.25">
      <c r="A20" s="37">
        <v>10</v>
      </c>
      <c r="B20" s="38" t="s">
        <v>34</v>
      </c>
      <c r="C20" s="38" t="s">
        <v>35</v>
      </c>
      <c r="D20" s="37" t="s">
        <v>36</v>
      </c>
      <c r="E20" s="38" t="s">
        <v>9</v>
      </c>
      <c r="F20" s="38">
        <v>2</v>
      </c>
      <c r="G20" s="51" t="s">
        <v>37</v>
      </c>
      <c r="H20" s="56"/>
      <c r="I20" s="13">
        <f>_2021_VB_ar_MK_grozījumiem!S20</f>
        <v>134</v>
      </c>
      <c r="J20" s="13">
        <f>_2021_VB_ar_MK_grozījumiem!T20</f>
        <v>134</v>
      </c>
      <c r="K20" s="74">
        <f>ROUND(_2021_VB_ar_MK_grozījumiem!K20*1.05,0)</f>
        <v>10</v>
      </c>
      <c r="L20" s="74">
        <f>K20</f>
        <v>10</v>
      </c>
      <c r="M20" s="13">
        <f t="shared" ref="M20:N35" si="17">I20+(K20*12)</f>
        <v>254</v>
      </c>
      <c r="N20" s="13">
        <f t="shared" si="17"/>
        <v>254</v>
      </c>
      <c r="O20" s="13">
        <f>ROUND(_2021_VB_ar_MK_grozījumiem!O20*0.9,0)</f>
        <v>23</v>
      </c>
      <c r="P20" s="74">
        <f>O20</f>
        <v>23</v>
      </c>
      <c r="Q20" s="39">
        <f>'_2021_VB_bez izmaiņām'!Q20*1.1</f>
        <v>73.204999999999998</v>
      </c>
      <c r="R20" s="4">
        <f t="shared" si="4"/>
        <v>1683.7149999999999</v>
      </c>
      <c r="S20" s="18">
        <f t="shared" ref="S20:T35" si="18">M20-O20</f>
        <v>231</v>
      </c>
      <c r="T20" s="18">
        <f t="shared" si="18"/>
        <v>231</v>
      </c>
      <c r="U20" s="1"/>
      <c r="V20" s="1">
        <v>1</v>
      </c>
    </row>
    <row r="21" spans="1:23" ht="30.75" customHeight="1" x14ac:dyDescent="0.25">
      <c r="A21" s="37">
        <v>11</v>
      </c>
      <c r="B21" s="38" t="s">
        <v>34</v>
      </c>
      <c r="C21" s="38" t="s">
        <v>38</v>
      </c>
      <c r="D21" s="37" t="s">
        <v>39</v>
      </c>
      <c r="E21" s="38" t="s">
        <v>9</v>
      </c>
      <c r="F21" s="38" t="s">
        <v>98</v>
      </c>
      <c r="G21" s="51" t="s">
        <v>37</v>
      </c>
      <c r="H21" s="56"/>
      <c r="I21" s="13">
        <f>_2021_VB_ar_MK_grozījumiem!S21</f>
        <v>105</v>
      </c>
      <c r="J21" s="13">
        <f>_2021_VB_ar_MK_grozījumiem!T21</f>
        <v>105</v>
      </c>
      <c r="K21" s="74">
        <f>ROUND(_2021_VB_ar_MK_grozījumiem!K21*1.05,0)</f>
        <v>13</v>
      </c>
      <c r="L21" s="74">
        <f>K21</f>
        <v>13</v>
      </c>
      <c r="M21" s="13">
        <f t="shared" si="17"/>
        <v>261</v>
      </c>
      <c r="N21" s="13">
        <f t="shared" si="17"/>
        <v>261</v>
      </c>
      <c r="O21" s="13">
        <f>ROUND(_2021_VB_ar_MK_grozījumiem!O21*0.9,0)</f>
        <v>45</v>
      </c>
      <c r="P21" s="74">
        <f>O21</f>
        <v>45</v>
      </c>
      <c r="Q21" s="39">
        <f>'_2021_VB_bez izmaiņām'!Q21*1.1</f>
        <v>55.902000000000008</v>
      </c>
      <c r="R21" s="4">
        <f t="shared" si="4"/>
        <v>2515.59</v>
      </c>
      <c r="S21" s="18">
        <f t="shared" si="18"/>
        <v>216</v>
      </c>
      <c r="T21" s="18">
        <f t="shared" si="18"/>
        <v>216</v>
      </c>
      <c r="U21" s="1"/>
      <c r="V21" s="1">
        <v>1</v>
      </c>
      <c r="W21" s="33" t="s">
        <v>105</v>
      </c>
    </row>
    <row r="22" spans="1:23" ht="36" customHeight="1" x14ac:dyDescent="0.25">
      <c r="A22" s="37">
        <v>12</v>
      </c>
      <c r="B22" s="38" t="s">
        <v>40</v>
      </c>
      <c r="C22" s="38" t="s">
        <v>41</v>
      </c>
      <c r="D22" s="37" t="s">
        <v>42</v>
      </c>
      <c r="E22" s="38" t="s">
        <v>9</v>
      </c>
      <c r="F22" s="38">
        <v>5</v>
      </c>
      <c r="G22" s="51" t="s">
        <v>43</v>
      </c>
      <c r="H22" s="56"/>
      <c r="I22" s="13">
        <f>_2021_VB_ar_MK_grozījumiem!S22</f>
        <v>36</v>
      </c>
      <c r="J22" s="13">
        <f>_2021_VB_ar_MK_grozījumiem!T22</f>
        <v>36</v>
      </c>
      <c r="K22" s="74">
        <f>ROUND(_2021_VB_ar_MK_grozījumiem!K22*1.05,0)</f>
        <v>5</v>
      </c>
      <c r="L22" s="74">
        <f t="shared" ref="L22:L49" si="19">K22</f>
        <v>5</v>
      </c>
      <c r="M22" s="13">
        <f t="shared" si="17"/>
        <v>96</v>
      </c>
      <c r="N22" s="13">
        <f t="shared" si="17"/>
        <v>96</v>
      </c>
      <c r="O22" s="13">
        <f>ROUND(_2021_VB_ar_MK_grozījumiem!O22*0.9,0)</f>
        <v>28</v>
      </c>
      <c r="P22" s="74">
        <f t="shared" ref="P22:P49" si="20">O22</f>
        <v>28</v>
      </c>
      <c r="Q22" s="39">
        <f>'_2021_VB_bez izmaiņām'!Q22*1.1</f>
        <v>99.825000000000003</v>
      </c>
      <c r="R22" s="4">
        <f t="shared" si="4"/>
        <v>2795.1</v>
      </c>
      <c r="S22" s="18">
        <f t="shared" si="18"/>
        <v>68</v>
      </c>
      <c r="T22" s="18">
        <f t="shared" si="18"/>
        <v>68</v>
      </c>
      <c r="U22" s="1"/>
      <c r="V22" s="1">
        <v>1</v>
      </c>
    </row>
    <row r="23" spans="1:23" ht="24" customHeight="1" x14ac:dyDescent="0.25">
      <c r="A23" s="37">
        <v>13</v>
      </c>
      <c r="B23" s="38" t="s">
        <v>40</v>
      </c>
      <c r="C23" s="38" t="s">
        <v>41</v>
      </c>
      <c r="D23" s="37" t="s">
        <v>106</v>
      </c>
      <c r="E23" s="38" t="s">
        <v>9</v>
      </c>
      <c r="F23" s="38">
        <v>5</v>
      </c>
      <c r="G23" s="51" t="s">
        <v>43</v>
      </c>
      <c r="H23" s="56"/>
      <c r="I23" s="13">
        <f>_2021_VB_ar_MK_grozījumiem!S23</f>
        <v>14</v>
      </c>
      <c r="J23" s="13">
        <f>_2021_VB_ar_MK_grozījumiem!T23</f>
        <v>14</v>
      </c>
      <c r="K23" s="74">
        <f>ROUND(_2021_VB_ar_MK_grozījumiem!K23*1.05,0)</f>
        <v>2</v>
      </c>
      <c r="L23" s="74">
        <f t="shared" si="19"/>
        <v>2</v>
      </c>
      <c r="M23" s="13">
        <f t="shared" si="17"/>
        <v>38</v>
      </c>
      <c r="N23" s="13">
        <f t="shared" si="17"/>
        <v>38</v>
      </c>
      <c r="O23" s="13">
        <f>ROUND(_2021_VB_ar_MK_grozījumiem!O23*0.9,0)</f>
        <v>11</v>
      </c>
      <c r="P23" s="74">
        <f t="shared" si="20"/>
        <v>11</v>
      </c>
      <c r="Q23" s="39">
        <f>'_2021_VB_bez izmaiņām'!Q23*1.1</f>
        <v>53.24</v>
      </c>
      <c r="R23" s="4">
        <f t="shared" si="4"/>
        <v>585.64</v>
      </c>
      <c r="S23" s="18">
        <f t="shared" si="18"/>
        <v>27</v>
      </c>
      <c r="T23" s="18">
        <f t="shared" si="18"/>
        <v>27</v>
      </c>
      <c r="U23" s="1"/>
      <c r="V23" s="1">
        <v>1</v>
      </c>
      <c r="W23" s="33" t="s">
        <v>107</v>
      </c>
    </row>
    <row r="24" spans="1:23" ht="35.25" customHeight="1" x14ac:dyDescent="0.25">
      <c r="A24" s="37">
        <v>14</v>
      </c>
      <c r="B24" s="38" t="s">
        <v>34</v>
      </c>
      <c r="C24" s="38" t="s">
        <v>44</v>
      </c>
      <c r="D24" s="37" t="s">
        <v>45</v>
      </c>
      <c r="E24" s="38" t="s">
        <v>9</v>
      </c>
      <c r="F24" s="38">
        <v>5</v>
      </c>
      <c r="G24" s="51" t="s">
        <v>37</v>
      </c>
      <c r="H24" s="56"/>
      <c r="I24" s="13">
        <f>_2021_VB_ar_MK_grozījumiem!S24</f>
        <v>658</v>
      </c>
      <c r="J24" s="13">
        <f>_2021_VB_ar_MK_grozījumiem!T24</f>
        <v>658</v>
      </c>
      <c r="K24" s="74">
        <f>ROUND(_2021_VB_ar_MK_grozījumiem!K24*1.05,0)</f>
        <v>61</v>
      </c>
      <c r="L24" s="74">
        <f t="shared" si="19"/>
        <v>61</v>
      </c>
      <c r="M24" s="13">
        <f t="shared" si="17"/>
        <v>1390</v>
      </c>
      <c r="N24" s="13">
        <f t="shared" si="17"/>
        <v>1390</v>
      </c>
      <c r="O24" s="13">
        <f>ROUND(_2021_VB_ar_MK_grozījumiem!O24*0.9,0)</f>
        <v>45</v>
      </c>
      <c r="P24" s="74">
        <f t="shared" si="20"/>
        <v>45</v>
      </c>
      <c r="Q24" s="39">
        <f>'_2021_VB_bez izmaiņām'!Q24*1.1</f>
        <v>625.32800000000009</v>
      </c>
      <c r="R24" s="4">
        <f t="shared" si="4"/>
        <v>28139.760000000006</v>
      </c>
      <c r="S24" s="18">
        <f t="shared" si="18"/>
        <v>1345</v>
      </c>
      <c r="T24" s="18">
        <f t="shared" si="18"/>
        <v>1345</v>
      </c>
      <c r="U24" s="1"/>
      <c r="V24" s="1">
        <v>1</v>
      </c>
    </row>
    <row r="25" spans="1:23" ht="36" customHeight="1" x14ac:dyDescent="0.25">
      <c r="A25" s="37">
        <v>15</v>
      </c>
      <c r="B25" s="38" t="s">
        <v>177</v>
      </c>
      <c r="C25" s="38" t="s">
        <v>46</v>
      </c>
      <c r="D25" s="37" t="s">
        <v>178</v>
      </c>
      <c r="E25" s="38" t="s">
        <v>9</v>
      </c>
      <c r="F25" s="38">
        <v>3</v>
      </c>
      <c r="G25" s="51" t="s">
        <v>47</v>
      </c>
      <c r="H25" s="56"/>
      <c r="I25" s="17">
        <f>_2021_VB_ar_MK_grozījumiem!S25</f>
        <v>9</v>
      </c>
      <c r="J25" s="17">
        <f>_2021_VB_ar_MK_grozījumiem!T25</f>
        <v>9</v>
      </c>
      <c r="K25" s="74">
        <f>ROUND(_2021_VB_ar_MK_grozījumiem!K25*1.05,0)</f>
        <v>1</v>
      </c>
      <c r="L25" s="74">
        <f t="shared" si="19"/>
        <v>1</v>
      </c>
      <c r="M25" s="17">
        <f t="shared" si="17"/>
        <v>21</v>
      </c>
      <c r="N25" s="17">
        <f t="shared" si="17"/>
        <v>21</v>
      </c>
      <c r="O25" s="17">
        <f>ROUND(_2021_VB_ar_MK_grozījumiem!O25*0.9,0)</f>
        <v>5</v>
      </c>
      <c r="P25" s="74">
        <f t="shared" si="20"/>
        <v>5</v>
      </c>
      <c r="Q25" s="41">
        <f>'_2021_VB_bez izmaiņām'!Q25*1.1</f>
        <v>225.01600000000002</v>
      </c>
      <c r="R25" s="6">
        <f t="shared" si="4"/>
        <v>1125.0800000000002</v>
      </c>
      <c r="S25" s="19">
        <f t="shared" si="18"/>
        <v>16</v>
      </c>
      <c r="T25" s="19">
        <f t="shared" si="18"/>
        <v>16</v>
      </c>
      <c r="U25" s="1">
        <v>1</v>
      </c>
      <c r="V25" s="1"/>
    </row>
    <row r="26" spans="1:23" ht="42.75" customHeight="1" x14ac:dyDescent="0.25">
      <c r="A26" s="37" t="s">
        <v>179</v>
      </c>
      <c r="B26" s="38" t="s">
        <v>48</v>
      </c>
      <c r="C26" s="38" t="s">
        <v>49</v>
      </c>
      <c r="D26" s="37" t="s">
        <v>180</v>
      </c>
      <c r="E26" s="38" t="s">
        <v>9</v>
      </c>
      <c r="F26" s="38">
        <v>5</v>
      </c>
      <c r="G26" s="51" t="s">
        <v>47</v>
      </c>
      <c r="H26" s="56"/>
      <c r="I26" s="17">
        <f>_2021_VB_ar_MK_grozījumiem!S26</f>
        <v>2951</v>
      </c>
      <c r="J26" s="17">
        <f>_2021_VB_ar_MK_grozījumiem!T26</f>
        <v>4722</v>
      </c>
      <c r="K26" s="75">
        <f>ROUND(_2021_VB_ar_MK_grozījumiem!K26*1.05,0)</f>
        <v>210</v>
      </c>
      <c r="L26" s="75">
        <f>ROUND(K26*1.6,0)</f>
        <v>336</v>
      </c>
      <c r="M26" s="17">
        <f t="shared" si="17"/>
        <v>5471</v>
      </c>
      <c r="N26" s="17">
        <f t="shared" si="17"/>
        <v>8754</v>
      </c>
      <c r="O26" s="17">
        <f>ROUND(_2021_VB_ar_MK_grozījumiem!O26*0.9,0)+31</f>
        <v>2685</v>
      </c>
      <c r="P26" s="75">
        <f>ROUND(O26*1.6,0)</f>
        <v>4296</v>
      </c>
      <c r="Q26" s="41">
        <f>'_2021_VB_bez izmaiņām'!Q26*1.1</f>
        <v>221.65</v>
      </c>
      <c r="R26" s="6">
        <f>Q26*P26+233.44</f>
        <v>952441.84</v>
      </c>
      <c r="S26" s="19">
        <f>M26-O26</f>
        <v>2786</v>
      </c>
      <c r="T26" s="19">
        <f t="shared" si="18"/>
        <v>4458</v>
      </c>
      <c r="U26" s="1">
        <v>1</v>
      </c>
      <c r="V26" s="1"/>
    </row>
    <row r="27" spans="1:23" ht="46.5" customHeight="1" x14ac:dyDescent="0.25">
      <c r="A27" s="37">
        <v>19</v>
      </c>
      <c r="B27" s="38" t="s">
        <v>50</v>
      </c>
      <c r="C27" s="38" t="s">
        <v>51</v>
      </c>
      <c r="D27" s="37" t="s">
        <v>120</v>
      </c>
      <c r="E27" s="38" t="s">
        <v>9</v>
      </c>
      <c r="F27" s="38">
        <v>5</v>
      </c>
      <c r="G27" s="51" t="s">
        <v>52</v>
      </c>
      <c r="H27" s="56"/>
      <c r="I27" s="17">
        <f>_2021_VB_ar_MK_grozījumiem!S27</f>
        <v>326</v>
      </c>
      <c r="J27" s="17">
        <f>_2021_VB_ar_MK_grozījumiem!T27</f>
        <v>326</v>
      </c>
      <c r="K27" s="74">
        <f>ROUND(_2021_VB_ar_MK_grozījumiem!K27*1.05,0)</f>
        <v>21</v>
      </c>
      <c r="L27" s="74">
        <f t="shared" si="19"/>
        <v>21</v>
      </c>
      <c r="M27" s="17">
        <f t="shared" si="17"/>
        <v>578</v>
      </c>
      <c r="N27" s="17">
        <f t="shared" si="17"/>
        <v>578</v>
      </c>
      <c r="O27" s="17">
        <f>ROUND(_2021_VB_ar_MK_grozījumiem!O27*0.9,0)</f>
        <v>90</v>
      </c>
      <c r="P27" s="74">
        <f t="shared" si="20"/>
        <v>90</v>
      </c>
      <c r="Q27" s="41">
        <f>'_2021_VB_bez izmaiņām'!Q27*1.1</f>
        <v>285.38400000000001</v>
      </c>
      <c r="R27" s="6">
        <f t="shared" si="4"/>
        <v>25684.560000000001</v>
      </c>
      <c r="S27" s="19">
        <f t="shared" si="18"/>
        <v>488</v>
      </c>
      <c r="T27" s="19">
        <f t="shared" si="18"/>
        <v>488</v>
      </c>
      <c r="U27" s="1">
        <v>1</v>
      </c>
      <c r="V27" s="1"/>
      <c r="W27" s="33" t="s">
        <v>109</v>
      </c>
    </row>
    <row r="28" spans="1:23" ht="46.5" customHeight="1" x14ac:dyDescent="0.25">
      <c r="A28" s="37">
        <v>20</v>
      </c>
      <c r="B28" s="38" t="s">
        <v>53</v>
      </c>
      <c r="C28" s="38" t="s">
        <v>51</v>
      </c>
      <c r="D28" s="37" t="s">
        <v>54</v>
      </c>
      <c r="E28" s="38" t="s">
        <v>9</v>
      </c>
      <c r="F28" s="38">
        <v>5</v>
      </c>
      <c r="G28" s="51" t="s">
        <v>55</v>
      </c>
      <c r="H28" s="56"/>
      <c r="I28" s="17">
        <f>_2021_VB_ar_MK_grozījumiem!S28</f>
        <v>60</v>
      </c>
      <c r="J28" s="17">
        <f>_2021_VB_ar_MK_grozījumiem!T28</f>
        <v>60</v>
      </c>
      <c r="K28" s="74">
        <f>ROUND(_2021_VB_ar_MK_grozījumiem!K28*1.05,0)</f>
        <v>2</v>
      </c>
      <c r="L28" s="74">
        <f t="shared" si="19"/>
        <v>2</v>
      </c>
      <c r="M28" s="17">
        <f t="shared" si="17"/>
        <v>84</v>
      </c>
      <c r="N28" s="17">
        <f t="shared" si="17"/>
        <v>84</v>
      </c>
      <c r="O28" s="17">
        <f>ROUND(_2021_VB_ar_MK_grozījumiem!O28*0.9,0)</f>
        <v>9</v>
      </c>
      <c r="P28" s="74">
        <f t="shared" si="20"/>
        <v>9</v>
      </c>
      <c r="Q28" s="41">
        <f>'_2021_VB_bez izmaiņām'!Q28*1.1</f>
        <v>1155</v>
      </c>
      <c r="R28" s="6">
        <f t="shared" si="4"/>
        <v>10395</v>
      </c>
      <c r="S28" s="19">
        <f t="shared" si="18"/>
        <v>75</v>
      </c>
      <c r="T28" s="19">
        <f t="shared" si="18"/>
        <v>75</v>
      </c>
      <c r="U28" s="1">
        <v>1</v>
      </c>
      <c r="V28" s="1"/>
    </row>
    <row r="29" spans="1:23" ht="36" customHeight="1" x14ac:dyDescent="0.25">
      <c r="A29" s="37">
        <v>21</v>
      </c>
      <c r="B29" s="38" t="s">
        <v>6</v>
      </c>
      <c r="C29" s="38" t="s">
        <v>56</v>
      </c>
      <c r="D29" s="37" t="s">
        <v>57</v>
      </c>
      <c r="E29" s="38" t="s">
        <v>9</v>
      </c>
      <c r="F29" s="38">
        <v>2</v>
      </c>
      <c r="G29" s="51" t="s">
        <v>10</v>
      </c>
      <c r="H29" s="56"/>
      <c r="I29" s="13">
        <f>_2021_VB_ar_MK_grozījumiem!S29</f>
        <v>6</v>
      </c>
      <c r="J29" s="13">
        <f>_2021_VB_ar_MK_grozījumiem!T29</f>
        <v>6</v>
      </c>
      <c r="K29" s="74">
        <f>ROUND(_2021_VB_ar_MK_grozījumiem!K29*1.05,0)</f>
        <v>1</v>
      </c>
      <c r="L29" s="74">
        <f t="shared" si="19"/>
        <v>1</v>
      </c>
      <c r="M29" s="13">
        <f t="shared" si="17"/>
        <v>18</v>
      </c>
      <c r="N29" s="13">
        <f t="shared" si="17"/>
        <v>18</v>
      </c>
      <c r="O29" s="13">
        <f>ROUND(_2021_VB_ar_MK_grozījumiem!O29*0.9,0)</f>
        <v>5</v>
      </c>
      <c r="P29" s="74">
        <f t="shared" si="20"/>
        <v>5</v>
      </c>
      <c r="Q29" s="39">
        <f>'_2021_VB_bez izmaiņām'!Q29*1.1</f>
        <v>15.400000000000002</v>
      </c>
      <c r="R29" s="4">
        <f t="shared" si="4"/>
        <v>77.000000000000014</v>
      </c>
      <c r="S29" s="18">
        <f t="shared" si="18"/>
        <v>13</v>
      </c>
      <c r="T29" s="18">
        <f t="shared" si="18"/>
        <v>13</v>
      </c>
      <c r="U29" s="1"/>
      <c r="V29" s="1">
        <v>1</v>
      </c>
    </row>
    <row r="30" spans="1:23" ht="21.75" customHeight="1" x14ac:dyDescent="0.25">
      <c r="A30" s="37">
        <v>22</v>
      </c>
      <c r="B30" s="38" t="s">
        <v>6</v>
      </c>
      <c r="C30" s="38" t="s">
        <v>58</v>
      </c>
      <c r="D30" s="37" t="s">
        <v>59</v>
      </c>
      <c r="E30" s="38" t="s">
        <v>9</v>
      </c>
      <c r="F30" s="38">
        <v>5</v>
      </c>
      <c r="G30" s="51" t="s">
        <v>10</v>
      </c>
      <c r="H30" s="56"/>
      <c r="I30" s="13">
        <f>_2021_VB_ar_MK_grozījumiem!S30</f>
        <v>6</v>
      </c>
      <c r="J30" s="13">
        <f>_2021_VB_ar_MK_grozījumiem!T30</f>
        <v>6</v>
      </c>
      <c r="K30" s="74">
        <f>ROUND(_2021_VB_ar_MK_grozījumiem!K30*1.05,0)</f>
        <v>1</v>
      </c>
      <c r="L30" s="74">
        <f t="shared" si="19"/>
        <v>1</v>
      </c>
      <c r="M30" s="13">
        <f t="shared" si="17"/>
        <v>18</v>
      </c>
      <c r="N30" s="13">
        <f t="shared" si="17"/>
        <v>18</v>
      </c>
      <c r="O30" s="13">
        <f>ROUND(_2021_VB_ar_MK_grozījumiem!O30*0.9,0)</f>
        <v>5</v>
      </c>
      <c r="P30" s="74">
        <f t="shared" si="20"/>
        <v>5</v>
      </c>
      <c r="Q30" s="39">
        <f>'_2021_VB_bez izmaiņām'!Q30*1.1</f>
        <v>958.32000000000016</v>
      </c>
      <c r="R30" s="4">
        <f t="shared" si="4"/>
        <v>4791.6000000000004</v>
      </c>
      <c r="S30" s="18">
        <f t="shared" si="18"/>
        <v>13</v>
      </c>
      <c r="T30" s="18">
        <f t="shared" si="18"/>
        <v>13</v>
      </c>
      <c r="U30" s="1"/>
      <c r="V30" s="1">
        <v>1</v>
      </c>
    </row>
    <row r="31" spans="1:23" ht="21.75" customHeight="1" x14ac:dyDescent="0.25">
      <c r="A31" s="37">
        <v>23</v>
      </c>
      <c r="B31" s="38" t="s">
        <v>60</v>
      </c>
      <c r="C31" s="38" t="s">
        <v>61</v>
      </c>
      <c r="D31" s="37" t="s">
        <v>62</v>
      </c>
      <c r="E31" s="38" t="s">
        <v>9</v>
      </c>
      <c r="F31" s="38">
        <v>3</v>
      </c>
      <c r="G31" s="51" t="s">
        <v>10</v>
      </c>
      <c r="H31" s="56"/>
      <c r="I31" s="13">
        <f>_2021_VB_ar_MK_grozījumiem!S31</f>
        <v>445</v>
      </c>
      <c r="J31" s="13">
        <f>_2021_VB_ar_MK_grozījumiem!T31</f>
        <v>445</v>
      </c>
      <c r="K31" s="74">
        <f>ROUND(_2021_VB_ar_MK_grozījumiem!K31*1.05,0)</f>
        <v>41</v>
      </c>
      <c r="L31" s="74">
        <f t="shared" si="19"/>
        <v>41</v>
      </c>
      <c r="M31" s="13">
        <f t="shared" si="17"/>
        <v>937</v>
      </c>
      <c r="N31" s="13">
        <f t="shared" si="17"/>
        <v>937</v>
      </c>
      <c r="O31" s="13">
        <f>ROUND(_2021_VB_ar_MK_grozījumiem!O31*0.9,0)</f>
        <v>45</v>
      </c>
      <c r="P31" s="74">
        <f t="shared" si="20"/>
        <v>45</v>
      </c>
      <c r="Q31" s="39">
        <f>'_2021_VB_bez izmaiņām'!Q31*1.1</f>
        <v>367.40000000000003</v>
      </c>
      <c r="R31" s="4">
        <f t="shared" si="4"/>
        <v>16533</v>
      </c>
      <c r="S31" s="18">
        <f t="shared" si="18"/>
        <v>892</v>
      </c>
      <c r="T31" s="18">
        <f t="shared" si="18"/>
        <v>892</v>
      </c>
      <c r="U31" s="1"/>
      <c r="V31" s="1">
        <v>1</v>
      </c>
    </row>
    <row r="32" spans="1:23" ht="32.25" customHeight="1" x14ac:dyDescent="0.25">
      <c r="A32" s="37">
        <v>24</v>
      </c>
      <c r="B32" s="38" t="s">
        <v>60</v>
      </c>
      <c r="C32" s="38" t="s">
        <v>61</v>
      </c>
      <c r="D32" s="37" t="s">
        <v>108</v>
      </c>
      <c r="E32" s="38" t="s">
        <v>9</v>
      </c>
      <c r="F32" s="38">
        <v>5</v>
      </c>
      <c r="G32" s="51" t="s">
        <v>10</v>
      </c>
      <c r="H32" s="56"/>
      <c r="I32" s="13">
        <f>_2021_VB_ar_MK_grozījumiem!S32</f>
        <v>352</v>
      </c>
      <c r="J32" s="13">
        <f>_2021_VB_ar_MK_grozījumiem!T32</f>
        <v>352</v>
      </c>
      <c r="K32" s="74">
        <f>ROUND(_2021_VB_ar_MK_grozījumiem!K32*1.05,0)</f>
        <v>48</v>
      </c>
      <c r="L32" s="74">
        <f t="shared" si="19"/>
        <v>48</v>
      </c>
      <c r="M32" s="13">
        <f t="shared" si="17"/>
        <v>928</v>
      </c>
      <c r="N32" s="13">
        <f t="shared" si="17"/>
        <v>928</v>
      </c>
      <c r="O32" s="13">
        <f>ROUND(_2021_VB_ar_MK_grozījumiem!O32*0.9,0)</f>
        <v>180</v>
      </c>
      <c r="P32" s="74">
        <f t="shared" si="20"/>
        <v>180</v>
      </c>
      <c r="Q32" s="39">
        <f>'_2021_VB_bez izmaiņām'!Q32*1.1</f>
        <v>797.50000000000011</v>
      </c>
      <c r="R32" s="4">
        <f t="shared" si="4"/>
        <v>143550.00000000003</v>
      </c>
      <c r="S32" s="18">
        <f t="shared" si="18"/>
        <v>748</v>
      </c>
      <c r="T32" s="18">
        <f t="shared" si="18"/>
        <v>748</v>
      </c>
      <c r="U32" s="1"/>
      <c r="V32" s="1">
        <v>1</v>
      </c>
      <c r="W32" s="33" t="s">
        <v>189</v>
      </c>
    </row>
    <row r="33" spans="1:23" ht="49.5" customHeight="1" x14ac:dyDescent="0.25">
      <c r="A33" s="37">
        <v>25</v>
      </c>
      <c r="B33" s="38" t="s">
        <v>60</v>
      </c>
      <c r="C33" s="38" t="s">
        <v>61</v>
      </c>
      <c r="D33" s="37" t="s">
        <v>63</v>
      </c>
      <c r="E33" s="38" t="s">
        <v>9</v>
      </c>
      <c r="F33" s="38">
        <v>3</v>
      </c>
      <c r="G33" s="51" t="s">
        <v>64</v>
      </c>
      <c r="H33" s="56"/>
      <c r="I33" s="13">
        <f>_2021_VB_ar_MK_grozījumiem!S33</f>
        <v>42</v>
      </c>
      <c r="J33" s="13">
        <f>_2021_VB_ar_MK_grozījumiem!T33</f>
        <v>42</v>
      </c>
      <c r="K33" s="74">
        <f>ROUND(_2021_VB_ar_MK_grozījumiem!K33*1.05,0)</f>
        <v>7</v>
      </c>
      <c r="L33" s="74">
        <f t="shared" si="19"/>
        <v>7</v>
      </c>
      <c r="M33" s="13">
        <f t="shared" si="17"/>
        <v>126</v>
      </c>
      <c r="N33" s="13">
        <f t="shared" si="17"/>
        <v>126</v>
      </c>
      <c r="O33" s="13">
        <f>ROUND(_2021_VB_ar_MK_grozījumiem!O33*0.9,0)</f>
        <v>32</v>
      </c>
      <c r="P33" s="74">
        <f t="shared" si="20"/>
        <v>32</v>
      </c>
      <c r="Q33" s="39">
        <f>'_2021_VB_bez izmaiņām'!Q33*1.1</f>
        <v>159.72</v>
      </c>
      <c r="R33" s="4">
        <f t="shared" si="4"/>
        <v>5111.04</v>
      </c>
      <c r="S33" s="18">
        <f t="shared" si="18"/>
        <v>94</v>
      </c>
      <c r="T33" s="18">
        <f t="shared" si="18"/>
        <v>94</v>
      </c>
      <c r="U33" s="1"/>
      <c r="V33" s="1">
        <v>1</v>
      </c>
    </row>
    <row r="34" spans="1:23" ht="25.5" customHeight="1" x14ac:dyDescent="0.25">
      <c r="A34" s="37">
        <v>26</v>
      </c>
      <c r="B34" s="38" t="s">
        <v>147</v>
      </c>
      <c r="C34" s="38" t="s">
        <v>65</v>
      </c>
      <c r="D34" s="37" t="s">
        <v>66</v>
      </c>
      <c r="E34" s="38" t="s">
        <v>9</v>
      </c>
      <c r="F34" s="38">
        <v>5</v>
      </c>
      <c r="G34" s="51" t="s">
        <v>110</v>
      </c>
      <c r="H34" s="56"/>
      <c r="I34" s="13">
        <f>_2021_VB_ar_MK_grozījumiem!S34</f>
        <v>466</v>
      </c>
      <c r="J34" s="13">
        <f>_2021_VB_ar_MK_grozījumiem!T34</f>
        <v>466</v>
      </c>
      <c r="K34" s="74">
        <f>ROUND(_2021_VB_ar_MK_grozījumiem!K34*1.05,0)</f>
        <v>45</v>
      </c>
      <c r="L34" s="74">
        <f t="shared" si="19"/>
        <v>45</v>
      </c>
      <c r="M34" s="13">
        <f t="shared" si="17"/>
        <v>1006</v>
      </c>
      <c r="N34" s="13">
        <f t="shared" si="17"/>
        <v>1006</v>
      </c>
      <c r="O34" s="13">
        <f>ROUND(_2021_VB_ar_MK_grozījumiem!O34*0.9,0)</f>
        <v>45</v>
      </c>
      <c r="P34" s="74">
        <f t="shared" si="20"/>
        <v>45</v>
      </c>
      <c r="Q34" s="39">
        <f>'_2021_VB_bez izmaiņām'!Q34*1.1</f>
        <v>210.83333333333334</v>
      </c>
      <c r="R34" s="4">
        <f t="shared" si="4"/>
        <v>9487.5</v>
      </c>
      <c r="S34" s="18">
        <f t="shared" si="18"/>
        <v>961</v>
      </c>
      <c r="T34" s="18">
        <f t="shared" si="18"/>
        <v>961</v>
      </c>
      <c r="U34" s="1"/>
      <c r="V34" s="1">
        <v>1</v>
      </c>
      <c r="W34" s="33" t="s">
        <v>126</v>
      </c>
    </row>
    <row r="35" spans="1:23" ht="60.75" customHeight="1" x14ac:dyDescent="0.25">
      <c r="A35" s="37">
        <v>27</v>
      </c>
      <c r="B35" s="38" t="s">
        <v>181</v>
      </c>
      <c r="C35" s="38" t="s">
        <v>67</v>
      </c>
      <c r="D35" s="37" t="s">
        <v>68</v>
      </c>
      <c r="E35" s="38" t="s">
        <v>9</v>
      </c>
      <c r="F35" s="38">
        <v>3</v>
      </c>
      <c r="G35" s="51" t="s">
        <v>69</v>
      </c>
      <c r="H35" s="56"/>
      <c r="I35" s="17">
        <f>_2021_VB_ar_MK_grozījumiem!S35</f>
        <v>247</v>
      </c>
      <c r="J35" s="17">
        <f>_2021_VB_ar_MK_grozījumiem!T35</f>
        <v>247</v>
      </c>
      <c r="K35" s="74">
        <f>ROUND(_2021_VB_ar_MK_grozījumiem!K35*1.05,0)</f>
        <v>11</v>
      </c>
      <c r="L35" s="74">
        <f t="shared" si="19"/>
        <v>11</v>
      </c>
      <c r="M35" s="17">
        <f t="shared" si="17"/>
        <v>379</v>
      </c>
      <c r="N35" s="17">
        <f t="shared" si="17"/>
        <v>379</v>
      </c>
      <c r="O35" s="17">
        <f>ROUND(_2021_VB_ar_MK_grozījumiem!O35*0.9,0)</f>
        <v>90</v>
      </c>
      <c r="P35" s="74">
        <f t="shared" si="20"/>
        <v>90</v>
      </c>
      <c r="Q35" s="40">
        <f>'_2021_VB_bez izmaiņām'!Q35*1.1</f>
        <v>533.25800000000004</v>
      </c>
      <c r="R35" s="22">
        <f t="shared" si="4"/>
        <v>47993.22</v>
      </c>
      <c r="S35" s="19">
        <f t="shared" si="18"/>
        <v>289</v>
      </c>
      <c r="T35" s="19">
        <f t="shared" si="18"/>
        <v>289</v>
      </c>
      <c r="U35" s="1">
        <v>1</v>
      </c>
      <c r="V35" s="1"/>
    </row>
    <row r="36" spans="1:23" x14ac:dyDescent="0.25">
      <c r="A36" s="37">
        <v>28</v>
      </c>
      <c r="B36" s="38" t="s">
        <v>70</v>
      </c>
      <c r="C36" s="38" t="s">
        <v>121</v>
      </c>
      <c r="D36" s="37" t="s">
        <v>122</v>
      </c>
      <c r="E36" s="38" t="s">
        <v>9</v>
      </c>
      <c r="F36" s="38">
        <v>5</v>
      </c>
      <c r="G36" s="51" t="s">
        <v>47</v>
      </c>
      <c r="H36" s="56"/>
      <c r="I36" s="17">
        <f>_2021_VB_ar_MK_grozījumiem!S36</f>
        <v>0</v>
      </c>
      <c r="J36" s="17">
        <f>_2021_VB_ar_MK_grozījumiem!T36</f>
        <v>0</v>
      </c>
      <c r="K36" s="74">
        <f>ROUND(_2021_VB_ar_MK_grozījumiem!K36*1.05,0)</f>
        <v>11</v>
      </c>
      <c r="L36" s="74">
        <f t="shared" si="19"/>
        <v>11</v>
      </c>
      <c r="M36" s="17">
        <f t="shared" ref="M36:N46" si="21">I36+(K36*12)</f>
        <v>132</v>
      </c>
      <c r="N36" s="17">
        <f t="shared" si="21"/>
        <v>132</v>
      </c>
      <c r="O36" s="17">
        <f>ROUND(_2021_VB_ar_MK_grozījumiem!O36*0.9,0)</f>
        <v>108</v>
      </c>
      <c r="P36" s="74">
        <f t="shared" si="20"/>
        <v>108</v>
      </c>
      <c r="Q36" s="40">
        <f>'_2021_VB_bez izmaiņām'!Q36*1.1</f>
        <v>136.642</v>
      </c>
      <c r="R36" s="22">
        <f t="shared" si="4"/>
        <v>14757.335999999999</v>
      </c>
      <c r="S36" s="19">
        <f t="shared" ref="S36:T46" si="22">M36-O36</f>
        <v>24</v>
      </c>
      <c r="T36" s="19">
        <f t="shared" si="22"/>
        <v>24</v>
      </c>
      <c r="U36" s="1">
        <v>1</v>
      </c>
      <c r="V36" s="1"/>
      <c r="W36" s="33" t="s">
        <v>126</v>
      </c>
    </row>
    <row r="37" spans="1:23" ht="40.5" customHeight="1" x14ac:dyDescent="0.25">
      <c r="A37" s="37">
        <v>29</v>
      </c>
      <c r="B37" s="59" t="s">
        <v>71</v>
      </c>
      <c r="C37" s="59" t="s">
        <v>72</v>
      </c>
      <c r="D37" s="58" t="s">
        <v>73</v>
      </c>
      <c r="E37" s="59" t="s">
        <v>9</v>
      </c>
      <c r="F37" s="59">
        <v>5</v>
      </c>
      <c r="G37" s="61" t="s">
        <v>74</v>
      </c>
      <c r="H37" s="57"/>
      <c r="I37" s="17">
        <f>_2021_VB_ar_MK_grozījumiem!S37</f>
        <v>0</v>
      </c>
      <c r="J37" s="17">
        <f>_2021_VB_ar_MK_grozījumiem!T37</f>
        <v>0</v>
      </c>
      <c r="K37" s="74">
        <f>ROUND(_2021_VB_ar_MK_grozījumiem!K37*1.05,0)</f>
        <v>11</v>
      </c>
      <c r="L37" s="74">
        <f t="shared" si="19"/>
        <v>11</v>
      </c>
      <c r="M37" s="17">
        <f t="shared" si="21"/>
        <v>132</v>
      </c>
      <c r="N37" s="17">
        <f t="shared" si="21"/>
        <v>132</v>
      </c>
      <c r="O37" s="17">
        <f>ROUND(_2021_VB_ar_MK_grozījumiem!O37*0.9,0)</f>
        <v>108</v>
      </c>
      <c r="P37" s="74">
        <f t="shared" si="20"/>
        <v>108</v>
      </c>
      <c r="Q37" s="42">
        <f>'_2021_VB_bez izmaiņām'!Q37*1.1</f>
        <v>459.09600000000006</v>
      </c>
      <c r="R37" s="23">
        <f t="shared" si="4"/>
        <v>49582.368000000009</v>
      </c>
      <c r="S37" s="18">
        <f t="shared" si="22"/>
        <v>24</v>
      </c>
      <c r="T37" s="18">
        <f t="shared" si="22"/>
        <v>24</v>
      </c>
      <c r="U37" s="24">
        <v>1</v>
      </c>
      <c r="V37" s="24"/>
      <c r="W37" s="32"/>
    </row>
    <row r="38" spans="1:23" ht="117" customHeight="1" x14ac:dyDescent="0.25">
      <c r="A38" s="59">
        <v>30</v>
      </c>
      <c r="B38" s="59" t="s">
        <v>71</v>
      </c>
      <c r="C38" s="59" t="s">
        <v>72</v>
      </c>
      <c r="D38" s="58" t="s">
        <v>75</v>
      </c>
      <c r="E38" s="59" t="s">
        <v>9</v>
      </c>
      <c r="F38" s="59">
        <v>5</v>
      </c>
      <c r="G38" s="61" t="s">
        <v>76</v>
      </c>
      <c r="H38" s="57"/>
      <c r="I38" s="17">
        <f>_2021_VB_ar_MK_grozījumiem!S38</f>
        <v>0</v>
      </c>
      <c r="J38" s="17">
        <f>_2021_VB_ar_MK_grozījumiem!T38</f>
        <v>0</v>
      </c>
      <c r="K38" s="74">
        <f>ROUND(_2021_VB_ar_MK_grozījumiem!K38*1.05,0)</f>
        <v>11</v>
      </c>
      <c r="L38" s="74">
        <f t="shared" si="19"/>
        <v>11</v>
      </c>
      <c r="M38" s="17">
        <f t="shared" si="21"/>
        <v>132</v>
      </c>
      <c r="N38" s="17">
        <f>J38+(L38*12)</f>
        <v>132</v>
      </c>
      <c r="O38" s="17">
        <f>ROUND(_2021_VB_ar_MK_grozījumiem!O38*0.9,0)</f>
        <v>108</v>
      </c>
      <c r="P38" s="74">
        <f t="shared" si="20"/>
        <v>108</v>
      </c>
      <c r="Q38" s="42">
        <f>'_2021_VB_bez izmaiņām'!Q38*1.1</f>
        <v>382.71200000000005</v>
      </c>
      <c r="R38" s="23">
        <f t="shared" si="4"/>
        <v>41332.896000000008</v>
      </c>
      <c r="S38" s="18">
        <f t="shared" si="22"/>
        <v>24</v>
      </c>
      <c r="T38" s="18">
        <f t="shared" si="22"/>
        <v>24</v>
      </c>
      <c r="U38" s="24">
        <v>1</v>
      </c>
      <c r="V38" s="24"/>
      <c r="W38" s="32" t="s">
        <v>126</v>
      </c>
    </row>
    <row r="39" spans="1:23" ht="42.75" customHeight="1" x14ac:dyDescent="0.25">
      <c r="A39" s="37">
        <v>31</v>
      </c>
      <c r="B39" s="38" t="s">
        <v>77</v>
      </c>
      <c r="C39" s="38" t="s">
        <v>78</v>
      </c>
      <c r="D39" s="37" t="s">
        <v>99</v>
      </c>
      <c r="E39" s="38" t="s">
        <v>9</v>
      </c>
      <c r="F39" s="38">
        <v>2</v>
      </c>
      <c r="G39" s="51" t="s">
        <v>10</v>
      </c>
      <c r="H39" s="56"/>
      <c r="I39" s="13">
        <f>_2021_VB_ar_MK_grozījumiem!S39</f>
        <v>157</v>
      </c>
      <c r="J39" s="13">
        <f>_2021_VB_ar_MK_grozījumiem!T39</f>
        <v>157</v>
      </c>
      <c r="K39" s="74">
        <f>ROUND(_2021_VB_ar_MK_grozījumiem!K39*1.05,0)</f>
        <v>24</v>
      </c>
      <c r="L39" s="74">
        <f t="shared" si="19"/>
        <v>24</v>
      </c>
      <c r="M39" s="13">
        <f t="shared" si="21"/>
        <v>445</v>
      </c>
      <c r="N39" s="13">
        <f t="shared" si="21"/>
        <v>445</v>
      </c>
      <c r="O39" s="13">
        <f>ROUND(_2021_VB_ar_MK_grozījumiem!O39*0.9,0)</f>
        <v>135</v>
      </c>
      <c r="P39" s="74">
        <f t="shared" si="20"/>
        <v>135</v>
      </c>
      <c r="Q39" s="42">
        <f>'_2021_VB_bez izmaiņām'!Q39*1.1</f>
        <v>77.451000000000008</v>
      </c>
      <c r="R39" s="23">
        <f t="shared" si="4"/>
        <v>10455.885</v>
      </c>
      <c r="S39" s="18">
        <f t="shared" si="22"/>
        <v>310</v>
      </c>
      <c r="T39" s="18">
        <f t="shared" si="22"/>
        <v>310</v>
      </c>
      <c r="U39" s="1"/>
      <c r="V39" s="1">
        <v>1</v>
      </c>
      <c r="W39" s="33" t="s">
        <v>111</v>
      </c>
    </row>
    <row r="40" spans="1:23" ht="20.25" customHeight="1" x14ac:dyDescent="0.25">
      <c r="A40" s="37">
        <v>32</v>
      </c>
      <c r="B40" s="38" t="s">
        <v>148</v>
      </c>
      <c r="C40" s="38" t="s">
        <v>79</v>
      </c>
      <c r="D40" s="37" t="s">
        <v>80</v>
      </c>
      <c r="E40" s="38" t="s">
        <v>9</v>
      </c>
      <c r="F40" s="38">
        <v>5</v>
      </c>
      <c r="G40" s="51" t="s">
        <v>110</v>
      </c>
      <c r="H40" s="56"/>
      <c r="I40" s="13">
        <f>_2021_VB_ar_MK_grozījumiem!S40</f>
        <v>265</v>
      </c>
      <c r="J40" s="13">
        <f>_2021_VB_ar_MK_grozījumiem!T40</f>
        <v>265</v>
      </c>
      <c r="K40" s="74">
        <f>ROUND(_2021_VB_ar_MK_grozījumiem!K40*1.05,0)</f>
        <v>32</v>
      </c>
      <c r="L40" s="74">
        <f t="shared" si="19"/>
        <v>32</v>
      </c>
      <c r="M40" s="13">
        <f t="shared" si="21"/>
        <v>649</v>
      </c>
      <c r="N40" s="13">
        <f t="shared" si="21"/>
        <v>649</v>
      </c>
      <c r="O40" s="13">
        <f>ROUND(_2021_VB_ar_MK_grozījumiem!O40*0.9,0)</f>
        <v>86</v>
      </c>
      <c r="P40" s="74">
        <f t="shared" si="20"/>
        <v>86</v>
      </c>
      <c r="Q40" s="39">
        <f>'_2021_VB_bez izmaiņām'!Q40*1.1</f>
        <v>2750</v>
      </c>
      <c r="R40" s="4">
        <f t="shared" si="4"/>
        <v>236500</v>
      </c>
      <c r="S40" s="18">
        <f t="shared" si="22"/>
        <v>563</v>
      </c>
      <c r="T40" s="18">
        <f t="shared" si="22"/>
        <v>563</v>
      </c>
      <c r="U40" s="1"/>
      <c r="V40" s="1">
        <v>1</v>
      </c>
      <c r="W40" s="33" t="s">
        <v>126</v>
      </c>
    </row>
    <row r="41" spans="1:23" ht="22.5" customHeight="1" x14ac:dyDescent="0.25">
      <c r="A41" s="37">
        <v>33</v>
      </c>
      <c r="B41" s="38" t="s">
        <v>6</v>
      </c>
      <c r="C41" s="38" t="s">
        <v>81</v>
      </c>
      <c r="D41" s="37" t="s">
        <v>82</v>
      </c>
      <c r="E41" s="38" t="s">
        <v>9</v>
      </c>
      <c r="F41" s="38">
        <v>7</v>
      </c>
      <c r="G41" s="51" t="s">
        <v>112</v>
      </c>
      <c r="H41" s="56"/>
      <c r="I41" s="13">
        <f>_2021_VB_ar_MK_grozījumiem!S41</f>
        <v>14</v>
      </c>
      <c r="J41" s="13">
        <f>_2021_VB_ar_MK_grozījumiem!T41</f>
        <v>14</v>
      </c>
      <c r="K41" s="74">
        <f>ROUND(_2021_VB_ar_MK_grozījumiem!K41*1.05,0)</f>
        <v>2</v>
      </c>
      <c r="L41" s="74">
        <f t="shared" si="19"/>
        <v>2</v>
      </c>
      <c r="M41" s="13">
        <f t="shared" si="21"/>
        <v>38</v>
      </c>
      <c r="N41" s="13">
        <f t="shared" si="21"/>
        <v>38</v>
      </c>
      <c r="O41" s="13">
        <f>ROUND(_2021_VB_ar_MK_grozījumiem!O41*0.9,0)</f>
        <v>9</v>
      </c>
      <c r="P41" s="74">
        <f t="shared" si="20"/>
        <v>9</v>
      </c>
      <c r="Q41" s="39">
        <f>'_2021_VB_bez izmaiņām'!Q41*1.1</f>
        <v>2750</v>
      </c>
      <c r="R41" s="4">
        <f t="shared" si="4"/>
        <v>24750</v>
      </c>
      <c r="S41" s="18">
        <f t="shared" si="22"/>
        <v>29</v>
      </c>
      <c r="T41" s="18">
        <f t="shared" si="22"/>
        <v>29</v>
      </c>
      <c r="U41" s="1"/>
      <c r="V41" s="1">
        <v>1</v>
      </c>
      <c r="W41" s="33" t="s">
        <v>126</v>
      </c>
    </row>
    <row r="42" spans="1:23" ht="30" customHeight="1" x14ac:dyDescent="0.25">
      <c r="A42" s="37">
        <v>34</v>
      </c>
      <c r="B42" s="38" t="s">
        <v>77</v>
      </c>
      <c r="C42" s="38" t="s">
        <v>78</v>
      </c>
      <c r="D42" s="37" t="s">
        <v>83</v>
      </c>
      <c r="E42" s="38" t="s">
        <v>9</v>
      </c>
      <c r="F42" s="38">
        <v>5</v>
      </c>
      <c r="G42" s="51" t="s">
        <v>74</v>
      </c>
      <c r="H42" s="56"/>
      <c r="I42" s="13">
        <f>_2021_VB_ar_MK_grozījumiem!S42</f>
        <v>250</v>
      </c>
      <c r="J42" s="13">
        <f>_2021_VB_ar_MK_grozījumiem!T42</f>
        <v>250</v>
      </c>
      <c r="K42" s="74">
        <f>ROUND(_2021_VB_ar_MK_grozījumiem!K42*1.05,0)</f>
        <v>11</v>
      </c>
      <c r="L42" s="74">
        <f t="shared" si="19"/>
        <v>11</v>
      </c>
      <c r="M42" s="13">
        <f>I42+(K42*12)</f>
        <v>382</v>
      </c>
      <c r="N42" s="13">
        <f t="shared" si="21"/>
        <v>382</v>
      </c>
      <c r="O42" s="13">
        <f>ROUND(_2021_VB_ar_MK_grozījumiem!O42*0.9,0)</f>
        <v>91</v>
      </c>
      <c r="P42" s="74">
        <f t="shared" si="20"/>
        <v>91</v>
      </c>
      <c r="Q42" s="39">
        <f>'_2021_VB_bez izmaiņām'!Q42*1.1</f>
        <v>77</v>
      </c>
      <c r="R42" s="4">
        <f t="shared" si="4"/>
        <v>7007</v>
      </c>
      <c r="S42" s="18">
        <f>M42-O42</f>
        <v>291</v>
      </c>
      <c r="T42" s="18">
        <f t="shared" si="22"/>
        <v>291</v>
      </c>
      <c r="U42" s="1">
        <v>1</v>
      </c>
      <c r="V42" s="1"/>
    </row>
    <row r="43" spans="1:23" ht="30" customHeight="1" x14ac:dyDescent="0.25">
      <c r="A43" s="37">
        <v>35</v>
      </c>
      <c r="B43" s="38" t="s">
        <v>182</v>
      </c>
      <c r="C43" s="38" t="s">
        <v>183</v>
      </c>
      <c r="D43" s="37" t="s">
        <v>184</v>
      </c>
      <c r="E43" s="38" t="s">
        <v>9</v>
      </c>
      <c r="F43" s="38">
        <v>5</v>
      </c>
      <c r="G43" s="51" t="s">
        <v>185</v>
      </c>
      <c r="H43" s="56"/>
      <c r="I43" s="13">
        <f>_2021_VB_ar_MK_grozījumiem!S43</f>
        <v>90</v>
      </c>
      <c r="J43" s="13">
        <f>_2021_VB_ar_MK_grozījumiem!T43</f>
        <v>90</v>
      </c>
      <c r="K43" s="74">
        <f>ROUND(_2021_VB_ar_MK_grozījumiem!K43*1.05,0)</f>
        <v>16</v>
      </c>
      <c r="L43" s="74">
        <f t="shared" si="19"/>
        <v>16</v>
      </c>
      <c r="M43" s="13">
        <f>I43+(K43*12)</f>
        <v>282</v>
      </c>
      <c r="N43" s="13">
        <f t="shared" si="21"/>
        <v>282</v>
      </c>
      <c r="O43" s="13">
        <f>ROUND(_2021_VB_ar_MK_grozījumiem!O43*0.9,0)</f>
        <v>81</v>
      </c>
      <c r="P43" s="74">
        <f t="shared" si="20"/>
        <v>81</v>
      </c>
      <c r="Q43" s="39">
        <f>'_2021_VB_bez izmaiņām'!Q43*1.1</f>
        <v>205.70000000000002</v>
      </c>
      <c r="R43" s="4">
        <f>Q43*P43</f>
        <v>16661.7</v>
      </c>
      <c r="S43" s="18">
        <f>M43-O43</f>
        <v>201</v>
      </c>
      <c r="T43" s="18">
        <f t="shared" si="22"/>
        <v>201</v>
      </c>
      <c r="U43" s="1"/>
      <c r="V43" s="1"/>
    </row>
    <row r="44" spans="1:23" ht="63.75" customHeight="1" x14ac:dyDescent="0.25">
      <c r="A44" s="37">
        <v>36</v>
      </c>
      <c r="B44" s="38" t="s">
        <v>84</v>
      </c>
      <c r="C44" s="38" t="s">
        <v>79</v>
      </c>
      <c r="D44" s="37" t="s">
        <v>85</v>
      </c>
      <c r="E44" s="38" t="s">
        <v>9</v>
      </c>
      <c r="F44" s="38">
        <v>5</v>
      </c>
      <c r="G44" s="51" t="s">
        <v>86</v>
      </c>
      <c r="H44" s="56"/>
      <c r="I44" s="13">
        <f>_2021_VB_ar_MK_grozījumiem!S44</f>
        <v>35</v>
      </c>
      <c r="J44" s="13">
        <f>_2021_VB_ar_MK_grozījumiem!T44</f>
        <v>35</v>
      </c>
      <c r="K44" s="74">
        <f>ROUND(_2021_VB_ar_MK_grozījumiem!K44*1.05,0)</f>
        <v>5</v>
      </c>
      <c r="L44" s="74">
        <f t="shared" si="19"/>
        <v>5</v>
      </c>
      <c r="M44" s="13">
        <f t="shared" si="21"/>
        <v>95</v>
      </c>
      <c r="N44" s="13">
        <f t="shared" si="21"/>
        <v>95</v>
      </c>
      <c r="O44" s="13">
        <f>ROUND(_2021_VB_ar_MK_grozījumiem!O44*0.9,0)</f>
        <v>27</v>
      </c>
      <c r="P44" s="74">
        <f t="shared" si="20"/>
        <v>27</v>
      </c>
      <c r="Q44" s="39">
        <f>'_2021_VB_bez izmaiņām'!Q44*1.1</f>
        <v>170.36799999999999</v>
      </c>
      <c r="R44" s="4">
        <f t="shared" si="4"/>
        <v>4599.9359999999997</v>
      </c>
      <c r="S44" s="18">
        <f t="shared" si="22"/>
        <v>68</v>
      </c>
      <c r="T44" s="18">
        <f t="shared" si="22"/>
        <v>68</v>
      </c>
      <c r="U44" s="1"/>
      <c r="V44" s="1">
        <v>1</v>
      </c>
    </row>
    <row r="45" spans="1:23" ht="53.25" customHeight="1" x14ac:dyDescent="0.25">
      <c r="A45" s="60">
        <v>37</v>
      </c>
      <c r="B45" s="59" t="s">
        <v>87</v>
      </c>
      <c r="C45" s="59" t="s">
        <v>88</v>
      </c>
      <c r="D45" s="58" t="s">
        <v>89</v>
      </c>
      <c r="E45" s="59" t="s">
        <v>9</v>
      </c>
      <c r="F45" s="59">
        <v>5</v>
      </c>
      <c r="G45" s="61" t="s">
        <v>10</v>
      </c>
      <c r="H45" s="57"/>
      <c r="I45" s="13">
        <f>_2021_VB_ar_MK_grozījumiem!S45</f>
        <v>72</v>
      </c>
      <c r="J45" s="13">
        <f>_2021_VB_ar_MK_grozījumiem!T45</f>
        <v>72</v>
      </c>
      <c r="K45" s="74">
        <f>ROUND(_2021_VB_ar_MK_grozījumiem!K45*1.05,0)</f>
        <v>7</v>
      </c>
      <c r="L45" s="74">
        <f t="shared" si="19"/>
        <v>7</v>
      </c>
      <c r="M45" s="13">
        <f t="shared" si="21"/>
        <v>156</v>
      </c>
      <c r="N45" s="13">
        <f t="shared" si="21"/>
        <v>156</v>
      </c>
      <c r="O45" s="13">
        <f>ROUND(_2021_VB_ar_MK_grozījumiem!O45*0.9,0)</f>
        <v>5</v>
      </c>
      <c r="P45" s="74">
        <f t="shared" si="20"/>
        <v>5</v>
      </c>
      <c r="Q45" s="39">
        <f>'_2021_VB_bez izmaiņām'!Q45*1.1</f>
        <v>1396.2190000000001</v>
      </c>
      <c r="R45" s="4">
        <f t="shared" si="4"/>
        <v>6981.0950000000003</v>
      </c>
      <c r="S45" s="18">
        <f t="shared" si="22"/>
        <v>151</v>
      </c>
      <c r="T45" s="18">
        <f t="shared" si="22"/>
        <v>151</v>
      </c>
      <c r="U45" s="1"/>
      <c r="V45" s="1">
        <v>1</v>
      </c>
    </row>
    <row r="46" spans="1:23" x14ac:dyDescent="0.25">
      <c r="A46" s="37">
        <v>38</v>
      </c>
      <c r="B46" s="38" t="s">
        <v>87</v>
      </c>
      <c r="C46" s="38" t="s">
        <v>90</v>
      </c>
      <c r="D46" s="37" t="s">
        <v>113</v>
      </c>
      <c r="E46" s="38" t="s">
        <v>9</v>
      </c>
      <c r="F46" s="38">
        <v>5</v>
      </c>
      <c r="G46" s="51" t="s">
        <v>10</v>
      </c>
      <c r="H46" s="56"/>
      <c r="I46" s="13">
        <f>_2021_VB_ar_MK_grozījumiem!S46</f>
        <v>95</v>
      </c>
      <c r="J46" s="13">
        <f>_2021_VB_ar_MK_grozījumiem!T46</f>
        <v>95</v>
      </c>
      <c r="K46" s="74">
        <f>ROUND(_2021_VB_ar_MK_grozījumiem!K46*1.05,0)</f>
        <v>10</v>
      </c>
      <c r="L46" s="74">
        <f t="shared" si="19"/>
        <v>10</v>
      </c>
      <c r="M46" s="13">
        <f t="shared" si="21"/>
        <v>215</v>
      </c>
      <c r="N46" s="13">
        <f t="shared" si="21"/>
        <v>215</v>
      </c>
      <c r="O46" s="13">
        <f>ROUND(_2021_VB_ar_MK_grozījumiem!O46*0.9,0)</f>
        <v>19</v>
      </c>
      <c r="P46" s="74">
        <f t="shared" si="20"/>
        <v>19</v>
      </c>
      <c r="Q46" s="39">
        <f>'_2021_VB_bez izmaiņām'!Q46*1.1</f>
        <v>550</v>
      </c>
      <c r="R46" s="4">
        <f t="shared" si="4"/>
        <v>10450</v>
      </c>
      <c r="S46" s="18">
        <f t="shared" si="22"/>
        <v>196</v>
      </c>
      <c r="T46" s="18">
        <f t="shared" si="22"/>
        <v>196</v>
      </c>
      <c r="U46" s="1"/>
      <c r="V46" s="1">
        <v>1</v>
      </c>
      <c r="W46" s="33" t="s">
        <v>109</v>
      </c>
    </row>
    <row r="47" spans="1:23" ht="20.25" customHeight="1" x14ac:dyDescent="0.25">
      <c r="A47" s="48"/>
      <c r="B47" s="49"/>
      <c r="C47" s="50">
        <v>27</v>
      </c>
      <c r="D47" s="91" t="s">
        <v>91</v>
      </c>
      <c r="E47" s="91"/>
      <c r="F47" s="91"/>
      <c r="G47" s="91"/>
      <c r="H47" s="137"/>
      <c r="I47" s="10">
        <f>_2021_VB_ar_MK_grozījumiem!S47</f>
        <v>91</v>
      </c>
      <c r="J47" s="10">
        <f>_2021_VB_ar_MK_grozījumiem!T47</f>
        <v>91</v>
      </c>
      <c r="K47" s="10">
        <f>ROUND(_2021_VB_ar_MK_grozījumiem!K47*1.05,0)</f>
        <v>14</v>
      </c>
      <c r="L47" s="10">
        <f t="shared" ref="L47:R47" si="23">L48+L49</f>
        <v>13</v>
      </c>
      <c r="M47" s="10">
        <f t="shared" si="23"/>
        <v>247</v>
      </c>
      <c r="N47" s="10">
        <f t="shared" si="23"/>
        <v>247</v>
      </c>
      <c r="O47" s="10">
        <f>ROUND(_2021_VB_ar_MK_grozījumiem!O47*0.9,0)</f>
        <v>70</v>
      </c>
      <c r="P47" s="10">
        <f t="shared" si="23"/>
        <v>71</v>
      </c>
      <c r="Q47" s="73" t="s">
        <v>119</v>
      </c>
      <c r="R47" s="3">
        <f t="shared" si="23"/>
        <v>6541.8650000000016</v>
      </c>
      <c r="S47" s="10">
        <f>S48+S49</f>
        <v>176</v>
      </c>
      <c r="T47" s="10">
        <f>T48+T49</f>
        <v>176</v>
      </c>
      <c r="U47" s="8"/>
      <c r="V47" s="8">
        <v>1</v>
      </c>
    </row>
    <row r="48" spans="1:23" ht="30" x14ac:dyDescent="0.25">
      <c r="A48" s="37">
        <v>39</v>
      </c>
      <c r="B48" s="38" t="s">
        <v>6</v>
      </c>
      <c r="C48" s="38" t="s">
        <v>92</v>
      </c>
      <c r="D48" s="37" t="s">
        <v>93</v>
      </c>
      <c r="E48" s="38" t="s">
        <v>9</v>
      </c>
      <c r="F48" s="38">
        <v>3</v>
      </c>
      <c r="G48" s="51" t="s">
        <v>10</v>
      </c>
      <c r="H48" s="56"/>
      <c r="I48" s="13">
        <f>_2021_VB_ar_MK_grozījumiem!S48</f>
        <v>64</v>
      </c>
      <c r="J48" s="13">
        <f>_2021_VB_ar_MK_grozījumiem!T48</f>
        <v>64</v>
      </c>
      <c r="K48" s="74">
        <f>ROUND(_2021_VB_ar_MK_grozījumiem!K48*1.05,0)</f>
        <v>9</v>
      </c>
      <c r="L48" s="74">
        <f t="shared" si="19"/>
        <v>9</v>
      </c>
      <c r="M48" s="13">
        <f t="shared" ref="M48:N49" si="24">I48+(K48*12)</f>
        <v>172</v>
      </c>
      <c r="N48" s="13">
        <f t="shared" si="24"/>
        <v>172</v>
      </c>
      <c r="O48" s="13">
        <f>ROUND(_2021_VB_ar_MK_grozījumiem!O48*0.9,0)</f>
        <v>50</v>
      </c>
      <c r="P48" s="74">
        <f t="shared" si="20"/>
        <v>50</v>
      </c>
      <c r="Q48" s="39">
        <f>'_2021_VB_bez izmaiņām'!Q48*1.1</f>
        <v>38.599000000000004</v>
      </c>
      <c r="R48" s="4">
        <f t="shared" si="4"/>
        <v>1929.9500000000003</v>
      </c>
      <c r="S48" s="18">
        <f t="shared" ref="S48:T49" si="25">M48-O48</f>
        <v>122</v>
      </c>
      <c r="T48" s="18">
        <f t="shared" si="25"/>
        <v>122</v>
      </c>
      <c r="U48" s="1"/>
      <c r="V48" s="1">
        <v>1</v>
      </c>
    </row>
    <row r="49" spans="1:24" x14ac:dyDescent="0.25">
      <c r="A49" s="37">
        <v>40</v>
      </c>
      <c r="B49" s="38" t="s">
        <v>6</v>
      </c>
      <c r="C49" s="38" t="s">
        <v>94</v>
      </c>
      <c r="D49" s="37" t="s">
        <v>95</v>
      </c>
      <c r="E49" s="38" t="s">
        <v>9</v>
      </c>
      <c r="F49" s="38">
        <v>5</v>
      </c>
      <c r="G49" s="51" t="s">
        <v>10</v>
      </c>
      <c r="H49" s="56"/>
      <c r="I49" s="13">
        <f>_2021_VB_ar_MK_grozījumiem!S49</f>
        <v>27</v>
      </c>
      <c r="J49" s="13">
        <f>_2021_VB_ar_MK_grozījumiem!T49</f>
        <v>27</v>
      </c>
      <c r="K49" s="74">
        <f>ROUND(_2021_VB_ar_MK_grozījumiem!K49*1.05,0)</f>
        <v>4</v>
      </c>
      <c r="L49" s="74">
        <f t="shared" si="19"/>
        <v>4</v>
      </c>
      <c r="M49" s="13">
        <f t="shared" si="24"/>
        <v>75</v>
      </c>
      <c r="N49" s="13">
        <f t="shared" si="24"/>
        <v>75</v>
      </c>
      <c r="O49" s="13">
        <f>ROUND(_2021_VB_ar_MK_grozījumiem!O49*0.9,0)</f>
        <v>21</v>
      </c>
      <c r="P49" s="74">
        <f t="shared" si="20"/>
        <v>21</v>
      </c>
      <c r="Q49" s="39">
        <f>'_2021_VB_bez izmaiņām'!Q49*1.1</f>
        <v>219.61500000000004</v>
      </c>
      <c r="R49" s="4">
        <f t="shared" si="4"/>
        <v>4611.9150000000009</v>
      </c>
      <c r="S49" s="18">
        <f t="shared" si="25"/>
        <v>54</v>
      </c>
      <c r="T49" s="18">
        <f t="shared" si="25"/>
        <v>54</v>
      </c>
      <c r="U49" s="1"/>
      <c r="V49" s="1">
        <v>1</v>
      </c>
    </row>
    <row r="50" spans="1:24" x14ac:dyDescent="0.25">
      <c r="I50" s="20">
        <f t="shared" ref="I50:P50" si="26">I6+I11+I13+I16+I19+I47</f>
        <v>8114</v>
      </c>
      <c r="J50" s="20">
        <f t="shared" si="26"/>
        <v>9885</v>
      </c>
      <c r="K50" s="20">
        <f t="shared" si="26"/>
        <v>773</v>
      </c>
      <c r="L50" s="20">
        <f t="shared" si="26"/>
        <v>900</v>
      </c>
      <c r="M50" s="20">
        <f t="shared" si="26"/>
        <v>17402</v>
      </c>
      <c r="N50" s="20">
        <f t="shared" si="26"/>
        <v>20685</v>
      </c>
      <c r="O50" s="20">
        <f t="shared" si="26"/>
        <v>4677</v>
      </c>
      <c r="P50" s="20">
        <f t="shared" si="26"/>
        <v>6331</v>
      </c>
      <c r="Q50" s="26" t="s">
        <v>119</v>
      </c>
      <c r="R50" s="20">
        <f>R6+R11+R13+R16+R19+R47</f>
        <v>1894717.9969999997</v>
      </c>
      <c r="S50" s="20">
        <f>S6+S11+S13+S16+S19+S47</f>
        <v>12682</v>
      </c>
      <c r="T50" s="20">
        <f>T6+T11+T13+T16+T19+T47</f>
        <v>14354</v>
      </c>
      <c r="X50" s="131"/>
    </row>
    <row r="51" spans="1:24" x14ac:dyDescent="0.25">
      <c r="I51" s="21">
        <f>I25+I26+I27+I28+I35+I36+I37+I38+I42+I43</f>
        <v>3933</v>
      </c>
      <c r="J51" s="21">
        <f t="shared" ref="J51:P51" si="27">J25+J26+J27+J28+J35+J36+J37+J38+J42+J43</f>
        <v>5704</v>
      </c>
      <c r="K51" s="21">
        <f t="shared" si="27"/>
        <v>305</v>
      </c>
      <c r="L51" s="21">
        <f t="shared" si="27"/>
        <v>431</v>
      </c>
      <c r="M51" s="21">
        <f t="shared" si="27"/>
        <v>7593</v>
      </c>
      <c r="N51" s="21">
        <f t="shared" si="27"/>
        <v>10876</v>
      </c>
      <c r="O51" s="21">
        <f t="shared" si="27"/>
        <v>3375</v>
      </c>
      <c r="P51" s="21">
        <f t="shared" si="27"/>
        <v>4986</v>
      </c>
      <c r="Q51" s="21"/>
      <c r="R51" s="21">
        <f>R25+R26+R27+R28+R35+R36+R37+R38+R42+R43</f>
        <v>1166980.9999999998</v>
      </c>
      <c r="S51" s="21">
        <f>S25+S26+S27+S28+S35+S36+S37+S38+S42+S43</f>
        <v>4218</v>
      </c>
      <c r="T51" s="21">
        <f>T25+T26+T27+T28+T35+T36+T37+T38+T42+T43</f>
        <v>5890</v>
      </c>
    </row>
    <row r="52" spans="1:24" x14ac:dyDescent="0.25">
      <c r="P52" s="89" t="s">
        <v>131</v>
      </c>
      <c r="Q52" s="90" t="s">
        <v>131</v>
      </c>
      <c r="R52" s="21">
        <v>1166981</v>
      </c>
    </row>
    <row r="53" spans="1:24" x14ac:dyDescent="0.25">
      <c r="P53" s="89" t="s">
        <v>132</v>
      </c>
      <c r="Q53" s="90" t="s">
        <v>132</v>
      </c>
      <c r="R53" s="21">
        <f>R51-R52</f>
        <v>0</v>
      </c>
    </row>
    <row r="55" spans="1:24" x14ac:dyDescent="0.25">
      <c r="I55" s="21">
        <f t="shared" ref="I55:P55" si="28">I7+I8+I9+I10+I12+I14+I15+I17+I18+I20+I21+I22+I23+I24+I29+I30+I31+I32+I33+I34+I39+I40+I41+I44+I46+I48+I49+I45</f>
        <v>4181</v>
      </c>
      <c r="J55" s="21">
        <f t="shared" si="28"/>
        <v>4181</v>
      </c>
      <c r="K55" s="21">
        <f t="shared" si="28"/>
        <v>469</v>
      </c>
      <c r="L55" s="21">
        <f t="shared" si="28"/>
        <v>469</v>
      </c>
      <c r="M55" s="21">
        <f t="shared" si="28"/>
        <v>9809</v>
      </c>
      <c r="N55" s="21">
        <f t="shared" si="28"/>
        <v>9809</v>
      </c>
      <c r="O55" s="21">
        <f t="shared" si="28"/>
        <v>1345</v>
      </c>
      <c r="P55" s="21">
        <f t="shared" si="28"/>
        <v>1345</v>
      </c>
      <c r="Q55" s="21"/>
      <c r="R55" s="21">
        <f>R7+R8+R9+R10+R12+R14+R15+R17+R18+R20+R21+R22+R23+R24+R29+R30+R31+R32+R33+R34+R39+R40+R41+R44+R46+R48+R49+R45</f>
        <v>727736.99699999997</v>
      </c>
      <c r="S55" s="21">
        <f>S7+S8+S9+S10+S12+S14+S15+S17+S18+S20+S21+S22+S23+S24+S29+S30+S31+S32+S33+S34+S39+S40+S41+S44+S46+S48+S49+S45</f>
        <v>8464</v>
      </c>
      <c r="T55" s="21">
        <f t="shared" ref="T55" si="29">T7+T8+T9+T10+T12+T14+T15+T17+T18+T20+T21+T22+T23+T24+T29+T30+T31+T32+T33+T34+T39+T40+T41+T44+T46+T48+T49+T45</f>
        <v>8464</v>
      </c>
      <c r="U55" s="21"/>
      <c r="V55" s="21"/>
      <c r="W55" s="21"/>
    </row>
    <row r="56" spans="1:24" x14ac:dyDescent="0.25">
      <c r="P56" s="89" t="s">
        <v>133</v>
      </c>
      <c r="Q56" s="90" t="s">
        <v>131</v>
      </c>
      <c r="R56" s="55">
        <v>727737</v>
      </c>
    </row>
    <row r="57" spans="1:24" x14ac:dyDescent="0.25">
      <c r="P57" s="89" t="s">
        <v>134</v>
      </c>
      <c r="Q57" s="90" t="s">
        <v>132</v>
      </c>
      <c r="R57" s="21">
        <f>R55-R56</f>
        <v>-3.0000000260770321E-3</v>
      </c>
    </row>
    <row r="59" spans="1:24" x14ac:dyDescent="0.25">
      <c r="Q59" s="139" t="s">
        <v>135</v>
      </c>
      <c r="R59" s="21">
        <f>R52+R56</f>
        <v>1894718</v>
      </c>
    </row>
    <row r="60" spans="1:24" ht="19.5" x14ac:dyDescent="0.25">
      <c r="O60" s="140"/>
      <c r="P60" s="140"/>
      <c r="Q60" s="141" t="s">
        <v>163</v>
      </c>
      <c r="R60" s="142">
        <f>R50-R59</f>
        <v>-3.0000002589076757E-3</v>
      </c>
    </row>
    <row r="61" spans="1:24" x14ac:dyDescent="0.25">
      <c r="R61" s="21">
        <f>R50-R52-R56-R57-R53</f>
        <v>-2.3283064365386963E-10</v>
      </c>
    </row>
    <row r="62" spans="1:24" x14ac:dyDescent="0.25">
      <c r="I62" s="21">
        <f>I50-I51-I55</f>
        <v>0</v>
      </c>
      <c r="J62" s="21">
        <f t="shared" ref="J62:P62" si="30">J50-J51-J55</f>
        <v>0</v>
      </c>
      <c r="K62" s="21">
        <f t="shared" si="30"/>
        <v>-1</v>
      </c>
      <c r="L62" s="21">
        <f t="shared" si="30"/>
        <v>0</v>
      </c>
      <c r="M62" s="21">
        <f t="shared" si="30"/>
        <v>0</v>
      </c>
      <c r="N62" s="21">
        <f t="shared" si="30"/>
        <v>0</v>
      </c>
      <c r="O62" s="21">
        <f t="shared" si="30"/>
        <v>-43</v>
      </c>
      <c r="P62" s="21">
        <f t="shared" si="30"/>
        <v>0</v>
      </c>
      <c r="Q62" s="21"/>
      <c r="R62" s="21">
        <f>R50-R51-R55</f>
        <v>0</v>
      </c>
      <c r="S62" s="21">
        <f>S50-S51-S55</f>
        <v>0</v>
      </c>
      <c r="T62" s="21">
        <f>T50-T51-T55</f>
        <v>0</v>
      </c>
    </row>
    <row r="64" spans="1:24" x14ac:dyDescent="0.25">
      <c r="I64" s="21"/>
      <c r="J64" s="21"/>
      <c r="K64" s="21"/>
      <c r="L64" s="21"/>
      <c r="M64" s="21"/>
      <c r="N64" s="21"/>
      <c r="O64" s="21"/>
      <c r="P64" s="21"/>
      <c r="Q64" s="21"/>
      <c r="R64" s="21"/>
      <c r="S64" s="21"/>
      <c r="T64" s="21"/>
      <c r="U64" s="21"/>
    </row>
  </sheetData>
  <mergeCells count="20">
    <mergeCell ref="A1:T1"/>
    <mergeCell ref="I2:R2"/>
    <mergeCell ref="A3:G3"/>
    <mergeCell ref="I3:J3"/>
    <mergeCell ref="K3:L3"/>
    <mergeCell ref="M3:N3"/>
    <mergeCell ref="O3:P3"/>
    <mergeCell ref="Q3:Q4"/>
    <mergeCell ref="R3:R4"/>
    <mergeCell ref="S3:T3"/>
    <mergeCell ref="P52:Q52"/>
    <mergeCell ref="P53:Q53"/>
    <mergeCell ref="P56:Q56"/>
    <mergeCell ref="P57:Q57"/>
    <mergeCell ref="D6:G6"/>
    <mergeCell ref="D11:G11"/>
    <mergeCell ref="D13:G13"/>
    <mergeCell ref="D16:G16"/>
    <mergeCell ref="D19:G19"/>
    <mergeCell ref="D47:G47"/>
  </mergeCells>
  <pageMargins left="0.51181102362204722" right="0.31496062992125984" top="0.94488188976377963" bottom="0.59055118110236227"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0BD36-9EEB-42AA-894A-ED7539E0FB4A}">
  <sheetPr>
    <tabColor theme="0" tint="-0.249977111117893"/>
  </sheetPr>
  <dimension ref="A1:Z64"/>
  <sheetViews>
    <sheetView zoomScale="60" zoomScaleNormal="60" workbookViewId="0">
      <pane ySplit="5" topLeftCell="A81" activePane="bottomLeft" state="frozen"/>
      <selection activeCell="D1" sqref="D1"/>
      <selection pane="bottomLeft" activeCell="K84" sqref="K84"/>
    </sheetView>
  </sheetViews>
  <sheetFormatPr defaultColWidth="9.140625" defaultRowHeight="15" x14ac:dyDescent="0.25"/>
  <cols>
    <col min="1" max="1" width="4" style="53" customWidth="1"/>
    <col min="2" max="2" width="13" style="54" customWidth="1"/>
    <col min="3" max="3" width="11.7109375" style="54" customWidth="1"/>
    <col min="4" max="4" width="31.140625" style="53" customWidth="1"/>
    <col min="5" max="5" width="12.140625" style="54" customWidth="1"/>
    <col min="6" max="6" width="8.85546875" style="54" customWidth="1"/>
    <col min="7" max="7" width="33.85546875" style="55" customWidth="1"/>
    <col min="8" max="8" width="2.140625" style="55" customWidth="1"/>
    <col min="9" max="16" width="9.140625" style="55" customWidth="1"/>
    <col min="17" max="17" width="9.140625" style="139" customWidth="1"/>
    <col min="18" max="18" width="14.7109375" style="55" customWidth="1"/>
    <col min="19" max="20" width="9.140625" style="55" customWidth="1"/>
    <col min="21" max="22" width="5.42578125" style="9" hidden="1" customWidth="1"/>
    <col min="23" max="23" width="50" style="33" hidden="1" customWidth="1"/>
    <col min="24" max="24" width="20.140625" style="53" customWidth="1"/>
    <col min="25" max="25" width="16" style="53" customWidth="1"/>
    <col min="26" max="16384" width="9.140625" style="53"/>
  </cols>
  <sheetData>
    <row r="1" spans="1:26" ht="54" customHeight="1" x14ac:dyDescent="0.25">
      <c r="A1" s="128" t="s">
        <v>200</v>
      </c>
      <c r="B1" s="128"/>
      <c r="C1" s="128"/>
      <c r="D1" s="128"/>
      <c r="E1" s="128"/>
      <c r="F1" s="128"/>
      <c r="G1" s="128"/>
      <c r="H1" s="128"/>
      <c r="I1" s="128"/>
      <c r="J1" s="128"/>
      <c r="K1" s="128"/>
      <c r="L1" s="128"/>
      <c r="M1" s="128"/>
      <c r="N1" s="128"/>
      <c r="O1" s="128"/>
      <c r="P1" s="128"/>
      <c r="Q1" s="128"/>
      <c r="R1" s="128"/>
      <c r="S1" s="128"/>
      <c r="T1" s="128"/>
      <c r="X1" s="129"/>
      <c r="Y1" s="130"/>
      <c r="Z1" s="131"/>
    </row>
    <row r="2" spans="1:26" s="43" customFormat="1" ht="18.75" x14ac:dyDescent="0.3">
      <c r="B2" s="44"/>
      <c r="C2" s="44"/>
      <c r="E2" s="44"/>
      <c r="F2" s="44"/>
      <c r="G2" s="45"/>
      <c r="H2" s="45"/>
      <c r="I2" s="92" t="s">
        <v>192</v>
      </c>
      <c r="J2" s="93"/>
      <c r="K2" s="93"/>
      <c r="L2" s="93"/>
      <c r="M2" s="93"/>
      <c r="N2" s="93"/>
      <c r="O2" s="93"/>
      <c r="P2" s="93"/>
      <c r="Q2" s="94"/>
      <c r="R2" s="95"/>
      <c r="S2" s="45"/>
      <c r="T2" s="132"/>
      <c r="U2" s="31"/>
      <c r="V2" s="31"/>
      <c r="W2" s="133"/>
      <c r="X2" s="134"/>
      <c r="Y2" s="135"/>
      <c r="Z2" s="143"/>
    </row>
    <row r="3" spans="1:26" ht="27.75" customHeight="1" x14ac:dyDescent="0.25">
      <c r="A3" s="96" t="s">
        <v>100</v>
      </c>
      <c r="B3" s="96"/>
      <c r="C3" s="96"/>
      <c r="D3" s="96"/>
      <c r="E3" s="96"/>
      <c r="F3" s="96"/>
      <c r="G3" s="96"/>
      <c r="H3" s="7"/>
      <c r="I3" s="97" t="s">
        <v>138</v>
      </c>
      <c r="J3" s="97"/>
      <c r="K3" s="97" t="s">
        <v>167</v>
      </c>
      <c r="L3" s="97"/>
      <c r="M3" s="98" t="s">
        <v>169</v>
      </c>
      <c r="N3" s="98"/>
      <c r="O3" s="98" t="s">
        <v>128</v>
      </c>
      <c r="P3" s="98"/>
      <c r="Q3" s="99" t="s">
        <v>129</v>
      </c>
      <c r="R3" s="100" t="s">
        <v>170</v>
      </c>
      <c r="S3" s="97" t="s">
        <v>171</v>
      </c>
      <c r="T3" s="97"/>
      <c r="U3" s="7"/>
      <c r="V3" s="7"/>
      <c r="W3" s="76"/>
      <c r="Y3" s="130"/>
    </row>
    <row r="4" spans="1:26" ht="150.75" customHeight="1" x14ac:dyDescent="0.2">
      <c r="A4" s="46" t="s">
        <v>96</v>
      </c>
      <c r="B4" s="2" t="s">
        <v>0</v>
      </c>
      <c r="C4" s="2" t="s">
        <v>101</v>
      </c>
      <c r="D4" s="46" t="s">
        <v>1</v>
      </c>
      <c r="E4" s="2" t="s">
        <v>2</v>
      </c>
      <c r="F4" s="2" t="s">
        <v>3</v>
      </c>
      <c r="G4" s="47" t="s">
        <v>4</v>
      </c>
      <c r="H4" s="136"/>
      <c r="I4" s="2" t="s">
        <v>127</v>
      </c>
      <c r="J4" s="2" t="s">
        <v>187</v>
      </c>
      <c r="K4" s="2" t="s">
        <v>168</v>
      </c>
      <c r="L4" s="2" t="s">
        <v>188</v>
      </c>
      <c r="M4" s="88" t="s">
        <v>117</v>
      </c>
      <c r="N4" s="88" t="s">
        <v>118</v>
      </c>
      <c r="O4" s="88" t="s">
        <v>123</v>
      </c>
      <c r="P4" s="88" t="s">
        <v>124</v>
      </c>
      <c r="Q4" s="99"/>
      <c r="R4" s="100"/>
      <c r="S4" s="2" t="s">
        <v>127</v>
      </c>
      <c r="T4" s="2" t="s">
        <v>130</v>
      </c>
      <c r="U4" s="1" t="s">
        <v>115</v>
      </c>
      <c r="V4" s="1" t="s">
        <v>116</v>
      </c>
      <c r="W4" s="34" t="s">
        <v>114</v>
      </c>
    </row>
    <row r="5" spans="1:26" s="9" customFormat="1" ht="12" customHeight="1" x14ac:dyDescent="0.2">
      <c r="A5" s="2">
        <v>1</v>
      </c>
      <c r="B5" s="2">
        <v>2</v>
      </c>
      <c r="C5" s="2">
        <v>3</v>
      </c>
      <c r="D5" s="2">
        <v>4</v>
      </c>
      <c r="E5" s="2">
        <v>5</v>
      </c>
      <c r="F5" s="2">
        <v>6</v>
      </c>
      <c r="G5" s="2">
        <v>7</v>
      </c>
      <c r="H5" s="136"/>
      <c r="I5" s="1">
        <v>8</v>
      </c>
      <c r="J5" s="1">
        <v>9</v>
      </c>
      <c r="K5" s="1">
        <v>10</v>
      </c>
      <c r="L5" s="1">
        <v>11</v>
      </c>
      <c r="M5" s="1">
        <v>12</v>
      </c>
      <c r="N5" s="1">
        <v>13</v>
      </c>
      <c r="O5" s="1">
        <v>14</v>
      </c>
      <c r="P5" s="1">
        <v>15</v>
      </c>
      <c r="Q5" s="29">
        <v>16</v>
      </c>
      <c r="R5" s="1">
        <v>17</v>
      </c>
      <c r="S5" s="2">
        <v>18</v>
      </c>
      <c r="T5" s="2">
        <v>19</v>
      </c>
      <c r="U5" s="1"/>
      <c r="V5" s="1"/>
      <c r="W5" s="34"/>
    </row>
    <row r="6" spans="1:26" ht="18" customHeight="1" x14ac:dyDescent="0.25">
      <c r="A6" s="48"/>
      <c r="B6" s="49"/>
      <c r="C6" s="50">
        <v>4</v>
      </c>
      <c r="D6" s="91" t="s">
        <v>5</v>
      </c>
      <c r="E6" s="91"/>
      <c r="F6" s="91"/>
      <c r="G6" s="91"/>
      <c r="H6" s="137"/>
      <c r="I6" s="10">
        <f>_2022_VB_ar_MK_grozījumiem!S6</f>
        <v>1325</v>
      </c>
      <c r="J6" s="10">
        <f>_2022_VB_ar_MK_grozījumiem!T6</f>
        <v>1325</v>
      </c>
      <c r="K6" s="10">
        <f>ROUND(_2022_VB_ar_MK_grozījumiem!K6*1.05,0)</f>
        <v>68</v>
      </c>
      <c r="L6" s="10">
        <f t="shared" ref="L6:R6" si="0">L7+L8+L9+L10</f>
        <v>68</v>
      </c>
      <c r="M6" s="10">
        <f t="shared" si="0"/>
        <v>2141</v>
      </c>
      <c r="N6" s="10">
        <f t="shared" si="0"/>
        <v>2141</v>
      </c>
      <c r="O6" s="10">
        <f>ROUND(_2022_VB_ar_MK_grozījumiem!O6*0.9,0)</f>
        <v>113</v>
      </c>
      <c r="P6" s="10">
        <f t="shared" si="0"/>
        <v>114</v>
      </c>
      <c r="Q6" s="73" t="s">
        <v>119</v>
      </c>
      <c r="R6" s="3">
        <f t="shared" si="0"/>
        <v>9145.2405000000017</v>
      </c>
      <c r="S6" s="10">
        <f>S7+S8+S9+S10</f>
        <v>2027</v>
      </c>
      <c r="T6" s="10">
        <f>T7+T8+T9+T10</f>
        <v>2027</v>
      </c>
      <c r="U6" s="8"/>
      <c r="V6" s="8">
        <v>1</v>
      </c>
    </row>
    <row r="7" spans="1:26" ht="27.75" customHeight="1" x14ac:dyDescent="0.25">
      <c r="A7" s="37">
        <v>1</v>
      </c>
      <c r="B7" s="38" t="s">
        <v>6</v>
      </c>
      <c r="C7" s="38" t="s">
        <v>7</v>
      </c>
      <c r="D7" s="37" t="s">
        <v>8</v>
      </c>
      <c r="E7" s="38" t="s">
        <v>9</v>
      </c>
      <c r="F7" s="38" t="s">
        <v>97</v>
      </c>
      <c r="G7" s="51" t="s">
        <v>10</v>
      </c>
      <c r="H7" s="56"/>
      <c r="I7" s="13">
        <f>_2022_VB_ar_MK_grozījumiem!S7</f>
        <v>576</v>
      </c>
      <c r="J7" s="13">
        <f>_2022_VB_ar_MK_grozījumiem!T7</f>
        <v>576</v>
      </c>
      <c r="K7" s="74">
        <f>ROUND(_2022_VB_ar_MK_grozījumiem!K7*1.05,0)</f>
        <v>28</v>
      </c>
      <c r="L7" s="74">
        <f>K7</f>
        <v>28</v>
      </c>
      <c r="M7" s="13">
        <f>I7+(K7*12)</f>
        <v>912</v>
      </c>
      <c r="N7" s="13">
        <f>J7+(L7*12)</f>
        <v>912</v>
      </c>
      <c r="O7" s="13">
        <f>ROUND(_2022_VB_ar_MK_grozījumiem!O7*0.9,0)</f>
        <v>41</v>
      </c>
      <c r="P7" s="74">
        <f>O7</f>
        <v>41</v>
      </c>
      <c r="Q7" s="39">
        <f>'_2022_VB_bez izmaiņām'!Q7*1.1</f>
        <v>101.64000000000001</v>
      </c>
      <c r="R7" s="4">
        <f>Q7*P7</f>
        <v>4167.2400000000007</v>
      </c>
      <c r="S7" s="18">
        <f>M7-O7</f>
        <v>871</v>
      </c>
      <c r="T7" s="18">
        <f>N7-P7</f>
        <v>871</v>
      </c>
      <c r="U7" s="1"/>
      <c r="V7" s="1">
        <v>1</v>
      </c>
      <c r="W7" s="33" t="s">
        <v>102</v>
      </c>
      <c r="X7" s="138"/>
    </row>
    <row r="8" spans="1:26" ht="18" customHeight="1" x14ac:dyDescent="0.25">
      <c r="A8" s="37">
        <v>2</v>
      </c>
      <c r="B8" s="38" t="s">
        <v>6</v>
      </c>
      <c r="C8" s="38" t="s">
        <v>11</v>
      </c>
      <c r="D8" s="37" t="s">
        <v>12</v>
      </c>
      <c r="E8" s="38" t="s">
        <v>9</v>
      </c>
      <c r="F8" s="38">
        <v>5</v>
      </c>
      <c r="G8" s="51" t="s">
        <v>10</v>
      </c>
      <c r="H8" s="56"/>
      <c r="I8" s="13">
        <f>_2022_VB_ar_MK_grozījumiem!S8</f>
        <v>161</v>
      </c>
      <c r="J8" s="13">
        <f>_2022_VB_ar_MK_grozījumiem!T8</f>
        <v>161</v>
      </c>
      <c r="K8" s="74">
        <f>ROUND(_2022_VB_ar_MK_grozījumiem!K8*1.05,0)</f>
        <v>8</v>
      </c>
      <c r="L8" s="74">
        <f t="shared" ref="L8:L10" si="1">K8</f>
        <v>8</v>
      </c>
      <c r="M8" s="13">
        <f t="shared" ref="M8:N10" si="2">I8+(K8*12)</f>
        <v>257</v>
      </c>
      <c r="N8" s="13">
        <f t="shared" si="2"/>
        <v>257</v>
      </c>
      <c r="O8" s="13">
        <f>ROUND(_2022_VB_ar_MK_grozījumiem!O8*0.9,0)</f>
        <v>16</v>
      </c>
      <c r="P8" s="74">
        <f t="shared" ref="P8:P10" si="3">O8</f>
        <v>16</v>
      </c>
      <c r="Q8" s="39">
        <f>'_2022_VB_bez izmaiņām'!Q8*1.1</f>
        <v>101.64000000000001</v>
      </c>
      <c r="R8" s="4">
        <f t="shared" ref="R8:R49" si="4">Q8*P8</f>
        <v>1626.2400000000002</v>
      </c>
      <c r="S8" s="18">
        <f t="shared" ref="S8:T10" si="5">M8-O8</f>
        <v>241</v>
      </c>
      <c r="T8" s="18">
        <f t="shared" si="5"/>
        <v>241</v>
      </c>
      <c r="U8" s="1"/>
      <c r="V8" s="1">
        <v>1</v>
      </c>
    </row>
    <row r="9" spans="1:26" ht="36" customHeight="1" x14ac:dyDescent="0.25">
      <c r="A9" s="37">
        <v>3</v>
      </c>
      <c r="B9" s="38" t="s">
        <v>13</v>
      </c>
      <c r="C9" s="38" t="s">
        <v>14</v>
      </c>
      <c r="D9" s="37" t="s">
        <v>15</v>
      </c>
      <c r="E9" s="38" t="s">
        <v>9</v>
      </c>
      <c r="F9" s="38">
        <v>2</v>
      </c>
      <c r="G9" s="51" t="s">
        <v>10</v>
      </c>
      <c r="H9" s="56"/>
      <c r="I9" s="13">
        <f>_2022_VB_ar_MK_grozījumiem!S9</f>
        <v>226</v>
      </c>
      <c r="J9" s="13">
        <f>_2022_VB_ar_MK_grozījumiem!T9</f>
        <v>226</v>
      </c>
      <c r="K9" s="74">
        <f>ROUND(_2022_VB_ar_MK_grozījumiem!K9*1.05,0)</f>
        <v>12</v>
      </c>
      <c r="L9" s="74">
        <f t="shared" si="1"/>
        <v>12</v>
      </c>
      <c r="M9" s="13">
        <f t="shared" si="2"/>
        <v>370</v>
      </c>
      <c r="N9" s="13">
        <f t="shared" si="2"/>
        <v>370</v>
      </c>
      <c r="O9" s="13">
        <f>ROUND(_2022_VB_ar_MK_grozījumiem!O9*0.9,0)</f>
        <v>16</v>
      </c>
      <c r="P9" s="74">
        <f t="shared" si="3"/>
        <v>16</v>
      </c>
      <c r="Q9" s="39">
        <f>'_2022_VB_bez izmaiņām'!Q9*1.1</f>
        <v>40.656000000000013</v>
      </c>
      <c r="R9" s="4">
        <f t="shared" si="4"/>
        <v>650.49600000000021</v>
      </c>
      <c r="S9" s="18">
        <f t="shared" si="5"/>
        <v>354</v>
      </c>
      <c r="T9" s="18">
        <f t="shared" si="5"/>
        <v>354</v>
      </c>
      <c r="U9" s="1"/>
      <c r="V9" s="1">
        <v>1</v>
      </c>
    </row>
    <row r="10" spans="1:26" ht="18" customHeight="1" x14ac:dyDescent="0.25">
      <c r="A10" s="37">
        <v>4</v>
      </c>
      <c r="B10" s="38" t="s">
        <v>16</v>
      </c>
      <c r="C10" s="38" t="s">
        <v>17</v>
      </c>
      <c r="D10" s="37" t="s">
        <v>18</v>
      </c>
      <c r="E10" s="38" t="s">
        <v>9</v>
      </c>
      <c r="F10" s="38">
        <v>5</v>
      </c>
      <c r="G10" s="51" t="s">
        <v>10</v>
      </c>
      <c r="H10" s="56"/>
      <c r="I10" s="13">
        <f>_2022_VB_ar_MK_grozījumiem!S10</f>
        <v>362</v>
      </c>
      <c r="J10" s="13">
        <f>_2022_VB_ar_MK_grozījumiem!T10</f>
        <v>362</v>
      </c>
      <c r="K10" s="74">
        <f>ROUND(_2022_VB_ar_MK_grozījumiem!K10*1.05,0)</f>
        <v>20</v>
      </c>
      <c r="L10" s="74">
        <f t="shared" si="1"/>
        <v>20</v>
      </c>
      <c r="M10" s="13">
        <f t="shared" si="2"/>
        <v>602</v>
      </c>
      <c r="N10" s="13">
        <f t="shared" si="2"/>
        <v>602</v>
      </c>
      <c r="O10" s="13">
        <f>ROUND(_2022_VB_ar_MK_grozījumiem!O10*0.9,0)</f>
        <v>41</v>
      </c>
      <c r="P10" s="74">
        <f t="shared" si="3"/>
        <v>41</v>
      </c>
      <c r="Q10" s="39">
        <f>'_2022_VB_bez izmaiņām'!Q10*1.1</f>
        <v>65.884500000000017</v>
      </c>
      <c r="R10" s="4">
        <f t="shared" si="4"/>
        <v>2701.2645000000007</v>
      </c>
      <c r="S10" s="18">
        <f t="shared" si="5"/>
        <v>561</v>
      </c>
      <c r="T10" s="18">
        <f t="shared" si="5"/>
        <v>561</v>
      </c>
      <c r="U10" s="1"/>
      <c r="V10" s="1">
        <v>1</v>
      </c>
    </row>
    <row r="11" spans="1:26" ht="18" customHeight="1" x14ac:dyDescent="0.25">
      <c r="A11" s="48"/>
      <c r="B11" s="49"/>
      <c r="C11" s="50">
        <v>6</v>
      </c>
      <c r="D11" s="91" t="s">
        <v>19</v>
      </c>
      <c r="E11" s="91"/>
      <c r="F11" s="91"/>
      <c r="G11" s="91"/>
      <c r="H11" s="137"/>
      <c r="I11" s="14">
        <f>_2022_VB_ar_MK_grozījumiem!S11</f>
        <v>444</v>
      </c>
      <c r="J11" s="14">
        <f>_2022_VB_ar_MK_grozījumiem!T11</f>
        <v>444</v>
      </c>
      <c r="K11" s="14">
        <f>ROUND(_2022_VB_ar_MK_grozījumiem!K11*1.05,0)</f>
        <v>48</v>
      </c>
      <c r="L11" s="14">
        <f t="shared" ref="L11:R11" si="6">L12</f>
        <v>48</v>
      </c>
      <c r="M11" s="14">
        <f t="shared" si="6"/>
        <v>1020</v>
      </c>
      <c r="N11" s="14">
        <f t="shared" si="6"/>
        <v>1020</v>
      </c>
      <c r="O11" s="14">
        <f>ROUND(_2022_VB_ar_MK_grozījumiem!O11*0.9,0)</f>
        <v>284</v>
      </c>
      <c r="P11" s="14">
        <f t="shared" si="6"/>
        <v>302</v>
      </c>
      <c r="Q11" s="73" t="s">
        <v>119</v>
      </c>
      <c r="R11" s="5">
        <f t="shared" si="6"/>
        <v>204386.98380000005</v>
      </c>
      <c r="S11" s="14">
        <f>S12</f>
        <v>718</v>
      </c>
      <c r="T11" s="14">
        <f>T12</f>
        <v>718</v>
      </c>
      <c r="U11" s="8"/>
      <c r="V11" s="8">
        <v>1</v>
      </c>
    </row>
    <row r="12" spans="1:26" s="43" customFormat="1" ht="34.5" customHeight="1" x14ac:dyDescent="0.25">
      <c r="A12" s="35">
        <v>5</v>
      </c>
      <c r="B12" s="36" t="s">
        <v>20</v>
      </c>
      <c r="C12" s="36" t="s">
        <v>21</v>
      </c>
      <c r="D12" s="35" t="s">
        <v>22</v>
      </c>
      <c r="E12" s="36" t="s">
        <v>9</v>
      </c>
      <c r="F12" s="36">
        <v>2</v>
      </c>
      <c r="G12" s="52" t="s">
        <v>23</v>
      </c>
      <c r="H12" s="57"/>
      <c r="I12" s="13">
        <f>_2022_VB_ar_MK_grozījumiem!S12</f>
        <v>444</v>
      </c>
      <c r="J12" s="13">
        <f>_2022_VB_ar_MK_grozījumiem!T12</f>
        <v>444</v>
      </c>
      <c r="K12" s="74">
        <f>ROUND(_2022_VB_ar_MK_grozījumiem!K12*1.05,0)</f>
        <v>48</v>
      </c>
      <c r="L12" s="74">
        <f>K12</f>
        <v>48</v>
      </c>
      <c r="M12" s="13">
        <f t="shared" ref="M12:N12" si="7">I12+(K12*12)</f>
        <v>1020</v>
      </c>
      <c r="N12" s="13">
        <f t="shared" si="7"/>
        <v>1020</v>
      </c>
      <c r="O12" s="13">
        <f>ROUND(_2022_VB_ar_MK_grozījumiem!O12*0.9,0)+10</f>
        <v>302</v>
      </c>
      <c r="P12" s="74">
        <f>O12</f>
        <v>302</v>
      </c>
      <c r="Q12" s="40">
        <f>'_2022_VB_bez izmaiņām'!Q12*1.1</f>
        <v>676.86190000000011</v>
      </c>
      <c r="R12" s="22">
        <f>Q12*P12-25.31</f>
        <v>204386.98380000005</v>
      </c>
      <c r="S12" s="19">
        <f t="shared" ref="S12:T12" si="8">M12-O12</f>
        <v>718</v>
      </c>
      <c r="T12" s="19">
        <f t="shared" si="8"/>
        <v>718</v>
      </c>
      <c r="U12" s="24"/>
      <c r="V12" s="24">
        <v>1</v>
      </c>
      <c r="W12" s="32"/>
    </row>
    <row r="13" spans="1:26" ht="18" customHeight="1" x14ac:dyDescent="0.25">
      <c r="A13" s="48"/>
      <c r="B13" s="49"/>
      <c r="C13" s="50">
        <v>12</v>
      </c>
      <c r="D13" s="91" t="s">
        <v>24</v>
      </c>
      <c r="E13" s="91"/>
      <c r="F13" s="91"/>
      <c r="G13" s="91"/>
      <c r="H13" s="137"/>
      <c r="I13" s="10">
        <f>_2022_VB_ar_MK_grozījumiem!S13</f>
        <v>317</v>
      </c>
      <c r="J13" s="10">
        <f>_2022_VB_ar_MK_grozījumiem!T13</f>
        <v>317</v>
      </c>
      <c r="K13" s="10">
        <f>ROUND(_2022_VB_ar_MK_grozījumiem!K13*1.05,0)</f>
        <v>18</v>
      </c>
      <c r="L13" s="10">
        <f t="shared" ref="L13:R13" si="9">L14+L15</f>
        <v>16</v>
      </c>
      <c r="M13" s="10">
        <f t="shared" si="9"/>
        <v>509</v>
      </c>
      <c r="N13" s="10">
        <f t="shared" si="9"/>
        <v>509</v>
      </c>
      <c r="O13" s="10">
        <f>ROUND(_2022_VB_ar_MK_grozījumiem!O13*0.9,0)</f>
        <v>32</v>
      </c>
      <c r="P13" s="10">
        <f t="shared" si="9"/>
        <v>32</v>
      </c>
      <c r="Q13" s="73" t="s">
        <v>119</v>
      </c>
      <c r="R13" s="3">
        <f t="shared" si="9"/>
        <v>1761.7600000000002</v>
      </c>
      <c r="S13" s="10">
        <f>S14+S15</f>
        <v>477</v>
      </c>
      <c r="T13" s="10">
        <f>T14+T15</f>
        <v>477</v>
      </c>
      <c r="U13" s="8"/>
      <c r="V13" s="8">
        <v>1</v>
      </c>
    </row>
    <row r="14" spans="1:26" ht="33.75" customHeight="1" x14ac:dyDescent="0.25">
      <c r="A14" s="37">
        <v>6</v>
      </c>
      <c r="B14" s="38" t="s">
        <v>25</v>
      </c>
      <c r="C14" s="38" t="s">
        <v>26</v>
      </c>
      <c r="D14" s="37" t="s">
        <v>27</v>
      </c>
      <c r="E14" s="38" t="s">
        <v>9</v>
      </c>
      <c r="F14" s="38" t="s">
        <v>104</v>
      </c>
      <c r="G14" s="51" t="s">
        <v>10</v>
      </c>
      <c r="H14" s="56"/>
      <c r="I14" s="13">
        <f>_2022_VB_ar_MK_grozījumiem!S14</f>
        <v>137</v>
      </c>
      <c r="J14" s="13">
        <f>_2022_VB_ar_MK_grozījumiem!T14</f>
        <v>137</v>
      </c>
      <c r="K14" s="74">
        <f>ROUND(_2022_VB_ar_MK_grozījumiem!K14*1.05,0)</f>
        <v>7</v>
      </c>
      <c r="L14" s="74">
        <f>K14</f>
        <v>7</v>
      </c>
      <c r="M14" s="13">
        <f t="shared" ref="M14:N15" si="10">I14+(K14*12)</f>
        <v>221</v>
      </c>
      <c r="N14" s="13">
        <f t="shared" si="10"/>
        <v>221</v>
      </c>
      <c r="O14" s="13">
        <f>ROUND(_2022_VB_ar_MK_grozījumiem!O14*0.9,0)</f>
        <v>16</v>
      </c>
      <c r="P14" s="74">
        <f>O14</f>
        <v>16</v>
      </c>
      <c r="Q14" s="39">
        <f>'_2022_VB_bez izmaiņām'!Q14*1.1</f>
        <v>42.35</v>
      </c>
      <c r="R14" s="4">
        <f t="shared" si="4"/>
        <v>677.6</v>
      </c>
      <c r="S14" s="18">
        <f t="shared" ref="S14:T15" si="11">M14-O14</f>
        <v>205</v>
      </c>
      <c r="T14" s="18">
        <f t="shared" si="11"/>
        <v>205</v>
      </c>
      <c r="U14" s="1"/>
      <c r="V14" s="1">
        <v>1</v>
      </c>
      <c r="W14" s="33" t="s">
        <v>103</v>
      </c>
    </row>
    <row r="15" spans="1:26" ht="24" customHeight="1" x14ac:dyDescent="0.25">
      <c r="A15" s="37">
        <v>7</v>
      </c>
      <c r="B15" s="38" t="s">
        <v>25</v>
      </c>
      <c r="C15" s="38" t="s">
        <v>26</v>
      </c>
      <c r="D15" s="37" t="s">
        <v>28</v>
      </c>
      <c r="E15" s="38" t="s">
        <v>9</v>
      </c>
      <c r="F15" s="38" t="s">
        <v>104</v>
      </c>
      <c r="G15" s="51" t="s">
        <v>10</v>
      </c>
      <c r="H15" s="56"/>
      <c r="I15" s="13">
        <f>_2022_VB_ar_MK_grozījumiem!S15</f>
        <v>180</v>
      </c>
      <c r="J15" s="13">
        <f>_2022_VB_ar_MK_grozījumiem!T15</f>
        <v>180</v>
      </c>
      <c r="K15" s="74">
        <f>ROUND(_2022_VB_ar_MK_grozījumiem!K15*1.05,0)</f>
        <v>9</v>
      </c>
      <c r="L15" s="74">
        <f>K15</f>
        <v>9</v>
      </c>
      <c r="M15" s="13">
        <f t="shared" si="10"/>
        <v>288</v>
      </c>
      <c r="N15" s="13">
        <f t="shared" si="10"/>
        <v>288</v>
      </c>
      <c r="O15" s="13">
        <f>ROUND(_2022_VB_ar_MK_grozījumiem!O15*0.9,0)</f>
        <v>16</v>
      </c>
      <c r="P15" s="74">
        <f>O15</f>
        <v>16</v>
      </c>
      <c r="Q15" s="39">
        <f>'_2022_VB_bez izmaiņām'!Q15*1.1</f>
        <v>67.760000000000019</v>
      </c>
      <c r="R15" s="4">
        <f t="shared" si="4"/>
        <v>1084.1600000000003</v>
      </c>
      <c r="S15" s="18">
        <f t="shared" si="11"/>
        <v>272</v>
      </c>
      <c r="T15" s="18">
        <f t="shared" si="11"/>
        <v>272</v>
      </c>
      <c r="U15" s="1"/>
      <c r="V15" s="1">
        <v>1</v>
      </c>
      <c r="W15" s="33" t="s">
        <v>103</v>
      </c>
    </row>
    <row r="16" spans="1:26" ht="18" customHeight="1" x14ac:dyDescent="0.25">
      <c r="A16" s="48"/>
      <c r="B16" s="49"/>
      <c r="C16" s="50">
        <v>15</v>
      </c>
      <c r="D16" s="91" t="s">
        <v>29</v>
      </c>
      <c r="E16" s="91"/>
      <c r="F16" s="91"/>
      <c r="G16" s="91"/>
      <c r="H16" s="137"/>
      <c r="I16" s="10">
        <f>_2022_VB_ar_MK_grozījumiem!S16</f>
        <v>277</v>
      </c>
      <c r="J16" s="10">
        <f>_2022_VB_ar_MK_grozījumiem!T16</f>
        <v>277</v>
      </c>
      <c r="K16" s="10">
        <f>ROUND(_2022_VB_ar_MK_grozījumiem!K16*1.05,0)</f>
        <v>17</v>
      </c>
      <c r="L16" s="10">
        <f t="shared" ref="L16:P16" si="12">L17+L18</f>
        <v>15</v>
      </c>
      <c r="M16" s="10">
        <f t="shared" si="12"/>
        <v>457</v>
      </c>
      <c r="N16" s="10">
        <f t="shared" si="12"/>
        <v>457</v>
      </c>
      <c r="O16" s="10">
        <f>ROUND(_2022_VB_ar_MK_grozījumiem!O16*0.9,0)</f>
        <v>38</v>
      </c>
      <c r="P16" s="10">
        <f t="shared" si="12"/>
        <v>39</v>
      </c>
      <c r="Q16" s="73" t="s">
        <v>119</v>
      </c>
      <c r="R16" s="3">
        <f t="shared" ref="R16" si="13">R17+R18</f>
        <v>1572.8790000000001</v>
      </c>
      <c r="S16" s="10">
        <f>S17+S18</f>
        <v>418</v>
      </c>
      <c r="T16" s="10">
        <f>T17+T18</f>
        <v>418</v>
      </c>
      <c r="U16" s="8"/>
      <c r="V16" s="8">
        <v>1</v>
      </c>
    </row>
    <row r="17" spans="1:23" ht="18" customHeight="1" x14ac:dyDescent="0.25">
      <c r="A17" s="37">
        <v>8</v>
      </c>
      <c r="B17" s="38" t="s">
        <v>16</v>
      </c>
      <c r="C17" s="38" t="s">
        <v>30</v>
      </c>
      <c r="D17" s="37" t="s">
        <v>31</v>
      </c>
      <c r="E17" s="38" t="s">
        <v>9</v>
      </c>
      <c r="F17" s="38">
        <v>5</v>
      </c>
      <c r="G17" s="51" t="s">
        <v>10</v>
      </c>
      <c r="H17" s="56"/>
      <c r="I17" s="13">
        <f>_2022_VB_ar_MK_grozījumiem!S17</f>
        <v>145</v>
      </c>
      <c r="J17" s="13">
        <f>_2022_VB_ar_MK_grozījumiem!T17</f>
        <v>145</v>
      </c>
      <c r="K17" s="74">
        <f>ROUND(_2022_VB_ar_MK_grozījumiem!K17*1.05,0)</f>
        <v>8</v>
      </c>
      <c r="L17" s="74">
        <f>K17</f>
        <v>8</v>
      </c>
      <c r="M17" s="13">
        <f t="shared" ref="M17:N18" si="14">I17+(K17*12)</f>
        <v>241</v>
      </c>
      <c r="N17" s="13">
        <f t="shared" si="14"/>
        <v>241</v>
      </c>
      <c r="O17" s="13">
        <f>ROUND(_2022_VB_ar_MK_grozījumiem!O17*0.9,0)</f>
        <v>21</v>
      </c>
      <c r="P17" s="74">
        <f>O17</f>
        <v>21</v>
      </c>
      <c r="Q17" s="39">
        <f>'_2022_VB_bez izmaiņām'!Q17*1.1</f>
        <v>58.564000000000007</v>
      </c>
      <c r="R17" s="4">
        <f t="shared" si="4"/>
        <v>1229.8440000000001</v>
      </c>
      <c r="S17" s="18">
        <f t="shared" ref="S17:T18" si="15">M17-O17</f>
        <v>220</v>
      </c>
      <c r="T17" s="18">
        <f t="shared" si="15"/>
        <v>220</v>
      </c>
      <c r="U17" s="1"/>
      <c r="V17" s="1">
        <v>1</v>
      </c>
    </row>
    <row r="18" spans="1:23" ht="33" customHeight="1" x14ac:dyDescent="0.25">
      <c r="A18" s="37">
        <v>9</v>
      </c>
      <c r="B18" s="38" t="s">
        <v>6</v>
      </c>
      <c r="C18" s="38" t="s">
        <v>30</v>
      </c>
      <c r="D18" s="37" t="s">
        <v>32</v>
      </c>
      <c r="E18" s="38" t="s">
        <v>9</v>
      </c>
      <c r="F18" s="38">
        <v>2</v>
      </c>
      <c r="G18" s="51" t="s">
        <v>10</v>
      </c>
      <c r="H18" s="56"/>
      <c r="I18" s="13">
        <f>_2022_VB_ar_MK_grozījumiem!S18</f>
        <v>132</v>
      </c>
      <c r="J18" s="13">
        <f>_2022_VB_ar_MK_grozījumiem!T18</f>
        <v>132</v>
      </c>
      <c r="K18" s="74">
        <f>ROUND(_2022_VB_ar_MK_grozījumiem!K18*1.05,0)</f>
        <v>7</v>
      </c>
      <c r="L18" s="74">
        <f>K18</f>
        <v>7</v>
      </c>
      <c r="M18" s="13">
        <f t="shared" si="14"/>
        <v>216</v>
      </c>
      <c r="N18" s="13">
        <f t="shared" si="14"/>
        <v>216</v>
      </c>
      <c r="O18" s="13">
        <f>ROUND(_2022_VB_ar_MK_grozījumiem!O18*0.9,0)</f>
        <v>18</v>
      </c>
      <c r="P18" s="74">
        <f>O18</f>
        <v>18</v>
      </c>
      <c r="Q18" s="39">
        <f>'_2022_VB_bez izmaiņām'!Q18*1.1</f>
        <v>19.057500000000005</v>
      </c>
      <c r="R18" s="4">
        <f t="shared" si="4"/>
        <v>343.03500000000008</v>
      </c>
      <c r="S18" s="18">
        <f t="shared" si="15"/>
        <v>198</v>
      </c>
      <c r="T18" s="18">
        <f t="shared" si="15"/>
        <v>198</v>
      </c>
      <c r="U18" s="1"/>
      <c r="V18" s="1">
        <v>1</v>
      </c>
    </row>
    <row r="19" spans="1:23" ht="18" customHeight="1" x14ac:dyDescent="0.25">
      <c r="A19" s="48"/>
      <c r="B19" s="49"/>
      <c r="C19" s="50">
        <v>22</v>
      </c>
      <c r="D19" s="91" t="s">
        <v>33</v>
      </c>
      <c r="E19" s="91"/>
      <c r="F19" s="91"/>
      <c r="G19" s="91"/>
      <c r="H19" s="137"/>
      <c r="I19" s="10">
        <f>_2022_VB_ar_MK_grozījumiem!S19</f>
        <v>10143</v>
      </c>
      <c r="J19" s="10">
        <f>_2022_VB_ar_MK_grozījumiem!T19</f>
        <v>11815</v>
      </c>
      <c r="K19" s="10">
        <f>ROUND(_2022_VB_ar_MK_grozījumiem!K19*1.05,0)</f>
        <v>646</v>
      </c>
      <c r="L19" s="10">
        <f t="shared" ref="L19:P19" si="16">SUM(L20:L46)</f>
        <v>785</v>
      </c>
      <c r="M19" s="10">
        <f t="shared" si="16"/>
        <v>17967</v>
      </c>
      <c r="N19" s="10">
        <f t="shared" si="16"/>
        <v>21235</v>
      </c>
      <c r="O19" s="10">
        <f>ROUND(_2022_VB_ar_MK_grozījumiem!O19*0.9,0)</f>
        <v>3678</v>
      </c>
      <c r="P19" s="10">
        <f t="shared" si="16"/>
        <v>5210</v>
      </c>
      <c r="Q19" s="73" t="s">
        <v>119</v>
      </c>
      <c r="R19" s="3">
        <f>SUM(R20:R46)</f>
        <v>1671350.5314333329</v>
      </c>
      <c r="S19" s="10">
        <f>SUM(S20:S46)</f>
        <v>14225</v>
      </c>
      <c r="T19" s="10">
        <f>SUM(T20:T46)</f>
        <v>16025</v>
      </c>
      <c r="U19" s="8">
        <v>1</v>
      </c>
      <c r="V19" s="8">
        <v>1</v>
      </c>
    </row>
    <row r="20" spans="1:23" ht="17.25" customHeight="1" x14ac:dyDescent="0.25">
      <c r="A20" s="37">
        <v>10</v>
      </c>
      <c r="B20" s="38" t="s">
        <v>34</v>
      </c>
      <c r="C20" s="38" t="s">
        <v>35</v>
      </c>
      <c r="D20" s="37" t="s">
        <v>36</v>
      </c>
      <c r="E20" s="38" t="s">
        <v>9</v>
      </c>
      <c r="F20" s="38">
        <v>2</v>
      </c>
      <c r="G20" s="51" t="s">
        <v>37</v>
      </c>
      <c r="H20" s="56"/>
      <c r="I20" s="13">
        <f>_2022_VB_ar_MK_grozījumiem!S20</f>
        <v>231</v>
      </c>
      <c r="J20" s="13">
        <f>_2022_VB_ar_MK_grozījumiem!T20</f>
        <v>231</v>
      </c>
      <c r="K20" s="74">
        <f>ROUND(_2022_VB_ar_MK_grozījumiem!K20*1.05,0)</f>
        <v>11</v>
      </c>
      <c r="L20" s="74">
        <f>K20</f>
        <v>11</v>
      </c>
      <c r="M20" s="13">
        <f t="shared" ref="M20:N35" si="17">I20+(K20*12)</f>
        <v>363</v>
      </c>
      <c r="N20" s="13">
        <f t="shared" si="17"/>
        <v>363</v>
      </c>
      <c r="O20" s="13">
        <f>ROUND(_2022_VB_ar_MK_grozījumiem!O20*0.9,0)</f>
        <v>21</v>
      </c>
      <c r="P20" s="74">
        <f>O20</f>
        <v>21</v>
      </c>
      <c r="Q20" s="39">
        <f>'_2022_VB_bez izmaiņām'!Q20*1.1</f>
        <v>80.525500000000008</v>
      </c>
      <c r="R20" s="4">
        <f t="shared" si="4"/>
        <v>1691.0355000000002</v>
      </c>
      <c r="S20" s="18">
        <f t="shared" ref="S20:T35" si="18">M20-O20</f>
        <v>342</v>
      </c>
      <c r="T20" s="18">
        <f t="shared" si="18"/>
        <v>342</v>
      </c>
      <c r="U20" s="1"/>
      <c r="V20" s="1">
        <v>1</v>
      </c>
    </row>
    <row r="21" spans="1:23" ht="30.75" customHeight="1" x14ac:dyDescent="0.25">
      <c r="A21" s="37">
        <v>11</v>
      </c>
      <c r="B21" s="38" t="s">
        <v>34</v>
      </c>
      <c r="C21" s="38" t="s">
        <v>38</v>
      </c>
      <c r="D21" s="37" t="s">
        <v>39</v>
      </c>
      <c r="E21" s="38" t="s">
        <v>9</v>
      </c>
      <c r="F21" s="38" t="s">
        <v>98</v>
      </c>
      <c r="G21" s="51" t="s">
        <v>37</v>
      </c>
      <c r="H21" s="56"/>
      <c r="I21" s="13">
        <f>_2022_VB_ar_MK_grozījumiem!S21</f>
        <v>216</v>
      </c>
      <c r="J21" s="13">
        <f>_2022_VB_ar_MK_grozījumiem!T21</f>
        <v>216</v>
      </c>
      <c r="K21" s="74">
        <f>ROUND(_2022_VB_ar_MK_grozījumiem!K21*1.05,0)</f>
        <v>14</v>
      </c>
      <c r="L21" s="74">
        <f>K21</f>
        <v>14</v>
      </c>
      <c r="M21" s="13">
        <f t="shared" si="17"/>
        <v>384</v>
      </c>
      <c r="N21" s="13">
        <f t="shared" si="17"/>
        <v>384</v>
      </c>
      <c r="O21" s="13">
        <f>ROUND(_2022_VB_ar_MK_grozījumiem!O21*0.9,0)</f>
        <v>41</v>
      </c>
      <c r="P21" s="74">
        <f>O21</f>
        <v>41</v>
      </c>
      <c r="Q21" s="39">
        <f>'_2022_VB_bez izmaiņām'!Q21*1.1</f>
        <v>61.492200000000011</v>
      </c>
      <c r="R21" s="4">
        <f t="shared" si="4"/>
        <v>2521.1802000000002</v>
      </c>
      <c r="S21" s="18">
        <f t="shared" si="18"/>
        <v>343</v>
      </c>
      <c r="T21" s="18">
        <f t="shared" si="18"/>
        <v>343</v>
      </c>
      <c r="U21" s="1"/>
      <c r="V21" s="1">
        <v>1</v>
      </c>
      <c r="W21" s="33" t="s">
        <v>105</v>
      </c>
    </row>
    <row r="22" spans="1:23" ht="36" customHeight="1" x14ac:dyDescent="0.25">
      <c r="A22" s="37">
        <v>12</v>
      </c>
      <c r="B22" s="38" t="s">
        <v>40</v>
      </c>
      <c r="C22" s="38" t="s">
        <v>41</v>
      </c>
      <c r="D22" s="37" t="s">
        <v>42</v>
      </c>
      <c r="E22" s="38" t="s">
        <v>9</v>
      </c>
      <c r="F22" s="38">
        <v>5</v>
      </c>
      <c r="G22" s="51" t="s">
        <v>43</v>
      </c>
      <c r="H22" s="56"/>
      <c r="I22" s="13">
        <f>_2022_VB_ar_MK_grozījumiem!S22</f>
        <v>68</v>
      </c>
      <c r="J22" s="13">
        <f>_2022_VB_ar_MK_grozījumiem!T22</f>
        <v>68</v>
      </c>
      <c r="K22" s="74">
        <f>ROUND(_2022_VB_ar_MK_grozījumiem!K22*1.05,0)</f>
        <v>5</v>
      </c>
      <c r="L22" s="74">
        <f t="shared" ref="L22:L49" si="19">K22</f>
        <v>5</v>
      </c>
      <c r="M22" s="13">
        <f t="shared" si="17"/>
        <v>128</v>
      </c>
      <c r="N22" s="13">
        <f t="shared" si="17"/>
        <v>128</v>
      </c>
      <c r="O22" s="13">
        <f>ROUND(_2022_VB_ar_MK_grozījumiem!O22*0.9,0)</f>
        <v>25</v>
      </c>
      <c r="P22" s="74">
        <f t="shared" ref="P22:P49" si="20">O22</f>
        <v>25</v>
      </c>
      <c r="Q22" s="39">
        <f>'_2022_VB_bez izmaiņām'!Q22*1.1</f>
        <v>109.80750000000002</v>
      </c>
      <c r="R22" s="4">
        <f t="shared" si="4"/>
        <v>2745.1875000000005</v>
      </c>
      <c r="S22" s="18">
        <f t="shared" si="18"/>
        <v>103</v>
      </c>
      <c r="T22" s="18">
        <f t="shared" si="18"/>
        <v>103</v>
      </c>
      <c r="U22" s="1"/>
      <c r="V22" s="1">
        <v>1</v>
      </c>
    </row>
    <row r="23" spans="1:23" ht="24" customHeight="1" x14ac:dyDescent="0.25">
      <c r="A23" s="37">
        <v>13</v>
      </c>
      <c r="B23" s="38" t="s">
        <v>40</v>
      </c>
      <c r="C23" s="38" t="s">
        <v>41</v>
      </c>
      <c r="D23" s="37" t="s">
        <v>106</v>
      </c>
      <c r="E23" s="38" t="s">
        <v>9</v>
      </c>
      <c r="F23" s="38">
        <v>5</v>
      </c>
      <c r="G23" s="51" t="s">
        <v>43</v>
      </c>
      <c r="H23" s="56"/>
      <c r="I23" s="13">
        <f>_2022_VB_ar_MK_grozījumiem!S23</f>
        <v>27</v>
      </c>
      <c r="J23" s="13">
        <f>_2022_VB_ar_MK_grozījumiem!T23</f>
        <v>27</v>
      </c>
      <c r="K23" s="74">
        <f>ROUND(_2022_VB_ar_MK_grozījumiem!K23*1.05,0)</f>
        <v>2</v>
      </c>
      <c r="L23" s="74">
        <f t="shared" si="19"/>
        <v>2</v>
      </c>
      <c r="M23" s="13">
        <f t="shared" si="17"/>
        <v>51</v>
      </c>
      <c r="N23" s="13">
        <f t="shared" si="17"/>
        <v>51</v>
      </c>
      <c r="O23" s="13">
        <f>ROUND(_2022_VB_ar_MK_grozījumiem!O23*0.9,0)</f>
        <v>10</v>
      </c>
      <c r="P23" s="74">
        <f t="shared" si="20"/>
        <v>10</v>
      </c>
      <c r="Q23" s="39">
        <f>'_2022_VB_bez izmaiņām'!Q23*1.1</f>
        <v>58.564000000000007</v>
      </c>
      <c r="R23" s="4">
        <f t="shared" si="4"/>
        <v>585.6400000000001</v>
      </c>
      <c r="S23" s="18">
        <f t="shared" si="18"/>
        <v>41</v>
      </c>
      <c r="T23" s="18">
        <f t="shared" si="18"/>
        <v>41</v>
      </c>
      <c r="U23" s="1"/>
      <c r="V23" s="1">
        <v>1</v>
      </c>
      <c r="W23" s="33" t="s">
        <v>107</v>
      </c>
    </row>
    <row r="24" spans="1:23" ht="35.25" customHeight="1" x14ac:dyDescent="0.25">
      <c r="A24" s="37">
        <v>14</v>
      </c>
      <c r="B24" s="38" t="s">
        <v>34</v>
      </c>
      <c r="C24" s="38" t="s">
        <v>44</v>
      </c>
      <c r="D24" s="37" t="s">
        <v>45</v>
      </c>
      <c r="E24" s="38" t="s">
        <v>9</v>
      </c>
      <c r="F24" s="38">
        <v>5</v>
      </c>
      <c r="G24" s="51" t="s">
        <v>37</v>
      </c>
      <c r="H24" s="56"/>
      <c r="I24" s="13">
        <f>_2022_VB_ar_MK_grozījumiem!S24</f>
        <v>1345</v>
      </c>
      <c r="J24" s="13">
        <f>_2022_VB_ar_MK_grozījumiem!T24</f>
        <v>1345</v>
      </c>
      <c r="K24" s="74">
        <f>ROUND(_2022_VB_ar_MK_grozījumiem!K24*1.05,0)</f>
        <v>64</v>
      </c>
      <c r="L24" s="74">
        <f t="shared" si="19"/>
        <v>64</v>
      </c>
      <c r="M24" s="13">
        <f t="shared" si="17"/>
        <v>2113</v>
      </c>
      <c r="N24" s="13">
        <f t="shared" si="17"/>
        <v>2113</v>
      </c>
      <c r="O24" s="13">
        <f>ROUND(_2022_VB_ar_MK_grozījumiem!O24*0.9,0)</f>
        <v>41</v>
      </c>
      <c r="P24" s="74">
        <f t="shared" si="20"/>
        <v>41</v>
      </c>
      <c r="Q24" s="39">
        <f>'_2022_VB_bez izmaiņām'!Q24*1.1</f>
        <v>687.86080000000015</v>
      </c>
      <c r="R24" s="4">
        <f t="shared" si="4"/>
        <v>28202.292800000007</v>
      </c>
      <c r="S24" s="18">
        <f t="shared" si="18"/>
        <v>2072</v>
      </c>
      <c r="T24" s="18">
        <f t="shared" si="18"/>
        <v>2072</v>
      </c>
      <c r="U24" s="1"/>
      <c r="V24" s="1">
        <v>1</v>
      </c>
    </row>
    <row r="25" spans="1:23" ht="36" customHeight="1" x14ac:dyDescent="0.25">
      <c r="A25" s="37">
        <v>15</v>
      </c>
      <c r="B25" s="38" t="s">
        <v>177</v>
      </c>
      <c r="C25" s="38" t="s">
        <v>46</v>
      </c>
      <c r="D25" s="37" t="s">
        <v>178</v>
      </c>
      <c r="E25" s="38" t="s">
        <v>9</v>
      </c>
      <c r="F25" s="38">
        <v>3</v>
      </c>
      <c r="G25" s="51" t="s">
        <v>47</v>
      </c>
      <c r="H25" s="56"/>
      <c r="I25" s="17">
        <f>_2022_VB_ar_MK_grozījumiem!S25</f>
        <v>16</v>
      </c>
      <c r="J25" s="17">
        <f>_2022_VB_ar_MK_grozījumiem!T25</f>
        <v>16</v>
      </c>
      <c r="K25" s="74">
        <f>ROUND(_2022_VB_ar_MK_grozījumiem!K25*1.05,0)</f>
        <v>1</v>
      </c>
      <c r="L25" s="74">
        <f t="shared" si="19"/>
        <v>1</v>
      </c>
      <c r="M25" s="17">
        <f t="shared" si="17"/>
        <v>28</v>
      </c>
      <c r="N25" s="17">
        <f t="shared" si="17"/>
        <v>28</v>
      </c>
      <c r="O25" s="17">
        <f>ROUND(_2022_VB_ar_MK_grozījumiem!O25*0.9,0)</f>
        <v>5</v>
      </c>
      <c r="P25" s="74">
        <f t="shared" si="20"/>
        <v>5</v>
      </c>
      <c r="Q25" s="41">
        <f>'_2022_VB_bez izmaiņām'!Q25*1.1</f>
        <v>247.51760000000004</v>
      </c>
      <c r="R25" s="6">
        <f t="shared" si="4"/>
        <v>1237.5880000000002</v>
      </c>
      <c r="S25" s="19">
        <f t="shared" si="18"/>
        <v>23</v>
      </c>
      <c r="T25" s="19">
        <f t="shared" si="18"/>
        <v>23</v>
      </c>
      <c r="U25" s="1">
        <v>1</v>
      </c>
      <c r="V25" s="1"/>
    </row>
    <row r="26" spans="1:23" ht="42.75" customHeight="1" x14ac:dyDescent="0.25">
      <c r="A26" s="37" t="s">
        <v>179</v>
      </c>
      <c r="B26" s="38" t="s">
        <v>48</v>
      </c>
      <c r="C26" s="38" t="s">
        <v>49</v>
      </c>
      <c r="D26" s="37" t="s">
        <v>180</v>
      </c>
      <c r="E26" s="38" t="s">
        <v>9</v>
      </c>
      <c r="F26" s="38">
        <v>5</v>
      </c>
      <c r="G26" s="51" t="s">
        <v>47</v>
      </c>
      <c r="H26" s="56"/>
      <c r="I26" s="17">
        <f>_2022_VB_ar_MK_grozījumiem!S26</f>
        <v>2786</v>
      </c>
      <c r="J26" s="17">
        <f>_2022_VB_ar_MK_grozījumiem!T26</f>
        <v>4458</v>
      </c>
      <c r="K26" s="75">
        <f>ROUND(_2022_VB_ar_MK_grozījumiem!K26*1.05,0)</f>
        <v>221</v>
      </c>
      <c r="L26" s="75">
        <f>ROUND(K26*1.6,0)</f>
        <v>354</v>
      </c>
      <c r="M26" s="17">
        <f t="shared" si="17"/>
        <v>5438</v>
      </c>
      <c r="N26" s="17">
        <f t="shared" si="17"/>
        <v>8706</v>
      </c>
      <c r="O26" s="17">
        <f>ROUND(_2022_VB_ar_MK_grozījumiem!O26*0.9,0)+30</f>
        <v>2447</v>
      </c>
      <c r="P26" s="75">
        <f>ROUND(O26*1.6,0)</f>
        <v>3915</v>
      </c>
      <c r="Q26" s="41">
        <f>'_2022_VB_bez izmaiņām'!Q26*1.1</f>
        <v>243.81500000000003</v>
      </c>
      <c r="R26" s="6">
        <f>Q26*P26+238.96</f>
        <v>954774.68500000006</v>
      </c>
      <c r="S26" s="19">
        <f>M26-O26</f>
        <v>2991</v>
      </c>
      <c r="T26" s="19">
        <f t="shared" si="18"/>
        <v>4791</v>
      </c>
      <c r="U26" s="1">
        <v>1</v>
      </c>
      <c r="V26" s="1"/>
    </row>
    <row r="27" spans="1:23" ht="46.5" customHeight="1" x14ac:dyDescent="0.25">
      <c r="A27" s="37">
        <v>19</v>
      </c>
      <c r="B27" s="38" t="s">
        <v>50</v>
      </c>
      <c r="C27" s="38" t="s">
        <v>51</v>
      </c>
      <c r="D27" s="37" t="s">
        <v>120</v>
      </c>
      <c r="E27" s="38" t="s">
        <v>9</v>
      </c>
      <c r="F27" s="38">
        <v>5</v>
      </c>
      <c r="G27" s="51" t="s">
        <v>52</v>
      </c>
      <c r="H27" s="56"/>
      <c r="I27" s="17">
        <f>_2022_VB_ar_MK_grozījumiem!S27</f>
        <v>488</v>
      </c>
      <c r="J27" s="17">
        <f>_2022_VB_ar_MK_grozījumiem!T27</f>
        <v>488</v>
      </c>
      <c r="K27" s="74">
        <f>ROUND(_2022_VB_ar_MK_grozījumiem!K27*1.05,0)</f>
        <v>22</v>
      </c>
      <c r="L27" s="74">
        <f t="shared" si="19"/>
        <v>22</v>
      </c>
      <c r="M27" s="17">
        <f t="shared" si="17"/>
        <v>752</v>
      </c>
      <c r="N27" s="17">
        <f t="shared" si="17"/>
        <v>752</v>
      </c>
      <c r="O27" s="17">
        <f>ROUND(_2022_VB_ar_MK_grozījumiem!O27*0.9,0)</f>
        <v>81</v>
      </c>
      <c r="P27" s="74">
        <f t="shared" si="20"/>
        <v>81</v>
      </c>
      <c r="Q27" s="41">
        <f>'_2022_VB_bez izmaiņām'!Q27*1.1</f>
        <v>313.92240000000004</v>
      </c>
      <c r="R27" s="6">
        <f t="shared" si="4"/>
        <v>25427.714400000004</v>
      </c>
      <c r="S27" s="19">
        <f t="shared" si="18"/>
        <v>671</v>
      </c>
      <c r="T27" s="19">
        <f t="shared" si="18"/>
        <v>671</v>
      </c>
      <c r="U27" s="1">
        <v>1</v>
      </c>
      <c r="V27" s="1"/>
      <c r="W27" s="33" t="s">
        <v>109</v>
      </c>
    </row>
    <row r="28" spans="1:23" ht="46.5" customHeight="1" x14ac:dyDescent="0.25">
      <c r="A28" s="37">
        <v>20</v>
      </c>
      <c r="B28" s="38" t="s">
        <v>53</v>
      </c>
      <c r="C28" s="38" t="s">
        <v>51</v>
      </c>
      <c r="D28" s="37" t="s">
        <v>54</v>
      </c>
      <c r="E28" s="38" t="s">
        <v>9</v>
      </c>
      <c r="F28" s="38">
        <v>5</v>
      </c>
      <c r="G28" s="51" t="s">
        <v>55</v>
      </c>
      <c r="H28" s="56"/>
      <c r="I28" s="17">
        <f>_2022_VB_ar_MK_grozījumiem!S28</f>
        <v>75</v>
      </c>
      <c r="J28" s="17">
        <f>_2022_VB_ar_MK_grozījumiem!T28</f>
        <v>75</v>
      </c>
      <c r="K28" s="74">
        <f>ROUND(_2022_VB_ar_MK_grozījumiem!K28*1.05,0)</f>
        <v>2</v>
      </c>
      <c r="L28" s="74">
        <f t="shared" si="19"/>
        <v>2</v>
      </c>
      <c r="M28" s="17">
        <f t="shared" si="17"/>
        <v>99</v>
      </c>
      <c r="N28" s="17">
        <f t="shared" si="17"/>
        <v>99</v>
      </c>
      <c r="O28" s="17">
        <f>ROUND(_2022_VB_ar_MK_grozījumiem!O28*0.9,0)</f>
        <v>8</v>
      </c>
      <c r="P28" s="74">
        <f t="shared" si="20"/>
        <v>8</v>
      </c>
      <c r="Q28" s="41">
        <f>'_2022_VB_bez izmaiņām'!Q28*1.1</f>
        <v>1270.5</v>
      </c>
      <c r="R28" s="6">
        <f t="shared" si="4"/>
        <v>10164</v>
      </c>
      <c r="S28" s="19">
        <f t="shared" si="18"/>
        <v>91</v>
      </c>
      <c r="T28" s="19">
        <f t="shared" si="18"/>
        <v>91</v>
      </c>
      <c r="U28" s="1">
        <v>1</v>
      </c>
      <c r="V28" s="1"/>
    </row>
    <row r="29" spans="1:23" ht="36" customHeight="1" x14ac:dyDescent="0.25">
      <c r="A29" s="37">
        <v>21</v>
      </c>
      <c r="B29" s="38" t="s">
        <v>6</v>
      </c>
      <c r="C29" s="38" t="s">
        <v>56</v>
      </c>
      <c r="D29" s="37" t="s">
        <v>57</v>
      </c>
      <c r="E29" s="38" t="s">
        <v>9</v>
      </c>
      <c r="F29" s="38">
        <v>2</v>
      </c>
      <c r="G29" s="51" t="s">
        <v>10</v>
      </c>
      <c r="H29" s="56"/>
      <c r="I29" s="13">
        <f>_2022_VB_ar_MK_grozījumiem!S29</f>
        <v>13</v>
      </c>
      <c r="J29" s="13">
        <f>_2022_VB_ar_MK_grozījumiem!T29</f>
        <v>13</v>
      </c>
      <c r="K29" s="74">
        <f>ROUND(_2022_VB_ar_MK_grozījumiem!K29*1.05,0)</f>
        <v>1</v>
      </c>
      <c r="L29" s="74">
        <f t="shared" si="19"/>
        <v>1</v>
      </c>
      <c r="M29" s="13">
        <f t="shared" si="17"/>
        <v>25</v>
      </c>
      <c r="N29" s="13">
        <f t="shared" si="17"/>
        <v>25</v>
      </c>
      <c r="O29" s="13">
        <f>ROUND(_2022_VB_ar_MK_grozījumiem!O29*0.9,0)</f>
        <v>5</v>
      </c>
      <c r="P29" s="74">
        <f t="shared" si="20"/>
        <v>5</v>
      </c>
      <c r="Q29" s="39">
        <f>'_2022_VB_bez izmaiņām'!Q29*1.1</f>
        <v>16.940000000000005</v>
      </c>
      <c r="R29" s="4">
        <f t="shared" si="4"/>
        <v>84.700000000000017</v>
      </c>
      <c r="S29" s="18">
        <f t="shared" si="18"/>
        <v>20</v>
      </c>
      <c r="T29" s="18">
        <f t="shared" si="18"/>
        <v>20</v>
      </c>
      <c r="U29" s="1"/>
      <c r="V29" s="1">
        <v>1</v>
      </c>
    </row>
    <row r="30" spans="1:23" ht="21.75" customHeight="1" x14ac:dyDescent="0.25">
      <c r="A30" s="37">
        <v>22</v>
      </c>
      <c r="B30" s="38" t="s">
        <v>6</v>
      </c>
      <c r="C30" s="38" t="s">
        <v>58</v>
      </c>
      <c r="D30" s="37" t="s">
        <v>59</v>
      </c>
      <c r="E30" s="38" t="s">
        <v>9</v>
      </c>
      <c r="F30" s="38">
        <v>5</v>
      </c>
      <c r="G30" s="51" t="s">
        <v>10</v>
      </c>
      <c r="H30" s="56"/>
      <c r="I30" s="13">
        <f>_2022_VB_ar_MK_grozījumiem!S30</f>
        <v>13</v>
      </c>
      <c r="J30" s="13">
        <f>_2022_VB_ar_MK_grozījumiem!T30</f>
        <v>13</v>
      </c>
      <c r="K30" s="74">
        <f>ROUND(_2022_VB_ar_MK_grozījumiem!K30*1.05,0)</f>
        <v>1</v>
      </c>
      <c r="L30" s="74">
        <f t="shared" si="19"/>
        <v>1</v>
      </c>
      <c r="M30" s="13">
        <f t="shared" si="17"/>
        <v>25</v>
      </c>
      <c r="N30" s="13">
        <f t="shared" si="17"/>
        <v>25</v>
      </c>
      <c r="O30" s="13">
        <f>ROUND(_2022_VB_ar_MK_grozījumiem!O30*0.9,0)</f>
        <v>5</v>
      </c>
      <c r="P30" s="74">
        <f t="shared" si="20"/>
        <v>5</v>
      </c>
      <c r="Q30" s="39">
        <f>'_2022_VB_bez izmaiņām'!Q30*1.1</f>
        <v>1054.1520000000003</v>
      </c>
      <c r="R30" s="4">
        <f t="shared" si="4"/>
        <v>5270.7600000000011</v>
      </c>
      <c r="S30" s="18">
        <f t="shared" si="18"/>
        <v>20</v>
      </c>
      <c r="T30" s="18">
        <f t="shared" si="18"/>
        <v>20</v>
      </c>
      <c r="U30" s="1"/>
      <c r="V30" s="1">
        <v>1</v>
      </c>
    </row>
    <row r="31" spans="1:23" ht="21.75" customHeight="1" x14ac:dyDescent="0.25">
      <c r="A31" s="37">
        <v>23</v>
      </c>
      <c r="B31" s="38" t="s">
        <v>60</v>
      </c>
      <c r="C31" s="38" t="s">
        <v>61</v>
      </c>
      <c r="D31" s="37" t="s">
        <v>62</v>
      </c>
      <c r="E31" s="38" t="s">
        <v>9</v>
      </c>
      <c r="F31" s="38">
        <v>3</v>
      </c>
      <c r="G31" s="51" t="s">
        <v>10</v>
      </c>
      <c r="H31" s="56"/>
      <c r="I31" s="13">
        <f>_2022_VB_ar_MK_grozījumiem!S31</f>
        <v>892</v>
      </c>
      <c r="J31" s="13">
        <f>_2022_VB_ar_MK_grozījumiem!T31</f>
        <v>892</v>
      </c>
      <c r="K31" s="74">
        <f>ROUND(_2022_VB_ar_MK_grozījumiem!K31*1.05,0)</f>
        <v>43</v>
      </c>
      <c r="L31" s="74">
        <f t="shared" si="19"/>
        <v>43</v>
      </c>
      <c r="M31" s="13">
        <f t="shared" si="17"/>
        <v>1408</v>
      </c>
      <c r="N31" s="13">
        <f t="shared" si="17"/>
        <v>1408</v>
      </c>
      <c r="O31" s="13">
        <f>ROUND(_2022_VB_ar_MK_grozījumiem!O31*0.9,0)</f>
        <v>41</v>
      </c>
      <c r="P31" s="74">
        <f t="shared" si="20"/>
        <v>41</v>
      </c>
      <c r="Q31" s="39">
        <f>'_2022_VB_bez izmaiņām'!Q31*1.1</f>
        <v>404.14000000000004</v>
      </c>
      <c r="R31" s="4">
        <f t="shared" si="4"/>
        <v>16569.740000000002</v>
      </c>
      <c r="S31" s="18">
        <f t="shared" si="18"/>
        <v>1367</v>
      </c>
      <c r="T31" s="18">
        <f t="shared" si="18"/>
        <v>1367</v>
      </c>
      <c r="U31" s="1"/>
      <c r="V31" s="1">
        <v>1</v>
      </c>
    </row>
    <row r="32" spans="1:23" ht="32.25" customHeight="1" x14ac:dyDescent="0.25">
      <c r="A32" s="37">
        <v>24</v>
      </c>
      <c r="B32" s="38" t="s">
        <v>60</v>
      </c>
      <c r="C32" s="38" t="s">
        <v>61</v>
      </c>
      <c r="D32" s="37" t="s">
        <v>108</v>
      </c>
      <c r="E32" s="38" t="s">
        <v>9</v>
      </c>
      <c r="F32" s="38">
        <v>5</v>
      </c>
      <c r="G32" s="51" t="s">
        <v>10</v>
      </c>
      <c r="H32" s="56"/>
      <c r="I32" s="13">
        <f>_2022_VB_ar_MK_grozījumiem!S32</f>
        <v>748</v>
      </c>
      <c r="J32" s="13">
        <f>_2022_VB_ar_MK_grozījumiem!T32</f>
        <v>748</v>
      </c>
      <c r="K32" s="74">
        <f>ROUND(_2022_VB_ar_MK_grozījumiem!K32*1.05,0)</f>
        <v>50</v>
      </c>
      <c r="L32" s="74">
        <f t="shared" si="19"/>
        <v>50</v>
      </c>
      <c r="M32" s="13">
        <f t="shared" si="17"/>
        <v>1348</v>
      </c>
      <c r="N32" s="13">
        <f t="shared" si="17"/>
        <v>1348</v>
      </c>
      <c r="O32" s="13">
        <f>ROUND(_2022_VB_ar_MK_grozījumiem!O32*0.9,0)</f>
        <v>162</v>
      </c>
      <c r="P32" s="74">
        <f t="shared" si="20"/>
        <v>162</v>
      </c>
      <c r="Q32" s="39">
        <f>'_2022_VB_bez izmaiņām'!Q32*1.1</f>
        <v>877.25000000000023</v>
      </c>
      <c r="R32" s="4">
        <f t="shared" si="4"/>
        <v>142114.50000000003</v>
      </c>
      <c r="S32" s="18">
        <f t="shared" si="18"/>
        <v>1186</v>
      </c>
      <c r="T32" s="18">
        <f t="shared" si="18"/>
        <v>1186</v>
      </c>
      <c r="U32" s="1"/>
      <c r="V32" s="1">
        <v>1</v>
      </c>
      <c r="W32" s="33" t="s">
        <v>189</v>
      </c>
    </row>
    <row r="33" spans="1:23" ht="49.5" customHeight="1" x14ac:dyDescent="0.25">
      <c r="A33" s="37">
        <v>25</v>
      </c>
      <c r="B33" s="38" t="s">
        <v>60</v>
      </c>
      <c r="C33" s="38" t="s">
        <v>61</v>
      </c>
      <c r="D33" s="37" t="s">
        <v>63</v>
      </c>
      <c r="E33" s="38" t="s">
        <v>9</v>
      </c>
      <c r="F33" s="38">
        <v>3</v>
      </c>
      <c r="G33" s="51" t="s">
        <v>64</v>
      </c>
      <c r="H33" s="56"/>
      <c r="I33" s="13">
        <f>_2022_VB_ar_MK_grozījumiem!S33</f>
        <v>94</v>
      </c>
      <c r="J33" s="13">
        <f>_2022_VB_ar_MK_grozījumiem!T33</f>
        <v>94</v>
      </c>
      <c r="K33" s="74">
        <f>ROUND(_2022_VB_ar_MK_grozījumiem!K33*1.05,0)</f>
        <v>7</v>
      </c>
      <c r="L33" s="74">
        <f t="shared" si="19"/>
        <v>7</v>
      </c>
      <c r="M33" s="13">
        <f t="shared" si="17"/>
        <v>178</v>
      </c>
      <c r="N33" s="13">
        <f t="shared" si="17"/>
        <v>178</v>
      </c>
      <c r="O33" s="13">
        <f>ROUND(_2022_VB_ar_MK_grozījumiem!O33*0.9,0)</f>
        <v>29</v>
      </c>
      <c r="P33" s="74">
        <f t="shared" si="20"/>
        <v>29</v>
      </c>
      <c r="Q33" s="39">
        <f>'_2022_VB_bez izmaiņām'!Q33*1.1</f>
        <v>175.69200000000001</v>
      </c>
      <c r="R33" s="4">
        <f t="shared" si="4"/>
        <v>5095.0680000000002</v>
      </c>
      <c r="S33" s="18">
        <f t="shared" si="18"/>
        <v>149</v>
      </c>
      <c r="T33" s="18">
        <f t="shared" si="18"/>
        <v>149</v>
      </c>
      <c r="U33" s="1"/>
      <c r="V33" s="1">
        <v>1</v>
      </c>
    </row>
    <row r="34" spans="1:23" ht="25.5" customHeight="1" x14ac:dyDescent="0.25">
      <c r="A34" s="37">
        <v>26</v>
      </c>
      <c r="B34" s="38" t="s">
        <v>147</v>
      </c>
      <c r="C34" s="38" t="s">
        <v>65</v>
      </c>
      <c r="D34" s="37" t="s">
        <v>66</v>
      </c>
      <c r="E34" s="38" t="s">
        <v>9</v>
      </c>
      <c r="F34" s="38">
        <v>5</v>
      </c>
      <c r="G34" s="51" t="s">
        <v>110</v>
      </c>
      <c r="H34" s="56"/>
      <c r="I34" s="13">
        <f>_2022_VB_ar_MK_grozījumiem!S34</f>
        <v>961</v>
      </c>
      <c r="J34" s="13">
        <f>_2022_VB_ar_MK_grozījumiem!T34</f>
        <v>961</v>
      </c>
      <c r="K34" s="74">
        <f>ROUND(_2022_VB_ar_MK_grozījumiem!K34*1.05,0)</f>
        <v>47</v>
      </c>
      <c r="L34" s="74">
        <f t="shared" si="19"/>
        <v>47</v>
      </c>
      <c r="M34" s="13">
        <f t="shared" si="17"/>
        <v>1525</v>
      </c>
      <c r="N34" s="13">
        <f t="shared" si="17"/>
        <v>1525</v>
      </c>
      <c r="O34" s="13">
        <f>ROUND(_2022_VB_ar_MK_grozījumiem!O34*0.9,0)</f>
        <v>41</v>
      </c>
      <c r="P34" s="74">
        <f t="shared" si="20"/>
        <v>41</v>
      </c>
      <c r="Q34" s="39">
        <f>'_2022_VB_bez izmaiņām'!Q34*1.1</f>
        <v>231.91666666666669</v>
      </c>
      <c r="R34" s="4">
        <f t="shared" si="4"/>
        <v>9508.5833333333339</v>
      </c>
      <c r="S34" s="18">
        <f t="shared" si="18"/>
        <v>1484</v>
      </c>
      <c r="T34" s="18">
        <f t="shared" si="18"/>
        <v>1484</v>
      </c>
      <c r="U34" s="1"/>
      <c r="V34" s="1">
        <v>1</v>
      </c>
      <c r="W34" s="33" t="s">
        <v>126</v>
      </c>
    </row>
    <row r="35" spans="1:23" ht="60.75" customHeight="1" x14ac:dyDescent="0.25">
      <c r="A35" s="37">
        <v>27</v>
      </c>
      <c r="B35" s="38" t="s">
        <v>181</v>
      </c>
      <c r="C35" s="38" t="s">
        <v>67</v>
      </c>
      <c r="D35" s="37" t="s">
        <v>68</v>
      </c>
      <c r="E35" s="38" t="s">
        <v>9</v>
      </c>
      <c r="F35" s="38">
        <v>3</v>
      </c>
      <c r="G35" s="51" t="s">
        <v>69</v>
      </c>
      <c r="H35" s="56"/>
      <c r="I35" s="17">
        <f>_2022_VB_ar_MK_grozījumiem!S35</f>
        <v>289</v>
      </c>
      <c r="J35" s="17">
        <f>_2022_VB_ar_MK_grozījumiem!T35</f>
        <v>289</v>
      </c>
      <c r="K35" s="74">
        <f>ROUND(_2022_VB_ar_MK_grozījumiem!K35*1.05,0)</f>
        <v>12</v>
      </c>
      <c r="L35" s="74">
        <f t="shared" si="19"/>
        <v>12</v>
      </c>
      <c r="M35" s="17">
        <f t="shared" si="17"/>
        <v>433</v>
      </c>
      <c r="N35" s="17">
        <f t="shared" si="17"/>
        <v>433</v>
      </c>
      <c r="O35" s="17">
        <f>ROUND(_2022_VB_ar_MK_grozījumiem!O35*0.9,0)</f>
        <v>81</v>
      </c>
      <c r="P35" s="74">
        <f t="shared" si="20"/>
        <v>81</v>
      </c>
      <c r="Q35" s="40">
        <f>'_2022_VB_bez izmaiņām'!Q35*1.1</f>
        <v>586.58380000000011</v>
      </c>
      <c r="R35" s="22">
        <f t="shared" si="4"/>
        <v>47513.287800000006</v>
      </c>
      <c r="S35" s="19">
        <f t="shared" si="18"/>
        <v>352</v>
      </c>
      <c r="T35" s="19">
        <f t="shared" si="18"/>
        <v>352</v>
      </c>
      <c r="U35" s="1">
        <v>1</v>
      </c>
      <c r="V35" s="1"/>
    </row>
    <row r="36" spans="1:23" x14ac:dyDescent="0.25">
      <c r="A36" s="37">
        <v>28</v>
      </c>
      <c r="B36" s="38" t="s">
        <v>70</v>
      </c>
      <c r="C36" s="38" t="s">
        <v>121</v>
      </c>
      <c r="D36" s="37" t="s">
        <v>122</v>
      </c>
      <c r="E36" s="38" t="s">
        <v>9</v>
      </c>
      <c r="F36" s="38">
        <v>5</v>
      </c>
      <c r="G36" s="51" t="s">
        <v>47</v>
      </c>
      <c r="H36" s="56"/>
      <c r="I36" s="17">
        <f>_2022_VB_ar_MK_grozījumiem!S36</f>
        <v>24</v>
      </c>
      <c r="J36" s="17">
        <f>_2022_VB_ar_MK_grozījumiem!T36</f>
        <v>24</v>
      </c>
      <c r="K36" s="74">
        <f>ROUND(_2022_VB_ar_MK_grozījumiem!K36*1.05,0)</f>
        <v>12</v>
      </c>
      <c r="L36" s="74">
        <f t="shared" si="19"/>
        <v>12</v>
      </c>
      <c r="M36" s="17">
        <f t="shared" ref="M36:N46" si="21">I36+(K36*12)</f>
        <v>168</v>
      </c>
      <c r="N36" s="17">
        <f t="shared" si="21"/>
        <v>168</v>
      </c>
      <c r="O36" s="17">
        <f>ROUND(_2022_VB_ar_MK_grozījumiem!O36*0.9,0)</f>
        <v>97</v>
      </c>
      <c r="P36" s="74">
        <f t="shared" si="20"/>
        <v>97</v>
      </c>
      <c r="Q36" s="40">
        <f>'_2022_VB_bez izmaiņām'!Q36*1.1</f>
        <v>150.30620000000002</v>
      </c>
      <c r="R36" s="22">
        <f t="shared" si="4"/>
        <v>14579.701400000002</v>
      </c>
      <c r="S36" s="19">
        <f t="shared" ref="S36:T46" si="22">M36-O36</f>
        <v>71</v>
      </c>
      <c r="T36" s="19">
        <f t="shared" si="22"/>
        <v>71</v>
      </c>
      <c r="U36" s="1">
        <v>1</v>
      </c>
      <c r="V36" s="1"/>
      <c r="W36" s="33" t="s">
        <v>126</v>
      </c>
    </row>
    <row r="37" spans="1:23" ht="40.5" customHeight="1" x14ac:dyDescent="0.25">
      <c r="A37" s="37">
        <v>29</v>
      </c>
      <c r="B37" s="59" t="s">
        <v>71</v>
      </c>
      <c r="C37" s="59" t="s">
        <v>72</v>
      </c>
      <c r="D37" s="58" t="s">
        <v>73</v>
      </c>
      <c r="E37" s="59" t="s">
        <v>9</v>
      </c>
      <c r="F37" s="59">
        <v>5</v>
      </c>
      <c r="G37" s="61" t="s">
        <v>74</v>
      </c>
      <c r="H37" s="57"/>
      <c r="I37" s="17">
        <f>_2022_VB_ar_MK_grozījumiem!S37</f>
        <v>24</v>
      </c>
      <c r="J37" s="17">
        <f>_2022_VB_ar_MK_grozījumiem!T37</f>
        <v>24</v>
      </c>
      <c r="K37" s="74">
        <f>ROUND(_2022_VB_ar_MK_grozījumiem!K37*1.05,0)</f>
        <v>12</v>
      </c>
      <c r="L37" s="74">
        <f t="shared" si="19"/>
        <v>12</v>
      </c>
      <c r="M37" s="17">
        <f t="shared" si="21"/>
        <v>168</v>
      </c>
      <c r="N37" s="17">
        <f t="shared" si="21"/>
        <v>168</v>
      </c>
      <c r="O37" s="17">
        <f>ROUND(_2022_VB_ar_MK_grozījumiem!O37*0.9,0)</f>
        <v>97</v>
      </c>
      <c r="P37" s="74">
        <f t="shared" si="20"/>
        <v>97</v>
      </c>
      <c r="Q37" s="42">
        <f>'_2022_VB_bez izmaiņām'!Q37*1.1</f>
        <v>505.00560000000013</v>
      </c>
      <c r="R37" s="23">
        <f t="shared" si="4"/>
        <v>48985.543200000015</v>
      </c>
      <c r="S37" s="18">
        <f t="shared" si="22"/>
        <v>71</v>
      </c>
      <c r="T37" s="18">
        <f t="shared" si="22"/>
        <v>71</v>
      </c>
      <c r="U37" s="24">
        <v>1</v>
      </c>
      <c r="V37" s="24"/>
      <c r="W37" s="32"/>
    </row>
    <row r="38" spans="1:23" ht="117" customHeight="1" x14ac:dyDescent="0.25">
      <c r="A38" s="59">
        <v>30</v>
      </c>
      <c r="B38" s="59" t="s">
        <v>71</v>
      </c>
      <c r="C38" s="59" t="s">
        <v>72</v>
      </c>
      <c r="D38" s="58" t="s">
        <v>75</v>
      </c>
      <c r="E38" s="59" t="s">
        <v>9</v>
      </c>
      <c r="F38" s="59">
        <v>5</v>
      </c>
      <c r="G38" s="61" t="s">
        <v>76</v>
      </c>
      <c r="H38" s="57"/>
      <c r="I38" s="17">
        <f>_2022_VB_ar_MK_grozījumiem!S38</f>
        <v>24</v>
      </c>
      <c r="J38" s="17">
        <f>_2022_VB_ar_MK_grozījumiem!T38</f>
        <v>24</v>
      </c>
      <c r="K38" s="74">
        <f>ROUND(_2022_VB_ar_MK_grozījumiem!K38*1.05,0)</f>
        <v>12</v>
      </c>
      <c r="L38" s="74">
        <f t="shared" si="19"/>
        <v>12</v>
      </c>
      <c r="M38" s="17">
        <f t="shared" si="21"/>
        <v>168</v>
      </c>
      <c r="N38" s="17">
        <f>J38+(L38*12)</f>
        <v>168</v>
      </c>
      <c r="O38" s="17">
        <f>ROUND(_2022_VB_ar_MK_grozījumiem!O38*0.9,0)</f>
        <v>97</v>
      </c>
      <c r="P38" s="74">
        <f t="shared" si="20"/>
        <v>97</v>
      </c>
      <c r="Q38" s="42">
        <f>'_2022_VB_bez izmaiņām'!Q38*1.1</f>
        <v>420.98320000000007</v>
      </c>
      <c r="R38" s="23">
        <f t="shared" si="4"/>
        <v>40835.370400000007</v>
      </c>
      <c r="S38" s="18">
        <f t="shared" si="22"/>
        <v>71</v>
      </c>
      <c r="T38" s="18">
        <f t="shared" si="22"/>
        <v>71</v>
      </c>
      <c r="U38" s="24">
        <v>1</v>
      </c>
      <c r="V38" s="24"/>
      <c r="W38" s="32" t="s">
        <v>126</v>
      </c>
    </row>
    <row r="39" spans="1:23" ht="42.75" customHeight="1" x14ac:dyDescent="0.25">
      <c r="A39" s="37">
        <v>31</v>
      </c>
      <c r="B39" s="38" t="s">
        <v>77</v>
      </c>
      <c r="C39" s="38" t="s">
        <v>78</v>
      </c>
      <c r="D39" s="37" t="s">
        <v>99</v>
      </c>
      <c r="E39" s="38" t="s">
        <v>9</v>
      </c>
      <c r="F39" s="38">
        <v>2</v>
      </c>
      <c r="G39" s="51" t="s">
        <v>10</v>
      </c>
      <c r="H39" s="56"/>
      <c r="I39" s="13">
        <f>_2022_VB_ar_MK_grozījumiem!S39</f>
        <v>310</v>
      </c>
      <c r="J39" s="13">
        <f>_2022_VB_ar_MK_grozījumiem!T39</f>
        <v>310</v>
      </c>
      <c r="K39" s="74">
        <f>ROUND(_2022_VB_ar_MK_grozījumiem!K39*1.05,0)</f>
        <v>25</v>
      </c>
      <c r="L39" s="74">
        <f t="shared" si="19"/>
        <v>25</v>
      </c>
      <c r="M39" s="13">
        <f t="shared" si="21"/>
        <v>610</v>
      </c>
      <c r="N39" s="13">
        <f t="shared" si="21"/>
        <v>610</v>
      </c>
      <c r="O39" s="13">
        <f>ROUND(_2022_VB_ar_MK_grozījumiem!O39*0.9,0)</f>
        <v>122</v>
      </c>
      <c r="P39" s="74">
        <f t="shared" si="20"/>
        <v>122</v>
      </c>
      <c r="Q39" s="42">
        <f>'_2022_VB_bez izmaiņām'!Q39*1.1</f>
        <v>85.196100000000015</v>
      </c>
      <c r="R39" s="23">
        <f t="shared" si="4"/>
        <v>10393.924200000001</v>
      </c>
      <c r="S39" s="18">
        <f t="shared" si="22"/>
        <v>488</v>
      </c>
      <c r="T39" s="18">
        <f t="shared" si="22"/>
        <v>488</v>
      </c>
      <c r="U39" s="1"/>
      <c r="V39" s="1">
        <v>1</v>
      </c>
      <c r="W39" s="33" t="s">
        <v>111</v>
      </c>
    </row>
    <row r="40" spans="1:23" ht="20.25" customHeight="1" x14ac:dyDescent="0.25">
      <c r="A40" s="37">
        <v>32</v>
      </c>
      <c r="B40" s="38" t="s">
        <v>148</v>
      </c>
      <c r="C40" s="38" t="s">
        <v>79</v>
      </c>
      <c r="D40" s="37" t="s">
        <v>80</v>
      </c>
      <c r="E40" s="38" t="s">
        <v>9</v>
      </c>
      <c r="F40" s="38">
        <v>5</v>
      </c>
      <c r="G40" s="51" t="s">
        <v>110</v>
      </c>
      <c r="H40" s="56"/>
      <c r="I40" s="13">
        <f>_2022_VB_ar_MK_grozījumiem!S40</f>
        <v>563</v>
      </c>
      <c r="J40" s="13">
        <f>_2022_VB_ar_MK_grozījumiem!T40</f>
        <v>563</v>
      </c>
      <c r="K40" s="74">
        <f>ROUND(_2022_VB_ar_MK_grozījumiem!K40*1.05,0)</f>
        <v>34</v>
      </c>
      <c r="L40" s="74">
        <f t="shared" si="19"/>
        <v>34</v>
      </c>
      <c r="M40" s="13">
        <f t="shared" si="21"/>
        <v>971</v>
      </c>
      <c r="N40" s="13">
        <f t="shared" si="21"/>
        <v>971</v>
      </c>
      <c r="O40" s="13">
        <f>ROUND(_2022_VB_ar_MK_grozījumiem!O40*0.9,0)</f>
        <v>77</v>
      </c>
      <c r="P40" s="74">
        <f t="shared" si="20"/>
        <v>77</v>
      </c>
      <c r="Q40" s="39">
        <f>'_2022_VB_bez izmaiņām'!Q40*1.1</f>
        <v>3025.0000000000005</v>
      </c>
      <c r="R40" s="4">
        <f t="shared" si="4"/>
        <v>232925.00000000003</v>
      </c>
      <c r="S40" s="18">
        <f t="shared" si="22"/>
        <v>894</v>
      </c>
      <c r="T40" s="18">
        <f t="shared" si="22"/>
        <v>894</v>
      </c>
      <c r="U40" s="1"/>
      <c r="V40" s="1">
        <v>1</v>
      </c>
      <c r="W40" s="33" t="s">
        <v>126</v>
      </c>
    </row>
    <row r="41" spans="1:23" ht="22.5" customHeight="1" x14ac:dyDescent="0.25">
      <c r="A41" s="37">
        <v>33</v>
      </c>
      <c r="B41" s="38" t="s">
        <v>6</v>
      </c>
      <c r="C41" s="38" t="s">
        <v>81</v>
      </c>
      <c r="D41" s="37" t="s">
        <v>82</v>
      </c>
      <c r="E41" s="38" t="s">
        <v>9</v>
      </c>
      <c r="F41" s="38">
        <v>7</v>
      </c>
      <c r="G41" s="51" t="s">
        <v>112</v>
      </c>
      <c r="H41" s="56"/>
      <c r="I41" s="13">
        <f>_2022_VB_ar_MK_grozījumiem!S41</f>
        <v>29</v>
      </c>
      <c r="J41" s="13">
        <f>_2022_VB_ar_MK_grozījumiem!T41</f>
        <v>29</v>
      </c>
      <c r="K41" s="74">
        <f>ROUND(_2022_VB_ar_MK_grozījumiem!K41*1.05,0)</f>
        <v>2</v>
      </c>
      <c r="L41" s="74">
        <f t="shared" si="19"/>
        <v>2</v>
      </c>
      <c r="M41" s="13">
        <f t="shared" si="21"/>
        <v>53</v>
      </c>
      <c r="N41" s="13">
        <f t="shared" si="21"/>
        <v>53</v>
      </c>
      <c r="O41" s="13">
        <f>ROUND(_2022_VB_ar_MK_grozījumiem!O41*0.9,0)</f>
        <v>8</v>
      </c>
      <c r="P41" s="74">
        <f t="shared" si="20"/>
        <v>8</v>
      </c>
      <c r="Q41" s="39">
        <f>'_2022_VB_bez izmaiņām'!Q41*1.1</f>
        <v>3025.0000000000005</v>
      </c>
      <c r="R41" s="4">
        <f t="shared" si="4"/>
        <v>24200.000000000004</v>
      </c>
      <c r="S41" s="18">
        <f t="shared" si="22"/>
        <v>45</v>
      </c>
      <c r="T41" s="18">
        <f t="shared" si="22"/>
        <v>45</v>
      </c>
      <c r="U41" s="1"/>
      <c r="V41" s="1">
        <v>1</v>
      </c>
      <c r="W41" s="33" t="s">
        <v>126</v>
      </c>
    </row>
    <row r="42" spans="1:23" ht="30" customHeight="1" x14ac:dyDescent="0.25">
      <c r="A42" s="37">
        <v>34</v>
      </c>
      <c r="B42" s="38" t="s">
        <v>77</v>
      </c>
      <c r="C42" s="38" t="s">
        <v>78</v>
      </c>
      <c r="D42" s="37" t="s">
        <v>83</v>
      </c>
      <c r="E42" s="38" t="s">
        <v>9</v>
      </c>
      <c r="F42" s="38">
        <v>5</v>
      </c>
      <c r="G42" s="51" t="s">
        <v>74</v>
      </c>
      <c r="H42" s="56"/>
      <c r="I42" s="13">
        <f>_2022_VB_ar_MK_grozījumiem!S42</f>
        <v>291</v>
      </c>
      <c r="J42" s="13">
        <f>_2022_VB_ar_MK_grozījumiem!T42</f>
        <v>291</v>
      </c>
      <c r="K42" s="74">
        <f>ROUND(_2022_VB_ar_MK_grozījumiem!K42*1.05,0)</f>
        <v>12</v>
      </c>
      <c r="L42" s="74">
        <f t="shared" si="19"/>
        <v>12</v>
      </c>
      <c r="M42" s="13">
        <f>I42+(K42*12)</f>
        <v>435</v>
      </c>
      <c r="N42" s="13">
        <f t="shared" si="21"/>
        <v>435</v>
      </c>
      <c r="O42" s="13">
        <f>ROUND(_2022_VB_ar_MK_grozījumiem!O42*0.9,0)</f>
        <v>82</v>
      </c>
      <c r="P42" s="74">
        <f t="shared" si="20"/>
        <v>82</v>
      </c>
      <c r="Q42" s="39">
        <f>'_2022_VB_bez izmaiņām'!Q42*1.1</f>
        <v>84.7</v>
      </c>
      <c r="R42" s="4">
        <f t="shared" si="4"/>
        <v>6945.4000000000005</v>
      </c>
      <c r="S42" s="18">
        <f>M42-O42</f>
        <v>353</v>
      </c>
      <c r="T42" s="18">
        <f t="shared" si="22"/>
        <v>353</v>
      </c>
      <c r="U42" s="1">
        <v>1</v>
      </c>
      <c r="V42" s="1"/>
    </row>
    <row r="43" spans="1:23" ht="30" customHeight="1" x14ac:dyDescent="0.25">
      <c r="A43" s="37">
        <v>35</v>
      </c>
      <c r="B43" s="38" t="s">
        <v>182</v>
      </c>
      <c r="C43" s="38" t="s">
        <v>183</v>
      </c>
      <c r="D43" s="37" t="s">
        <v>184</v>
      </c>
      <c r="E43" s="38" t="s">
        <v>9</v>
      </c>
      <c r="F43" s="38">
        <v>5</v>
      </c>
      <c r="G43" s="51" t="s">
        <v>185</v>
      </c>
      <c r="H43" s="56"/>
      <c r="I43" s="13">
        <f>_2022_VB_ar_MK_grozījumiem!S43</f>
        <v>201</v>
      </c>
      <c r="J43" s="13">
        <f>_2022_VB_ar_MK_grozījumiem!T43</f>
        <v>201</v>
      </c>
      <c r="K43" s="74">
        <f>ROUND(_2022_VB_ar_MK_grozījumiem!K43*1.05,0)</f>
        <v>17</v>
      </c>
      <c r="L43" s="74">
        <f t="shared" si="19"/>
        <v>17</v>
      </c>
      <c r="M43" s="13">
        <f>I43+(K43*12)</f>
        <v>405</v>
      </c>
      <c r="N43" s="13">
        <f t="shared" si="21"/>
        <v>405</v>
      </c>
      <c r="O43" s="13">
        <f>ROUND(_2022_VB_ar_MK_grozījumiem!O43*0.9,0)</f>
        <v>73</v>
      </c>
      <c r="P43" s="74">
        <f t="shared" si="20"/>
        <v>73</v>
      </c>
      <c r="Q43" s="39">
        <f>'_2022_VB_bez izmaiņām'!Q43*1.1</f>
        <v>226.27000000000004</v>
      </c>
      <c r="R43" s="4">
        <f>Q43*P43</f>
        <v>16517.710000000003</v>
      </c>
      <c r="S43" s="18">
        <f>M43-O43</f>
        <v>332</v>
      </c>
      <c r="T43" s="18">
        <f t="shared" si="22"/>
        <v>332</v>
      </c>
      <c r="U43" s="1"/>
      <c r="V43" s="1"/>
    </row>
    <row r="44" spans="1:23" ht="63.75" customHeight="1" x14ac:dyDescent="0.25">
      <c r="A44" s="37">
        <v>36</v>
      </c>
      <c r="B44" s="38" t="s">
        <v>84</v>
      </c>
      <c r="C44" s="38" t="s">
        <v>79</v>
      </c>
      <c r="D44" s="37" t="s">
        <v>85</v>
      </c>
      <c r="E44" s="38" t="s">
        <v>9</v>
      </c>
      <c r="F44" s="38">
        <v>5</v>
      </c>
      <c r="G44" s="51" t="s">
        <v>86</v>
      </c>
      <c r="H44" s="56"/>
      <c r="I44" s="13">
        <f>_2022_VB_ar_MK_grozījumiem!S44</f>
        <v>68</v>
      </c>
      <c r="J44" s="13">
        <f>_2022_VB_ar_MK_grozījumiem!T44</f>
        <v>68</v>
      </c>
      <c r="K44" s="74">
        <f>ROUND(_2022_VB_ar_MK_grozījumiem!K44*1.05,0)</f>
        <v>5</v>
      </c>
      <c r="L44" s="74">
        <f t="shared" si="19"/>
        <v>5</v>
      </c>
      <c r="M44" s="13">
        <f t="shared" si="21"/>
        <v>128</v>
      </c>
      <c r="N44" s="13">
        <f t="shared" si="21"/>
        <v>128</v>
      </c>
      <c r="O44" s="13">
        <f>ROUND(_2022_VB_ar_MK_grozījumiem!O44*0.9,0)</f>
        <v>24</v>
      </c>
      <c r="P44" s="74">
        <f t="shared" si="20"/>
        <v>24</v>
      </c>
      <c r="Q44" s="39">
        <f>'_2022_VB_bez izmaiņām'!Q44*1.1</f>
        <v>187.40480000000002</v>
      </c>
      <c r="R44" s="4">
        <f t="shared" si="4"/>
        <v>4497.7152000000006</v>
      </c>
      <c r="S44" s="18">
        <f t="shared" si="22"/>
        <v>104</v>
      </c>
      <c r="T44" s="18">
        <f t="shared" si="22"/>
        <v>104</v>
      </c>
      <c r="U44" s="1"/>
      <c r="V44" s="1">
        <v>1</v>
      </c>
    </row>
    <row r="45" spans="1:23" ht="53.25" customHeight="1" x14ac:dyDescent="0.25">
      <c r="A45" s="60">
        <v>37</v>
      </c>
      <c r="B45" s="59" t="s">
        <v>87</v>
      </c>
      <c r="C45" s="59" t="s">
        <v>88</v>
      </c>
      <c r="D45" s="58" t="s">
        <v>89</v>
      </c>
      <c r="E45" s="59" t="s">
        <v>9</v>
      </c>
      <c r="F45" s="59">
        <v>5</v>
      </c>
      <c r="G45" s="61" t="s">
        <v>10</v>
      </c>
      <c r="H45" s="57"/>
      <c r="I45" s="13">
        <f>_2022_VB_ar_MK_grozījumiem!S45</f>
        <v>151</v>
      </c>
      <c r="J45" s="13">
        <f>_2022_VB_ar_MK_grozījumiem!T45</f>
        <v>151</v>
      </c>
      <c r="K45" s="74">
        <f>ROUND(_2022_VB_ar_MK_grozījumiem!K45*1.05,0)</f>
        <v>7</v>
      </c>
      <c r="L45" s="74">
        <f t="shared" si="19"/>
        <v>7</v>
      </c>
      <c r="M45" s="13">
        <f t="shared" si="21"/>
        <v>235</v>
      </c>
      <c r="N45" s="13">
        <f t="shared" si="21"/>
        <v>235</v>
      </c>
      <c r="O45" s="13">
        <f>ROUND(_2022_VB_ar_MK_grozījumiem!O45*0.9,0)</f>
        <v>5</v>
      </c>
      <c r="P45" s="74">
        <f t="shared" si="20"/>
        <v>5</v>
      </c>
      <c r="Q45" s="39">
        <f>'_2022_VB_bez izmaiņām'!Q45*1.1</f>
        <v>1535.8409000000001</v>
      </c>
      <c r="R45" s="4">
        <f t="shared" si="4"/>
        <v>7679.2045000000007</v>
      </c>
      <c r="S45" s="18">
        <f t="shared" si="22"/>
        <v>230</v>
      </c>
      <c r="T45" s="18">
        <f t="shared" si="22"/>
        <v>230</v>
      </c>
      <c r="U45" s="1"/>
      <c r="V45" s="1">
        <v>1</v>
      </c>
    </row>
    <row r="46" spans="1:23" x14ac:dyDescent="0.25">
      <c r="A46" s="37">
        <v>38</v>
      </c>
      <c r="B46" s="38" t="s">
        <v>87</v>
      </c>
      <c r="C46" s="38" t="s">
        <v>90</v>
      </c>
      <c r="D46" s="37" t="s">
        <v>113</v>
      </c>
      <c r="E46" s="38" t="s">
        <v>9</v>
      </c>
      <c r="F46" s="38">
        <v>5</v>
      </c>
      <c r="G46" s="51" t="s">
        <v>10</v>
      </c>
      <c r="H46" s="56"/>
      <c r="I46" s="13">
        <f>_2022_VB_ar_MK_grozījumiem!S46</f>
        <v>196</v>
      </c>
      <c r="J46" s="13">
        <f>_2022_VB_ar_MK_grozījumiem!T46</f>
        <v>196</v>
      </c>
      <c r="K46" s="74">
        <f>ROUND(_2022_VB_ar_MK_grozījumiem!K46*1.05,0)</f>
        <v>11</v>
      </c>
      <c r="L46" s="74">
        <f t="shared" si="19"/>
        <v>11</v>
      </c>
      <c r="M46" s="13">
        <f t="shared" si="21"/>
        <v>328</v>
      </c>
      <c r="N46" s="13">
        <f t="shared" si="21"/>
        <v>328</v>
      </c>
      <c r="O46" s="13">
        <f>ROUND(_2022_VB_ar_MK_grozījumiem!O46*0.9,0)</f>
        <v>17</v>
      </c>
      <c r="P46" s="74">
        <f t="shared" si="20"/>
        <v>17</v>
      </c>
      <c r="Q46" s="39">
        <f>'_2022_VB_bez izmaiņām'!Q46*1.1</f>
        <v>605</v>
      </c>
      <c r="R46" s="4">
        <f t="shared" si="4"/>
        <v>10285</v>
      </c>
      <c r="S46" s="18">
        <f t="shared" si="22"/>
        <v>311</v>
      </c>
      <c r="T46" s="18">
        <f t="shared" si="22"/>
        <v>311</v>
      </c>
      <c r="U46" s="1"/>
      <c r="V46" s="1">
        <v>1</v>
      </c>
      <c r="W46" s="33" t="s">
        <v>109</v>
      </c>
    </row>
    <row r="47" spans="1:23" ht="20.25" customHeight="1" x14ac:dyDescent="0.25">
      <c r="A47" s="48"/>
      <c r="B47" s="49"/>
      <c r="C47" s="50">
        <v>27</v>
      </c>
      <c r="D47" s="91" t="s">
        <v>91</v>
      </c>
      <c r="E47" s="91"/>
      <c r="F47" s="91"/>
      <c r="G47" s="91"/>
      <c r="H47" s="137"/>
      <c r="I47" s="10">
        <f>_2022_VB_ar_MK_grozījumiem!S47</f>
        <v>176</v>
      </c>
      <c r="J47" s="10">
        <f>_2022_VB_ar_MK_grozījumiem!T47</f>
        <v>176</v>
      </c>
      <c r="K47" s="10">
        <f>ROUND(_2022_VB_ar_MK_grozījumiem!K47*1.05,0)</f>
        <v>15</v>
      </c>
      <c r="L47" s="10">
        <f t="shared" ref="L47:R47" si="23">L48+L49</f>
        <v>13</v>
      </c>
      <c r="M47" s="10">
        <f t="shared" si="23"/>
        <v>332</v>
      </c>
      <c r="N47" s="10">
        <f t="shared" si="23"/>
        <v>332</v>
      </c>
      <c r="O47" s="10">
        <f>ROUND(_2022_VB_ar_MK_grozījumiem!O47*0.9,0)</f>
        <v>63</v>
      </c>
      <c r="P47" s="10">
        <f t="shared" si="23"/>
        <v>64</v>
      </c>
      <c r="Q47" s="73" t="s">
        <v>119</v>
      </c>
      <c r="R47" s="3">
        <f t="shared" si="23"/>
        <v>6500.6040000000021</v>
      </c>
      <c r="S47" s="10">
        <f>S48+S49</f>
        <v>268</v>
      </c>
      <c r="T47" s="10">
        <f>T48+T49</f>
        <v>268</v>
      </c>
      <c r="U47" s="8"/>
      <c r="V47" s="8">
        <v>1</v>
      </c>
    </row>
    <row r="48" spans="1:23" ht="30" x14ac:dyDescent="0.25">
      <c r="A48" s="37">
        <v>39</v>
      </c>
      <c r="B48" s="38" t="s">
        <v>6</v>
      </c>
      <c r="C48" s="38" t="s">
        <v>92</v>
      </c>
      <c r="D48" s="37" t="s">
        <v>93</v>
      </c>
      <c r="E48" s="38" t="s">
        <v>9</v>
      </c>
      <c r="F48" s="38">
        <v>3</v>
      </c>
      <c r="G48" s="51" t="s">
        <v>10</v>
      </c>
      <c r="H48" s="56"/>
      <c r="I48" s="13">
        <f>_2022_VB_ar_MK_grozījumiem!S48</f>
        <v>122</v>
      </c>
      <c r="J48" s="13">
        <f>_2022_VB_ar_MK_grozījumiem!T48</f>
        <v>122</v>
      </c>
      <c r="K48" s="74">
        <f>ROUND(_2022_VB_ar_MK_grozījumiem!K48*1.05,0)</f>
        <v>9</v>
      </c>
      <c r="L48" s="74">
        <f t="shared" si="19"/>
        <v>9</v>
      </c>
      <c r="M48" s="13">
        <f t="shared" ref="M48:N49" si="24">I48+(K48*12)</f>
        <v>230</v>
      </c>
      <c r="N48" s="13">
        <f t="shared" si="24"/>
        <v>230</v>
      </c>
      <c r="O48" s="13">
        <f>ROUND(_2022_VB_ar_MK_grozījumiem!O48*0.9,0)</f>
        <v>45</v>
      </c>
      <c r="P48" s="74">
        <f t="shared" si="20"/>
        <v>45</v>
      </c>
      <c r="Q48" s="39">
        <f>'_2022_VB_bez izmaiņām'!Q48*1.1</f>
        <v>42.458900000000007</v>
      </c>
      <c r="R48" s="4">
        <f t="shared" si="4"/>
        <v>1910.6505000000004</v>
      </c>
      <c r="S48" s="18">
        <f t="shared" ref="S48:T49" si="25">M48-O48</f>
        <v>185</v>
      </c>
      <c r="T48" s="18">
        <f t="shared" si="25"/>
        <v>185</v>
      </c>
      <c r="U48" s="1"/>
      <c r="V48" s="1">
        <v>1</v>
      </c>
    </row>
    <row r="49" spans="1:24" x14ac:dyDescent="0.25">
      <c r="A49" s="37">
        <v>40</v>
      </c>
      <c r="B49" s="38" t="s">
        <v>6</v>
      </c>
      <c r="C49" s="38" t="s">
        <v>94</v>
      </c>
      <c r="D49" s="37" t="s">
        <v>95</v>
      </c>
      <c r="E49" s="38" t="s">
        <v>9</v>
      </c>
      <c r="F49" s="38">
        <v>5</v>
      </c>
      <c r="G49" s="51" t="s">
        <v>10</v>
      </c>
      <c r="H49" s="56"/>
      <c r="I49" s="13">
        <f>_2022_VB_ar_MK_grozījumiem!S49</f>
        <v>54</v>
      </c>
      <c r="J49" s="13">
        <f>_2022_VB_ar_MK_grozījumiem!T49</f>
        <v>54</v>
      </c>
      <c r="K49" s="74">
        <f>ROUND(_2022_VB_ar_MK_grozījumiem!K49*1.05,0)</f>
        <v>4</v>
      </c>
      <c r="L49" s="74">
        <f t="shared" si="19"/>
        <v>4</v>
      </c>
      <c r="M49" s="13">
        <f t="shared" si="24"/>
        <v>102</v>
      </c>
      <c r="N49" s="13">
        <f t="shared" si="24"/>
        <v>102</v>
      </c>
      <c r="O49" s="13">
        <f>ROUND(_2022_VB_ar_MK_grozījumiem!O49*0.9,0)</f>
        <v>19</v>
      </c>
      <c r="P49" s="74">
        <f t="shared" si="20"/>
        <v>19</v>
      </c>
      <c r="Q49" s="39">
        <f>'_2022_VB_bez izmaiņām'!Q49*1.1</f>
        <v>241.57650000000007</v>
      </c>
      <c r="R49" s="4">
        <f t="shared" si="4"/>
        <v>4589.9535000000014</v>
      </c>
      <c r="S49" s="18">
        <f t="shared" si="25"/>
        <v>83</v>
      </c>
      <c r="T49" s="18">
        <f t="shared" si="25"/>
        <v>83</v>
      </c>
      <c r="U49" s="1"/>
      <c r="V49" s="1">
        <v>1</v>
      </c>
    </row>
    <row r="50" spans="1:24" x14ac:dyDescent="0.25">
      <c r="I50" s="20">
        <f t="shared" ref="I50:P50" si="26">I6+I11+I13+I16+I19+I47</f>
        <v>12682</v>
      </c>
      <c r="J50" s="20">
        <f t="shared" si="26"/>
        <v>14354</v>
      </c>
      <c r="K50" s="20">
        <f t="shared" si="26"/>
        <v>812</v>
      </c>
      <c r="L50" s="20">
        <f t="shared" si="26"/>
        <v>945</v>
      </c>
      <c r="M50" s="20">
        <f t="shared" si="26"/>
        <v>22426</v>
      </c>
      <c r="N50" s="20">
        <f t="shared" si="26"/>
        <v>25694</v>
      </c>
      <c r="O50" s="20">
        <f t="shared" si="26"/>
        <v>4208</v>
      </c>
      <c r="P50" s="20">
        <f t="shared" si="26"/>
        <v>5761</v>
      </c>
      <c r="Q50" s="26" t="s">
        <v>119</v>
      </c>
      <c r="R50" s="20">
        <f>R6+R11+R13+R16+R19+R47</f>
        <v>1894717.9987333331</v>
      </c>
      <c r="S50" s="20">
        <f>S6+S11+S13+S16+S19+S47</f>
        <v>18133</v>
      </c>
      <c r="T50" s="20">
        <f>T6+T11+T13+T16+T19+T47</f>
        <v>19933</v>
      </c>
      <c r="X50" s="131"/>
    </row>
    <row r="51" spans="1:24" x14ac:dyDescent="0.25">
      <c r="I51" s="21">
        <f>I25+I26+I27+I28+I35+I36+I37+I38+I42+I43</f>
        <v>4218</v>
      </c>
      <c r="J51" s="21">
        <f t="shared" ref="J51:P51" si="27">J25+J26+J27+J28+J35+J36+J37+J38+J42+J43</f>
        <v>5890</v>
      </c>
      <c r="K51" s="21">
        <f t="shared" si="27"/>
        <v>323</v>
      </c>
      <c r="L51" s="21">
        <f t="shared" si="27"/>
        <v>456</v>
      </c>
      <c r="M51" s="21">
        <f t="shared" si="27"/>
        <v>8094</v>
      </c>
      <c r="N51" s="21">
        <f t="shared" si="27"/>
        <v>11362</v>
      </c>
      <c r="O51" s="21">
        <f t="shared" si="27"/>
        <v>3068</v>
      </c>
      <c r="P51" s="21">
        <f t="shared" si="27"/>
        <v>4536</v>
      </c>
      <c r="Q51" s="21"/>
      <c r="R51" s="21">
        <f>R25+R26+R27+R28+R35+R36+R37+R38+R42+R43</f>
        <v>1166981.0001999999</v>
      </c>
      <c r="S51" s="21">
        <f>S25+S26+S27+S28+S35+S36+S37+S38+S42+S43</f>
        <v>5026</v>
      </c>
      <c r="T51" s="21">
        <f>T25+T26+T27+T28+T35+T36+T37+T38+T42+T43</f>
        <v>6826</v>
      </c>
    </row>
    <row r="52" spans="1:24" x14ac:dyDescent="0.25">
      <c r="P52" s="89" t="s">
        <v>131</v>
      </c>
      <c r="Q52" s="90" t="s">
        <v>131</v>
      </c>
      <c r="R52" s="21">
        <v>1166981</v>
      </c>
    </row>
    <row r="53" spans="1:24" x14ac:dyDescent="0.25">
      <c r="P53" s="89" t="s">
        <v>132</v>
      </c>
      <c r="Q53" s="90" t="s">
        <v>132</v>
      </c>
      <c r="R53" s="21">
        <f>R51-R52</f>
        <v>1.9999989308416843E-4</v>
      </c>
    </row>
    <row r="55" spans="1:24" x14ac:dyDescent="0.25">
      <c r="I55" s="21">
        <f t="shared" ref="I55:P55" si="28">I7+I8+I9+I10+I12+I14+I15+I17+I18+I20+I21+I22+I23+I24+I29+I30+I31+I32+I33+I34+I39+I40+I41+I44+I46+I48+I49+I45</f>
        <v>8464</v>
      </c>
      <c r="J55" s="21">
        <f t="shared" si="28"/>
        <v>8464</v>
      </c>
      <c r="K55" s="21">
        <f t="shared" si="28"/>
        <v>489</v>
      </c>
      <c r="L55" s="21">
        <f t="shared" si="28"/>
        <v>489</v>
      </c>
      <c r="M55" s="21">
        <f t="shared" si="28"/>
        <v>14332</v>
      </c>
      <c r="N55" s="21">
        <f t="shared" si="28"/>
        <v>14332</v>
      </c>
      <c r="O55" s="21">
        <f t="shared" si="28"/>
        <v>1225</v>
      </c>
      <c r="P55" s="21">
        <f t="shared" si="28"/>
        <v>1225</v>
      </c>
      <c r="Q55" s="21"/>
      <c r="R55" s="21">
        <f>R7+R8+R9+R10+R12+R14+R15+R17+R18+R20+R21+R22+R23+R24+R29+R30+R31+R32+R33+R34+R39+R40+R41+R44+R46+R48+R49+R45</f>
        <v>727736.99853333342</v>
      </c>
      <c r="S55" s="21">
        <f>S7+S8+S9+S10+S12+S14+S15+S17+S18+S20+S21+S22+S23+S24+S29+S30+S31+S32+S33+S34+S39+S40+S41+S44+S46+S48+S49+S45</f>
        <v>13107</v>
      </c>
      <c r="T55" s="21">
        <f t="shared" ref="T55" si="29">T7+T8+T9+T10+T12+T14+T15+T17+T18+T20+T21+T22+T23+T24+T29+T30+T31+T32+T33+T34+T39+T40+T41+T44+T46+T48+T49+T45</f>
        <v>13107</v>
      </c>
      <c r="U55" s="21"/>
      <c r="V55" s="21"/>
      <c r="W55" s="21"/>
    </row>
    <row r="56" spans="1:24" x14ac:dyDescent="0.25">
      <c r="P56" s="89" t="s">
        <v>133</v>
      </c>
      <c r="Q56" s="90" t="s">
        <v>131</v>
      </c>
      <c r="R56" s="55">
        <v>727737</v>
      </c>
    </row>
    <row r="57" spans="1:24" x14ac:dyDescent="0.25">
      <c r="P57" s="89" t="s">
        <v>134</v>
      </c>
      <c r="Q57" s="90" t="s">
        <v>132</v>
      </c>
      <c r="R57" s="21">
        <f>R55-R56</f>
        <v>-1.4666665811091661E-3</v>
      </c>
    </row>
    <row r="59" spans="1:24" x14ac:dyDescent="0.25">
      <c r="Q59" s="139" t="s">
        <v>135</v>
      </c>
      <c r="R59" s="21">
        <f>R52+R56</f>
        <v>1894718</v>
      </c>
    </row>
    <row r="60" spans="1:24" ht="19.5" x14ac:dyDescent="0.25">
      <c r="O60" s="140"/>
      <c r="P60" s="140"/>
      <c r="Q60" s="141" t="s">
        <v>172</v>
      </c>
      <c r="R60" s="142">
        <f>R50-R59</f>
        <v>-1.2666669208556414E-3</v>
      </c>
    </row>
    <row r="61" spans="1:24" x14ac:dyDescent="0.25">
      <c r="R61" s="21">
        <f>R50-R52-R56-R57-R53</f>
        <v>-2.3283064365386963E-10</v>
      </c>
    </row>
    <row r="62" spans="1:24" x14ac:dyDescent="0.25">
      <c r="I62" s="21">
        <f>I50-I51-I55</f>
        <v>0</v>
      </c>
      <c r="J62" s="21">
        <f t="shared" ref="J62:P62" si="30">J50-J51-J55</f>
        <v>0</v>
      </c>
      <c r="K62" s="21">
        <f t="shared" si="30"/>
        <v>0</v>
      </c>
      <c r="L62" s="21">
        <f t="shared" si="30"/>
        <v>0</v>
      </c>
      <c r="M62" s="21">
        <f t="shared" si="30"/>
        <v>0</v>
      </c>
      <c r="N62" s="21">
        <f t="shared" si="30"/>
        <v>0</v>
      </c>
      <c r="O62" s="21">
        <f t="shared" si="30"/>
        <v>-85</v>
      </c>
      <c r="P62" s="21">
        <f t="shared" si="30"/>
        <v>0</v>
      </c>
      <c r="Q62" s="21"/>
      <c r="R62" s="21">
        <f>R50-R51-R55</f>
        <v>0</v>
      </c>
      <c r="S62" s="21">
        <f>S50-S51-S55</f>
        <v>0</v>
      </c>
      <c r="T62" s="21">
        <f>T50-T51-T55</f>
        <v>0</v>
      </c>
    </row>
    <row r="64" spans="1:24" x14ac:dyDescent="0.25">
      <c r="I64" s="21"/>
      <c r="J64" s="21"/>
      <c r="K64" s="21"/>
      <c r="L64" s="21"/>
      <c r="M64" s="21"/>
      <c r="N64" s="21"/>
      <c r="O64" s="21"/>
      <c r="P64" s="21"/>
      <c r="Q64" s="21"/>
      <c r="R64" s="21"/>
      <c r="S64" s="21"/>
      <c r="T64" s="21"/>
      <c r="U64" s="21"/>
    </row>
  </sheetData>
  <mergeCells count="20">
    <mergeCell ref="A1:T1"/>
    <mergeCell ref="I2:R2"/>
    <mergeCell ref="A3:G3"/>
    <mergeCell ref="I3:J3"/>
    <mergeCell ref="K3:L3"/>
    <mergeCell ref="M3:N3"/>
    <mergeCell ref="O3:P3"/>
    <mergeCell ref="Q3:Q4"/>
    <mergeCell ref="R3:R4"/>
    <mergeCell ref="S3:T3"/>
    <mergeCell ref="P52:Q52"/>
    <mergeCell ref="P53:Q53"/>
    <mergeCell ref="P56:Q56"/>
    <mergeCell ref="P57:Q57"/>
    <mergeCell ref="D6:G6"/>
    <mergeCell ref="D11:G11"/>
    <mergeCell ref="D13:G13"/>
    <mergeCell ref="D16:G16"/>
    <mergeCell ref="D19:G19"/>
    <mergeCell ref="D47:G47"/>
  </mergeCells>
  <pageMargins left="0.51181102362204722" right="0.31496062992125984" top="0.94488188976377963" bottom="0.59055118110236227" header="0.31496062992125984" footer="0.31496062992125984"/>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858D4-E012-4516-BEAC-93C2655D1D05}">
  <sheetPr>
    <tabColor theme="0" tint="-0.249977111117893"/>
  </sheetPr>
  <dimension ref="A1:Z64"/>
  <sheetViews>
    <sheetView zoomScale="70" zoomScaleNormal="70" workbookViewId="0">
      <pane ySplit="5" topLeftCell="A51" activePane="bottomLeft" state="frozen"/>
      <selection activeCell="D1" sqref="D1"/>
      <selection pane="bottomLeft" activeCell="D57" sqref="D57"/>
    </sheetView>
  </sheetViews>
  <sheetFormatPr defaultColWidth="9.140625" defaultRowHeight="15" x14ac:dyDescent="0.25"/>
  <cols>
    <col min="1" max="1" width="4" style="53" customWidth="1"/>
    <col min="2" max="2" width="13" style="54" customWidth="1"/>
    <col min="3" max="3" width="11.7109375" style="54" customWidth="1"/>
    <col min="4" max="4" width="31.140625" style="53" customWidth="1"/>
    <col min="5" max="5" width="12.140625" style="54" customWidth="1"/>
    <col min="6" max="6" width="8.85546875" style="54" customWidth="1"/>
    <col min="7" max="7" width="33.85546875" style="55" customWidth="1"/>
    <col min="8" max="8" width="2.140625" style="55" customWidth="1"/>
    <col min="9" max="16" width="9.140625" style="55" customWidth="1"/>
    <col min="17" max="17" width="9.140625" style="139" customWidth="1"/>
    <col min="18" max="18" width="14.7109375" style="55" customWidth="1"/>
    <col min="19" max="20" width="9.140625" style="55" customWidth="1"/>
    <col min="21" max="22" width="5.42578125" style="9" hidden="1" customWidth="1"/>
    <col min="23" max="23" width="50" style="33" hidden="1" customWidth="1"/>
    <col min="24" max="24" width="20.140625" style="53" hidden="1" customWidth="1"/>
    <col min="25" max="27" width="0" style="53" hidden="1" customWidth="1"/>
    <col min="28" max="16384" width="9.140625" style="53"/>
  </cols>
  <sheetData>
    <row r="1" spans="1:26" ht="54" customHeight="1" x14ac:dyDescent="0.25">
      <c r="A1" s="128" t="s">
        <v>200</v>
      </c>
      <c r="B1" s="128"/>
      <c r="C1" s="128"/>
      <c r="D1" s="128"/>
      <c r="E1" s="128"/>
      <c r="F1" s="128"/>
      <c r="G1" s="128"/>
      <c r="H1" s="128"/>
      <c r="I1" s="128"/>
      <c r="J1" s="128"/>
      <c r="K1" s="128"/>
      <c r="L1" s="128"/>
      <c r="M1" s="128"/>
      <c r="N1" s="128"/>
      <c r="O1" s="128"/>
      <c r="P1" s="128"/>
      <c r="Q1" s="128"/>
      <c r="R1" s="128"/>
      <c r="S1" s="128"/>
      <c r="T1" s="128"/>
      <c r="W1" s="72"/>
      <c r="Y1" s="130"/>
      <c r="Z1" s="131"/>
    </row>
    <row r="2" spans="1:26" s="43" customFormat="1" ht="18.75" x14ac:dyDescent="0.3">
      <c r="B2" s="44"/>
      <c r="C2" s="44"/>
      <c r="E2" s="44"/>
      <c r="F2" s="44"/>
      <c r="G2" s="45"/>
      <c r="H2" s="45"/>
      <c r="I2" s="92" t="s">
        <v>191</v>
      </c>
      <c r="J2" s="93"/>
      <c r="K2" s="93"/>
      <c r="L2" s="93"/>
      <c r="M2" s="93"/>
      <c r="N2" s="93"/>
      <c r="O2" s="93"/>
      <c r="P2" s="93"/>
      <c r="Q2" s="94"/>
      <c r="R2" s="95"/>
      <c r="S2" s="45"/>
      <c r="T2" s="132"/>
      <c r="U2" s="31"/>
      <c r="V2" s="31"/>
      <c r="W2" s="133"/>
      <c r="Y2" s="135"/>
      <c r="Z2" s="143"/>
    </row>
    <row r="3" spans="1:26" ht="27.75" customHeight="1" x14ac:dyDescent="0.25">
      <c r="A3" s="96" t="s">
        <v>100</v>
      </c>
      <c r="B3" s="96"/>
      <c r="C3" s="96"/>
      <c r="D3" s="96"/>
      <c r="E3" s="96"/>
      <c r="F3" s="96"/>
      <c r="G3" s="96"/>
      <c r="H3" s="7"/>
      <c r="I3" s="97" t="s">
        <v>125</v>
      </c>
      <c r="J3" s="97"/>
      <c r="K3" s="97" t="s">
        <v>141</v>
      </c>
      <c r="L3" s="97"/>
      <c r="M3" s="98" t="s">
        <v>142</v>
      </c>
      <c r="N3" s="98"/>
      <c r="O3" s="98" t="s">
        <v>128</v>
      </c>
      <c r="P3" s="98"/>
      <c r="Q3" s="99" t="s">
        <v>129</v>
      </c>
      <c r="R3" s="100" t="s">
        <v>143</v>
      </c>
      <c r="S3" s="97" t="s">
        <v>136</v>
      </c>
      <c r="T3" s="97"/>
      <c r="U3" s="7"/>
      <c r="V3" s="7"/>
      <c r="W3" s="76"/>
    </row>
    <row r="4" spans="1:26" ht="150.75" customHeight="1" x14ac:dyDescent="0.2">
      <c r="A4" s="46" t="s">
        <v>96</v>
      </c>
      <c r="B4" s="2" t="s">
        <v>0</v>
      </c>
      <c r="C4" s="2" t="s">
        <v>101</v>
      </c>
      <c r="D4" s="46" t="s">
        <v>1</v>
      </c>
      <c r="E4" s="2" t="s">
        <v>2</v>
      </c>
      <c r="F4" s="2" t="s">
        <v>3</v>
      </c>
      <c r="G4" s="47" t="s">
        <v>4</v>
      </c>
      <c r="H4" s="136"/>
      <c r="I4" s="2" t="s">
        <v>127</v>
      </c>
      <c r="J4" s="2" t="s">
        <v>187</v>
      </c>
      <c r="K4" s="2" t="s">
        <v>144</v>
      </c>
      <c r="L4" s="2" t="s">
        <v>188</v>
      </c>
      <c r="M4" s="88" t="s">
        <v>117</v>
      </c>
      <c r="N4" s="88" t="s">
        <v>118</v>
      </c>
      <c r="O4" s="88" t="s">
        <v>123</v>
      </c>
      <c r="P4" s="88" t="s">
        <v>124</v>
      </c>
      <c r="Q4" s="99"/>
      <c r="R4" s="100"/>
      <c r="S4" s="2" t="s">
        <v>127</v>
      </c>
      <c r="T4" s="2" t="s">
        <v>130</v>
      </c>
      <c r="U4" s="1" t="s">
        <v>115</v>
      </c>
      <c r="V4" s="1" t="s">
        <v>116</v>
      </c>
      <c r="W4" s="34" t="s">
        <v>114</v>
      </c>
    </row>
    <row r="5" spans="1:26" s="9" customFormat="1" ht="12" customHeight="1" x14ac:dyDescent="0.2">
      <c r="A5" s="2">
        <v>1</v>
      </c>
      <c r="B5" s="2">
        <v>2</v>
      </c>
      <c r="C5" s="2">
        <v>3</v>
      </c>
      <c r="D5" s="2">
        <v>4</v>
      </c>
      <c r="E5" s="2">
        <v>5</v>
      </c>
      <c r="F5" s="2">
        <v>6</v>
      </c>
      <c r="G5" s="2">
        <v>7</v>
      </c>
      <c r="H5" s="136"/>
      <c r="I5" s="1">
        <v>8</v>
      </c>
      <c r="J5" s="1">
        <v>9</v>
      </c>
      <c r="K5" s="1">
        <v>10</v>
      </c>
      <c r="L5" s="1">
        <v>11</v>
      </c>
      <c r="M5" s="1">
        <v>12</v>
      </c>
      <c r="N5" s="1">
        <v>13</v>
      </c>
      <c r="O5" s="1">
        <v>14</v>
      </c>
      <c r="P5" s="1">
        <v>15</v>
      </c>
      <c r="Q5" s="29">
        <v>16</v>
      </c>
      <c r="R5" s="1">
        <v>17</v>
      </c>
      <c r="S5" s="2">
        <v>18</v>
      </c>
      <c r="T5" s="2">
        <v>19</v>
      </c>
      <c r="U5" s="1"/>
      <c r="V5" s="1"/>
      <c r="W5" s="34"/>
    </row>
    <row r="6" spans="1:26" ht="18" customHeight="1" x14ac:dyDescent="0.25">
      <c r="A6" s="48"/>
      <c r="B6" s="49"/>
      <c r="C6" s="50">
        <v>4</v>
      </c>
      <c r="D6" s="91" t="s">
        <v>5</v>
      </c>
      <c r="E6" s="91"/>
      <c r="F6" s="91"/>
      <c r="G6" s="91"/>
      <c r="H6" s="137"/>
      <c r="I6" s="10">
        <f>I7+I8+I9+I10</f>
        <v>67</v>
      </c>
      <c r="J6" s="10">
        <f t="shared" ref="J6" si="0">J7+J8+J9+J10</f>
        <v>67</v>
      </c>
      <c r="K6" s="10">
        <f t="shared" ref="K6:R6" si="1">K7+K8+K9+K10</f>
        <v>52</v>
      </c>
      <c r="L6" s="10">
        <f t="shared" si="1"/>
        <v>52</v>
      </c>
      <c r="M6" s="10">
        <f t="shared" si="1"/>
        <v>691</v>
      </c>
      <c r="N6" s="10">
        <f t="shared" si="1"/>
        <v>691</v>
      </c>
      <c r="O6" s="10">
        <f t="shared" si="1"/>
        <v>376</v>
      </c>
      <c r="P6" s="10">
        <f t="shared" si="1"/>
        <v>376</v>
      </c>
      <c r="Q6" s="25" t="s">
        <v>119</v>
      </c>
      <c r="R6" s="3">
        <f t="shared" si="1"/>
        <v>25377.3</v>
      </c>
      <c r="S6" s="10">
        <f>S7+S8+S9+S10</f>
        <v>315</v>
      </c>
      <c r="T6" s="10">
        <f>T7+T8+T9+T10</f>
        <v>315</v>
      </c>
      <c r="U6" s="8"/>
      <c r="V6" s="8">
        <v>1</v>
      </c>
    </row>
    <row r="7" spans="1:26" ht="27.75" customHeight="1" x14ac:dyDescent="0.25">
      <c r="A7" s="37">
        <v>1</v>
      </c>
      <c r="B7" s="38" t="s">
        <v>6</v>
      </c>
      <c r="C7" s="38" t="s">
        <v>7</v>
      </c>
      <c r="D7" s="37" t="s">
        <v>8</v>
      </c>
      <c r="E7" s="38" t="s">
        <v>9</v>
      </c>
      <c r="F7" s="38" t="s">
        <v>97</v>
      </c>
      <c r="G7" s="51" t="s">
        <v>10</v>
      </c>
      <c r="H7" s="56"/>
      <c r="I7" s="11">
        <v>35</v>
      </c>
      <c r="J7" s="74">
        <f>I7</f>
        <v>35</v>
      </c>
      <c r="K7" s="12">
        <f>ROUND(26*3/5,0)</f>
        <v>16</v>
      </c>
      <c r="L7" s="74">
        <f>K7</f>
        <v>16</v>
      </c>
      <c r="M7" s="13">
        <f>I7+(K7*12)</f>
        <v>227</v>
      </c>
      <c r="N7" s="13">
        <f>J7+(L7*12)</f>
        <v>227</v>
      </c>
      <c r="O7" s="12">
        <v>161</v>
      </c>
      <c r="P7" s="74">
        <f>O7</f>
        <v>161</v>
      </c>
      <c r="Q7" s="27">
        <v>84</v>
      </c>
      <c r="R7" s="4">
        <f>Q7*P7</f>
        <v>13524</v>
      </c>
      <c r="S7" s="18">
        <f>M7-O7</f>
        <v>66</v>
      </c>
      <c r="T7" s="18">
        <f>N7-P7</f>
        <v>66</v>
      </c>
      <c r="U7" s="1"/>
      <c r="V7" s="1">
        <v>1</v>
      </c>
      <c r="W7" s="33" t="s">
        <v>102</v>
      </c>
      <c r="X7" s="138"/>
    </row>
    <row r="8" spans="1:26" ht="18" customHeight="1" x14ac:dyDescent="0.25">
      <c r="A8" s="37">
        <v>2</v>
      </c>
      <c r="B8" s="38" t="s">
        <v>6</v>
      </c>
      <c r="C8" s="38" t="s">
        <v>11</v>
      </c>
      <c r="D8" s="37" t="s">
        <v>12</v>
      </c>
      <c r="E8" s="38" t="s">
        <v>9</v>
      </c>
      <c r="F8" s="38">
        <v>5</v>
      </c>
      <c r="G8" s="51" t="s">
        <v>10</v>
      </c>
      <c r="H8" s="56"/>
      <c r="I8" s="11">
        <v>7</v>
      </c>
      <c r="J8" s="74">
        <f t="shared" ref="J8:J10" si="2">I8</f>
        <v>7</v>
      </c>
      <c r="K8" s="12">
        <v>8</v>
      </c>
      <c r="L8" s="74">
        <f t="shared" ref="L8:L10" si="3">K8</f>
        <v>8</v>
      </c>
      <c r="M8" s="13">
        <f t="shared" ref="M8:N10" si="4">I8+(K8*12)</f>
        <v>103</v>
      </c>
      <c r="N8" s="13">
        <f t="shared" si="4"/>
        <v>103</v>
      </c>
      <c r="O8" s="12">
        <v>48</v>
      </c>
      <c r="P8" s="74">
        <f t="shared" ref="P8:P10" si="5">O8</f>
        <v>48</v>
      </c>
      <c r="Q8" s="27">
        <v>84</v>
      </c>
      <c r="R8" s="4">
        <f t="shared" ref="R8:R49" si="6">Q8*P8</f>
        <v>4032</v>
      </c>
      <c r="S8" s="18">
        <f t="shared" ref="S8:T10" si="7">M8-O8</f>
        <v>55</v>
      </c>
      <c r="T8" s="18">
        <f t="shared" si="7"/>
        <v>55</v>
      </c>
      <c r="U8" s="1"/>
      <c r="V8" s="1">
        <v>1</v>
      </c>
    </row>
    <row r="9" spans="1:26" ht="36" customHeight="1" x14ac:dyDescent="0.25">
      <c r="A9" s="37">
        <v>3</v>
      </c>
      <c r="B9" s="38" t="s">
        <v>13</v>
      </c>
      <c r="C9" s="38" t="s">
        <v>14</v>
      </c>
      <c r="D9" s="37" t="s">
        <v>15</v>
      </c>
      <c r="E9" s="38" t="s">
        <v>9</v>
      </c>
      <c r="F9" s="38">
        <v>2</v>
      </c>
      <c r="G9" s="51" t="s">
        <v>10</v>
      </c>
      <c r="H9" s="56"/>
      <c r="I9" s="11">
        <v>12</v>
      </c>
      <c r="J9" s="74">
        <f t="shared" si="2"/>
        <v>12</v>
      </c>
      <c r="K9" s="12">
        <v>10</v>
      </c>
      <c r="L9" s="74">
        <f t="shared" si="3"/>
        <v>10</v>
      </c>
      <c r="M9" s="13">
        <f t="shared" si="4"/>
        <v>132</v>
      </c>
      <c r="N9" s="13">
        <f t="shared" si="4"/>
        <v>132</v>
      </c>
      <c r="O9" s="12">
        <v>61</v>
      </c>
      <c r="P9" s="74">
        <f t="shared" si="5"/>
        <v>61</v>
      </c>
      <c r="Q9" s="27">
        <v>33.6</v>
      </c>
      <c r="R9" s="4">
        <f t="shared" si="6"/>
        <v>2049.6</v>
      </c>
      <c r="S9" s="18">
        <f t="shared" si="7"/>
        <v>71</v>
      </c>
      <c r="T9" s="18">
        <f t="shared" si="7"/>
        <v>71</v>
      </c>
      <c r="U9" s="1"/>
      <c r="V9" s="1">
        <v>1</v>
      </c>
    </row>
    <row r="10" spans="1:26" ht="18" customHeight="1" x14ac:dyDescent="0.25">
      <c r="A10" s="37">
        <v>4</v>
      </c>
      <c r="B10" s="38" t="s">
        <v>16</v>
      </c>
      <c r="C10" s="38" t="s">
        <v>17</v>
      </c>
      <c r="D10" s="37" t="s">
        <v>18</v>
      </c>
      <c r="E10" s="38" t="s">
        <v>9</v>
      </c>
      <c r="F10" s="38">
        <v>5</v>
      </c>
      <c r="G10" s="51" t="s">
        <v>10</v>
      </c>
      <c r="H10" s="56"/>
      <c r="I10" s="11">
        <v>13</v>
      </c>
      <c r="J10" s="74">
        <f t="shared" si="2"/>
        <v>13</v>
      </c>
      <c r="K10" s="12">
        <v>18</v>
      </c>
      <c r="L10" s="74">
        <f t="shared" si="3"/>
        <v>18</v>
      </c>
      <c r="M10" s="13">
        <f t="shared" si="4"/>
        <v>229</v>
      </c>
      <c r="N10" s="13">
        <f t="shared" si="4"/>
        <v>229</v>
      </c>
      <c r="O10" s="12">
        <v>106</v>
      </c>
      <c r="P10" s="74">
        <f t="shared" si="5"/>
        <v>106</v>
      </c>
      <c r="Q10" s="27">
        <v>54.45</v>
      </c>
      <c r="R10" s="4">
        <f t="shared" si="6"/>
        <v>5771.7000000000007</v>
      </c>
      <c r="S10" s="18">
        <f t="shared" si="7"/>
        <v>123</v>
      </c>
      <c r="T10" s="18">
        <f t="shared" si="7"/>
        <v>123</v>
      </c>
      <c r="U10" s="1"/>
      <c r="V10" s="1">
        <v>1</v>
      </c>
    </row>
    <row r="11" spans="1:26" ht="18" customHeight="1" x14ac:dyDescent="0.25">
      <c r="A11" s="48"/>
      <c r="B11" s="49"/>
      <c r="C11" s="50">
        <v>6</v>
      </c>
      <c r="D11" s="91" t="s">
        <v>19</v>
      </c>
      <c r="E11" s="91"/>
      <c r="F11" s="91"/>
      <c r="G11" s="91"/>
      <c r="H11" s="137"/>
      <c r="I11" s="14">
        <f>I12</f>
        <v>39</v>
      </c>
      <c r="J11" s="14">
        <f t="shared" ref="J11" si="8">J12</f>
        <v>39</v>
      </c>
      <c r="K11" s="14">
        <f t="shared" ref="K11:R11" si="9">K12</f>
        <v>44</v>
      </c>
      <c r="L11" s="14">
        <f t="shared" si="9"/>
        <v>44</v>
      </c>
      <c r="M11" s="14">
        <f t="shared" si="9"/>
        <v>567</v>
      </c>
      <c r="N11" s="14">
        <f t="shared" si="9"/>
        <v>567</v>
      </c>
      <c r="O11" s="14">
        <f t="shared" si="9"/>
        <v>556</v>
      </c>
      <c r="P11" s="14">
        <f t="shared" si="9"/>
        <v>556</v>
      </c>
      <c r="Q11" s="30" t="s">
        <v>119</v>
      </c>
      <c r="R11" s="5">
        <f t="shared" si="9"/>
        <v>310614.87</v>
      </c>
      <c r="S11" s="14">
        <f>S12</f>
        <v>11</v>
      </c>
      <c r="T11" s="14">
        <f>T12</f>
        <v>11</v>
      </c>
      <c r="U11" s="8"/>
      <c r="V11" s="8">
        <v>1</v>
      </c>
    </row>
    <row r="12" spans="1:26" s="43" customFormat="1" ht="34.5" customHeight="1" x14ac:dyDescent="0.25">
      <c r="A12" s="35">
        <v>5</v>
      </c>
      <c r="B12" s="36" t="s">
        <v>20</v>
      </c>
      <c r="C12" s="36" t="s">
        <v>21</v>
      </c>
      <c r="D12" s="35" t="s">
        <v>22</v>
      </c>
      <c r="E12" s="36" t="s">
        <v>9</v>
      </c>
      <c r="F12" s="36">
        <v>2</v>
      </c>
      <c r="G12" s="52" t="s">
        <v>23</v>
      </c>
      <c r="H12" s="57"/>
      <c r="I12" s="11">
        <v>39</v>
      </c>
      <c r="J12" s="74">
        <f>I12</f>
        <v>39</v>
      </c>
      <c r="K12" s="12">
        <v>44</v>
      </c>
      <c r="L12" s="74">
        <f>K12</f>
        <v>44</v>
      </c>
      <c r="M12" s="13">
        <f t="shared" ref="M12:N12" si="10">I12+(K12*12)</f>
        <v>567</v>
      </c>
      <c r="N12" s="13">
        <f t="shared" si="10"/>
        <v>567</v>
      </c>
      <c r="O12" s="12">
        <v>556</v>
      </c>
      <c r="P12" s="74">
        <f>O12</f>
        <v>556</v>
      </c>
      <c r="Q12" s="27">
        <v>559.39</v>
      </c>
      <c r="R12" s="22">
        <f>Q12*P12-405.97</f>
        <v>310614.87</v>
      </c>
      <c r="S12" s="19">
        <f t="shared" ref="S12:T12" si="11">M12-O12</f>
        <v>11</v>
      </c>
      <c r="T12" s="19">
        <f t="shared" si="11"/>
        <v>11</v>
      </c>
      <c r="U12" s="24"/>
      <c r="V12" s="24">
        <v>1</v>
      </c>
      <c r="W12" s="32"/>
    </row>
    <row r="13" spans="1:26" ht="18" customHeight="1" x14ac:dyDescent="0.25">
      <c r="A13" s="48"/>
      <c r="B13" s="49"/>
      <c r="C13" s="50">
        <v>12</v>
      </c>
      <c r="D13" s="91" t="s">
        <v>24</v>
      </c>
      <c r="E13" s="91"/>
      <c r="F13" s="91"/>
      <c r="G13" s="91"/>
      <c r="H13" s="137"/>
      <c r="I13" s="10">
        <f>I14+I15</f>
        <v>9</v>
      </c>
      <c r="J13" s="10">
        <f t="shared" ref="J13" si="12">J14+J15</f>
        <v>9</v>
      </c>
      <c r="K13" s="10">
        <f t="shared" ref="K13:R13" si="13">K14+K15</f>
        <v>8.5</v>
      </c>
      <c r="L13" s="10">
        <f t="shared" si="13"/>
        <v>8.5</v>
      </c>
      <c r="M13" s="10">
        <f t="shared" si="13"/>
        <v>111</v>
      </c>
      <c r="N13" s="10">
        <f t="shared" si="13"/>
        <v>111</v>
      </c>
      <c r="O13" s="10">
        <f t="shared" si="13"/>
        <v>93</v>
      </c>
      <c r="P13" s="10">
        <f t="shared" si="13"/>
        <v>93</v>
      </c>
      <c r="Q13" s="25" t="s">
        <v>119</v>
      </c>
      <c r="R13" s="3">
        <f t="shared" si="13"/>
        <v>4326</v>
      </c>
      <c r="S13" s="10">
        <f>S14+S15</f>
        <v>18</v>
      </c>
      <c r="T13" s="10">
        <f>T14+T15</f>
        <v>18</v>
      </c>
      <c r="U13" s="8"/>
      <c r="V13" s="8">
        <v>1</v>
      </c>
    </row>
    <row r="14" spans="1:26" ht="33.75" customHeight="1" x14ac:dyDescent="0.25">
      <c r="A14" s="37">
        <v>6</v>
      </c>
      <c r="B14" s="38" t="s">
        <v>25</v>
      </c>
      <c r="C14" s="38" t="s">
        <v>26</v>
      </c>
      <c r="D14" s="37" t="s">
        <v>27</v>
      </c>
      <c r="E14" s="38" t="s">
        <v>9</v>
      </c>
      <c r="F14" s="38" t="s">
        <v>104</v>
      </c>
      <c r="G14" s="51" t="s">
        <v>10</v>
      </c>
      <c r="H14" s="56"/>
      <c r="I14" s="11">
        <v>7</v>
      </c>
      <c r="J14" s="74">
        <f>I14</f>
        <v>7</v>
      </c>
      <c r="K14" s="12">
        <f>7*1/2</f>
        <v>3.5</v>
      </c>
      <c r="L14" s="74">
        <f>K14</f>
        <v>3.5</v>
      </c>
      <c r="M14" s="13">
        <f t="shared" ref="M14:N15" si="14">I14+(K14*12)</f>
        <v>49</v>
      </c>
      <c r="N14" s="13">
        <f t="shared" si="14"/>
        <v>49</v>
      </c>
      <c r="O14" s="12">
        <v>42</v>
      </c>
      <c r="P14" s="74">
        <f>O14</f>
        <v>42</v>
      </c>
      <c r="Q14" s="27">
        <v>35</v>
      </c>
      <c r="R14" s="4">
        <f t="shared" si="6"/>
        <v>1470</v>
      </c>
      <c r="S14" s="18">
        <f t="shared" ref="S14:T15" si="15">M14-O14</f>
        <v>7</v>
      </c>
      <c r="T14" s="18">
        <f t="shared" si="15"/>
        <v>7</v>
      </c>
      <c r="U14" s="1"/>
      <c r="V14" s="1">
        <v>1</v>
      </c>
      <c r="W14" s="33" t="s">
        <v>103</v>
      </c>
    </row>
    <row r="15" spans="1:26" ht="24" customHeight="1" x14ac:dyDescent="0.25">
      <c r="A15" s="37">
        <v>7</v>
      </c>
      <c r="B15" s="38" t="s">
        <v>25</v>
      </c>
      <c r="C15" s="38" t="s">
        <v>26</v>
      </c>
      <c r="D15" s="37" t="s">
        <v>28</v>
      </c>
      <c r="E15" s="38" t="s">
        <v>9</v>
      </c>
      <c r="F15" s="38" t="s">
        <v>104</v>
      </c>
      <c r="G15" s="51" t="s">
        <v>10</v>
      </c>
      <c r="H15" s="56"/>
      <c r="I15" s="11">
        <v>2</v>
      </c>
      <c r="J15" s="74">
        <f>I15</f>
        <v>2</v>
      </c>
      <c r="K15" s="12">
        <f>ROUND(9*1/2,0)</f>
        <v>5</v>
      </c>
      <c r="L15" s="74">
        <f>K15</f>
        <v>5</v>
      </c>
      <c r="M15" s="13">
        <f t="shared" si="14"/>
        <v>62</v>
      </c>
      <c r="N15" s="13">
        <f t="shared" si="14"/>
        <v>62</v>
      </c>
      <c r="O15" s="12">
        <v>51</v>
      </c>
      <c r="P15" s="74">
        <f>O15</f>
        <v>51</v>
      </c>
      <c r="Q15" s="27">
        <v>56</v>
      </c>
      <c r="R15" s="4">
        <f t="shared" si="6"/>
        <v>2856</v>
      </c>
      <c r="S15" s="18">
        <f t="shared" si="15"/>
        <v>11</v>
      </c>
      <c r="T15" s="18">
        <f t="shared" si="15"/>
        <v>11</v>
      </c>
      <c r="U15" s="1"/>
      <c r="V15" s="1">
        <v>1</v>
      </c>
      <c r="W15" s="33" t="s">
        <v>103</v>
      </c>
    </row>
    <row r="16" spans="1:26" ht="18" customHeight="1" x14ac:dyDescent="0.25">
      <c r="A16" s="48"/>
      <c r="B16" s="49"/>
      <c r="C16" s="50">
        <v>15</v>
      </c>
      <c r="D16" s="91" t="s">
        <v>29</v>
      </c>
      <c r="E16" s="91"/>
      <c r="F16" s="91"/>
      <c r="G16" s="91"/>
      <c r="H16" s="137"/>
      <c r="I16" s="10">
        <f>I17+I18</f>
        <v>7</v>
      </c>
      <c r="J16" s="10">
        <f t="shared" ref="J16" si="16">J17+J18</f>
        <v>7</v>
      </c>
      <c r="K16" s="10">
        <f t="shared" ref="K16:P16" si="17">K17+K18</f>
        <v>15</v>
      </c>
      <c r="L16" s="10">
        <f t="shared" si="17"/>
        <v>15</v>
      </c>
      <c r="M16" s="10">
        <f t="shared" si="17"/>
        <v>187</v>
      </c>
      <c r="N16" s="10">
        <f t="shared" si="17"/>
        <v>187</v>
      </c>
      <c r="O16" s="10">
        <f t="shared" si="17"/>
        <v>87</v>
      </c>
      <c r="P16" s="10">
        <f t="shared" si="17"/>
        <v>87</v>
      </c>
      <c r="Q16" s="25" t="s">
        <v>119</v>
      </c>
      <c r="R16" s="3">
        <f t="shared" ref="R16" si="18">R17+R18</f>
        <v>2839.5</v>
      </c>
      <c r="S16" s="10">
        <f>S17+S18</f>
        <v>100</v>
      </c>
      <c r="T16" s="10">
        <f>T17+T18</f>
        <v>100</v>
      </c>
      <c r="U16" s="8"/>
      <c r="V16" s="8">
        <v>1</v>
      </c>
    </row>
    <row r="17" spans="1:23" ht="18" customHeight="1" x14ac:dyDescent="0.25">
      <c r="A17" s="37">
        <v>8</v>
      </c>
      <c r="B17" s="38" t="s">
        <v>16</v>
      </c>
      <c r="C17" s="38" t="s">
        <v>30</v>
      </c>
      <c r="D17" s="37" t="s">
        <v>31</v>
      </c>
      <c r="E17" s="38" t="s">
        <v>9</v>
      </c>
      <c r="F17" s="38">
        <v>5</v>
      </c>
      <c r="G17" s="51" t="s">
        <v>10</v>
      </c>
      <c r="H17" s="56"/>
      <c r="I17" s="11">
        <v>1</v>
      </c>
      <c r="J17" s="74">
        <f>I17</f>
        <v>1</v>
      </c>
      <c r="K17" s="12">
        <v>8</v>
      </c>
      <c r="L17" s="74">
        <f>K17</f>
        <v>8</v>
      </c>
      <c r="M17" s="13">
        <f t="shared" ref="M17:N18" si="19">I17+(K17*12)</f>
        <v>97</v>
      </c>
      <c r="N17" s="13">
        <f t="shared" si="19"/>
        <v>97</v>
      </c>
      <c r="O17" s="12">
        <v>45</v>
      </c>
      <c r="P17" s="74">
        <f>O17</f>
        <v>45</v>
      </c>
      <c r="Q17" s="27">
        <v>48.4</v>
      </c>
      <c r="R17" s="4">
        <f t="shared" si="6"/>
        <v>2178</v>
      </c>
      <c r="S17" s="18">
        <f t="shared" ref="S17:T18" si="20">M17-O17</f>
        <v>52</v>
      </c>
      <c r="T17" s="18">
        <f t="shared" si="20"/>
        <v>52</v>
      </c>
      <c r="U17" s="1"/>
      <c r="V17" s="1">
        <v>1</v>
      </c>
    </row>
    <row r="18" spans="1:23" ht="33" customHeight="1" x14ac:dyDescent="0.25">
      <c r="A18" s="37">
        <v>9</v>
      </c>
      <c r="B18" s="38" t="s">
        <v>6</v>
      </c>
      <c r="C18" s="38" t="s">
        <v>30</v>
      </c>
      <c r="D18" s="37" t="s">
        <v>32</v>
      </c>
      <c r="E18" s="38" t="s">
        <v>9</v>
      </c>
      <c r="F18" s="38">
        <v>2</v>
      </c>
      <c r="G18" s="51" t="s">
        <v>10</v>
      </c>
      <c r="H18" s="56"/>
      <c r="I18" s="11">
        <v>6</v>
      </c>
      <c r="J18" s="74">
        <f>I18</f>
        <v>6</v>
      </c>
      <c r="K18" s="12">
        <v>7</v>
      </c>
      <c r="L18" s="74">
        <f>K18</f>
        <v>7</v>
      </c>
      <c r="M18" s="13">
        <f t="shared" si="19"/>
        <v>90</v>
      </c>
      <c r="N18" s="13">
        <f t="shared" si="19"/>
        <v>90</v>
      </c>
      <c r="O18" s="12">
        <v>42</v>
      </c>
      <c r="P18" s="74">
        <f>O18</f>
        <v>42</v>
      </c>
      <c r="Q18" s="27">
        <v>15.75</v>
      </c>
      <c r="R18" s="4">
        <f t="shared" si="6"/>
        <v>661.5</v>
      </c>
      <c r="S18" s="18">
        <f t="shared" si="20"/>
        <v>48</v>
      </c>
      <c r="T18" s="18">
        <f t="shared" si="20"/>
        <v>48</v>
      </c>
      <c r="U18" s="1"/>
      <c r="V18" s="1">
        <v>1</v>
      </c>
    </row>
    <row r="19" spans="1:23" ht="18" customHeight="1" x14ac:dyDescent="0.25">
      <c r="A19" s="48"/>
      <c r="B19" s="49"/>
      <c r="C19" s="50">
        <v>22</v>
      </c>
      <c r="D19" s="91" t="s">
        <v>33</v>
      </c>
      <c r="E19" s="91"/>
      <c r="F19" s="91"/>
      <c r="G19" s="91"/>
      <c r="H19" s="137"/>
      <c r="I19" s="10">
        <f t="shared" ref="I19:P19" si="21">SUM(I20:I46)</f>
        <v>4346</v>
      </c>
      <c r="J19" s="10">
        <f t="shared" si="21"/>
        <v>6446</v>
      </c>
      <c r="K19" s="10">
        <f t="shared" si="21"/>
        <v>440.83333333333331</v>
      </c>
      <c r="L19" s="10">
        <f t="shared" si="21"/>
        <v>560.83333333333326</v>
      </c>
      <c r="M19" s="10">
        <f t="shared" si="21"/>
        <v>9636</v>
      </c>
      <c r="N19" s="10">
        <f t="shared" si="21"/>
        <v>13176</v>
      </c>
      <c r="O19" s="10">
        <f t="shared" si="21"/>
        <v>4876</v>
      </c>
      <c r="P19" s="10">
        <f t="shared" si="21"/>
        <v>6797</v>
      </c>
      <c r="Q19" s="25" t="s">
        <v>119</v>
      </c>
      <c r="R19" s="3">
        <f>SUM(R20:R46)</f>
        <v>1545038.4300000002</v>
      </c>
      <c r="S19" s="10">
        <f>SUM(S20:S46)</f>
        <v>4760</v>
      </c>
      <c r="T19" s="10">
        <f>SUM(T20:T46)</f>
        <v>6379</v>
      </c>
      <c r="U19" s="8">
        <v>1</v>
      </c>
      <c r="V19" s="8">
        <v>1</v>
      </c>
    </row>
    <row r="20" spans="1:23" ht="17.25" customHeight="1" x14ac:dyDescent="0.25">
      <c r="A20" s="37">
        <v>10</v>
      </c>
      <c r="B20" s="38" t="s">
        <v>34</v>
      </c>
      <c r="C20" s="38" t="s">
        <v>35</v>
      </c>
      <c r="D20" s="37" t="s">
        <v>36</v>
      </c>
      <c r="E20" s="38" t="s">
        <v>9</v>
      </c>
      <c r="F20" s="38">
        <v>2</v>
      </c>
      <c r="G20" s="51" t="s">
        <v>37</v>
      </c>
      <c r="H20" s="56"/>
      <c r="I20" s="11">
        <v>43</v>
      </c>
      <c r="J20" s="74">
        <f>I20</f>
        <v>43</v>
      </c>
      <c r="K20" s="12">
        <v>9.6666666666666661</v>
      </c>
      <c r="L20" s="74">
        <f>K20</f>
        <v>9.6666666666666661</v>
      </c>
      <c r="M20" s="13">
        <f t="shared" ref="M20:N35" si="22">I20+(K20*12)</f>
        <v>159</v>
      </c>
      <c r="N20" s="13">
        <f t="shared" si="22"/>
        <v>159</v>
      </c>
      <c r="O20" s="12">
        <v>75</v>
      </c>
      <c r="P20" s="74">
        <f>O20</f>
        <v>75</v>
      </c>
      <c r="Q20" s="27">
        <v>66.55</v>
      </c>
      <c r="R20" s="4">
        <f t="shared" si="6"/>
        <v>4991.25</v>
      </c>
      <c r="S20" s="18">
        <f t="shared" ref="S20:T35" si="23">M20-O20</f>
        <v>84</v>
      </c>
      <c r="T20" s="18">
        <f t="shared" si="23"/>
        <v>84</v>
      </c>
      <c r="U20" s="1"/>
      <c r="V20" s="1">
        <v>1</v>
      </c>
    </row>
    <row r="21" spans="1:23" ht="30.75" customHeight="1" x14ac:dyDescent="0.25">
      <c r="A21" s="37">
        <v>11</v>
      </c>
      <c r="B21" s="38" t="s">
        <v>34</v>
      </c>
      <c r="C21" s="38" t="s">
        <v>38</v>
      </c>
      <c r="D21" s="37" t="s">
        <v>39</v>
      </c>
      <c r="E21" s="38" t="s">
        <v>9</v>
      </c>
      <c r="F21" s="38" t="s">
        <v>98</v>
      </c>
      <c r="G21" s="51" t="s">
        <v>37</v>
      </c>
      <c r="H21" s="56"/>
      <c r="I21" s="11">
        <v>11</v>
      </c>
      <c r="J21" s="74">
        <f>I21</f>
        <v>11</v>
      </c>
      <c r="K21" s="12">
        <f>12*2/3</f>
        <v>8</v>
      </c>
      <c r="L21" s="74">
        <f>K21</f>
        <v>8</v>
      </c>
      <c r="M21" s="13">
        <f t="shared" si="22"/>
        <v>107</v>
      </c>
      <c r="N21" s="13">
        <f t="shared" si="22"/>
        <v>107</v>
      </c>
      <c r="O21" s="12">
        <v>72</v>
      </c>
      <c r="P21" s="74">
        <f>O21</f>
        <v>72</v>
      </c>
      <c r="Q21" s="27">
        <v>50.82</v>
      </c>
      <c r="R21" s="4">
        <f t="shared" si="6"/>
        <v>3659.04</v>
      </c>
      <c r="S21" s="18">
        <f t="shared" si="23"/>
        <v>35</v>
      </c>
      <c r="T21" s="18">
        <f t="shared" si="23"/>
        <v>35</v>
      </c>
      <c r="U21" s="1"/>
      <c r="V21" s="1">
        <v>1</v>
      </c>
      <c r="W21" s="33" t="s">
        <v>105</v>
      </c>
    </row>
    <row r="22" spans="1:23" ht="36" customHeight="1" x14ac:dyDescent="0.25">
      <c r="A22" s="37">
        <v>12</v>
      </c>
      <c r="B22" s="38" t="s">
        <v>40</v>
      </c>
      <c r="C22" s="38" t="s">
        <v>41</v>
      </c>
      <c r="D22" s="37" t="s">
        <v>42</v>
      </c>
      <c r="E22" s="38" t="s">
        <v>9</v>
      </c>
      <c r="F22" s="38">
        <v>5</v>
      </c>
      <c r="G22" s="51" t="s">
        <v>43</v>
      </c>
      <c r="H22" s="56"/>
      <c r="I22" s="11">
        <v>7</v>
      </c>
      <c r="J22" s="74">
        <f t="shared" ref="J22:J49" si="24">I22</f>
        <v>7</v>
      </c>
      <c r="K22" s="12">
        <v>5</v>
      </c>
      <c r="L22" s="74">
        <f t="shared" ref="L22:L49" si="25">K22</f>
        <v>5</v>
      </c>
      <c r="M22" s="13">
        <f t="shared" si="22"/>
        <v>67</v>
      </c>
      <c r="N22" s="13">
        <f t="shared" si="22"/>
        <v>67</v>
      </c>
      <c r="O22" s="12">
        <v>31</v>
      </c>
      <c r="P22" s="74">
        <f t="shared" ref="P22:P49" si="26">O22</f>
        <v>31</v>
      </c>
      <c r="Q22" s="27">
        <v>90.75</v>
      </c>
      <c r="R22" s="4">
        <f t="shared" si="6"/>
        <v>2813.25</v>
      </c>
      <c r="S22" s="18">
        <f t="shared" si="23"/>
        <v>36</v>
      </c>
      <c r="T22" s="18">
        <f t="shared" si="23"/>
        <v>36</v>
      </c>
      <c r="U22" s="1"/>
      <c r="V22" s="1">
        <v>1</v>
      </c>
    </row>
    <row r="23" spans="1:23" ht="24" customHeight="1" x14ac:dyDescent="0.25">
      <c r="A23" s="37">
        <v>13</v>
      </c>
      <c r="B23" s="38" t="s">
        <v>40</v>
      </c>
      <c r="C23" s="38" t="s">
        <v>41</v>
      </c>
      <c r="D23" s="37" t="s">
        <v>106</v>
      </c>
      <c r="E23" s="38" t="s">
        <v>9</v>
      </c>
      <c r="F23" s="38">
        <v>5</v>
      </c>
      <c r="G23" s="51" t="s">
        <v>43</v>
      </c>
      <c r="H23" s="56"/>
      <c r="I23" s="11">
        <v>2</v>
      </c>
      <c r="J23" s="74">
        <f t="shared" si="24"/>
        <v>2</v>
      </c>
      <c r="K23" s="12">
        <v>2</v>
      </c>
      <c r="L23" s="74">
        <f t="shared" si="25"/>
        <v>2</v>
      </c>
      <c r="M23" s="13">
        <f t="shared" si="22"/>
        <v>26</v>
      </c>
      <c r="N23" s="13">
        <f t="shared" si="22"/>
        <v>26</v>
      </c>
      <c r="O23" s="12">
        <v>12</v>
      </c>
      <c r="P23" s="74">
        <f t="shared" si="26"/>
        <v>12</v>
      </c>
      <c r="Q23" s="27">
        <v>48.4</v>
      </c>
      <c r="R23" s="4">
        <f t="shared" si="6"/>
        <v>580.79999999999995</v>
      </c>
      <c r="S23" s="18">
        <f t="shared" si="23"/>
        <v>14</v>
      </c>
      <c r="T23" s="18">
        <f t="shared" si="23"/>
        <v>14</v>
      </c>
      <c r="U23" s="1"/>
      <c r="V23" s="1">
        <v>1</v>
      </c>
      <c r="W23" s="33" t="s">
        <v>107</v>
      </c>
    </row>
    <row r="24" spans="1:23" ht="35.25" customHeight="1" x14ac:dyDescent="0.25">
      <c r="A24" s="37">
        <v>14</v>
      </c>
      <c r="B24" s="38" t="s">
        <v>34</v>
      </c>
      <c r="C24" s="38" t="s">
        <v>44</v>
      </c>
      <c r="D24" s="37" t="s">
        <v>45</v>
      </c>
      <c r="E24" s="38" t="s">
        <v>9</v>
      </c>
      <c r="F24" s="38">
        <v>5</v>
      </c>
      <c r="G24" s="51" t="s">
        <v>37</v>
      </c>
      <c r="H24" s="56"/>
      <c r="I24" s="11">
        <v>16</v>
      </c>
      <c r="J24" s="74">
        <f t="shared" si="24"/>
        <v>16</v>
      </c>
      <c r="K24" s="12">
        <v>57.666666666666664</v>
      </c>
      <c r="L24" s="74">
        <f t="shared" si="25"/>
        <v>57.666666666666664</v>
      </c>
      <c r="M24" s="13">
        <f t="shared" si="22"/>
        <v>708</v>
      </c>
      <c r="N24" s="13">
        <f t="shared" si="22"/>
        <v>708</v>
      </c>
      <c r="O24" s="12">
        <v>308</v>
      </c>
      <c r="P24" s="74">
        <f t="shared" si="26"/>
        <v>308</v>
      </c>
      <c r="Q24" s="27">
        <v>568.48</v>
      </c>
      <c r="R24" s="4">
        <f t="shared" si="6"/>
        <v>175091.84</v>
      </c>
      <c r="S24" s="18">
        <f t="shared" si="23"/>
        <v>400</v>
      </c>
      <c r="T24" s="18">
        <f t="shared" si="23"/>
        <v>400</v>
      </c>
      <c r="U24" s="1"/>
      <c r="V24" s="1">
        <v>1</v>
      </c>
    </row>
    <row r="25" spans="1:23" ht="36" customHeight="1" x14ac:dyDescent="0.25">
      <c r="A25" s="37">
        <v>15</v>
      </c>
      <c r="B25" s="38" t="s">
        <v>177</v>
      </c>
      <c r="C25" s="38" t="s">
        <v>46</v>
      </c>
      <c r="D25" s="37" t="s">
        <v>178</v>
      </c>
      <c r="E25" s="38" t="s">
        <v>9</v>
      </c>
      <c r="F25" s="38">
        <v>3</v>
      </c>
      <c r="G25" s="51" t="s">
        <v>47</v>
      </c>
      <c r="H25" s="56"/>
      <c r="I25" s="15">
        <v>2</v>
      </c>
      <c r="J25" s="74">
        <f t="shared" si="24"/>
        <v>2</v>
      </c>
      <c r="K25" s="16">
        <v>1</v>
      </c>
      <c r="L25" s="74">
        <f t="shared" si="25"/>
        <v>1</v>
      </c>
      <c r="M25" s="17">
        <f t="shared" si="22"/>
        <v>14</v>
      </c>
      <c r="N25" s="17">
        <f t="shared" si="22"/>
        <v>14</v>
      </c>
      <c r="O25" s="16">
        <v>5</v>
      </c>
      <c r="P25" s="74">
        <f t="shared" si="26"/>
        <v>5</v>
      </c>
      <c r="Q25" s="28">
        <v>204.56</v>
      </c>
      <c r="R25" s="6">
        <f t="shared" si="6"/>
        <v>1022.8</v>
      </c>
      <c r="S25" s="19">
        <f t="shared" si="23"/>
        <v>9</v>
      </c>
      <c r="T25" s="19">
        <f t="shared" si="23"/>
        <v>9</v>
      </c>
      <c r="U25" s="1">
        <v>1</v>
      </c>
      <c r="V25" s="1"/>
    </row>
    <row r="26" spans="1:23" ht="42.75" customHeight="1" x14ac:dyDescent="0.25">
      <c r="A26" s="37" t="s">
        <v>179</v>
      </c>
      <c r="B26" s="38" t="s">
        <v>48</v>
      </c>
      <c r="C26" s="38" t="s">
        <v>49</v>
      </c>
      <c r="D26" s="37" t="s">
        <v>180</v>
      </c>
      <c r="E26" s="38" t="s">
        <v>9</v>
      </c>
      <c r="F26" s="38">
        <v>5</v>
      </c>
      <c r="G26" s="51" t="s">
        <v>47</v>
      </c>
      <c r="H26" s="56"/>
      <c r="I26" s="15">
        <v>3500</v>
      </c>
      <c r="J26" s="75">
        <f>ROUND(I26*1.6,0)</f>
        <v>5600</v>
      </c>
      <c r="K26" s="16">
        <v>200</v>
      </c>
      <c r="L26" s="75">
        <f>ROUND(K26*1.6,0)</f>
        <v>320</v>
      </c>
      <c r="M26" s="17">
        <f t="shared" si="22"/>
        <v>5900</v>
      </c>
      <c r="N26" s="17">
        <f t="shared" si="22"/>
        <v>9440</v>
      </c>
      <c r="O26" s="16">
        <v>3201</v>
      </c>
      <c r="P26" s="75">
        <f>ROUND(O26*1.6,0)</f>
        <v>5122</v>
      </c>
      <c r="Q26" s="28">
        <v>201.5</v>
      </c>
      <c r="R26" s="6">
        <f>Q26*P26+11.6</f>
        <v>1032094.6</v>
      </c>
      <c r="S26" s="19">
        <f>M26-O26</f>
        <v>2699</v>
      </c>
      <c r="T26" s="19">
        <f t="shared" si="23"/>
        <v>4318</v>
      </c>
      <c r="U26" s="1">
        <v>1</v>
      </c>
      <c r="V26" s="1"/>
    </row>
    <row r="27" spans="1:23" ht="46.5" customHeight="1" x14ac:dyDescent="0.25">
      <c r="A27" s="37">
        <v>19</v>
      </c>
      <c r="B27" s="38" t="s">
        <v>50</v>
      </c>
      <c r="C27" s="38" t="s">
        <v>51</v>
      </c>
      <c r="D27" s="37" t="s">
        <v>120</v>
      </c>
      <c r="E27" s="38" t="s">
        <v>9</v>
      </c>
      <c r="F27" s="38">
        <v>5</v>
      </c>
      <c r="G27" s="51" t="s">
        <v>52</v>
      </c>
      <c r="H27" s="56"/>
      <c r="I27" s="15">
        <v>186</v>
      </c>
      <c r="J27" s="74">
        <f t="shared" si="24"/>
        <v>186</v>
      </c>
      <c r="K27" s="16">
        <v>20</v>
      </c>
      <c r="L27" s="74">
        <f t="shared" si="25"/>
        <v>20</v>
      </c>
      <c r="M27" s="17">
        <f t="shared" si="22"/>
        <v>426</v>
      </c>
      <c r="N27" s="17">
        <f t="shared" si="22"/>
        <v>426</v>
      </c>
      <c r="O27" s="16">
        <v>100</v>
      </c>
      <c r="P27" s="74">
        <f t="shared" si="26"/>
        <v>100</v>
      </c>
      <c r="Q27" s="28">
        <v>259.44</v>
      </c>
      <c r="R27" s="6">
        <f t="shared" si="6"/>
        <v>25944</v>
      </c>
      <c r="S27" s="19">
        <f t="shared" si="23"/>
        <v>326</v>
      </c>
      <c r="T27" s="19">
        <f t="shared" si="23"/>
        <v>326</v>
      </c>
      <c r="U27" s="1">
        <v>1</v>
      </c>
      <c r="V27" s="1"/>
      <c r="W27" s="33" t="s">
        <v>109</v>
      </c>
    </row>
    <row r="28" spans="1:23" ht="46.5" customHeight="1" x14ac:dyDescent="0.25">
      <c r="A28" s="37">
        <v>20</v>
      </c>
      <c r="B28" s="38" t="s">
        <v>53</v>
      </c>
      <c r="C28" s="38" t="s">
        <v>51</v>
      </c>
      <c r="D28" s="37" t="s">
        <v>54</v>
      </c>
      <c r="E28" s="38" t="s">
        <v>9</v>
      </c>
      <c r="F28" s="38">
        <v>5</v>
      </c>
      <c r="G28" s="51" t="s">
        <v>55</v>
      </c>
      <c r="H28" s="56"/>
      <c r="I28" s="15">
        <v>52</v>
      </c>
      <c r="J28" s="74">
        <f t="shared" si="24"/>
        <v>52</v>
      </c>
      <c r="K28" s="16">
        <v>1.5</v>
      </c>
      <c r="L28" s="74">
        <f t="shared" si="25"/>
        <v>1.5</v>
      </c>
      <c r="M28" s="17">
        <f t="shared" si="22"/>
        <v>70</v>
      </c>
      <c r="N28" s="17">
        <f t="shared" si="22"/>
        <v>70</v>
      </c>
      <c r="O28" s="16">
        <v>10</v>
      </c>
      <c r="P28" s="74">
        <f t="shared" si="26"/>
        <v>10</v>
      </c>
      <c r="Q28" s="28">
        <v>1050</v>
      </c>
      <c r="R28" s="6">
        <f t="shared" si="6"/>
        <v>10500</v>
      </c>
      <c r="S28" s="19">
        <f t="shared" si="23"/>
        <v>60</v>
      </c>
      <c r="T28" s="19">
        <f t="shared" si="23"/>
        <v>60</v>
      </c>
      <c r="U28" s="1">
        <v>1</v>
      </c>
      <c r="V28" s="1"/>
    </row>
    <row r="29" spans="1:23" ht="36" customHeight="1" x14ac:dyDescent="0.25">
      <c r="A29" s="37">
        <v>21</v>
      </c>
      <c r="B29" s="38" t="s">
        <v>6</v>
      </c>
      <c r="C29" s="38" t="s">
        <v>56</v>
      </c>
      <c r="D29" s="37" t="s">
        <v>57</v>
      </c>
      <c r="E29" s="38" t="s">
        <v>9</v>
      </c>
      <c r="F29" s="38">
        <v>2</v>
      </c>
      <c r="G29" s="51" t="s">
        <v>10</v>
      </c>
      <c r="H29" s="56"/>
      <c r="I29" s="11">
        <v>0</v>
      </c>
      <c r="J29" s="74">
        <f t="shared" si="24"/>
        <v>0</v>
      </c>
      <c r="K29" s="12">
        <v>1</v>
      </c>
      <c r="L29" s="74">
        <f t="shared" si="25"/>
        <v>1</v>
      </c>
      <c r="M29" s="13">
        <f t="shared" si="22"/>
        <v>12</v>
      </c>
      <c r="N29" s="13">
        <f t="shared" si="22"/>
        <v>12</v>
      </c>
      <c r="O29" s="12">
        <v>6</v>
      </c>
      <c r="P29" s="74">
        <f t="shared" si="26"/>
        <v>6</v>
      </c>
      <c r="Q29" s="27">
        <v>14</v>
      </c>
      <c r="R29" s="4">
        <f t="shared" si="6"/>
        <v>84</v>
      </c>
      <c r="S29" s="18">
        <f t="shared" si="23"/>
        <v>6</v>
      </c>
      <c r="T29" s="18">
        <f t="shared" si="23"/>
        <v>6</v>
      </c>
      <c r="U29" s="1"/>
      <c r="V29" s="1">
        <v>1</v>
      </c>
    </row>
    <row r="30" spans="1:23" ht="21.75" customHeight="1" x14ac:dyDescent="0.25">
      <c r="A30" s="37">
        <v>22</v>
      </c>
      <c r="B30" s="38" t="s">
        <v>6</v>
      </c>
      <c r="C30" s="38" t="s">
        <v>58</v>
      </c>
      <c r="D30" s="37" t="s">
        <v>59</v>
      </c>
      <c r="E30" s="38" t="s">
        <v>9</v>
      </c>
      <c r="F30" s="38">
        <v>5</v>
      </c>
      <c r="G30" s="51" t="s">
        <v>10</v>
      </c>
      <c r="H30" s="56"/>
      <c r="I30" s="11">
        <v>0</v>
      </c>
      <c r="J30" s="74">
        <f t="shared" si="24"/>
        <v>0</v>
      </c>
      <c r="K30" s="12">
        <v>1</v>
      </c>
      <c r="L30" s="74">
        <f t="shared" si="25"/>
        <v>1</v>
      </c>
      <c r="M30" s="13">
        <f t="shared" si="22"/>
        <v>12</v>
      </c>
      <c r="N30" s="13">
        <f t="shared" si="22"/>
        <v>12</v>
      </c>
      <c r="O30" s="12">
        <v>6</v>
      </c>
      <c r="P30" s="74">
        <f t="shared" si="26"/>
        <v>6</v>
      </c>
      <c r="Q30" s="27">
        <v>871.2</v>
      </c>
      <c r="R30" s="4">
        <f t="shared" si="6"/>
        <v>5227.2000000000007</v>
      </c>
      <c r="S30" s="18">
        <f t="shared" si="23"/>
        <v>6</v>
      </c>
      <c r="T30" s="18">
        <f t="shared" si="23"/>
        <v>6</v>
      </c>
      <c r="U30" s="1"/>
      <c r="V30" s="1">
        <v>1</v>
      </c>
    </row>
    <row r="31" spans="1:23" ht="21.75" customHeight="1" x14ac:dyDescent="0.25">
      <c r="A31" s="37">
        <v>23</v>
      </c>
      <c r="B31" s="38" t="s">
        <v>60</v>
      </c>
      <c r="C31" s="38" t="s">
        <v>61</v>
      </c>
      <c r="D31" s="37" t="s">
        <v>62</v>
      </c>
      <c r="E31" s="38" t="s">
        <v>9</v>
      </c>
      <c r="F31" s="38">
        <v>3</v>
      </c>
      <c r="G31" s="51" t="s">
        <v>10</v>
      </c>
      <c r="H31" s="56"/>
      <c r="I31" s="11">
        <v>31</v>
      </c>
      <c r="J31" s="74">
        <f t="shared" si="24"/>
        <v>31</v>
      </c>
      <c r="K31" s="12">
        <v>38.666666666666664</v>
      </c>
      <c r="L31" s="74">
        <f t="shared" si="25"/>
        <v>38.666666666666664</v>
      </c>
      <c r="M31" s="13">
        <f t="shared" si="22"/>
        <v>495</v>
      </c>
      <c r="N31" s="13">
        <f t="shared" si="22"/>
        <v>495</v>
      </c>
      <c r="O31" s="12">
        <v>400</v>
      </c>
      <c r="P31" s="74">
        <f t="shared" si="26"/>
        <v>400</v>
      </c>
      <c r="Q31" s="27">
        <v>334</v>
      </c>
      <c r="R31" s="4">
        <f t="shared" si="6"/>
        <v>133600</v>
      </c>
      <c r="S31" s="18">
        <f t="shared" si="23"/>
        <v>95</v>
      </c>
      <c r="T31" s="18">
        <f t="shared" si="23"/>
        <v>95</v>
      </c>
      <c r="U31" s="1"/>
      <c r="V31" s="1">
        <v>1</v>
      </c>
    </row>
    <row r="32" spans="1:23" ht="32.25" customHeight="1" x14ac:dyDescent="0.25">
      <c r="A32" s="37">
        <v>24</v>
      </c>
      <c r="B32" s="38" t="s">
        <v>60</v>
      </c>
      <c r="C32" s="38" t="s">
        <v>61</v>
      </c>
      <c r="D32" s="37" t="s">
        <v>108</v>
      </c>
      <c r="E32" s="38" t="s">
        <v>9</v>
      </c>
      <c r="F32" s="38">
        <v>5</v>
      </c>
      <c r="G32" s="51" t="s">
        <v>10</v>
      </c>
      <c r="H32" s="56"/>
      <c r="I32" s="11">
        <v>0</v>
      </c>
      <c r="J32" s="74">
        <f t="shared" si="24"/>
        <v>0</v>
      </c>
      <c r="K32" s="12">
        <v>0</v>
      </c>
      <c r="L32" s="74">
        <f t="shared" si="25"/>
        <v>0</v>
      </c>
      <c r="M32" s="13">
        <f t="shared" si="22"/>
        <v>0</v>
      </c>
      <c r="N32" s="13">
        <f t="shared" si="22"/>
        <v>0</v>
      </c>
      <c r="O32" s="12">
        <v>0</v>
      </c>
      <c r="P32" s="74">
        <f t="shared" si="26"/>
        <v>0</v>
      </c>
      <c r="Q32" s="27">
        <v>725</v>
      </c>
      <c r="R32" s="4">
        <f t="shared" si="6"/>
        <v>0</v>
      </c>
      <c r="S32" s="18">
        <f t="shared" si="23"/>
        <v>0</v>
      </c>
      <c r="T32" s="18">
        <f t="shared" si="23"/>
        <v>0</v>
      </c>
      <c r="U32" s="1"/>
      <c r="V32" s="1">
        <v>1</v>
      </c>
      <c r="W32" s="33" t="s">
        <v>189</v>
      </c>
    </row>
    <row r="33" spans="1:23" ht="49.5" customHeight="1" x14ac:dyDescent="0.25">
      <c r="A33" s="37">
        <v>25</v>
      </c>
      <c r="B33" s="38" t="s">
        <v>60</v>
      </c>
      <c r="C33" s="38" t="s">
        <v>61</v>
      </c>
      <c r="D33" s="37" t="s">
        <v>63</v>
      </c>
      <c r="E33" s="38" t="s">
        <v>9</v>
      </c>
      <c r="F33" s="38">
        <v>3</v>
      </c>
      <c r="G33" s="51" t="s">
        <v>64</v>
      </c>
      <c r="H33" s="56"/>
      <c r="I33" s="11">
        <v>1</v>
      </c>
      <c r="J33" s="74">
        <f t="shared" si="24"/>
        <v>1</v>
      </c>
      <c r="K33" s="12">
        <v>6.333333333333333</v>
      </c>
      <c r="L33" s="74">
        <f t="shared" si="25"/>
        <v>6.333333333333333</v>
      </c>
      <c r="M33" s="13">
        <f t="shared" si="22"/>
        <v>77</v>
      </c>
      <c r="N33" s="13">
        <f t="shared" si="22"/>
        <v>77</v>
      </c>
      <c r="O33" s="12">
        <v>35</v>
      </c>
      <c r="P33" s="74">
        <f t="shared" si="26"/>
        <v>35</v>
      </c>
      <c r="Q33" s="27">
        <v>145.19999999999999</v>
      </c>
      <c r="R33" s="4">
        <f t="shared" si="6"/>
        <v>5082</v>
      </c>
      <c r="S33" s="18">
        <f t="shared" si="23"/>
        <v>42</v>
      </c>
      <c r="T33" s="18">
        <f t="shared" si="23"/>
        <v>42</v>
      </c>
      <c r="U33" s="1"/>
      <c r="V33" s="1">
        <v>1</v>
      </c>
    </row>
    <row r="34" spans="1:23" ht="25.5" customHeight="1" x14ac:dyDescent="0.25">
      <c r="A34" s="37">
        <v>26</v>
      </c>
      <c r="B34" s="38" t="s">
        <v>147</v>
      </c>
      <c r="C34" s="38" t="s">
        <v>65</v>
      </c>
      <c r="D34" s="37" t="s">
        <v>66</v>
      </c>
      <c r="E34" s="38" t="s">
        <v>9</v>
      </c>
      <c r="F34" s="38">
        <v>5</v>
      </c>
      <c r="G34" s="51" t="s">
        <v>110</v>
      </c>
      <c r="H34" s="56"/>
      <c r="I34" s="11">
        <v>0</v>
      </c>
      <c r="J34" s="74">
        <f t="shared" si="24"/>
        <v>0</v>
      </c>
      <c r="K34" s="12">
        <v>0</v>
      </c>
      <c r="L34" s="74">
        <f t="shared" si="25"/>
        <v>0</v>
      </c>
      <c r="M34" s="13">
        <f t="shared" si="22"/>
        <v>0</v>
      </c>
      <c r="N34" s="13">
        <f t="shared" si="22"/>
        <v>0</v>
      </c>
      <c r="O34" s="12">
        <v>0</v>
      </c>
      <c r="P34" s="74">
        <f t="shared" si="26"/>
        <v>0</v>
      </c>
      <c r="Q34" s="27">
        <f>575/3</f>
        <v>191.66666666666666</v>
      </c>
      <c r="R34" s="4">
        <f t="shared" si="6"/>
        <v>0</v>
      </c>
      <c r="S34" s="18">
        <f t="shared" si="23"/>
        <v>0</v>
      </c>
      <c r="T34" s="18">
        <f t="shared" si="23"/>
        <v>0</v>
      </c>
      <c r="U34" s="1"/>
      <c r="V34" s="1">
        <v>1</v>
      </c>
      <c r="W34" s="33" t="s">
        <v>126</v>
      </c>
    </row>
    <row r="35" spans="1:23" ht="60.75" customHeight="1" x14ac:dyDescent="0.25">
      <c r="A35" s="37">
        <v>27</v>
      </c>
      <c r="B35" s="38" t="s">
        <v>181</v>
      </c>
      <c r="C35" s="38" t="s">
        <v>67</v>
      </c>
      <c r="D35" s="37" t="s">
        <v>68</v>
      </c>
      <c r="E35" s="38" t="s">
        <v>9</v>
      </c>
      <c r="F35" s="38">
        <v>3</v>
      </c>
      <c r="G35" s="51" t="s">
        <v>69</v>
      </c>
      <c r="H35" s="56"/>
      <c r="I35" s="15">
        <v>227</v>
      </c>
      <c r="J35" s="74">
        <f t="shared" si="24"/>
        <v>227</v>
      </c>
      <c r="K35" s="16">
        <v>10</v>
      </c>
      <c r="L35" s="74">
        <f t="shared" si="25"/>
        <v>10</v>
      </c>
      <c r="M35" s="17">
        <f t="shared" si="22"/>
        <v>347</v>
      </c>
      <c r="N35" s="17">
        <f t="shared" si="22"/>
        <v>347</v>
      </c>
      <c r="O35" s="16">
        <v>100</v>
      </c>
      <c r="P35" s="74">
        <f t="shared" si="26"/>
        <v>100</v>
      </c>
      <c r="Q35" s="28">
        <v>484.78</v>
      </c>
      <c r="R35" s="22">
        <f t="shared" si="6"/>
        <v>48478</v>
      </c>
      <c r="S35" s="19">
        <f t="shared" si="23"/>
        <v>247</v>
      </c>
      <c r="T35" s="19">
        <f t="shared" si="23"/>
        <v>247</v>
      </c>
      <c r="U35" s="1">
        <v>1</v>
      </c>
      <c r="V35" s="1"/>
    </row>
    <row r="36" spans="1:23" x14ac:dyDescent="0.25">
      <c r="A36" s="37">
        <v>28</v>
      </c>
      <c r="B36" s="38" t="s">
        <v>70</v>
      </c>
      <c r="C36" s="38" t="s">
        <v>121</v>
      </c>
      <c r="D36" s="37" t="s">
        <v>122</v>
      </c>
      <c r="E36" s="38" t="s">
        <v>9</v>
      </c>
      <c r="F36" s="38">
        <v>5</v>
      </c>
      <c r="G36" s="51" t="s">
        <v>47</v>
      </c>
      <c r="H36" s="56"/>
      <c r="I36" s="15">
        <v>0</v>
      </c>
      <c r="J36" s="74">
        <f t="shared" si="24"/>
        <v>0</v>
      </c>
      <c r="K36" s="16">
        <v>0</v>
      </c>
      <c r="L36" s="74">
        <f t="shared" si="25"/>
        <v>0</v>
      </c>
      <c r="M36" s="17">
        <f t="shared" ref="M36:N46" si="27">I36+(K36*12)</f>
        <v>0</v>
      </c>
      <c r="N36" s="17">
        <f t="shared" si="27"/>
        <v>0</v>
      </c>
      <c r="O36" s="16">
        <v>0</v>
      </c>
      <c r="P36" s="74">
        <f t="shared" si="26"/>
        <v>0</v>
      </c>
      <c r="Q36" s="28">
        <v>124.22</v>
      </c>
      <c r="R36" s="22">
        <f t="shared" si="6"/>
        <v>0</v>
      </c>
      <c r="S36" s="19">
        <f t="shared" ref="S36:T46" si="28">M36-O36</f>
        <v>0</v>
      </c>
      <c r="T36" s="19">
        <f t="shared" si="28"/>
        <v>0</v>
      </c>
      <c r="U36" s="1">
        <v>1</v>
      </c>
      <c r="V36" s="1"/>
      <c r="W36" s="33" t="s">
        <v>126</v>
      </c>
    </row>
    <row r="37" spans="1:23" ht="40.5" customHeight="1" x14ac:dyDescent="0.25">
      <c r="A37" s="37">
        <v>29</v>
      </c>
      <c r="B37" s="59" t="s">
        <v>71</v>
      </c>
      <c r="C37" s="59" t="s">
        <v>72</v>
      </c>
      <c r="D37" s="58" t="s">
        <v>73</v>
      </c>
      <c r="E37" s="59" t="s">
        <v>9</v>
      </c>
      <c r="F37" s="59">
        <v>5</v>
      </c>
      <c r="G37" s="61" t="s">
        <v>74</v>
      </c>
      <c r="H37" s="57"/>
      <c r="I37" s="15">
        <v>0</v>
      </c>
      <c r="J37" s="74">
        <f t="shared" si="24"/>
        <v>0</v>
      </c>
      <c r="K37" s="16">
        <v>10</v>
      </c>
      <c r="L37" s="74">
        <f t="shared" si="25"/>
        <v>10</v>
      </c>
      <c r="M37" s="17">
        <f t="shared" si="27"/>
        <v>120</v>
      </c>
      <c r="N37" s="17">
        <f t="shared" si="27"/>
        <v>120</v>
      </c>
      <c r="O37" s="16">
        <v>60</v>
      </c>
      <c r="P37" s="74">
        <f t="shared" si="26"/>
        <v>60</v>
      </c>
      <c r="Q37" s="28">
        <v>417.36</v>
      </c>
      <c r="R37" s="23">
        <f t="shared" si="6"/>
        <v>25041.600000000002</v>
      </c>
      <c r="S37" s="18">
        <f t="shared" si="28"/>
        <v>60</v>
      </c>
      <c r="T37" s="18">
        <f t="shared" si="28"/>
        <v>60</v>
      </c>
      <c r="U37" s="24">
        <v>1</v>
      </c>
      <c r="V37" s="24"/>
      <c r="W37" s="32"/>
    </row>
    <row r="38" spans="1:23" ht="117" customHeight="1" x14ac:dyDescent="0.25">
      <c r="A38" s="59">
        <v>30</v>
      </c>
      <c r="B38" s="59" t="s">
        <v>71</v>
      </c>
      <c r="C38" s="59" t="s">
        <v>72</v>
      </c>
      <c r="D38" s="58" t="s">
        <v>75</v>
      </c>
      <c r="E38" s="59" t="s">
        <v>9</v>
      </c>
      <c r="F38" s="59">
        <v>5</v>
      </c>
      <c r="G38" s="61" t="s">
        <v>76</v>
      </c>
      <c r="H38" s="57"/>
      <c r="I38" s="15">
        <v>0</v>
      </c>
      <c r="J38" s="74">
        <f t="shared" si="24"/>
        <v>0</v>
      </c>
      <c r="K38" s="16">
        <v>0</v>
      </c>
      <c r="L38" s="74">
        <f t="shared" si="25"/>
        <v>0</v>
      </c>
      <c r="M38" s="17">
        <f t="shared" si="27"/>
        <v>0</v>
      </c>
      <c r="N38" s="17">
        <f>J38+(L38*12)</f>
        <v>0</v>
      </c>
      <c r="O38" s="16">
        <v>0</v>
      </c>
      <c r="P38" s="74">
        <f t="shared" si="26"/>
        <v>0</v>
      </c>
      <c r="Q38" s="28">
        <v>347.92</v>
      </c>
      <c r="R38" s="23">
        <f t="shared" si="6"/>
        <v>0</v>
      </c>
      <c r="S38" s="18">
        <f t="shared" si="28"/>
        <v>0</v>
      </c>
      <c r="T38" s="18">
        <f t="shared" si="28"/>
        <v>0</v>
      </c>
      <c r="U38" s="24">
        <v>1</v>
      </c>
      <c r="V38" s="24"/>
      <c r="W38" s="32" t="s">
        <v>126</v>
      </c>
    </row>
    <row r="39" spans="1:23" ht="42.75" customHeight="1" x14ac:dyDescent="0.25">
      <c r="A39" s="37">
        <v>31</v>
      </c>
      <c r="B39" s="38" t="s">
        <v>77</v>
      </c>
      <c r="C39" s="38" t="s">
        <v>78</v>
      </c>
      <c r="D39" s="37" t="s">
        <v>99</v>
      </c>
      <c r="E39" s="38" t="s">
        <v>9</v>
      </c>
      <c r="F39" s="38">
        <v>2</v>
      </c>
      <c r="G39" s="51" t="s">
        <v>10</v>
      </c>
      <c r="H39" s="56"/>
      <c r="I39" s="11">
        <v>31</v>
      </c>
      <c r="J39" s="74">
        <f t="shared" si="24"/>
        <v>31</v>
      </c>
      <c r="K39" s="12">
        <v>23</v>
      </c>
      <c r="L39" s="74">
        <f t="shared" si="25"/>
        <v>23</v>
      </c>
      <c r="M39" s="13">
        <f t="shared" si="27"/>
        <v>307</v>
      </c>
      <c r="N39" s="13">
        <f t="shared" si="27"/>
        <v>307</v>
      </c>
      <c r="O39" s="12">
        <v>199</v>
      </c>
      <c r="P39" s="74">
        <f t="shared" si="26"/>
        <v>199</v>
      </c>
      <c r="Q39" s="27">
        <v>70.41</v>
      </c>
      <c r="R39" s="23">
        <f t="shared" si="6"/>
        <v>14011.59</v>
      </c>
      <c r="S39" s="18">
        <f t="shared" si="28"/>
        <v>108</v>
      </c>
      <c r="T39" s="18">
        <f t="shared" si="28"/>
        <v>108</v>
      </c>
      <c r="U39" s="1"/>
      <c r="V39" s="1">
        <v>1</v>
      </c>
      <c r="W39" s="33" t="s">
        <v>111</v>
      </c>
    </row>
    <row r="40" spans="1:23" ht="20.25" customHeight="1" x14ac:dyDescent="0.25">
      <c r="A40" s="37">
        <v>32</v>
      </c>
      <c r="B40" s="38" t="s">
        <v>148</v>
      </c>
      <c r="C40" s="38" t="s">
        <v>79</v>
      </c>
      <c r="D40" s="37" t="s">
        <v>80</v>
      </c>
      <c r="E40" s="38" t="s">
        <v>9</v>
      </c>
      <c r="F40" s="38">
        <v>5</v>
      </c>
      <c r="G40" s="51" t="s">
        <v>110</v>
      </c>
      <c r="H40" s="56"/>
      <c r="I40" s="11">
        <v>0</v>
      </c>
      <c r="J40" s="74">
        <f t="shared" si="24"/>
        <v>0</v>
      </c>
      <c r="K40" s="12">
        <v>0</v>
      </c>
      <c r="L40" s="74">
        <f t="shared" si="25"/>
        <v>0</v>
      </c>
      <c r="M40" s="13">
        <f t="shared" si="27"/>
        <v>0</v>
      </c>
      <c r="N40" s="13">
        <f t="shared" si="27"/>
        <v>0</v>
      </c>
      <c r="O40" s="12">
        <v>0</v>
      </c>
      <c r="P40" s="74">
        <f t="shared" si="26"/>
        <v>0</v>
      </c>
      <c r="Q40" s="27">
        <v>2500</v>
      </c>
      <c r="R40" s="4">
        <f t="shared" si="6"/>
        <v>0</v>
      </c>
      <c r="S40" s="18">
        <f t="shared" si="28"/>
        <v>0</v>
      </c>
      <c r="T40" s="18">
        <f t="shared" si="28"/>
        <v>0</v>
      </c>
      <c r="U40" s="1"/>
      <c r="V40" s="1">
        <v>1</v>
      </c>
      <c r="W40" s="33" t="s">
        <v>126</v>
      </c>
    </row>
    <row r="41" spans="1:23" ht="22.5" customHeight="1" x14ac:dyDescent="0.25">
      <c r="A41" s="37">
        <v>33</v>
      </c>
      <c r="B41" s="38" t="s">
        <v>6</v>
      </c>
      <c r="C41" s="38" t="s">
        <v>81</v>
      </c>
      <c r="D41" s="37" t="s">
        <v>82</v>
      </c>
      <c r="E41" s="38" t="s">
        <v>9</v>
      </c>
      <c r="F41" s="38">
        <v>7</v>
      </c>
      <c r="G41" s="51" t="s">
        <v>112</v>
      </c>
      <c r="H41" s="56"/>
      <c r="I41" s="11">
        <v>0</v>
      </c>
      <c r="J41" s="74">
        <f t="shared" si="24"/>
        <v>0</v>
      </c>
      <c r="K41" s="12">
        <v>0</v>
      </c>
      <c r="L41" s="74">
        <f t="shared" si="25"/>
        <v>0</v>
      </c>
      <c r="M41" s="13">
        <f t="shared" si="27"/>
        <v>0</v>
      </c>
      <c r="N41" s="13">
        <f t="shared" si="27"/>
        <v>0</v>
      </c>
      <c r="O41" s="12">
        <v>0</v>
      </c>
      <c r="P41" s="74">
        <f t="shared" si="26"/>
        <v>0</v>
      </c>
      <c r="Q41" s="27">
        <v>2500</v>
      </c>
      <c r="R41" s="4">
        <f t="shared" si="6"/>
        <v>0</v>
      </c>
      <c r="S41" s="18">
        <f t="shared" si="28"/>
        <v>0</v>
      </c>
      <c r="T41" s="18">
        <f t="shared" si="28"/>
        <v>0</v>
      </c>
      <c r="U41" s="1"/>
      <c r="V41" s="1">
        <v>1</v>
      </c>
      <c r="W41" s="33" t="s">
        <v>126</v>
      </c>
    </row>
    <row r="42" spans="1:23" ht="30" customHeight="1" x14ac:dyDescent="0.25">
      <c r="A42" s="37">
        <v>34</v>
      </c>
      <c r="B42" s="38" t="s">
        <v>77</v>
      </c>
      <c r="C42" s="38" t="s">
        <v>78</v>
      </c>
      <c r="D42" s="37" t="s">
        <v>83</v>
      </c>
      <c r="E42" s="38" t="s">
        <v>9</v>
      </c>
      <c r="F42" s="38">
        <v>5</v>
      </c>
      <c r="G42" s="51" t="s">
        <v>74</v>
      </c>
      <c r="H42" s="56"/>
      <c r="I42" s="11">
        <v>231</v>
      </c>
      <c r="J42" s="74">
        <f t="shared" si="24"/>
        <v>231</v>
      </c>
      <c r="K42" s="12">
        <v>10</v>
      </c>
      <c r="L42" s="74">
        <f t="shared" si="25"/>
        <v>10</v>
      </c>
      <c r="M42" s="13">
        <f>I42+(K42*12)</f>
        <v>351</v>
      </c>
      <c r="N42" s="13">
        <f t="shared" si="27"/>
        <v>351</v>
      </c>
      <c r="O42" s="12">
        <v>101</v>
      </c>
      <c r="P42" s="74">
        <f t="shared" si="26"/>
        <v>101</v>
      </c>
      <c r="Q42" s="27">
        <v>70</v>
      </c>
      <c r="R42" s="4">
        <f t="shared" si="6"/>
        <v>7070</v>
      </c>
      <c r="S42" s="18">
        <f>M42-O42</f>
        <v>250</v>
      </c>
      <c r="T42" s="18">
        <f t="shared" si="28"/>
        <v>250</v>
      </c>
      <c r="U42" s="1">
        <v>1</v>
      </c>
      <c r="V42" s="1"/>
    </row>
    <row r="43" spans="1:23" ht="30" customHeight="1" x14ac:dyDescent="0.25">
      <c r="A43" s="37">
        <v>35</v>
      </c>
      <c r="B43" s="38" t="s">
        <v>182</v>
      </c>
      <c r="C43" s="38" t="s">
        <v>183</v>
      </c>
      <c r="D43" s="37" t="s">
        <v>184</v>
      </c>
      <c r="E43" s="38" t="s">
        <v>9</v>
      </c>
      <c r="F43" s="38">
        <v>5</v>
      </c>
      <c r="G43" s="51" t="s">
        <v>185</v>
      </c>
      <c r="H43" s="56"/>
      <c r="I43" s="11">
        <v>0</v>
      </c>
      <c r="J43" s="74">
        <f t="shared" si="24"/>
        <v>0</v>
      </c>
      <c r="K43" s="12">
        <v>15</v>
      </c>
      <c r="L43" s="74">
        <f t="shared" si="25"/>
        <v>15</v>
      </c>
      <c r="M43" s="13">
        <f>I43+(K43*12)</f>
        <v>180</v>
      </c>
      <c r="N43" s="13">
        <f t="shared" si="27"/>
        <v>180</v>
      </c>
      <c r="O43" s="12">
        <v>90</v>
      </c>
      <c r="P43" s="74">
        <f t="shared" si="26"/>
        <v>90</v>
      </c>
      <c r="Q43" s="27">
        <v>187</v>
      </c>
      <c r="R43" s="4">
        <f>Q43*P43</f>
        <v>16830</v>
      </c>
      <c r="S43" s="18">
        <f>M43-O43</f>
        <v>90</v>
      </c>
      <c r="T43" s="18">
        <f t="shared" si="28"/>
        <v>90</v>
      </c>
      <c r="U43" s="1"/>
      <c r="V43" s="1"/>
    </row>
    <row r="44" spans="1:23" ht="63.75" customHeight="1" x14ac:dyDescent="0.25">
      <c r="A44" s="37">
        <v>36</v>
      </c>
      <c r="B44" s="38" t="s">
        <v>84</v>
      </c>
      <c r="C44" s="38" t="s">
        <v>79</v>
      </c>
      <c r="D44" s="37" t="s">
        <v>85</v>
      </c>
      <c r="E44" s="38" t="s">
        <v>9</v>
      </c>
      <c r="F44" s="38">
        <v>5</v>
      </c>
      <c r="G44" s="51" t="s">
        <v>86</v>
      </c>
      <c r="H44" s="56"/>
      <c r="I44" s="11">
        <v>5</v>
      </c>
      <c r="J44" s="74">
        <f t="shared" si="24"/>
        <v>5</v>
      </c>
      <c r="K44" s="12">
        <v>5</v>
      </c>
      <c r="L44" s="74">
        <f t="shared" si="25"/>
        <v>5</v>
      </c>
      <c r="M44" s="13">
        <f t="shared" si="27"/>
        <v>65</v>
      </c>
      <c r="N44" s="13">
        <f t="shared" si="27"/>
        <v>65</v>
      </c>
      <c r="O44" s="12">
        <v>30</v>
      </c>
      <c r="P44" s="74">
        <f t="shared" si="26"/>
        <v>30</v>
      </c>
      <c r="Q44" s="27">
        <v>154.88</v>
      </c>
      <c r="R44" s="4">
        <f t="shared" si="6"/>
        <v>4646.3999999999996</v>
      </c>
      <c r="S44" s="18">
        <f t="shared" si="28"/>
        <v>35</v>
      </c>
      <c r="T44" s="18">
        <f t="shared" si="28"/>
        <v>35</v>
      </c>
      <c r="U44" s="1"/>
      <c r="V44" s="1">
        <v>1</v>
      </c>
    </row>
    <row r="45" spans="1:23" ht="53.25" customHeight="1" x14ac:dyDescent="0.25">
      <c r="A45" s="60">
        <v>37</v>
      </c>
      <c r="B45" s="59" t="s">
        <v>87</v>
      </c>
      <c r="C45" s="59" t="s">
        <v>88</v>
      </c>
      <c r="D45" s="58" t="s">
        <v>89</v>
      </c>
      <c r="E45" s="59" t="s">
        <v>9</v>
      </c>
      <c r="F45" s="59">
        <v>5</v>
      </c>
      <c r="G45" s="61" t="s">
        <v>10</v>
      </c>
      <c r="H45" s="57"/>
      <c r="I45" s="11">
        <v>1</v>
      </c>
      <c r="J45" s="74">
        <f t="shared" si="24"/>
        <v>1</v>
      </c>
      <c r="K45" s="12">
        <v>6.333333333333333</v>
      </c>
      <c r="L45" s="74">
        <f t="shared" si="25"/>
        <v>6.333333333333333</v>
      </c>
      <c r="M45" s="13">
        <f t="shared" si="27"/>
        <v>77</v>
      </c>
      <c r="N45" s="13">
        <f t="shared" si="27"/>
        <v>77</v>
      </c>
      <c r="O45" s="12">
        <v>14</v>
      </c>
      <c r="P45" s="74">
        <f t="shared" si="26"/>
        <v>14</v>
      </c>
      <c r="Q45" s="27">
        <v>1269.29</v>
      </c>
      <c r="R45" s="4">
        <f t="shared" si="6"/>
        <v>17770.059999999998</v>
      </c>
      <c r="S45" s="18">
        <f t="shared" si="28"/>
        <v>63</v>
      </c>
      <c r="T45" s="18">
        <f t="shared" si="28"/>
        <v>63</v>
      </c>
      <c r="U45" s="1"/>
      <c r="V45" s="1">
        <v>1</v>
      </c>
    </row>
    <row r="46" spans="1:23" x14ac:dyDescent="0.25">
      <c r="A46" s="37">
        <v>38</v>
      </c>
      <c r="B46" s="38" t="s">
        <v>87</v>
      </c>
      <c r="C46" s="38" t="s">
        <v>90</v>
      </c>
      <c r="D46" s="37" t="s">
        <v>113</v>
      </c>
      <c r="E46" s="38" t="s">
        <v>9</v>
      </c>
      <c r="F46" s="38">
        <v>5</v>
      </c>
      <c r="G46" s="51" t="s">
        <v>10</v>
      </c>
      <c r="H46" s="56"/>
      <c r="I46" s="11">
        <v>0</v>
      </c>
      <c r="J46" s="74">
        <f t="shared" si="24"/>
        <v>0</v>
      </c>
      <c r="K46" s="12">
        <v>9.6666666666666661</v>
      </c>
      <c r="L46" s="74">
        <f t="shared" si="25"/>
        <v>9.6666666666666661</v>
      </c>
      <c r="M46" s="13">
        <f t="shared" si="27"/>
        <v>116</v>
      </c>
      <c r="N46" s="13">
        <f t="shared" si="27"/>
        <v>116</v>
      </c>
      <c r="O46" s="12">
        <v>21</v>
      </c>
      <c r="P46" s="74">
        <f t="shared" si="26"/>
        <v>21</v>
      </c>
      <c r="Q46" s="27">
        <v>500</v>
      </c>
      <c r="R46" s="4">
        <f t="shared" si="6"/>
        <v>10500</v>
      </c>
      <c r="S46" s="18">
        <f t="shared" si="28"/>
        <v>95</v>
      </c>
      <c r="T46" s="18">
        <f t="shared" si="28"/>
        <v>95</v>
      </c>
      <c r="U46" s="1"/>
      <c r="V46" s="1">
        <v>1</v>
      </c>
      <c r="W46" s="33" t="s">
        <v>109</v>
      </c>
    </row>
    <row r="47" spans="1:23" ht="20.25" customHeight="1" x14ac:dyDescent="0.25">
      <c r="A47" s="48"/>
      <c r="B47" s="49"/>
      <c r="C47" s="50">
        <v>27</v>
      </c>
      <c r="D47" s="91" t="s">
        <v>91</v>
      </c>
      <c r="E47" s="91"/>
      <c r="F47" s="91"/>
      <c r="G47" s="91"/>
      <c r="H47" s="137"/>
      <c r="I47" s="10">
        <f>I48+I49</f>
        <v>13</v>
      </c>
      <c r="J47" s="10">
        <f t="shared" ref="J47" si="29">J48+J49</f>
        <v>13</v>
      </c>
      <c r="K47" s="10">
        <f t="shared" ref="K47:R47" si="30">K48+K49</f>
        <v>13</v>
      </c>
      <c r="L47" s="10">
        <f t="shared" si="30"/>
        <v>13</v>
      </c>
      <c r="M47" s="10">
        <f t="shared" si="30"/>
        <v>169</v>
      </c>
      <c r="N47" s="10">
        <f t="shared" si="30"/>
        <v>169</v>
      </c>
      <c r="O47" s="10">
        <f t="shared" si="30"/>
        <v>78</v>
      </c>
      <c r="P47" s="10">
        <f t="shared" si="30"/>
        <v>78</v>
      </c>
      <c r="Q47" s="25" t="s">
        <v>119</v>
      </c>
      <c r="R47" s="3">
        <f t="shared" si="30"/>
        <v>6521.9</v>
      </c>
      <c r="S47" s="10">
        <f>S48+S49</f>
        <v>91</v>
      </c>
      <c r="T47" s="10">
        <f>T48+T49</f>
        <v>91</v>
      </c>
      <c r="U47" s="8"/>
      <c r="V47" s="8">
        <v>1</v>
      </c>
    </row>
    <row r="48" spans="1:23" ht="30" x14ac:dyDescent="0.25">
      <c r="A48" s="37">
        <v>39</v>
      </c>
      <c r="B48" s="38" t="s">
        <v>6</v>
      </c>
      <c r="C48" s="38" t="s">
        <v>92</v>
      </c>
      <c r="D48" s="37" t="s">
        <v>93</v>
      </c>
      <c r="E48" s="38" t="s">
        <v>9</v>
      </c>
      <c r="F48" s="38">
        <v>3</v>
      </c>
      <c r="G48" s="51" t="s">
        <v>10</v>
      </c>
      <c r="H48" s="56"/>
      <c r="I48" s="11">
        <v>11</v>
      </c>
      <c r="J48" s="74">
        <f t="shared" si="24"/>
        <v>11</v>
      </c>
      <c r="K48" s="12">
        <v>9</v>
      </c>
      <c r="L48" s="74">
        <f t="shared" si="25"/>
        <v>9</v>
      </c>
      <c r="M48" s="13">
        <f t="shared" ref="M48:N49" si="31">I48+(K48*12)</f>
        <v>119</v>
      </c>
      <c r="N48" s="13">
        <f t="shared" si="31"/>
        <v>119</v>
      </c>
      <c r="O48" s="12">
        <v>55</v>
      </c>
      <c r="P48" s="74">
        <f t="shared" si="26"/>
        <v>55</v>
      </c>
      <c r="Q48" s="27">
        <v>35.090000000000003</v>
      </c>
      <c r="R48" s="4">
        <f t="shared" si="6"/>
        <v>1929.9500000000003</v>
      </c>
      <c r="S48" s="18">
        <f t="shared" ref="S48:T49" si="32">M48-O48</f>
        <v>64</v>
      </c>
      <c r="T48" s="18">
        <f t="shared" si="32"/>
        <v>64</v>
      </c>
      <c r="U48" s="1"/>
      <c r="V48" s="1">
        <v>1</v>
      </c>
    </row>
    <row r="49" spans="1:23" x14ac:dyDescent="0.25">
      <c r="A49" s="37">
        <v>40</v>
      </c>
      <c r="B49" s="38" t="s">
        <v>6</v>
      </c>
      <c r="C49" s="38" t="s">
        <v>94</v>
      </c>
      <c r="D49" s="37" t="s">
        <v>95</v>
      </c>
      <c r="E49" s="38" t="s">
        <v>9</v>
      </c>
      <c r="F49" s="38">
        <v>5</v>
      </c>
      <c r="G49" s="51" t="s">
        <v>10</v>
      </c>
      <c r="H49" s="56"/>
      <c r="I49" s="11">
        <v>2</v>
      </c>
      <c r="J49" s="74">
        <f t="shared" si="24"/>
        <v>2</v>
      </c>
      <c r="K49" s="12">
        <v>4</v>
      </c>
      <c r="L49" s="74">
        <f t="shared" si="25"/>
        <v>4</v>
      </c>
      <c r="M49" s="13">
        <f t="shared" si="31"/>
        <v>50</v>
      </c>
      <c r="N49" s="13">
        <f t="shared" si="31"/>
        <v>50</v>
      </c>
      <c r="O49" s="12">
        <v>23</v>
      </c>
      <c r="P49" s="74">
        <f t="shared" si="26"/>
        <v>23</v>
      </c>
      <c r="Q49" s="27">
        <v>199.65</v>
      </c>
      <c r="R49" s="4">
        <f t="shared" si="6"/>
        <v>4591.95</v>
      </c>
      <c r="S49" s="18">
        <f t="shared" si="32"/>
        <v>27</v>
      </c>
      <c r="T49" s="18">
        <f t="shared" si="32"/>
        <v>27</v>
      </c>
      <c r="U49" s="1"/>
      <c r="V49" s="1">
        <v>1</v>
      </c>
    </row>
    <row r="50" spans="1:23" x14ac:dyDescent="0.25">
      <c r="I50" s="20">
        <f t="shared" ref="I50:P50" si="33">I6+I11+I13+I16+I19+I47</f>
        <v>4481</v>
      </c>
      <c r="J50" s="20">
        <f t="shared" si="33"/>
        <v>6581</v>
      </c>
      <c r="K50" s="20">
        <f t="shared" si="33"/>
        <v>573.33333333333326</v>
      </c>
      <c r="L50" s="20">
        <f t="shared" si="33"/>
        <v>693.33333333333326</v>
      </c>
      <c r="M50" s="20">
        <f t="shared" si="33"/>
        <v>11361</v>
      </c>
      <c r="N50" s="20">
        <f t="shared" si="33"/>
        <v>14901</v>
      </c>
      <c r="O50" s="20">
        <f t="shared" si="33"/>
        <v>6066</v>
      </c>
      <c r="P50" s="20">
        <f t="shared" si="33"/>
        <v>7987</v>
      </c>
      <c r="Q50" s="26" t="s">
        <v>119</v>
      </c>
      <c r="R50" s="20">
        <f>R6+R11+R13+R16+R19+R47</f>
        <v>1894718</v>
      </c>
      <c r="S50" s="20">
        <f>S6+S11+S13+S16+S19+S47</f>
        <v>5295</v>
      </c>
      <c r="T50" s="20">
        <f>T6+T11+T13+T16+T19+T47</f>
        <v>6914</v>
      </c>
    </row>
    <row r="51" spans="1:23" x14ac:dyDescent="0.25">
      <c r="I51" s="21">
        <f>I25+I26+I27+I28+I35+I36+I37+I38+I42+I43</f>
        <v>4198</v>
      </c>
      <c r="J51" s="21">
        <f t="shared" ref="J51:P51" si="34">J25+J26+J27+J28+J35+J36+J37+J38+J42+J43</f>
        <v>6298</v>
      </c>
      <c r="K51" s="21">
        <f t="shared" si="34"/>
        <v>267.5</v>
      </c>
      <c r="L51" s="21">
        <f t="shared" si="34"/>
        <v>387.5</v>
      </c>
      <c r="M51" s="21">
        <f t="shared" si="34"/>
        <v>7408</v>
      </c>
      <c r="N51" s="21">
        <f t="shared" si="34"/>
        <v>10948</v>
      </c>
      <c r="O51" s="21">
        <f t="shared" si="34"/>
        <v>3667</v>
      </c>
      <c r="P51" s="21">
        <f t="shared" si="34"/>
        <v>5588</v>
      </c>
      <c r="Q51" s="21"/>
      <c r="R51" s="21">
        <f>R25+R26+R27+R28+R35+R36+R37+R38+R42+R43</f>
        <v>1166981</v>
      </c>
      <c r="S51" s="21">
        <f>S25+S26+S27+S28+S35+S36+S37+S38+S42+S43</f>
        <v>3741</v>
      </c>
      <c r="T51" s="21">
        <f>T25+T26+T27+T28+T35+T36+T37+T38+T42+T43</f>
        <v>5360</v>
      </c>
    </row>
    <row r="52" spans="1:23" x14ac:dyDescent="0.25">
      <c r="P52" s="89" t="s">
        <v>131</v>
      </c>
      <c r="Q52" s="90" t="s">
        <v>131</v>
      </c>
      <c r="R52" s="21">
        <v>1166981</v>
      </c>
    </row>
    <row r="53" spans="1:23" x14ac:dyDescent="0.25">
      <c r="P53" s="89" t="s">
        <v>132</v>
      </c>
      <c r="Q53" s="90" t="s">
        <v>132</v>
      </c>
      <c r="R53" s="21">
        <f>R51-R52</f>
        <v>0</v>
      </c>
    </row>
    <row r="55" spans="1:23" x14ac:dyDescent="0.25">
      <c r="I55" s="21">
        <f t="shared" ref="I55:P55" si="35">I7+I8+I9+I10+I12+I14+I15+I17+I18+I20+I21+I22+I23+I24+I29+I30+I31+I32+I33+I34+I39+I40+I41+I44+I46+I48+I49+I45</f>
        <v>283</v>
      </c>
      <c r="J55" s="21">
        <f t="shared" si="35"/>
        <v>283</v>
      </c>
      <c r="K55" s="21">
        <f t="shared" si="35"/>
        <v>305.83333333333331</v>
      </c>
      <c r="L55" s="21">
        <f t="shared" si="35"/>
        <v>305.83333333333331</v>
      </c>
      <c r="M55" s="21">
        <f t="shared" si="35"/>
        <v>3953</v>
      </c>
      <c r="N55" s="21">
        <f t="shared" si="35"/>
        <v>3953</v>
      </c>
      <c r="O55" s="21">
        <f t="shared" si="35"/>
        <v>2399</v>
      </c>
      <c r="P55" s="21">
        <f t="shared" si="35"/>
        <v>2399</v>
      </c>
      <c r="Q55" s="21"/>
      <c r="R55" s="21">
        <f>R7+R8+R9+R10+R12+R14+R15+R17+R18+R20+R21+R22+R23+R24+R29+R30+R31+R32+R33+R34+R39+R40+R41+R44+R46+R48+R49+R45</f>
        <v>727736.99999999977</v>
      </c>
      <c r="S55" s="21">
        <f>S7+S8+S9+S10+S12+S14+S15+S17+S18+S20+S21+S22+S23+S24+S29+S30+S31+S32+S33+S34+S39+S40+S41+S44+S46+S48+S49+S45</f>
        <v>1554</v>
      </c>
      <c r="T55" s="21">
        <f t="shared" ref="T55" si="36">T7+T8+T9+T10+T12+T14+T15+T17+T18+T20+T21+T22+T23+T24+T29+T30+T31+T32+T33+T34+T39+T40+T41+T44+T46+T48+T49+T45</f>
        <v>1554</v>
      </c>
      <c r="U55" s="21"/>
      <c r="V55" s="21"/>
      <c r="W55" s="21"/>
    </row>
    <row r="56" spans="1:23" x14ac:dyDescent="0.25">
      <c r="P56" s="89" t="s">
        <v>133</v>
      </c>
      <c r="Q56" s="90" t="s">
        <v>131</v>
      </c>
      <c r="R56" s="55">
        <v>727737</v>
      </c>
    </row>
    <row r="57" spans="1:23" x14ac:dyDescent="0.25">
      <c r="P57" s="89" t="s">
        <v>134</v>
      </c>
      <c r="Q57" s="90" t="s">
        <v>132</v>
      </c>
      <c r="R57" s="21">
        <f>R55-R56</f>
        <v>0</v>
      </c>
    </row>
    <row r="59" spans="1:23" x14ac:dyDescent="0.25">
      <c r="Q59" s="139" t="s">
        <v>135</v>
      </c>
      <c r="R59" s="21">
        <f>R52+R56</f>
        <v>1894718</v>
      </c>
    </row>
    <row r="60" spans="1:23" ht="19.5" x14ac:dyDescent="0.25">
      <c r="O60" s="140"/>
      <c r="P60" s="140"/>
      <c r="Q60" s="141" t="s">
        <v>137</v>
      </c>
      <c r="R60" s="142">
        <f>R50-R59</f>
        <v>0</v>
      </c>
    </row>
    <row r="61" spans="1:23" x14ac:dyDescent="0.25">
      <c r="R61" s="21">
        <f>R50-R52-R56-R57-R53</f>
        <v>0</v>
      </c>
    </row>
    <row r="62" spans="1:23" x14ac:dyDescent="0.25">
      <c r="I62" s="21">
        <f>I50-I51-I55</f>
        <v>0</v>
      </c>
      <c r="J62" s="21">
        <f t="shared" ref="J62:P62" si="37">J50-J51-J55</f>
        <v>0</v>
      </c>
      <c r="K62" s="21">
        <f t="shared" si="37"/>
        <v>0</v>
      </c>
      <c r="L62" s="21">
        <f t="shared" si="37"/>
        <v>0</v>
      </c>
      <c r="M62" s="21">
        <f t="shared" si="37"/>
        <v>0</v>
      </c>
      <c r="N62" s="21">
        <f t="shared" si="37"/>
        <v>0</v>
      </c>
      <c r="O62" s="21">
        <f t="shared" si="37"/>
        <v>0</v>
      </c>
      <c r="P62" s="21">
        <f t="shared" si="37"/>
        <v>0</v>
      </c>
      <c r="Q62" s="21"/>
      <c r="R62" s="21">
        <f>R50-R51-R55</f>
        <v>0</v>
      </c>
      <c r="S62" s="21">
        <f>S50-S51-S55</f>
        <v>0</v>
      </c>
      <c r="T62" s="21">
        <f>T50-T51-T55</f>
        <v>0</v>
      </c>
    </row>
    <row r="64" spans="1:23" x14ac:dyDescent="0.25">
      <c r="I64" s="21"/>
      <c r="J64" s="21"/>
      <c r="K64" s="21"/>
      <c r="L64" s="21"/>
      <c r="M64" s="21"/>
      <c r="N64" s="21"/>
      <c r="O64" s="21"/>
      <c r="P64" s="21"/>
      <c r="Q64" s="21"/>
      <c r="R64" s="21"/>
      <c r="S64" s="21"/>
      <c r="T64" s="21"/>
      <c r="U64" s="21"/>
    </row>
  </sheetData>
  <autoFilter ref="A5:Z49" xr:uid="{7C37CABB-E10E-4EE9-BACF-F0E0C32B851A}"/>
  <mergeCells count="20">
    <mergeCell ref="P52:Q52"/>
    <mergeCell ref="P53:Q53"/>
    <mergeCell ref="P56:Q56"/>
    <mergeCell ref="P57:Q57"/>
    <mergeCell ref="D6:G6"/>
    <mergeCell ref="D11:G11"/>
    <mergeCell ref="D13:G13"/>
    <mergeCell ref="D16:G16"/>
    <mergeCell ref="D19:G19"/>
    <mergeCell ref="D47:G47"/>
    <mergeCell ref="A1:T1"/>
    <mergeCell ref="I2:R2"/>
    <mergeCell ref="A3:G3"/>
    <mergeCell ref="I3:J3"/>
    <mergeCell ref="K3:L3"/>
    <mergeCell ref="M3:N3"/>
    <mergeCell ref="O3:P3"/>
    <mergeCell ref="Q3:Q4"/>
    <mergeCell ref="R3:R4"/>
    <mergeCell ref="S3:T3"/>
  </mergeCells>
  <pageMargins left="0.51181102362204722" right="0.31496062992125984" top="0.94488188976377963" bottom="0.59055118110236227"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1DAC6-5FD5-4C80-A704-D33B299D76B4}">
  <sheetPr>
    <tabColor theme="0" tint="-0.249977111117893"/>
  </sheetPr>
  <dimension ref="A1:Z64"/>
  <sheetViews>
    <sheetView zoomScale="60" zoomScaleNormal="60" workbookViewId="0">
      <pane ySplit="5" topLeftCell="A6" activePane="bottomLeft" state="frozen"/>
      <selection activeCell="D1" sqref="D1"/>
      <selection pane="bottomLeft" activeCell="O52" sqref="O52"/>
    </sheetView>
  </sheetViews>
  <sheetFormatPr defaultColWidth="9.140625" defaultRowHeight="15" x14ac:dyDescent="0.25"/>
  <cols>
    <col min="1" max="1" width="4" style="53" customWidth="1"/>
    <col min="2" max="2" width="13" style="54" customWidth="1"/>
    <col min="3" max="3" width="11.7109375" style="54" customWidth="1"/>
    <col min="4" max="4" width="31.140625" style="53" customWidth="1"/>
    <col min="5" max="5" width="12.140625" style="54" customWidth="1"/>
    <col min="6" max="6" width="8.85546875" style="54" customWidth="1"/>
    <col min="7" max="7" width="33.85546875" style="55" customWidth="1"/>
    <col min="8" max="8" width="2.140625" style="55" customWidth="1"/>
    <col min="9" max="16" width="9.140625" style="55" customWidth="1"/>
    <col min="17" max="17" width="9.140625" style="139" customWidth="1"/>
    <col min="18" max="18" width="14.7109375" style="55" customWidth="1"/>
    <col min="19" max="20" width="9.140625" style="55" customWidth="1"/>
    <col min="21" max="22" width="5.42578125" style="9" hidden="1" customWidth="1"/>
    <col min="23" max="23" width="50" style="33" hidden="1" customWidth="1"/>
    <col min="24" max="24" width="20.140625" style="53" customWidth="1"/>
    <col min="25" max="25" width="16" style="53" customWidth="1"/>
    <col min="26" max="16384" width="9.140625" style="53"/>
  </cols>
  <sheetData>
    <row r="1" spans="1:26" ht="54" customHeight="1" x14ac:dyDescent="0.25">
      <c r="A1" s="128" t="s">
        <v>200</v>
      </c>
      <c r="B1" s="128"/>
      <c r="C1" s="128"/>
      <c r="D1" s="128"/>
      <c r="E1" s="128"/>
      <c r="F1" s="128"/>
      <c r="G1" s="128"/>
      <c r="H1" s="128"/>
      <c r="I1" s="128"/>
      <c r="J1" s="128"/>
      <c r="K1" s="128"/>
      <c r="L1" s="128"/>
      <c r="M1" s="128"/>
      <c r="N1" s="128"/>
      <c r="O1" s="128"/>
      <c r="P1" s="128"/>
      <c r="Q1" s="128"/>
      <c r="R1" s="128"/>
      <c r="S1" s="128"/>
      <c r="T1" s="128"/>
      <c r="X1" s="129"/>
      <c r="Y1" s="130"/>
      <c r="Z1" s="131"/>
    </row>
    <row r="2" spans="1:26" s="43" customFormat="1" ht="18.75" x14ac:dyDescent="0.3">
      <c r="B2" s="44"/>
      <c r="C2" s="44"/>
      <c r="E2" s="44"/>
      <c r="F2" s="44"/>
      <c r="G2" s="45"/>
      <c r="H2" s="45"/>
      <c r="I2" s="92" t="s">
        <v>190</v>
      </c>
      <c r="J2" s="93"/>
      <c r="K2" s="93"/>
      <c r="L2" s="93"/>
      <c r="M2" s="93"/>
      <c r="N2" s="93"/>
      <c r="O2" s="93"/>
      <c r="P2" s="93"/>
      <c r="Q2" s="94"/>
      <c r="R2" s="95"/>
      <c r="S2" s="45"/>
      <c r="T2" s="132"/>
      <c r="U2" s="31"/>
      <c r="V2" s="31"/>
      <c r="W2" s="133"/>
      <c r="X2" s="134"/>
      <c r="Y2" s="135"/>
      <c r="Z2" s="143"/>
    </row>
    <row r="3" spans="1:26" ht="27.75" customHeight="1" x14ac:dyDescent="0.25">
      <c r="A3" s="96" t="s">
        <v>100</v>
      </c>
      <c r="B3" s="96"/>
      <c r="C3" s="96"/>
      <c r="D3" s="96"/>
      <c r="E3" s="96"/>
      <c r="F3" s="96"/>
      <c r="G3" s="96"/>
      <c r="H3" s="7"/>
      <c r="I3" s="97" t="s">
        <v>136</v>
      </c>
      <c r="J3" s="97"/>
      <c r="K3" s="97" t="s">
        <v>145</v>
      </c>
      <c r="L3" s="97"/>
      <c r="M3" s="98" t="s">
        <v>139</v>
      </c>
      <c r="N3" s="98"/>
      <c r="O3" s="98" t="s">
        <v>128</v>
      </c>
      <c r="P3" s="98"/>
      <c r="Q3" s="99" t="s">
        <v>129</v>
      </c>
      <c r="R3" s="100" t="s">
        <v>146</v>
      </c>
      <c r="S3" s="97" t="s">
        <v>138</v>
      </c>
      <c r="T3" s="97"/>
      <c r="U3" s="7"/>
      <c r="V3" s="7"/>
      <c r="W3" s="76"/>
    </row>
    <row r="4" spans="1:26" ht="150.75" customHeight="1" x14ac:dyDescent="0.2">
      <c r="A4" s="46" t="s">
        <v>96</v>
      </c>
      <c r="B4" s="2" t="s">
        <v>0</v>
      </c>
      <c r="C4" s="2" t="s">
        <v>101</v>
      </c>
      <c r="D4" s="46" t="s">
        <v>1</v>
      </c>
      <c r="E4" s="2" t="s">
        <v>2</v>
      </c>
      <c r="F4" s="2" t="s">
        <v>3</v>
      </c>
      <c r="G4" s="47" t="s">
        <v>4</v>
      </c>
      <c r="H4" s="136"/>
      <c r="I4" s="2" t="s">
        <v>127</v>
      </c>
      <c r="J4" s="2" t="s">
        <v>187</v>
      </c>
      <c r="K4" s="2" t="s">
        <v>140</v>
      </c>
      <c r="L4" s="2" t="s">
        <v>188</v>
      </c>
      <c r="M4" s="88" t="s">
        <v>117</v>
      </c>
      <c r="N4" s="88" t="s">
        <v>118</v>
      </c>
      <c r="O4" s="88" t="s">
        <v>123</v>
      </c>
      <c r="P4" s="88" t="s">
        <v>124</v>
      </c>
      <c r="Q4" s="99"/>
      <c r="R4" s="100"/>
      <c r="S4" s="2" t="s">
        <v>127</v>
      </c>
      <c r="T4" s="2" t="s">
        <v>130</v>
      </c>
      <c r="U4" s="1" t="s">
        <v>115</v>
      </c>
      <c r="V4" s="1" t="s">
        <v>116</v>
      </c>
      <c r="W4" s="34" t="s">
        <v>114</v>
      </c>
    </row>
    <row r="5" spans="1:26" s="9" customFormat="1" ht="12" customHeight="1" x14ac:dyDescent="0.2">
      <c r="A5" s="2">
        <v>1</v>
      </c>
      <c r="B5" s="2">
        <v>2</v>
      </c>
      <c r="C5" s="2">
        <v>3</v>
      </c>
      <c r="D5" s="2">
        <v>4</v>
      </c>
      <c r="E5" s="2">
        <v>5</v>
      </c>
      <c r="F5" s="2">
        <v>6</v>
      </c>
      <c r="G5" s="2">
        <v>7</v>
      </c>
      <c r="H5" s="136"/>
      <c r="I5" s="1">
        <v>8</v>
      </c>
      <c r="J5" s="1">
        <v>9</v>
      </c>
      <c r="K5" s="1">
        <v>10</v>
      </c>
      <c r="L5" s="1">
        <v>11</v>
      </c>
      <c r="M5" s="1">
        <v>12</v>
      </c>
      <c r="N5" s="1">
        <v>13</v>
      </c>
      <c r="O5" s="1">
        <v>14</v>
      </c>
      <c r="P5" s="1">
        <v>15</v>
      </c>
      <c r="Q5" s="29">
        <v>16</v>
      </c>
      <c r="R5" s="1">
        <v>17</v>
      </c>
      <c r="S5" s="2">
        <v>18</v>
      </c>
      <c r="T5" s="2">
        <v>19</v>
      </c>
      <c r="U5" s="1"/>
      <c r="V5" s="1"/>
      <c r="W5" s="34"/>
    </row>
    <row r="6" spans="1:26" ht="18" customHeight="1" x14ac:dyDescent="0.25">
      <c r="A6" s="48"/>
      <c r="B6" s="49"/>
      <c r="C6" s="50">
        <v>4</v>
      </c>
      <c r="D6" s="91" t="s">
        <v>5</v>
      </c>
      <c r="E6" s="91"/>
      <c r="F6" s="91"/>
      <c r="G6" s="91"/>
      <c r="H6" s="137"/>
      <c r="I6" s="10">
        <f>'_2021_VB_bez izmaiņām'!S6</f>
        <v>315</v>
      </c>
      <c r="J6" s="10">
        <f>'_2021_VB_bez izmaiņām'!T6</f>
        <v>315</v>
      </c>
      <c r="K6" s="10">
        <f>ROUND('_2021_VB_bez izmaiņām'!K6*1.05,0)</f>
        <v>55</v>
      </c>
      <c r="L6" s="10">
        <f t="shared" ref="L6" si="0">L7+L8+L9+L10</f>
        <v>55</v>
      </c>
      <c r="M6" s="10">
        <f t="shared" ref="M6:R6" si="1">M7+M8+M9+M10</f>
        <v>975</v>
      </c>
      <c r="N6" s="10">
        <f t="shared" si="1"/>
        <v>975</v>
      </c>
      <c r="O6" s="10">
        <f>ROUND('_2021_VB_bez izmaiņām'!O6*0.9,0)</f>
        <v>338</v>
      </c>
      <c r="P6" s="10">
        <f t="shared" si="1"/>
        <v>338</v>
      </c>
      <c r="Q6" s="73" t="s">
        <v>119</v>
      </c>
      <c r="R6" s="3">
        <f t="shared" si="1"/>
        <v>25094.025000000001</v>
      </c>
      <c r="S6" s="10">
        <f>S7+S8+S9+S10</f>
        <v>637</v>
      </c>
      <c r="T6" s="10">
        <f>T7+T8+T9+T10</f>
        <v>637</v>
      </c>
      <c r="U6" s="8"/>
      <c r="V6" s="8">
        <v>1</v>
      </c>
    </row>
    <row r="7" spans="1:26" ht="27.75" customHeight="1" x14ac:dyDescent="0.25">
      <c r="A7" s="37">
        <v>1</v>
      </c>
      <c r="B7" s="38" t="s">
        <v>6</v>
      </c>
      <c r="C7" s="38" t="s">
        <v>7</v>
      </c>
      <c r="D7" s="37" t="s">
        <v>8</v>
      </c>
      <c r="E7" s="38" t="s">
        <v>9</v>
      </c>
      <c r="F7" s="38" t="s">
        <v>97</v>
      </c>
      <c r="G7" s="51" t="s">
        <v>10</v>
      </c>
      <c r="H7" s="56"/>
      <c r="I7" s="13">
        <f>'_2021_VB_bez izmaiņām'!S7</f>
        <v>66</v>
      </c>
      <c r="J7" s="13">
        <f>'_2021_VB_bez izmaiņām'!T7</f>
        <v>66</v>
      </c>
      <c r="K7" s="74">
        <f>ROUND('_2021_VB_bez izmaiņām'!K7*1.05,0)</f>
        <v>17</v>
      </c>
      <c r="L7" s="74">
        <f>K7</f>
        <v>17</v>
      </c>
      <c r="M7" s="13">
        <f>I7+(K7*12)</f>
        <v>270</v>
      </c>
      <c r="N7" s="13">
        <f>J7+(L7*12)</f>
        <v>270</v>
      </c>
      <c r="O7" s="13">
        <f>ROUND('_2021_VB_bez izmaiņām'!O7*0.9,0)</f>
        <v>145</v>
      </c>
      <c r="P7" s="74">
        <f>O7</f>
        <v>145</v>
      </c>
      <c r="Q7" s="39">
        <f>'_2021_VB_bez izmaiņām'!Q7*1.1</f>
        <v>92.4</v>
      </c>
      <c r="R7" s="4">
        <f>Q7*P7</f>
        <v>13398</v>
      </c>
      <c r="S7" s="18">
        <f>M7-O7</f>
        <v>125</v>
      </c>
      <c r="T7" s="18">
        <f>N7-P7</f>
        <v>125</v>
      </c>
      <c r="U7" s="1"/>
      <c r="V7" s="1">
        <v>1</v>
      </c>
      <c r="W7" s="33" t="s">
        <v>102</v>
      </c>
      <c r="X7" s="138"/>
    </row>
    <row r="8" spans="1:26" ht="18" customHeight="1" x14ac:dyDescent="0.25">
      <c r="A8" s="37">
        <v>2</v>
      </c>
      <c r="B8" s="38" t="s">
        <v>6</v>
      </c>
      <c r="C8" s="38" t="s">
        <v>11</v>
      </c>
      <c r="D8" s="37" t="s">
        <v>12</v>
      </c>
      <c r="E8" s="38" t="s">
        <v>9</v>
      </c>
      <c r="F8" s="38">
        <v>5</v>
      </c>
      <c r="G8" s="51" t="s">
        <v>10</v>
      </c>
      <c r="H8" s="56"/>
      <c r="I8" s="13">
        <f>'_2021_VB_bez izmaiņām'!S8</f>
        <v>55</v>
      </c>
      <c r="J8" s="13">
        <f>'_2021_VB_bez izmaiņām'!T8</f>
        <v>55</v>
      </c>
      <c r="K8" s="74">
        <f>ROUND('_2021_VB_bez izmaiņām'!K8*1.05,0)</f>
        <v>8</v>
      </c>
      <c r="L8" s="74">
        <f t="shared" ref="L8:L10" si="2">K8</f>
        <v>8</v>
      </c>
      <c r="M8" s="13">
        <f t="shared" ref="M8:N10" si="3">I8+(K8*12)</f>
        <v>151</v>
      </c>
      <c r="N8" s="13">
        <f t="shared" si="3"/>
        <v>151</v>
      </c>
      <c r="O8" s="13">
        <f>ROUND('_2021_VB_bez izmaiņām'!O8*0.9,0)</f>
        <v>43</v>
      </c>
      <c r="P8" s="74">
        <f t="shared" ref="P8:P10" si="4">O8</f>
        <v>43</v>
      </c>
      <c r="Q8" s="39">
        <f>'_2021_VB_bez izmaiņām'!Q8*1.1</f>
        <v>92.4</v>
      </c>
      <c r="R8" s="4">
        <f t="shared" ref="R8:R49" si="5">Q8*P8</f>
        <v>3973.2000000000003</v>
      </c>
      <c r="S8" s="18">
        <f t="shared" ref="S8:T10" si="6">M8-O8</f>
        <v>108</v>
      </c>
      <c r="T8" s="18">
        <f t="shared" si="6"/>
        <v>108</v>
      </c>
      <c r="U8" s="1"/>
      <c r="V8" s="1">
        <v>1</v>
      </c>
    </row>
    <row r="9" spans="1:26" ht="36" customHeight="1" x14ac:dyDescent="0.25">
      <c r="A9" s="37">
        <v>3</v>
      </c>
      <c r="B9" s="38" t="s">
        <v>13</v>
      </c>
      <c r="C9" s="38" t="s">
        <v>14</v>
      </c>
      <c r="D9" s="37" t="s">
        <v>15</v>
      </c>
      <c r="E9" s="38" t="s">
        <v>9</v>
      </c>
      <c r="F9" s="38">
        <v>2</v>
      </c>
      <c r="G9" s="51" t="s">
        <v>10</v>
      </c>
      <c r="H9" s="56"/>
      <c r="I9" s="13">
        <f>'_2021_VB_bez izmaiņām'!S9</f>
        <v>71</v>
      </c>
      <c r="J9" s="13">
        <f>'_2021_VB_bez izmaiņām'!T9</f>
        <v>71</v>
      </c>
      <c r="K9" s="74">
        <f>ROUND('_2021_VB_bez izmaiņām'!K9*1.05,0)</f>
        <v>11</v>
      </c>
      <c r="L9" s="74">
        <f t="shared" si="2"/>
        <v>11</v>
      </c>
      <c r="M9" s="13">
        <f t="shared" si="3"/>
        <v>203</v>
      </c>
      <c r="N9" s="13">
        <f t="shared" si="3"/>
        <v>203</v>
      </c>
      <c r="O9" s="13">
        <f>ROUND('_2021_VB_bez izmaiņām'!O9*0.9,0)</f>
        <v>55</v>
      </c>
      <c r="P9" s="74">
        <f t="shared" si="4"/>
        <v>55</v>
      </c>
      <c r="Q9" s="39">
        <f>'_2021_VB_bez izmaiņām'!Q9*1.1</f>
        <v>36.960000000000008</v>
      </c>
      <c r="R9" s="4">
        <f t="shared" si="5"/>
        <v>2032.8000000000004</v>
      </c>
      <c r="S9" s="18">
        <f t="shared" si="6"/>
        <v>148</v>
      </c>
      <c r="T9" s="18">
        <f t="shared" si="6"/>
        <v>148</v>
      </c>
      <c r="U9" s="1"/>
      <c r="V9" s="1">
        <v>1</v>
      </c>
    </row>
    <row r="10" spans="1:26" ht="18" customHeight="1" x14ac:dyDescent="0.25">
      <c r="A10" s="37">
        <v>4</v>
      </c>
      <c r="B10" s="38" t="s">
        <v>16</v>
      </c>
      <c r="C10" s="38" t="s">
        <v>17</v>
      </c>
      <c r="D10" s="37" t="s">
        <v>18</v>
      </c>
      <c r="E10" s="38" t="s">
        <v>9</v>
      </c>
      <c r="F10" s="38">
        <v>5</v>
      </c>
      <c r="G10" s="51" t="s">
        <v>10</v>
      </c>
      <c r="H10" s="56"/>
      <c r="I10" s="13">
        <f>'_2021_VB_bez izmaiņām'!S10</f>
        <v>123</v>
      </c>
      <c r="J10" s="13">
        <f>'_2021_VB_bez izmaiņām'!T10</f>
        <v>123</v>
      </c>
      <c r="K10" s="74">
        <f>ROUND('_2021_VB_bez izmaiņām'!K10*1.05,0)</f>
        <v>19</v>
      </c>
      <c r="L10" s="74">
        <f t="shared" si="2"/>
        <v>19</v>
      </c>
      <c r="M10" s="13">
        <f t="shared" si="3"/>
        <v>351</v>
      </c>
      <c r="N10" s="13">
        <f t="shared" si="3"/>
        <v>351</v>
      </c>
      <c r="O10" s="13">
        <f>ROUND('_2021_VB_bez izmaiņām'!O10*0.9,0)</f>
        <v>95</v>
      </c>
      <c r="P10" s="74">
        <f t="shared" si="4"/>
        <v>95</v>
      </c>
      <c r="Q10" s="39">
        <f>'_2021_VB_bez izmaiņām'!Q10*1.1</f>
        <v>59.89500000000001</v>
      </c>
      <c r="R10" s="4">
        <f t="shared" si="5"/>
        <v>5690.0250000000005</v>
      </c>
      <c r="S10" s="18">
        <f t="shared" si="6"/>
        <v>256</v>
      </c>
      <c r="T10" s="18">
        <f t="shared" si="6"/>
        <v>256</v>
      </c>
      <c r="U10" s="1"/>
      <c r="V10" s="1">
        <v>1</v>
      </c>
    </row>
    <row r="11" spans="1:26" ht="18" customHeight="1" x14ac:dyDescent="0.25">
      <c r="A11" s="48"/>
      <c r="B11" s="49"/>
      <c r="C11" s="50">
        <v>6</v>
      </c>
      <c r="D11" s="91" t="s">
        <v>19</v>
      </c>
      <c r="E11" s="91"/>
      <c r="F11" s="91"/>
      <c r="G11" s="91"/>
      <c r="H11" s="137"/>
      <c r="I11" s="14">
        <f>'_2021_VB_bez izmaiņām'!S11</f>
        <v>11</v>
      </c>
      <c r="J11" s="14">
        <f>'_2021_VB_bez izmaiņām'!T11</f>
        <v>11</v>
      </c>
      <c r="K11" s="14">
        <f>ROUND('_2021_VB_bez izmaiņām'!K11*1.05,0)</f>
        <v>46</v>
      </c>
      <c r="L11" s="14">
        <f t="shared" ref="L11:R11" si="7">L12</f>
        <v>46</v>
      </c>
      <c r="M11" s="14">
        <f t="shared" si="7"/>
        <v>563</v>
      </c>
      <c r="N11" s="14">
        <f t="shared" si="7"/>
        <v>563</v>
      </c>
      <c r="O11" s="14">
        <f>ROUND('_2021_VB_bez izmaiņām'!O11*0.9,0)</f>
        <v>500</v>
      </c>
      <c r="P11" s="14">
        <f t="shared" si="7"/>
        <v>511</v>
      </c>
      <c r="Q11" s="73" t="s">
        <v>119</v>
      </c>
      <c r="R11" s="5">
        <f t="shared" si="7"/>
        <v>314446.99900000001</v>
      </c>
      <c r="S11" s="14">
        <f>S12</f>
        <v>52</v>
      </c>
      <c r="T11" s="14">
        <f>T12</f>
        <v>52</v>
      </c>
      <c r="U11" s="8"/>
      <c r="V11" s="8">
        <v>1</v>
      </c>
    </row>
    <row r="12" spans="1:26" s="43" customFormat="1" ht="34.5" customHeight="1" x14ac:dyDescent="0.25">
      <c r="A12" s="35">
        <v>5</v>
      </c>
      <c r="B12" s="36" t="s">
        <v>20</v>
      </c>
      <c r="C12" s="36" t="s">
        <v>21</v>
      </c>
      <c r="D12" s="35" t="s">
        <v>22</v>
      </c>
      <c r="E12" s="36" t="s">
        <v>9</v>
      </c>
      <c r="F12" s="36">
        <v>2</v>
      </c>
      <c r="G12" s="52" t="s">
        <v>23</v>
      </c>
      <c r="H12" s="57"/>
      <c r="I12" s="13">
        <f>'_2021_VB_bez izmaiņām'!S12</f>
        <v>11</v>
      </c>
      <c r="J12" s="13">
        <f>'_2021_VB_bez izmaiņām'!T12</f>
        <v>11</v>
      </c>
      <c r="K12" s="74">
        <f>ROUND('_2021_VB_bez izmaiņām'!K12*1.05,0)</f>
        <v>46</v>
      </c>
      <c r="L12" s="74">
        <f>K12</f>
        <v>46</v>
      </c>
      <c r="M12" s="13">
        <f t="shared" ref="M12:N12" si="8">I12+(K12*12)</f>
        <v>563</v>
      </c>
      <c r="N12" s="13">
        <f t="shared" si="8"/>
        <v>563</v>
      </c>
      <c r="O12" s="13">
        <f>ROUND('_2021_VB_bez izmaiņām'!O12*0.9,0)+11</f>
        <v>511</v>
      </c>
      <c r="P12" s="74">
        <f>O12</f>
        <v>511</v>
      </c>
      <c r="Q12" s="40">
        <f>'_2021_VB_bez izmaiņām'!Q12*1.1</f>
        <v>615.32900000000006</v>
      </c>
      <c r="R12" s="22">
        <f>Q12*P12+13.88</f>
        <v>314446.99900000001</v>
      </c>
      <c r="S12" s="19">
        <f t="shared" ref="S12:T12" si="9">M12-O12</f>
        <v>52</v>
      </c>
      <c r="T12" s="19">
        <f t="shared" si="9"/>
        <v>52</v>
      </c>
      <c r="U12" s="24"/>
      <c r="V12" s="24">
        <v>1</v>
      </c>
      <c r="W12" s="32"/>
    </row>
    <row r="13" spans="1:26" ht="18" customHeight="1" x14ac:dyDescent="0.25">
      <c r="A13" s="48"/>
      <c r="B13" s="49"/>
      <c r="C13" s="50">
        <v>12</v>
      </c>
      <c r="D13" s="91" t="s">
        <v>24</v>
      </c>
      <c r="E13" s="91"/>
      <c r="F13" s="91"/>
      <c r="G13" s="91"/>
      <c r="H13" s="137"/>
      <c r="I13" s="10">
        <f>'_2021_VB_bez izmaiņām'!S13</f>
        <v>18</v>
      </c>
      <c r="J13" s="10">
        <f>'_2021_VB_bez izmaiņām'!T13</f>
        <v>18</v>
      </c>
      <c r="K13" s="10">
        <f>ROUND('_2021_VB_bez izmaiņām'!K13*1.05,0)</f>
        <v>9</v>
      </c>
      <c r="L13" s="10">
        <f t="shared" ref="L13" si="10">L14+L15</f>
        <v>9</v>
      </c>
      <c r="M13" s="10">
        <f t="shared" ref="M13:R13" si="11">M14+M15</f>
        <v>126</v>
      </c>
      <c r="N13" s="10">
        <f t="shared" si="11"/>
        <v>126</v>
      </c>
      <c r="O13" s="10">
        <f>ROUND('_2021_VB_bez izmaiņām'!O13*0.9,0)</f>
        <v>84</v>
      </c>
      <c r="P13" s="10">
        <f t="shared" si="11"/>
        <v>84</v>
      </c>
      <c r="Q13" s="73" t="s">
        <v>119</v>
      </c>
      <c r="R13" s="3">
        <f t="shared" si="11"/>
        <v>4296.6000000000004</v>
      </c>
      <c r="S13" s="10">
        <f>S14+S15</f>
        <v>42</v>
      </c>
      <c r="T13" s="10">
        <f>T14+T15</f>
        <v>42</v>
      </c>
      <c r="U13" s="8"/>
      <c r="V13" s="8">
        <v>1</v>
      </c>
    </row>
    <row r="14" spans="1:26" ht="33.75" customHeight="1" x14ac:dyDescent="0.25">
      <c r="A14" s="37">
        <v>6</v>
      </c>
      <c r="B14" s="38" t="s">
        <v>25</v>
      </c>
      <c r="C14" s="38" t="s">
        <v>26</v>
      </c>
      <c r="D14" s="37" t="s">
        <v>27</v>
      </c>
      <c r="E14" s="38" t="s">
        <v>9</v>
      </c>
      <c r="F14" s="38" t="s">
        <v>104</v>
      </c>
      <c r="G14" s="51" t="s">
        <v>10</v>
      </c>
      <c r="H14" s="56"/>
      <c r="I14" s="13">
        <f>'_2021_VB_bez izmaiņām'!S14</f>
        <v>7</v>
      </c>
      <c r="J14" s="13">
        <f>'_2021_VB_bez izmaiņām'!T14</f>
        <v>7</v>
      </c>
      <c r="K14" s="74">
        <f>ROUND('_2021_VB_bez izmaiņām'!K14*1.05,0)</f>
        <v>4</v>
      </c>
      <c r="L14" s="74">
        <f>K14</f>
        <v>4</v>
      </c>
      <c r="M14" s="13">
        <f t="shared" ref="M14:N15" si="12">I14+(K14*12)</f>
        <v>55</v>
      </c>
      <c r="N14" s="13">
        <f t="shared" si="12"/>
        <v>55</v>
      </c>
      <c r="O14" s="13">
        <f>ROUND('_2021_VB_bez izmaiņām'!O14*0.9,0)</f>
        <v>38</v>
      </c>
      <c r="P14" s="74">
        <f>O14</f>
        <v>38</v>
      </c>
      <c r="Q14" s="39">
        <f>'_2021_VB_bez izmaiņām'!Q14*1.1</f>
        <v>38.5</v>
      </c>
      <c r="R14" s="4">
        <f t="shared" si="5"/>
        <v>1463</v>
      </c>
      <c r="S14" s="18">
        <f t="shared" ref="S14:T15" si="13">M14-O14</f>
        <v>17</v>
      </c>
      <c r="T14" s="18">
        <f t="shared" si="13"/>
        <v>17</v>
      </c>
      <c r="U14" s="1"/>
      <c r="V14" s="1">
        <v>1</v>
      </c>
      <c r="W14" s="33" t="s">
        <v>103</v>
      </c>
    </row>
    <row r="15" spans="1:26" ht="24" customHeight="1" x14ac:dyDescent="0.25">
      <c r="A15" s="37">
        <v>7</v>
      </c>
      <c r="B15" s="38" t="s">
        <v>25</v>
      </c>
      <c r="C15" s="38" t="s">
        <v>26</v>
      </c>
      <c r="D15" s="37" t="s">
        <v>28</v>
      </c>
      <c r="E15" s="38" t="s">
        <v>9</v>
      </c>
      <c r="F15" s="38" t="s">
        <v>104</v>
      </c>
      <c r="G15" s="51" t="s">
        <v>10</v>
      </c>
      <c r="H15" s="56"/>
      <c r="I15" s="13">
        <f>'_2021_VB_bez izmaiņām'!S15</f>
        <v>11</v>
      </c>
      <c r="J15" s="13">
        <f>'_2021_VB_bez izmaiņām'!T15</f>
        <v>11</v>
      </c>
      <c r="K15" s="74">
        <f>ROUND('_2021_VB_bez izmaiņām'!K15*1.05,0)</f>
        <v>5</v>
      </c>
      <c r="L15" s="74">
        <f>K15</f>
        <v>5</v>
      </c>
      <c r="M15" s="13">
        <f t="shared" si="12"/>
        <v>71</v>
      </c>
      <c r="N15" s="13">
        <f t="shared" si="12"/>
        <v>71</v>
      </c>
      <c r="O15" s="13">
        <f>ROUND('_2021_VB_bez izmaiņām'!O15*0.9,0)</f>
        <v>46</v>
      </c>
      <c r="P15" s="74">
        <f>O15</f>
        <v>46</v>
      </c>
      <c r="Q15" s="39">
        <f>'_2021_VB_bez izmaiņām'!Q15*1.1</f>
        <v>61.600000000000009</v>
      </c>
      <c r="R15" s="4">
        <f t="shared" si="5"/>
        <v>2833.6000000000004</v>
      </c>
      <c r="S15" s="18">
        <f t="shared" si="13"/>
        <v>25</v>
      </c>
      <c r="T15" s="18">
        <f t="shared" si="13"/>
        <v>25</v>
      </c>
      <c r="U15" s="1"/>
      <c r="V15" s="1">
        <v>1</v>
      </c>
      <c r="W15" s="33" t="s">
        <v>103</v>
      </c>
    </row>
    <row r="16" spans="1:26" ht="18" customHeight="1" x14ac:dyDescent="0.25">
      <c r="A16" s="48"/>
      <c r="B16" s="49"/>
      <c r="C16" s="50">
        <v>15</v>
      </c>
      <c r="D16" s="91" t="s">
        <v>29</v>
      </c>
      <c r="E16" s="91"/>
      <c r="F16" s="91"/>
      <c r="G16" s="91"/>
      <c r="H16" s="137"/>
      <c r="I16" s="10">
        <f>'_2021_VB_bez izmaiņām'!S16</f>
        <v>100</v>
      </c>
      <c r="J16" s="10">
        <f>'_2021_VB_bez izmaiņām'!T16</f>
        <v>100</v>
      </c>
      <c r="K16" s="10">
        <f>ROUND('_2021_VB_bez izmaiņām'!K16*1.05,0)</f>
        <v>16</v>
      </c>
      <c r="L16" s="10">
        <f t="shared" ref="L16" si="14">L17+L18</f>
        <v>15</v>
      </c>
      <c r="M16" s="10">
        <f t="shared" ref="M16:P16" si="15">M17+M18</f>
        <v>280</v>
      </c>
      <c r="N16" s="10">
        <f t="shared" si="15"/>
        <v>280</v>
      </c>
      <c r="O16" s="10">
        <f>ROUND('_2021_VB_bez izmaiņām'!O16*0.9,0)</f>
        <v>78</v>
      </c>
      <c r="P16" s="10">
        <f t="shared" si="15"/>
        <v>79</v>
      </c>
      <c r="Q16" s="73" t="s">
        <v>119</v>
      </c>
      <c r="R16" s="3">
        <f t="shared" ref="R16" si="16">R17+R18</f>
        <v>2841.1900000000005</v>
      </c>
      <c r="S16" s="10">
        <f>S17+S18</f>
        <v>201</v>
      </c>
      <c r="T16" s="10">
        <f>T17+T18</f>
        <v>201</v>
      </c>
      <c r="U16" s="8"/>
      <c r="V16" s="8">
        <v>1</v>
      </c>
    </row>
    <row r="17" spans="1:23" ht="18" customHeight="1" x14ac:dyDescent="0.25">
      <c r="A17" s="37">
        <v>8</v>
      </c>
      <c r="B17" s="38" t="s">
        <v>16</v>
      </c>
      <c r="C17" s="38" t="s">
        <v>30</v>
      </c>
      <c r="D17" s="37" t="s">
        <v>31</v>
      </c>
      <c r="E17" s="38" t="s">
        <v>9</v>
      </c>
      <c r="F17" s="38">
        <v>5</v>
      </c>
      <c r="G17" s="51" t="s">
        <v>10</v>
      </c>
      <c r="H17" s="56"/>
      <c r="I17" s="13">
        <f>'_2021_VB_bez izmaiņām'!S17</f>
        <v>52</v>
      </c>
      <c r="J17" s="13">
        <f>'_2021_VB_bez izmaiņām'!T17</f>
        <v>52</v>
      </c>
      <c r="K17" s="74">
        <f>ROUND('_2021_VB_bez izmaiņām'!K17*1.05,0)</f>
        <v>8</v>
      </c>
      <c r="L17" s="74">
        <f>K17</f>
        <v>8</v>
      </c>
      <c r="M17" s="13">
        <f t="shared" ref="M17:N18" si="17">I17+(K17*12)</f>
        <v>148</v>
      </c>
      <c r="N17" s="13">
        <f t="shared" si="17"/>
        <v>148</v>
      </c>
      <c r="O17" s="13">
        <f>ROUND('_2021_VB_bez izmaiņām'!O17*0.9,0)</f>
        <v>41</v>
      </c>
      <c r="P17" s="74">
        <f>O17</f>
        <v>41</v>
      </c>
      <c r="Q17" s="39">
        <f>'_2021_VB_bez izmaiņām'!Q17*1.1</f>
        <v>53.24</v>
      </c>
      <c r="R17" s="4">
        <f t="shared" si="5"/>
        <v>2182.84</v>
      </c>
      <c r="S17" s="18">
        <f t="shared" ref="S17:T18" si="18">M17-O17</f>
        <v>107</v>
      </c>
      <c r="T17" s="18">
        <f t="shared" si="18"/>
        <v>107</v>
      </c>
      <c r="U17" s="1"/>
      <c r="V17" s="1">
        <v>1</v>
      </c>
    </row>
    <row r="18" spans="1:23" ht="33" customHeight="1" x14ac:dyDescent="0.25">
      <c r="A18" s="37">
        <v>9</v>
      </c>
      <c r="B18" s="38" t="s">
        <v>6</v>
      </c>
      <c r="C18" s="38" t="s">
        <v>30</v>
      </c>
      <c r="D18" s="37" t="s">
        <v>32</v>
      </c>
      <c r="E18" s="38" t="s">
        <v>9</v>
      </c>
      <c r="F18" s="38">
        <v>2</v>
      </c>
      <c r="G18" s="51" t="s">
        <v>10</v>
      </c>
      <c r="H18" s="56"/>
      <c r="I18" s="13">
        <f>'_2021_VB_bez izmaiņām'!S18</f>
        <v>48</v>
      </c>
      <c r="J18" s="13">
        <f>'_2021_VB_bez izmaiņām'!T18</f>
        <v>48</v>
      </c>
      <c r="K18" s="74">
        <f>ROUND('_2021_VB_bez izmaiņām'!K18*1.05,0)</f>
        <v>7</v>
      </c>
      <c r="L18" s="74">
        <f>K18</f>
        <v>7</v>
      </c>
      <c r="M18" s="13">
        <f t="shared" si="17"/>
        <v>132</v>
      </c>
      <c r="N18" s="13">
        <f t="shared" si="17"/>
        <v>132</v>
      </c>
      <c r="O18" s="13">
        <f>ROUND('_2021_VB_bez izmaiņām'!O18*0.9,0)</f>
        <v>38</v>
      </c>
      <c r="P18" s="74">
        <f>O18</f>
        <v>38</v>
      </c>
      <c r="Q18" s="39">
        <f>'_2021_VB_bez izmaiņām'!Q18*1.1</f>
        <v>17.325000000000003</v>
      </c>
      <c r="R18" s="4">
        <f t="shared" si="5"/>
        <v>658.35000000000014</v>
      </c>
      <c r="S18" s="18">
        <f t="shared" si="18"/>
        <v>94</v>
      </c>
      <c r="T18" s="18">
        <f t="shared" si="18"/>
        <v>94</v>
      </c>
      <c r="U18" s="1"/>
      <c r="V18" s="1">
        <v>1</v>
      </c>
    </row>
    <row r="19" spans="1:23" ht="18" customHeight="1" x14ac:dyDescent="0.25">
      <c r="A19" s="48"/>
      <c r="B19" s="49"/>
      <c r="C19" s="50">
        <v>22</v>
      </c>
      <c r="D19" s="91" t="s">
        <v>33</v>
      </c>
      <c r="E19" s="91"/>
      <c r="F19" s="91"/>
      <c r="G19" s="91"/>
      <c r="H19" s="137"/>
      <c r="I19" s="10">
        <f>'_2021_VB_bez izmaiņām'!S19</f>
        <v>4760</v>
      </c>
      <c r="J19" s="10">
        <f>'_2021_VB_bez izmaiņām'!T19</f>
        <v>6379</v>
      </c>
      <c r="K19" s="10">
        <f>ROUND('_2021_VB_bez izmaiņām'!K19*1.05,0)</f>
        <v>463</v>
      </c>
      <c r="L19" s="10">
        <f t="shared" ref="L19" si="19">SUM(L20:L46)</f>
        <v>591</v>
      </c>
      <c r="M19" s="10">
        <f t="shared" ref="M19:P19" si="20">SUM(M20:M46)</f>
        <v>10340</v>
      </c>
      <c r="N19" s="10">
        <f t="shared" si="20"/>
        <v>13471</v>
      </c>
      <c r="O19" s="10">
        <f>ROUND('_2021_VB_bez izmaiņām'!O19*0.9,0)</f>
        <v>4388</v>
      </c>
      <c r="P19" s="10">
        <f t="shared" si="20"/>
        <v>6171</v>
      </c>
      <c r="Q19" s="73" t="s">
        <v>119</v>
      </c>
      <c r="R19" s="3">
        <f>SUM(R20:R46)</f>
        <v>1541497.3220000002</v>
      </c>
      <c r="S19" s="10">
        <f>SUM(S20:S46)</f>
        <v>5917</v>
      </c>
      <c r="T19" s="10">
        <f>SUM(T20:T46)</f>
        <v>7300</v>
      </c>
      <c r="U19" s="8">
        <v>1</v>
      </c>
      <c r="V19" s="8">
        <v>1</v>
      </c>
    </row>
    <row r="20" spans="1:23" ht="17.25" customHeight="1" x14ac:dyDescent="0.25">
      <c r="A20" s="37">
        <v>10</v>
      </c>
      <c r="B20" s="38" t="s">
        <v>34</v>
      </c>
      <c r="C20" s="38" t="s">
        <v>35</v>
      </c>
      <c r="D20" s="37" t="s">
        <v>36</v>
      </c>
      <c r="E20" s="38" t="s">
        <v>9</v>
      </c>
      <c r="F20" s="38">
        <v>2</v>
      </c>
      <c r="G20" s="51" t="s">
        <v>37</v>
      </c>
      <c r="H20" s="56"/>
      <c r="I20" s="13">
        <f>'_2021_VB_bez izmaiņām'!S20</f>
        <v>84</v>
      </c>
      <c r="J20" s="13">
        <f>'_2021_VB_bez izmaiņām'!T20</f>
        <v>84</v>
      </c>
      <c r="K20" s="74">
        <f>ROUND('_2021_VB_bez izmaiņām'!K20*1.05,0)</f>
        <v>10</v>
      </c>
      <c r="L20" s="74">
        <f>K20</f>
        <v>10</v>
      </c>
      <c r="M20" s="13">
        <f t="shared" ref="M20:N35" si="21">I20+(K20*12)</f>
        <v>204</v>
      </c>
      <c r="N20" s="13">
        <f t="shared" si="21"/>
        <v>204</v>
      </c>
      <c r="O20" s="13">
        <f>ROUND('_2021_VB_bez izmaiņām'!O20*0.9,0)</f>
        <v>68</v>
      </c>
      <c r="P20" s="74">
        <f>O20</f>
        <v>68</v>
      </c>
      <c r="Q20" s="39">
        <f>'_2021_VB_bez izmaiņām'!Q20*1.1</f>
        <v>73.204999999999998</v>
      </c>
      <c r="R20" s="4">
        <f t="shared" si="5"/>
        <v>4977.9399999999996</v>
      </c>
      <c r="S20" s="18">
        <f t="shared" ref="S20:T35" si="22">M20-O20</f>
        <v>136</v>
      </c>
      <c r="T20" s="18">
        <f t="shared" si="22"/>
        <v>136</v>
      </c>
      <c r="U20" s="1"/>
      <c r="V20" s="1">
        <v>1</v>
      </c>
    </row>
    <row r="21" spans="1:23" ht="30.75" customHeight="1" x14ac:dyDescent="0.25">
      <c r="A21" s="37">
        <v>11</v>
      </c>
      <c r="B21" s="38" t="s">
        <v>34</v>
      </c>
      <c r="C21" s="38" t="s">
        <v>38</v>
      </c>
      <c r="D21" s="37" t="s">
        <v>39</v>
      </c>
      <c r="E21" s="38" t="s">
        <v>9</v>
      </c>
      <c r="F21" s="38" t="s">
        <v>98</v>
      </c>
      <c r="G21" s="51" t="s">
        <v>37</v>
      </c>
      <c r="H21" s="56"/>
      <c r="I21" s="13">
        <f>'_2021_VB_bez izmaiņām'!S21</f>
        <v>35</v>
      </c>
      <c r="J21" s="13">
        <f>'_2021_VB_bez izmaiņām'!T21</f>
        <v>35</v>
      </c>
      <c r="K21" s="74">
        <f>ROUND('_2021_VB_bez izmaiņām'!K21*1.05,0)</f>
        <v>8</v>
      </c>
      <c r="L21" s="74">
        <f>K21</f>
        <v>8</v>
      </c>
      <c r="M21" s="13">
        <f t="shared" si="21"/>
        <v>131</v>
      </c>
      <c r="N21" s="13">
        <f t="shared" si="21"/>
        <v>131</v>
      </c>
      <c r="O21" s="13">
        <f>ROUND('_2021_VB_bez izmaiņām'!O21*0.9,0)</f>
        <v>65</v>
      </c>
      <c r="P21" s="74">
        <f>O21</f>
        <v>65</v>
      </c>
      <c r="Q21" s="39">
        <f>'_2021_VB_bez izmaiņām'!Q21*1.1</f>
        <v>55.902000000000008</v>
      </c>
      <c r="R21" s="4">
        <f t="shared" si="5"/>
        <v>3633.6300000000006</v>
      </c>
      <c r="S21" s="18">
        <f t="shared" si="22"/>
        <v>66</v>
      </c>
      <c r="T21" s="18">
        <f t="shared" si="22"/>
        <v>66</v>
      </c>
      <c r="U21" s="1"/>
      <c r="V21" s="1">
        <v>1</v>
      </c>
      <c r="W21" s="33" t="s">
        <v>105</v>
      </c>
    </row>
    <row r="22" spans="1:23" ht="36" customHeight="1" x14ac:dyDescent="0.25">
      <c r="A22" s="37">
        <v>12</v>
      </c>
      <c r="B22" s="38" t="s">
        <v>40</v>
      </c>
      <c r="C22" s="38" t="s">
        <v>41</v>
      </c>
      <c r="D22" s="37" t="s">
        <v>42</v>
      </c>
      <c r="E22" s="38" t="s">
        <v>9</v>
      </c>
      <c r="F22" s="38">
        <v>5</v>
      </c>
      <c r="G22" s="51" t="s">
        <v>43</v>
      </c>
      <c r="H22" s="56"/>
      <c r="I22" s="13">
        <f>'_2021_VB_bez izmaiņām'!S22</f>
        <v>36</v>
      </c>
      <c r="J22" s="13">
        <f>'_2021_VB_bez izmaiņām'!T22</f>
        <v>36</v>
      </c>
      <c r="K22" s="74">
        <f>ROUND('_2021_VB_bez izmaiņām'!K22*1.05,0)</f>
        <v>5</v>
      </c>
      <c r="L22" s="74">
        <f t="shared" ref="L22:L49" si="23">K22</f>
        <v>5</v>
      </c>
      <c r="M22" s="13">
        <f t="shared" si="21"/>
        <v>96</v>
      </c>
      <c r="N22" s="13">
        <f t="shared" si="21"/>
        <v>96</v>
      </c>
      <c r="O22" s="13">
        <f>ROUND('_2021_VB_bez izmaiņām'!O22*0.9,0)</f>
        <v>28</v>
      </c>
      <c r="P22" s="74">
        <f t="shared" ref="P22:P49" si="24">O22</f>
        <v>28</v>
      </c>
      <c r="Q22" s="39">
        <f>'_2021_VB_bez izmaiņām'!Q22*1.1</f>
        <v>99.825000000000003</v>
      </c>
      <c r="R22" s="4">
        <f t="shared" si="5"/>
        <v>2795.1</v>
      </c>
      <c r="S22" s="18">
        <f t="shared" si="22"/>
        <v>68</v>
      </c>
      <c r="T22" s="18">
        <f t="shared" si="22"/>
        <v>68</v>
      </c>
      <c r="U22" s="1"/>
      <c r="V22" s="1">
        <v>1</v>
      </c>
    </row>
    <row r="23" spans="1:23" ht="24" customHeight="1" x14ac:dyDescent="0.25">
      <c r="A23" s="37">
        <v>13</v>
      </c>
      <c r="B23" s="38" t="s">
        <v>40</v>
      </c>
      <c r="C23" s="38" t="s">
        <v>41</v>
      </c>
      <c r="D23" s="37" t="s">
        <v>106</v>
      </c>
      <c r="E23" s="38" t="s">
        <v>9</v>
      </c>
      <c r="F23" s="38">
        <v>5</v>
      </c>
      <c r="G23" s="51" t="s">
        <v>43</v>
      </c>
      <c r="H23" s="56"/>
      <c r="I23" s="13">
        <f>'_2021_VB_bez izmaiņām'!S23</f>
        <v>14</v>
      </c>
      <c r="J23" s="13">
        <f>'_2021_VB_bez izmaiņām'!T23</f>
        <v>14</v>
      </c>
      <c r="K23" s="74">
        <f>ROUND('_2021_VB_bez izmaiņām'!K23*1.05,0)</f>
        <v>2</v>
      </c>
      <c r="L23" s="74">
        <f t="shared" si="23"/>
        <v>2</v>
      </c>
      <c r="M23" s="13">
        <f t="shared" si="21"/>
        <v>38</v>
      </c>
      <c r="N23" s="13">
        <f t="shared" si="21"/>
        <v>38</v>
      </c>
      <c r="O23" s="13">
        <f>ROUND('_2021_VB_bez izmaiņām'!O23*0.9,0)</f>
        <v>11</v>
      </c>
      <c r="P23" s="74">
        <f t="shared" si="24"/>
        <v>11</v>
      </c>
      <c r="Q23" s="39">
        <f>'_2021_VB_bez izmaiņām'!Q23*1.1</f>
        <v>53.24</v>
      </c>
      <c r="R23" s="4">
        <f t="shared" si="5"/>
        <v>585.64</v>
      </c>
      <c r="S23" s="18">
        <f t="shared" si="22"/>
        <v>27</v>
      </c>
      <c r="T23" s="18">
        <f t="shared" si="22"/>
        <v>27</v>
      </c>
      <c r="U23" s="1"/>
      <c r="V23" s="1">
        <v>1</v>
      </c>
      <c r="W23" s="33" t="s">
        <v>107</v>
      </c>
    </row>
    <row r="24" spans="1:23" ht="35.25" customHeight="1" x14ac:dyDescent="0.25">
      <c r="A24" s="37">
        <v>14</v>
      </c>
      <c r="B24" s="38" t="s">
        <v>34</v>
      </c>
      <c r="C24" s="38" t="s">
        <v>44</v>
      </c>
      <c r="D24" s="37" t="s">
        <v>45</v>
      </c>
      <c r="E24" s="38" t="s">
        <v>9</v>
      </c>
      <c r="F24" s="38">
        <v>5</v>
      </c>
      <c r="G24" s="51" t="s">
        <v>37</v>
      </c>
      <c r="H24" s="56"/>
      <c r="I24" s="13">
        <f>'_2021_VB_bez izmaiņām'!S24</f>
        <v>400</v>
      </c>
      <c r="J24" s="13">
        <f>'_2021_VB_bez izmaiņām'!T24</f>
        <v>400</v>
      </c>
      <c r="K24" s="74">
        <f>ROUND('_2021_VB_bez izmaiņām'!K24*1.05,0)</f>
        <v>61</v>
      </c>
      <c r="L24" s="74">
        <f t="shared" si="23"/>
        <v>61</v>
      </c>
      <c r="M24" s="13">
        <f t="shared" si="21"/>
        <v>1132</v>
      </c>
      <c r="N24" s="13">
        <f t="shared" si="21"/>
        <v>1132</v>
      </c>
      <c r="O24" s="13">
        <f>ROUND('_2021_VB_bez izmaiņām'!O24*0.9,0)</f>
        <v>277</v>
      </c>
      <c r="P24" s="74">
        <f t="shared" si="24"/>
        <v>277</v>
      </c>
      <c r="Q24" s="39">
        <f>'_2021_VB_bez izmaiņām'!Q24*1.1</f>
        <v>625.32800000000009</v>
      </c>
      <c r="R24" s="4">
        <f t="shared" si="5"/>
        <v>173215.85600000003</v>
      </c>
      <c r="S24" s="18">
        <f t="shared" si="22"/>
        <v>855</v>
      </c>
      <c r="T24" s="18">
        <f t="shared" si="22"/>
        <v>855</v>
      </c>
      <c r="U24" s="1"/>
      <c r="V24" s="1">
        <v>1</v>
      </c>
    </row>
    <row r="25" spans="1:23" ht="36" customHeight="1" x14ac:dyDescent="0.25">
      <c r="A25" s="37">
        <v>15</v>
      </c>
      <c r="B25" s="38" t="s">
        <v>177</v>
      </c>
      <c r="C25" s="38" t="s">
        <v>46</v>
      </c>
      <c r="D25" s="37" t="s">
        <v>178</v>
      </c>
      <c r="E25" s="38" t="s">
        <v>9</v>
      </c>
      <c r="F25" s="38">
        <v>3</v>
      </c>
      <c r="G25" s="51" t="s">
        <v>47</v>
      </c>
      <c r="H25" s="56"/>
      <c r="I25" s="17">
        <f>'_2021_VB_bez izmaiņām'!S25</f>
        <v>9</v>
      </c>
      <c r="J25" s="17">
        <f>'_2021_VB_bez izmaiņām'!T25</f>
        <v>9</v>
      </c>
      <c r="K25" s="74">
        <f>ROUND('_2021_VB_bez izmaiņām'!K25*1.05,0)</f>
        <v>1</v>
      </c>
      <c r="L25" s="74">
        <f t="shared" si="23"/>
        <v>1</v>
      </c>
      <c r="M25" s="17">
        <f t="shared" si="21"/>
        <v>21</v>
      </c>
      <c r="N25" s="17">
        <f t="shared" si="21"/>
        <v>21</v>
      </c>
      <c r="O25" s="17">
        <f>ROUND('_2021_VB_bez izmaiņām'!O25*0.9,0)</f>
        <v>5</v>
      </c>
      <c r="P25" s="74">
        <f t="shared" si="24"/>
        <v>5</v>
      </c>
      <c r="Q25" s="41">
        <f>'_2021_VB_bez izmaiņām'!Q25*1.1</f>
        <v>225.01600000000002</v>
      </c>
      <c r="R25" s="6">
        <f t="shared" si="5"/>
        <v>1125.0800000000002</v>
      </c>
      <c r="S25" s="19">
        <f t="shared" si="22"/>
        <v>16</v>
      </c>
      <c r="T25" s="19">
        <f t="shared" si="22"/>
        <v>16</v>
      </c>
      <c r="U25" s="1">
        <v>1</v>
      </c>
      <c r="V25" s="1"/>
    </row>
    <row r="26" spans="1:23" ht="42.75" customHeight="1" x14ac:dyDescent="0.25">
      <c r="A26" s="37" t="s">
        <v>179</v>
      </c>
      <c r="B26" s="38" t="s">
        <v>48</v>
      </c>
      <c r="C26" s="38" t="s">
        <v>49</v>
      </c>
      <c r="D26" s="37" t="s">
        <v>180</v>
      </c>
      <c r="E26" s="38" t="s">
        <v>9</v>
      </c>
      <c r="F26" s="38">
        <v>5</v>
      </c>
      <c r="G26" s="51" t="s">
        <v>47</v>
      </c>
      <c r="H26" s="56"/>
      <c r="I26" s="17">
        <f>'_2021_VB_bez izmaiņām'!S26</f>
        <v>2699</v>
      </c>
      <c r="J26" s="17">
        <f>'_2021_VB_bez izmaiņām'!T26</f>
        <v>4318</v>
      </c>
      <c r="K26" s="75">
        <f>ROUND('_2021_VB_bez izmaiņām'!K26*1.05,0)</f>
        <v>210</v>
      </c>
      <c r="L26" s="75">
        <f>ROUND(K26*1.6,0)</f>
        <v>336</v>
      </c>
      <c r="M26" s="17">
        <f t="shared" si="21"/>
        <v>5219</v>
      </c>
      <c r="N26" s="17">
        <f t="shared" si="21"/>
        <v>8350</v>
      </c>
      <c r="O26" s="17">
        <f>ROUND('_2021_VB_bez izmaiņām'!O26*0.9,0)+33</f>
        <v>2914</v>
      </c>
      <c r="P26" s="75">
        <f>ROUND(O26*1.6,0)</f>
        <v>4662</v>
      </c>
      <c r="Q26" s="41">
        <f>'_2021_VB_bez izmaiņām'!Q26*1.1</f>
        <v>221.65</v>
      </c>
      <c r="R26" s="6">
        <f>Q26*P26-9.04</f>
        <v>1033323.26</v>
      </c>
      <c r="S26" s="19">
        <f>M26-O26</f>
        <v>2305</v>
      </c>
      <c r="T26" s="19">
        <f t="shared" si="22"/>
        <v>3688</v>
      </c>
      <c r="U26" s="1">
        <v>1</v>
      </c>
      <c r="V26" s="1"/>
    </row>
    <row r="27" spans="1:23" ht="46.5" customHeight="1" x14ac:dyDescent="0.25">
      <c r="A27" s="37">
        <v>19</v>
      </c>
      <c r="B27" s="38" t="s">
        <v>50</v>
      </c>
      <c r="C27" s="38" t="s">
        <v>51</v>
      </c>
      <c r="D27" s="37" t="s">
        <v>120</v>
      </c>
      <c r="E27" s="38" t="s">
        <v>9</v>
      </c>
      <c r="F27" s="38">
        <v>5</v>
      </c>
      <c r="G27" s="51" t="s">
        <v>52</v>
      </c>
      <c r="H27" s="56"/>
      <c r="I27" s="17">
        <f>'_2021_VB_bez izmaiņām'!S27</f>
        <v>326</v>
      </c>
      <c r="J27" s="17">
        <f>'_2021_VB_bez izmaiņām'!T27</f>
        <v>326</v>
      </c>
      <c r="K27" s="74">
        <f>ROUND('_2021_VB_bez izmaiņām'!K27*1.05,0)</f>
        <v>21</v>
      </c>
      <c r="L27" s="74">
        <f t="shared" si="23"/>
        <v>21</v>
      </c>
      <c r="M27" s="17">
        <f t="shared" si="21"/>
        <v>578</v>
      </c>
      <c r="N27" s="17">
        <f t="shared" si="21"/>
        <v>578</v>
      </c>
      <c r="O27" s="17">
        <f>ROUND('_2021_VB_bez izmaiņām'!O27*0.9,0)</f>
        <v>90</v>
      </c>
      <c r="P27" s="74">
        <f t="shared" si="24"/>
        <v>90</v>
      </c>
      <c r="Q27" s="41">
        <f>'_2021_VB_bez izmaiņām'!Q27*1.1</f>
        <v>285.38400000000001</v>
      </c>
      <c r="R27" s="6">
        <f t="shared" si="5"/>
        <v>25684.560000000001</v>
      </c>
      <c r="S27" s="19">
        <f t="shared" si="22"/>
        <v>488</v>
      </c>
      <c r="T27" s="19">
        <f t="shared" si="22"/>
        <v>488</v>
      </c>
      <c r="U27" s="1">
        <v>1</v>
      </c>
      <c r="V27" s="1"/>
      <c r="W27" s="33" t="s">
        <v>109</v>
      </c>
    </row>
    <row r="28" spans="1:23" ht="46.5" customHeight="1" x14ac:dyDescent="0.25">
      <c r="A28" s="37">
        <v>20</v>
      </c>
      <c r="B28" s="38" t="s">
        <v>53</v>
      </c>
      <c r="C28" s="38" t="s">
        <v>51</v>
      </c>
      <c r="D28" s="37" t="s">
        <v>54</v>
      </c>
      <c r="E28" s="38" t="s">
        <v>9</v>
      </c>
      <c r="F28" s="38">
        <v>5</v>
      </c>
      <c r="G28" s="51" t="s">
        <v>55</v>
      </c>
      <c r="H28" s="56"/>
      <c r="I28" s="17">
        <f>'_2021_VB_bez izmaiņām'!S28</f>
        <v>60</v>
      </c>
      <c r="J28" s="17">
        <f>'_2021_VB_bez izmaiņām'!T28</f>
        <v>60</v>
      </c>
      <c r="K28" s="74">
        <f>ROUND('_2021_VB_bez izmaiņām'!K28*1.05,0)</f>
        <v>2</v>
      </c>
      <c r="L28" s="74">
        <f t="shared" si="23"/>
        <v>2</v>
      </c>
      <c r="M28" s="17">
        <f t="shared" si="21"/>
        <v>84</v>
      </c>
      <c r="N28" s="17">
        <f t="shared" si="21"/>
        <v>84</v>
      </c>
      <c r="O28" s="17">
        <f>ROUND('_2021_VB_bez izmaiņām'!O28*0.9,0)</f>
        <v>9</v>
      </c>
      <c r="P28" s="74">
        <f t="shared" si="24"/>
        <v>9</v>
      </c>
      <c r="Q28" s="41">
        <f>'_2021_VB_bez izmaiņām'!Q28*1.1</f>
        <v>1155</v>
      </c>
      <c r="R28" s="6">
        <f t="shared" si="5"/>
        <v>10395</v>
      </c>
      <c r="S28" s="19">
        <f t="shared" si="22"/>
        <v>75</v>
      </c>
      <c r="T28" s="19">
        <f t="shared" si="22"/>
        <v>75</v>
      </c>
      <c r="U28" s="1">
        <v>1</v>
      </c>
      <c r="V28" s="1"/>
    </row>
    <row r="29" spans="1:23" ht="36" customHeight="1" x14ac:dyDescent="0.25">
      <c r="A29" s="37">
        <v>21</v>
      </c>
      <c r="B29" s="38" t="s">
        <v>6</v>
      </c>
      <c r="C29" s="38" t="s">
        <v>56</v>
      </c>
      <c r="D29" s="37" t="s">
        <v>57</v>
      </c>
      <c r="E29" s="38" t="s">
        <v>9</v>
      </c>
      <c r="F29" s="38">
        <v>2</v>
      </c>
      <c r="G29" s="51" t="s">
        <v>10</v>
      </c>
      <c r="H29" s="56"/>
      <c r="I29" s="13">
        <f>'_2021_VB_bez izmaiņām'!S29</f>
        <v>6</v>
      </c>
      <c r="J29" s="13">
        <f>'_2021_VB_bez izmaiņām'!T29</f>
        <v>6</v>
      </c>
      <c r="K29" s="74">
        <f>ROUND('_2021_VB_bez izmaiņām'!K29*1.05,0)</f>
        <v>1</v>
      </c>
      <c r="L29" s="74">
        <f t="shared" si="23"/>
        <v>1</v>
      </c>
      <c r="M29" s="13">
        <f t="shared" si="21"/>
        <v>18</v>
      </c>
      <c r="N29" s="13">
        <f t="shared" si="21"/>
        <v>18</v>
      </c>
      <c r="O29" s="13">
        <f>ROUND('_2021_VB_bez izmaiņām'!O29*0.9,0)</f>
        <v>5</v>
      </c>
      <c r="P29" s="74">
        <f t="shared" si="24"/>
        <v>5</v>
      </c>
      <c r="Q29" s="39">
        <f>'_2021_VB_bez izmaiņām'!Q29*1.1</f>
        <v>15.400000000000002</v>
      </c>
      <c r="R29" s="4">
        <f t="shared" si="5"/>
        <v>77.000000000000014</v>
      </c>
      <c r="S29" s="18">
        <f t="shared" si="22"/>
        <v>13</v>
      </c>
      <c r="T29" s="18">
        <f t="shared" si="22"/>
        <v>13</v>
      </c>
      <c r="U29" s="1"/>
      <c r="V29" s="1">
        <v>1</v>
      </c>
    </row>
    <row r="30" spans="1:23" ht="21.75" customHeight="1" x14ac:dyDescent="0.25">
      <c r="A30" s="37">
        <v>22</v>
      </c>
      <c r="B30" s="38" t="s">
        <v>6</v>
      </c>
      <c r="C30" s="38" t="s">
        <v>58</v>
      </c>
      <c r="D30" s="37" t="s">
        <v>59</v>
      </c>
      <c r="E30" s="38" t="s">
        <v>9</v>
      </c>
      <c r="F30" s="38">
        <v>5</v>
      </c>
      <c r="G30" s="51" t="s">
        <v>10</v>
      </c>
      <c r="H30" s="56"/>
      <c r="I30" s="13">
        <f>'_2021_VB_bez izmaiņām'!S30</f>
        <v>6</v>
      </c>
      <c r="J30" s="13">
        <f>'_2021_VB_bez izmaiņām'!T30</f>
        <v>6</v>
      </c>
      <c r="K30" s="74">
        <f>ROUND('_2021_VB_bez izmaiņām'!K30*1.05,0)</f>
        <v>1</v>
      </c>
      <c r="L30" s="74">
        <f t="shared" si="23"/>
        <v>1</v>
      </c>
      <c r="M30" s="13">
        <f t="shared" si="21"/>
        <v>18</v>
      </c>
      <c r="N30" s="13">
        <f t="shared" si="21"/>
        <v>18</v>
      </c>
      <c r="O30" s="13">
        <f>ROUND('_2021_VB_bez izmaiņām'!O30*0.9,0)</f>
        <v>5</v>
      </c>
      <c r="P30" s="74">
        <f t="shared" si="24"/>
        <v>5</v>
      </c>
      <c r="Q30" s="39">
        <f>'_2021_VB_bez izmaiņām'!Q30*1.1</f>
        <v>958.32000000000016</v>
      </c>
      <c r="R30" s="4">
        <f t="shared" si="5"/>
        <v>4791.6000000000004</v>
      </c>
      <c r="S30" s="18">
        <f t="shared" si="22"/>
        <v>13</v>
      </c>
      <c r="T30" s="18">
        <f t="shared" si="22"/>
        <v>13</v>
      </c>
      <c r="U30" s="1"/>
      <c r="V30" s="1">
        <v>1</v>
      </c>
    </row>
    <row r="31" spans="1:23" ht="21.75" customHeight="1" x14ac:dyDescent="0.25">
      <c r="A31" s="37">
        <v>23</v>
      </c>
      <c r="B31" s="38" t="s">
        <v>60</v>
      </c>
      <c r="C31" s="38" t="s">
        <v>61</v>
      </c>
      <c r="D31" s="37" t="s">
        <v>62</v>
      </c>
      <c r="E31" s="38" t="s">
        <v>9</v>
      </c>
      <c r="F31" s="38">
        <v>3</v>
      </c>
      <c r="G31" s="51" t="s">
        <v>10</v>
      </c>
      <c r="H31" s="56"/>
      <c r="I31" s="13">
        <f>'_2021_VB_bez izmaiņām'!S31</f>
        <v>95</v>
      </c>
      <c r="J31" s="13">
        <f>'_2021_VB_bez izmaiņām'!T31</f>
        <v>95</v>
      </c>
      <c r="K31" s="74">
        <f>ROUND('_2021_VB_bez izmaiņām'!K31*1.05,0)</f>
        <v>41</v>
      </c>
      <c r="L31" s="74">
        <f t="shared" si="23"/>
        <v>41</v>
      </c>
      <c r="M31" s="13">
        <f t="shared" si="21"/>
        <v>587</v>
      </c>
      <c r="N31" s="13">
        <f t="shared" si="21"/>
        <v>587</v>
      </c>
      <c r="O31" s="13">
        <f>ROUND('_2021_VB_bez izmaiņām'!O31*0.9,0)</f>
        <v>360</v>
      </c>
      <c r="P31" s="74">
        <f t="shared" si="24"/>
        <v>360</v>
      </c>
      <c r="Q31" s="39">
        <f>'_2021_VB_bez izmaiņām'!Q31*1.1</f>
        <v>367.40000000000003</v>
      </c>
      <c r="R31" s="4">
        <f t="shared" si="5"/>
        <v>132264</v>
      </c>
      <c r="S31" s="18">
        <f t="shared" si="22"/>
        <v>227</v>
      </c>
      <c r="T31" s="18">
        <f t="shared" si="22"/>
        <v>227</v>
      </c>
      <c r="U31" s="1"/>
      <c r="V31" s="1">
        <v>1</v>
      </c>
    </row>
    <row r="32" spans="1:23" ht="32.25" customHeight="1" x14ac:dyDescent="0.25">
      <c r="A32" s="37">
        <v>24</v>
      </c>
      <c r="B32" s="38" t="s">
        <v>60</v>
      </c>
      <c r="C32" s="38" t="s">
        <v>61</v>
      </c>
      <c r="D32" s="37" t="s">
        <v>108</v>
      </c>
      <c r="E32" s="38" t="s">
        <v>9</v>
      </c>
      <c r="F32" s="38">
        <v>5</v>
      </c>
      <c r="G32" s="51" t="s">
        <v>10</v>
      </c>
      <c r="H32" s="56"/>
      <c r="I32" s="13">
        <f>'_2021_VB_bez izmaiņām'!S32</f>
        <v>0</v>
      </c>
      <c r="J32" s="13">
        <f>'_2021_VB_bez izmaiņām'!T32</f>
        <v>0</v>
      </c>
      <c r="K32" s="74">
        <f>ROUND('_2021_VB_bez izmaiņām'!K32*1.05,0)</f>
        <v>0</v>
      </c>
      <c r="L32" s="74">
        <f t="shared" si="23"/>
        <v>0</v>
      </c>
      <c r="M32" s="13">
        <f t="shared" si="21"/>
        <v>0</v>
      </c>
      <c r="N32" s="13">
        <f t="shared" si="21"/>
        <v>0</v>
      </c>
      <c r="O32" s="13">
        <f>ROUND('_2021_VB_bez izmaiņām'!O32*0.9,0)</f>
        <v>0</v>
      </c>
      <c r="P32" s="74">
        <f t="shared" si="24"/>
        <v>0</v>
      </c>
      <c r="Q32" s="39">
        <f>'_2021_VB_bez izmaiņām'!Q32*1.1</f>
        <v>797.50000000000011</v>
      </c>
      <c r="R32" s="4">
        <f t="shared" si="5"/>
        <v>0</v>
      </c>
      <c r="S32" s="18">
        <f t="shared" si="22"/>
        <v>0</v>
      </c>
      <c r="T32" s="18">
        <f t="shared" si="22"/>
        <v>0</v>
      </c>
      <c r="U32" s="1"/>
      <c r="V32" s="1">
        <v>1</v>
      </c>
      <c r="W32" s="33" t="s">
        <v>189</v>
      </c>
    </row>
    <row r="33" spans="1:23" ht="49.5" customHeight="1" x14ac:dyDescent="0.25">
      <c r="A33" s="37">
        <v>25</v>
      </c>
      <c r="B33" s="38" t="s">
        <v>60</v>
      </c>
      <c r="C33" s="38" t="s">
        <v>61</v>
      </c>
      <c r="D33" s="37" t="s">
        <v>63</v>
      </c>
      <c r="E33" s="38" t="s">
        <v>9</v>
      </c>
      <c r="F33" s="38">
        <v>3</v>
      </c>
      <c r="G33" s="51" t="s">
        <v>64</v>
      </c>
      <c r="H33" s="56"/>
      <c r="I33" s="13">
        <f>'_2021_VB_bez izmaiņām'!S33</f>
        <v>42</v>
      </c>
      <c r="J33" s="13">
        <f>'_2021_VB_bez izmaiņām'!T33</f>
        <v>42</v>
      </c>
      <c r="K33" s="74">
        <f>ROUND('_2021_VB_bez izmaiņām'!K33*1.05,0)</f>
        <v>7</v>
      </c>
      <c r="L33" s="74">
        <f t="shared" si="23"/>
        <v>7</v>
      </c>
      <c r="M33" s="13">
        <f t="shared" si="21"/>
        <v>126</v>
      </c>
      <c r="N33" s="13">
        <f t="shared" si="21"/>
        <v>126</v>
      </c>
      <c r="O33" s="13">
        <f>ROUND('_2021_VB_bez izmaiņām'!O33*0.9,0)</f>
        <v>32</v>
      </c>
      <c r="P33" s="74">
        <f t="shared" si="24"/>
        <v>32</v>
      </c>
      <c r="Q33" s="39">
        <f>'_2021_VB_bez izmaiņām'!Q33*1.1</f>
        <v>159.72</v>
      </c>
      <c r="R33" s="4">
        <f t="shared" si="5"/>
        <v>5111.04</v>
      </c>
      <c r="S33" s="18">
        <f t="shared" si="22"/>
        <v>94</v>
      </c>
      <c r="T33" s="18">
        <f t="shared" si="22"/>
        <v>94</v>
      </c>
      <c r="U33" s="1"/>
      <c r="V33" s="1">
        <v>1</v>
      </c>
    </row>
    <row r="34" spans="1:23" ht="25.5" customHeight="1" x14ac:dyDescent="0.25">
      <c r="A34" s="37">
        <v>26</v>
      </c>
      <c r="B34" s="38" t="s">
        <v>147</v>
      </c>
      <c r="C34" s="38" t="s">
        <v>65</v>
      </c>
      <c r="D34" s="37" t="s">
        <v>66</v>
      </c>
      <c r="E34" s="38" t="s">
        <v>9</v>
      </c>
      <c r="F34" s="38">
        <v>5</v>
      </c>
      <c r="G34" s="51" t="s">
        <v>110</v>
      </c>
      <c r="H34" s="56"/>
      <c r="I34" s="13">
        <f>'_2021_VB_bez izmaiņām'!S34</f>
        <v>0</v>
      </c>
      <c r="J34" s="13">
        <f>'_2021_VB_bez izmaiņām'!T34</f>
        <v>0</v>
      </c>
      <c r="K34" s="74">
        <f>ROUND('_2021_VB_bez izmaiņām'!K34*1.05,0)</f>
        <v>0</v>
      </c>
      <c r="L34" s="74">
        <f t="shared" si="23"/>
        <v>0</v>
      </c>
      <c r="M34" s="13">
        <f t="shared" si="21"/>
        <v>0</v>
      </c>
      <c r="N34" s="13">
        <f t="shared" si="21"/>
        <v>0</v>
      </c>
      <c r="O34" s="13">
        <f>ROUND('_2021_VB_bez izmaiņām'!O34*0.9,0)</f>
        <v>0</v>
      </c>
      <c r="P34" s="74">
        <f t="shared" si="24"/>
        <v>0</v>
      </c>
      <c r="Q34" s="39">
        <f>'_2021_VB_bez izmaiņām'!Q34*1.1</f>
        <v>210.83333333333334</v>
      </c>
      <c r="R34" s="4">
        <f t="shared" si="5"/>
        <v>0</v>
      </c>
      <c r="S34" s="18">
        <f t="shared" si="22"/>
        <v>0</v>
      </c>
      <c r="T34" s="18">
        <f t="shared" si="22"/>
        <v>0</v>
      </c>
      <c r="U34" s="1"/>
      <c r="V34" s="1">
        <v>1</v>
      </c>
      <c r="W34" s="33" t="s">
        <v>126</v>
      </c>
    </row>
    <row r="35" spans="1:23" ht="60.75" customHeight="1" x14ac:dyDescent="0.25">
      <c r="A35" s="37">
        <v>27</v>
      </c>
      <c r="B35" s="38" t="s">
        <v>181</v>
      </c>
      <c r="C35" s="38" t="s">
        <v>67</v>
      </c>
      <c r="D35" s="37" t="s">
        <v>68</v>
      </c>
      <c r="E35" s="38" t="s">
        <v>9</v>
      </c>
      <c r="F35" s="38">
        <v>3</v>
      </c>
      <c r="G35" s="51" t="s">
        <v>69</v>
      </c>
      <c r="H35" s="56"/>
      <c r="I35" s="17">
        <f>'_2021_VB_bez izmaiņām'!S35</f>
        <v>247</v>
      </c>
      <c r="J35" s="17">
        <f>'_2021_VB_bez izmaiņām'!T35</f>
        <v>247</v>
      </c>
      <c r="K35" s="74">
        <f>ROUND('_2021_VB_bez izmaiņām'!K35*1.05,0)</f>
        <v>11</v>
      </c>
      <c r="L35" s="74">
        <f t="shared" si="23"/>
        <v>11</v>
      </c>
      <c r="M35" s="17">
        <f t="shared" si="21"/>
        <v>379</v>
      </c>
      <c r="N35" s="17">
        <f t="shared" si="21"/>
        <v>379</v>
      </c>
      <c r="O35" s="17">
        <f>ROUND('_2021_VB_bez izmaiņām'!O35*0.9,0)</f>
        <v>90</v>
      </c>
      <c r="P35" s="74">
        <f t="shared" si="24"/>
        <v>90</v>
      </c>
      <c r="Q35" s="40">
        <f>'_2021_VB_bez izmaiņām'!Q35*1.1</f>
        <v>533.25800000000004</v>
      </c>
      <c r="R35" s="22">
        <f t="shared" si="5"/>
        <v>47993.22</v>
      </c>
      <c r="S35" s="19">
        <f t="shared" si="22"/>
        <v>289</v>
      </c>
      <c r="T35" s="19">
        <f t="shared" si="22"/>
        <v>289</v>
      </c>
      <c r="U35" s="1">
        <v>1</v>
      </c>
      <c r="V35" s="1"/>
    </row>
    <row r="36" spans="1:23" x14ac:dyDescent="0.25">
      <c r="A36" s="37">
        <v>28</v>
      </c>
      <c r="B36" s="38" t="s">
        <v>70</v>
      </c>
      <c r="C36" s="38" t="s">
        <v>121</v>
      </c>
      <c r="D36" s="37" t="s">
        <v>122</v>
      </c>
      <c r="E36" s="38" t="s">
        <v>9</v>
      </c>
      <c r="F36" s="38">
        <v>5</v>
      </c>
      <c r="G36" s="51" t="s">
        <v>47</v>
      </c>
      <c r="H36" s="56"/>
      <c r="I36" s="17">
        <f>'_2021_VB_bez izmaiņām'!S36</f>
        <v>0</v>
      </c>
      <c r="J36" s="17">
        <f>'_2021_VB_bez izmaiņām'!T36</f>
        <v>0</v>
      </c>
      <c r="K36" s="74">
        <f>ROUND('_2021_VB_bez izmaiņām'!K36*1.05,0)</f>
        <v>0</v>
      </c>
      <c r="L36" s="74">
        <f t="shared" si="23"/>
        <v>0</v>
      </c>
      <c r="M36" s="17">
        <f t="shared" ref="M36:N46" si="25">I36+(K36*12)</f>
        <v>0</v>
      </c>
      <c r="N36" s="17">
        <f t="shared" si="25"/>
        <v>0</v>
      </c>
      <c r="O36" s="17">
        <f>ROUND('_2021_VB_bez izmaiņām'!O36*0.9,0)</f>
        <v>0</v>
      </c>
      <c r="P36" s="74">
        <f t="shared" si="24"/>
        <v>0</v>
      </c>
      <c r="Q36" s="40">
        <f>'_2021_VB_bez izmaiņām'!Q36*1.1</f>
        <v>136.642</v>
      </c>
      <c r="R36" s="22">
        <f t="shared" si="5"/>
        <v>0</v>
      </c>
      <c r="S36" s="19">
        <f t="shared" ref="S36:T46" si="26">M36-O36</f>
        <v>0</v>
      </c>
      <c r="T36" s="19">
        <f t="shared" si="26"/>
        <v>0</v>
      </c>
      <c r="U36" s="1">
        <v>1</v>
      </c>
      <c r="V36" s="1"/>
      <c r="W36" s="33" t="s">
        <v>126</v>
      </c>
    </row>
    <row r="37" spans="1:23" ht="40.5" customHeight="1" x14ac:dyDescent="0.25">
      <c r="A37" s="37">
        <v>29</v>
      </c>
      <c r="B37" s="59" t="s">
        <v>71</v>
      </c>
      <c r="C37" s="59" t="s">
        <v>72</v>
      </c>
      <c r="D37" s="58" t="s">
        <v>73</v>
      </c>
      <c r="E37" s="59" t="s">
        <v>9</v>
      </c>
      <c r="F37" s="59">
        <v>5</v>
      </c>
      <c r="G37" s="61" t="s">
        <v>74</v>
      </c>
      <c r="H37" s="57"/>
      <c r="I37" s="17">
        <f>'_2021_VB_bez izmaiņām'!S37</f>
        <v>60</v>
      </c>
      <c r="J37" s="17">
        <f>'_2021_VB_bez izmaiņām'!T37</f>
        <v>60</v>
      </c>
      <c r="K37" s="74">
        <f>ROUND('_2021_VB_bez izmaiņām'!K37*1.05,0)</f>
        <v>11</v>
      </c>
      <c r="L37" s="74">
        <f t="shared" si="23"/>
        <v>11</v>
      </c>
      <c r="M37" s="17">
        <f t="shared" si="25"/>
        <v>192</v>
      </c>
      <c r="N37" s="17">
        <f t="shared" si="25"/>
        <v>192</v>
      </c>
      <c r="O37" s="17">
        <f>ROUND('_2021_VB_bez izmaiņām'!O37*0.9,0)</f>
        <v>54</v>
      </c>
      <c r="P37" s="74">
        <f t="shared" si="24"/>
        <v>54</v>
      </c>
      <c r="Q37" s="42">
        <f>'_2021_VB_bez izmaiņām'!Q37*1.1</f>
        <v>459.09600000000006</v>
      </c>
      <c r="R37" s="23">
        <f t="shared" si="5"/>
        <v>24791.184000000005</v>
      </c>
      <c r="S37" s="18">
        <f t="shared" si="26"/>
        <v>138</v>
      </c>
      <c r="T37" s="18">
        <f t="shared" si="26"/>
        <v>138</v>
      </c>
      <c r="U37" s="24">
        <v>1</v>
      </c>
      <c r="V37" s="24"/>
      <c r="W37" s="32"/>
    </row>
    <row r="38" spans="1:23" ht="117" customHeight="1" x14ac:dyDescent="0.25">
      <c r="A38" s="59">
        <v>30</v>
      </c>
      <c r="B38" s="59" t="s">
        <v>71</v>
      </c>
      <c r="C38" s="59" t="s">
        <v>72</v>
      </c>
      <c r="D38" s="58" t="s">
        <v>75</v>
      </c>
      <c r="E38" s="59" t="s">
        <v>9</v>
      </c>
      <c r="F38" s="59">
        <v>5</v>
      </c>
      <c r="G38" s="61" t="s">
        <v>76</v>
      </c>
      <c r="H38" s="57"/>
      <c r="I38" s="17">
        <f>'_2021_VB_bez izmaiņām'!S38</f>
        <v>0</v>
      </c>
      <c r="J38" s="17">
        <f>'_2021_VB_bez izmaiņām'!T38</f>
        <v>0</v>
      </c>
      <c r="K38" s="74">
        <f>ROUND('_2021_VB_bez izmaiņām'!K38*1.05,0)</f>
        <v>0</v>
      </c>
      <c r="L38" s="74">
        <f t="shared" si="23"/>
        <v>0</v>
      </c>
      <c r="M38" s="17">
        <f t="shared" si="25"/>
        <v>0</v>
      </c>
      <c r="N38" s="17">
        <f>J38+(L38*12)</f>
        <v>0</v>
      </c>
      <c r="O38" s="17">
        <f>ROUND('_2021_VB_bez izmaiņām'!O38*0.9,0)</f>
        <v>0</v>
      </c>
      <c r="P38" s="74">
        <f t="shared" si="24"/>
        <v>0</v>
      </c>
      <c r="Q38" s="42">
        <f>'_2021_VB_bez izmaiņām'!Q38*1.1</f>
        <v>382.71200000000005</v>
      </c>
      <c r="R38" s="23">
        <f t="shared" si="5"/>
        <v>0</v>
      </c>
      <c r="S38" s="18">
        <f t="shared" si="26"/>
        <v>0</v>
      </c>
      <c r="T38" s="18">
        <f t="shared" si="26"/>
        <v>0</v>
      </c>
      <c r="U38" s="24">
        <v>1</v>
      </c>
      <c r="V38" s="24"/>
      <c r="W38" s="32" t="s">
        <v>126</v>
      </c>
    </row>
    <row r="39" spans="1:23" ht="42.75" customHeight="1" x14ac:dyDescent="0.25">
      <c r="A39" s="37">
        <v>31</v>
      </c>
      <c r="B39" s="38" t="s">
        <v>77</v>
      </c>
      <c r="C39" s="38" t="s">
        <v>78</v>
      </c>
      <c r="D39" s="37" t="s">
        <v>99</v>
      </c>
      <c r="E39" s="38" t="s">
        <v>9</v>
      </c>
      <c r="F39" s="38">
        <v>2</v>
      </c>
      <c r="G39" s="51" t="s">
        <v>10</v>
      </c>
      <c r="H39" s="56"/>
      <c r="I39" s="13">
        <f>'_2021_VB_bez izmaiņām'!S39</f>
        <v>108</v>
      </c>
      <c r="J39" s="13">
        <f>'_2021_VB_bez izmaiņām'!T39</f>
        <v>108</v>
      </c>
      <c r="K39" s="74">
        <f>ROUND('_2021_VB_bez izmaiņām'!K39*1.05,0)</f>
        <v>24</v>
      </c>
      <c r="L39" s="74">
        <f t="shared" si="23"/>
        <v>24</v>
      </c>
      <c r="M39" s="13">
        <f t="shared" si="25"/>
        <v>396</v>
      </c>
      <c r="N39" s="13">
        <f t="shared" si="25"/>
        <v>396</v>
      </c>
      <c r="O39" s="13">
        <f>ROUND('_2021_VB_bez izmaiņām'!O39*0.9,0)</f>
        <v>179</v>
      </c>
      <c r="P39" s="74">
        <f t="shared" si="24"/>
        <v>179</v>
      </c>
      <c r="Q39" s="42">
        <f>'_2021_VB_bez izmaiņām'!Q39*1.1</f>
        <v>77.451000000000008</v>
      </c>
      <c r="R39" s="23">
        <f t="shared" si="5"/>
        <v>13863.729000000001</v>
      </c>
      <c r="S39" s="18">
        <f t="shared" si="26"/>
        <v>217</v>
      </c>
      <c r="T39" s="18">
        <f t="shared" si="26"/>
        <v>217</v>
      </c>
      <c r="U39" s="1"/>
      <c r="V39" s="1">
        <v>1</v>
      </c>
      <c r="W39" s="33" t="s">
        <v>111</v>
      </c>
    </row>
    <row r="40" spans="1:23" ht="20.25" customHeight="1" x14ac:dyDescent="0.25">
      <c r="A40" s="37">
        <v>32</v>
      </c>
      <c r="B40" s="38" t="s">
        <v>148</v>
      </c>
      <c r="C40" s="38" t="s">
        <v>79</v>
      </c>
      <c r="D40" s="37" t="s">
        <v>80</v>
      </c>
      <c r="E40" s="38" t="s">
        <v>9</v>
      </c>
      <c r="F40" s="38">
        <v>5</v>
      </c>
      <c r="G40" s="51" t="s">
        <v>110</v>
      </c>
      <c r="H40" s="56"/>
      <c r="I40" s="13">
        <f>'_2021_VB_bez izmaiņām'!S40</f>
        <v>0</v>
      </c>
      <c r="J40" s="13">
        <f>'_2021_VB_bez izmaiņām'!T40</f>
        <v>0</v>
      </c>
      <c r="K40" s="74">
        <f>ROUND('_2021_VB_bez izmaiņām'!K40*1.05,0)</f>
        <v>0</v>
      </c>
      <c r="L40" s="74">
        <f t="shared" si="23"/>
        <v>0</v>
      </c>
      <c r="M40" s="13">
        <f t="shared" si="25"/>
        <v>0</v>
      </c>
      <c r="N40" s="13">
        <f t="shared" si="25"/>
        <v>0</v>
      </c>
      <c r="O40" s="13">
        <f>ROUND('_2021_VB_bez izmaiņām'!O40*0.9,0)</f>
        <v>0</v>
      </c>
      <c r="P40" s="74">
        <f t="shared" si="24"/>
        <v>0</v>
      </c>
      <c r="Q40" s="39">
        <f>'_2021_VB_bez izmaiņām'!Q40*1.1</f>
        <v>2750</v>
      </c>
      <c r="R40" s="4">
        <f t="shared" si="5"/>
        <v>0</v>
      </c>
      <c r="S40" s="18">
        <f t="shared" si="26"/>
        <v>0</v>
      </c>
      <c r="T40" s="18">
        <f t="shared" si="26"/>
        <v>0</v>
      </c>
      <c r="U40" s="1"/>
      <c r="V40" s="1">
        <v>1</v>
      </c>
      <c r="W40" s="33" t="s">
        <v>126</v>
      </c>
    </row>
    <row r="41" spans="1:23" ht="22.5" customHeight="1" x14ac:dyDescent="0.25">
      <c r="A41" s="37">
        <v>33</v>
      </c>
      <c r="B41" s="38" t="s">
        <v>6</v>
      </c>
      <c r="C41" s="38" t="s">
        <v>81</v>
      </c>
      <c r="D41" s="37" t="s">
        <v>82</v>
      </c>
      <c r="E41" s="38" t="s">
        <v>9</v>
      </c>
      <c r="F41" s="38">
        <v>7</v>
      </c>
      <c r="G41" s="51" t="s">
        <v>112</v>
      </c>
      <c r="H41" s="56"/>
      <c r="I41" s="13">
        <f>'_2021_VB_bez izmaiņām'!S41</f>
        <v>0</v>
      </c>
      <c r="J41" s="13">
        <f>'_2021_VB_bez izmaiņām'!T41</f>
        <v>0</v>
      </c>
      <c r="K41" s="74">
        <f>ROUND('_2021_VB_bez izmaiņām'!K41*1.05,0)</f>
        <v>0</v>
      </c>
      <c r="L41" s="74">
        <f t="shared" si="23"/>
        <v>0</v>
      </c>
      <c r="M41" s="13">
        <f t="shared" si="25"/>
        <v>0</v>
      </c>
      <c r="N41" s="13">
        <f t="shared" si="25"/>
        <v>0</v>
      </c>
      <c r="O41" s="13">
        <f>ROUND('_2021_VB_bez izmaiņām'!O41*0.9,0)</f>
        <v>0</v>
      </c>
      <c r="P41" s="74">
        <f t="shared" si="24"/>
        <v>0</v>
      </c>
      <c r="Q41" s="39">
        <f>'_2021_VB_bez izmaiņām'!Q41*1.1</f>
        <v>2750</v>
      </c>
      <c r="R41" s="4">
        <f t="shared" si="5"/>
        <v>0</v>
      </c>
      <c r="S41" s="18">
        <f t="shared" si="26"/>
        <v>0</v>
      </c>
      <c r="T41" s="18">
        <f t="shared" si="26"/>
        <v>0</v>
      </c>
      <c r="U41" s="1"/>
      <c r="V41" s="1">
        <v>1</v>
      </c>
      <c r="W41" s="33" t="s">
        <v>126</v>
      </c>
    </row>
    <row r="42" spans="1:23" ht="30" customHeight="1" x14ac:dyDescent="0.25">
      <c r="A42" s="37">
        <v>34</v>
      </c>
      <c r="B42" s="38" t="s">
        <v>77</v>
      </c>
      <c r="C42" s="38" t="s">
        <v>78</v>
      </c>
      <c r="D42" s="37" t="s">
        <v>83</v>
      </c>
      <c r="E42" s="38" t="s">
        <v>9</v>
      </c>
      <c r="F42" s="38">
        <v>5</v>
      </c>
      <c r="G42" s="51" t="s">
        <v>74</v>
      </c>
      <c r="H42" s="56"/>
      <c r="I42" s="13">
        <f>'_2021_VB_bez izmaiņām'!S42</f>
        <v>250</v>
      </c>
      <c r="J42" s="13">
        <f>'_2021_VB_bez izmaiņām'!T42</f>
        <v>250</v>
      </c>
      <c r="K42" s="74">
        <f>ROUND('_2021_VB_bez izmaiņām'!K42*1.05,0)</f>
        <v>11</v>
      </c>
      <c r="L42" s="74">
        <f t="shared" si="23"/>
        <v>11</v>
      </c>
      <c r="M42" s="13">
        <f>I42+(K42*12)</f>
        <v>382</v>
      </c>
      <c r="N42" s="13">
        <f t="shared" si="25"/>
        <v>382</v>
      </c>
      <c r="O42" s="13">
        <f>ROUND('_2021_VB_bez izmaiņām'!O42*0.9,0)</f>
        <v>91</v>
      </c>
      <c r="P42" s="74">
        <f t="shared" si="24"/>
        <v>91</v>
      </c>
      <c r="Q42" s="39">
        <f>'_2021_VB_bez izmaiņām'!Q42*1.1</f>
        <v>77</v>
      </c>
      <c r="R42" s="4">
        <f t="shared" si="5"/>
        <v>7007</v>
      </c>
      <c r="S42" s="18">
        <f>M42-O42</f>
        <v>291</v>
      </c>
      <c r="T42" s="18">
        <f t="shared" si="26"/>
        <v>291</v>
      </c>
      <c r="U42" s="1">
        <v>1</v>
      </c>
      <c r="V42" s="1"/>
    </row>
    <row r="43" spans="1:23" ht="30" customHeight="1" x14ac:dyDescent="0.25">
      <c r="A43" s="37">
        <v>35</v>
      </c>
      <c r="B43" s="38" t="s">
        <v>182</v>
      </c>
      <c r="C43" s="38" t="s">
        <v>183</v>
      </c>
      <c r="D43" s="37" t="s">
        <v>184</v>
      </c>
      <c r="E43" s="38" t="s">
        <v>9</v>
      </c>
      <c r="F43" s="38">
        <v>5</v>
      </c>
      <c r="G43" s="51" t="s">
        <v>185</v>
      </c>
      <c r="H43" s="56"/>
      <c r="I43" s="13">
        <f>'_2021_VB_bez izmaiņām'!S43</f>
        <v>90</v>
      </c>
      <c r="J43" s="13">
        <f>'_2021_VB_bez izmaiņām'!T43</f>
        <v>90</v>
      </c>
      <c r="K43" s="74">
        <f>ROUND('_2021_VB_bez izmaiņām'!K43*1.05,0)</f>
        <v>16</v>
      </c>
      <c r="L43" s="74">
        <f t="shared" si="23"/>
        <v>16</v>
      </c>
      <c r="M43" s="13">
        <f>I43+(K43*12)</f>
        <v>282</v>
      </c>
      <c r="N43" s="13">
        <f t="shared" si="25"/>
        <v>282</v>
      </c>
      <c r="O43" s="13">
        <f>ROUND('_2021_VB_bez izmaiņām'!O43*0.9,0)</f>
        <v>81</v>
      </c>
      <c r="P43" s="74">
        <f t="shared" si="24"/>
        <v>81</v>
      </c>
      <c r="Q43" s="39">
        <f>'_2021_VB_bez izmaiņām'!Q43*1.1</f>
        <v>205.70000000000002</v>
      </c>
      <c r="R43" s="4">
        <f>Q43*P43</f>
        <v>16661.7</v>
      </c>
      <c r="S43" s="18">
        <f>M43-O43</f>
        <v>201</v>
      </c>
      <c r="T43" s="18">
        <f t="shared" si="26"/>
        <v>201</v>
      </c>
      <c r="U43" s="1"/>
      <c r="V43" s="1"/>
    </row>
    <row r="44" spans="1:23" ht="63.75" customHeight="1" x14ac:dyDescent="0.25">
      <c r="A44" s="37">
        <v>36</v>
      </c>
      <c r="B44" s="38" t="s">
        <v>84</v>
      </c>
      <c r="C44" s="38" t="s">
        <v>79</v>
      </c>
      <c r="D44" s="37" t="s">
        <v>85</v>
      </c>
      <c r="E44" s="38" t="s">
        <v>9</v>
      </c>
      <c r="F44" s="38">
        <v>5</v>
      </c>
      <c r="G44" s="51" t="s">
        <v>86</v>
      </c>
      <c r="H44" s="56"/>
      <c r="I44" s="13">
        <f>'_2021_VB_bez izmaiņām'!S44</f>
        <v>35</v>
      </c>
      <c r="J44" s="13">
        <f>'_2021_VB_bez izmaiņām'!T44</f>
        <v>35</v>
      </c>
      <c r="K44" s="74">
        <f>ROUND('_2021_VB_bez izmaiņām'!K44*1.05,0)</f>
        <v>5</v>
      </c>
      <c r="L44" s="74">
        <f t="shared" si="23"/>
        <v>5</v>
      </c>
      <c r="M44" s="13">
        <f t="shared" si="25"/>
        <v>95</v>
      </c>
      <c r="N44" s="13">
        <f t="shared" si="25"/>
        <v>95</v>
      </c>
      <c r="O44" s="13">
        <f>ROUND('_2021_VB_bez izmaiņām'!O44*0.9,0)</f>
        <v>27</v>
      </c>
      <c r="P44" s="74">
        <f t="shared" si="24"/>
        <v>27</v>
      </c>
      <c r="Q44" s="39">
        <f>'_2021_VB_bez izmaiņām'!Q44*1.1</f>
        <v>170.36799999999999</v>
      </c>
      <c r="R44" s="4">
        <f t="shared" si="5"/>
        <v>4599.9359999999997</v>
      </c>
      <c r="S44" s="18">
        <f t="shared" si="26"/>
        <v>68</v>
      </c>
      <c r="T44" s="18">
        <f t="shared" si="26"/>
        <v>68</v>
      </c>
      <c r="U44" s="1"/>
      <c r="V44" s="1">
        <v>1</v>
      </c>
    </row>
    <row r="45" spans="1:23" ht="53.25" customHeight="1" x14ac:dyDescent="0.25">
      <c r="A45" s="60">
        <v>37</v>
      </c>
      <c r="B45" s="59" t="s">
        <v>87</v>
      </c>
      <c r="C45" s="59" t="s">
        <v>88</v>
      </c>
      <c r="D45" s="58" t="s">
        <v>89</v>
      </c>
      <c r="E45" s="59" t="s">
        <v>9</v>
      </c>
      <c r="F45" s="59">
        <v>5</v>
      </c>
      <c r="G45" s="61" t="s">
        <v>10</v>
      </c>
      <c r="H45" s="57"/>
      <c r="I45" s="13">
        <f>'_2021_VB_bez izmaiņām'!S45</f>
        <v>63</v>
      </c>
      <c r="J45" s="13">
        <f>'_2021_VB_bez izmaiņām'!T45</f>
        <v>63</v>
      </c>
      <c r="K45" s="74">
        <f>ROUND('_2021_VB_bez izmaiņām'!K45*1.05,0)</f>
        <v>7</v>
      </c>
      <c r="L45" s="74">
        <f t="shared" si="23"/>
        <v>7</v>
      </c>
      <c r="M45" s="13">
        <f t="shared" si="25"/>
        <v>147</v>
      </c>
      <c r="N45" s="13">
        <f t="shared" si="25"/>
        <v>147</v>
      </c>
      <c r="O45" s="13">
        <f>ROUND('_2021_VB_bez izmaiņām'!O45*0.9,0)</f>
        <v>13</v>
      </c>
      <c r="P45" s="74">
        <f t="shared" si="24"/>
        <v>13</v>
      </c>
      <c r="Q45" s="39">
        <f>'_2021_VB_bez izmaiņām'!Q45*1.1</f>
        <v>1396.2190000000001</v>
      </c>
      <c r="R45" s="4">
        <f t="shared" si="5"/>
        <v>18150.847000000002</v>
      </c>
      <c r="S45" s="18">
        <f t="shared" si="26"/>
        <v>134</v>
      </c>
      <c r="T45" s="18">
        <f t="shared" si="26"/>
        <v>134</v>
      </c>
      <c r="U45" s="1"/>
      <c r="V45" s="1">
        <v>1</v>
      </c>
    </row>
    <row r="46" spans="1:23" x14ac:dyDescent="0.25">
      <c r="A46" s="37">
        <v>38</v>
      </c>
      <c r="B46" s="38" t="s">
        <v>87</v>
      </c>
      <c r="C46" s="38" t="s">
        <v>90</v>
      </c>
      <c r="D46" s="37" t="s">
        <v>113</v>
      </c>
      <c r="E46" s="38" t="s">
        <v>9</v>
      </c>
      <c r="F46" s="38">
        <v>5</v>
      </c>
      <c r="G46" s="51" t="s">
        <v>10</v>
      </c>
      <c r="H46" s="56"/>
      <c r="I46" s="13">
        <f>'_2021_VB_bez izmaiņām'!S46</f>
        <v>95</v>
      </c>
      <c r="J46" s="13">
        <f>'_2021_VB_bez izmaiņām'!T46</f>
        <v>95</v>
      </c>
      <c r="K46" s="74">
        <f>ROUND('_2021_VB_bez izmaiņām'!K46*1.05,0)</f>
        <v>10</v>
      </c>
      <c r="L46" s="74">
        <f t="shared" si="23"/>
        <v>10</v>
      </c>
      <c r="M46" s="13">
        <f t="shared" si="25"/>
        <v>215</v>
      </c>
      <c r="N46" s="13">
        <f t="shared" si="25"/>
        <v>215</v>
      </c>
      <c r="O46" s="13">
        <f>ROUND('_2021_VB_bez izmaiņām'!O46*0.9,0)</f>
        <v>19</v>
      </c>
      <c r="P46" s="74">
        <f t="shared" si="24"/>
        <v>19</v>
      </c>
      <c r="Q46" s="39">
        <f>'_2021_VB_bez izmaiņām'!Q46*1.1</f>
        <v>550</v>
      </c>
      <c r="R46" s="4">
        <f t="shared" si="5"/>
        <v>10450</v>
      </c>
      <c r="S46" s="18">
        <f t="shared" si="26"/>
        <v>196</v>
      </c>
      <c r="T46" s="18">
        <f t="shared" si="26"/>
        <v>196</v>
      </c>
      <c r="U46" s="1"/>
      <c r="V46" s="1">
        <v>1</v>
      </c>
      <c r="W46" s="33" t="s">
        <v>109</v>
      </c>
    </row>
    <row r="47" spans="1:23" ht="20.25" customHeight="1" x14ac:dyDescent="0.25">
      <c r="A47" s="48"/>
      <c r="B47" s="49"/>
      <c r="C47" s="50">
        <v>27</v>
      </c>
      <c r="D47" s="91" t="s">
        <v>91</v>
      </c>
      <c r="E47" s="91"/>
      <c r="F47" s="91"/>
      <c r="G47" s="91"/>
      <c r="H47" s="137"/>
      <c r="I47" s="10">
        <f>'_2021_VB_bez izmaiņām'!S47</f>
        <v>91</v>
      </c>
      <c r="J47" s="10">
        <f>'_2021_VB_bez izmaiņām'!T47</f>
        <v>91</v>
      </c>
      <c r="K47" s="10">
        <f>ROUND('_2021_VB_bez izmaiņām'!K47*1.05,0)</f>
        <v>14</v>
      </c>
      <c r="L47" s="10">
        <f t="shared" ref="L47" si="27">L48+L49</f>
        <v>13</v>
      </c>
      <c r="M47" s="10">
        <f t="shared" ref="M47:R47" si="28">M48+M49</f>
        <v>247</v>
      </c>
      <c r="N47" s="10">
        <f t="shared" si="28"/>
        <v>247</v>
      </c>
      <c r="O47" s="10">
        <f>ROUND('_2021_VB_bez izmaiņām'!O47*0.9,0)</f>
        <v>70</v>
      </c>
      <c r="P47" s="10">
        <f t="shared" si="28"/>
        <v>71</v>
      </c>
      <c r="Q47" s="73" t="s">
        <v>119</v>
      </c>
      <c r="R47" s="3">
        <f t="shared" si="28"/>
        <v>6541.8650000000016</v>
      </c>
      <c r="S47" s="10">
        <f>S48+S49</f>
        <v>176</v>
      </c>
      <c r="T47" s="10">
        <f>T48+T49</f>
        <v>176</v>
      </c>
      <c r="U47" s="8"/>
      <c r="V47" s="8">
        <v>1</v>
      </c>
    </row>
    <row r="48" spans="1:23" ht="30" x14ac:dyDescent="0.25">
      <c r="A48" s="37">
        <v>39</v>
      </c>
      <c r="B48" s="38" t="s">
        <v>6</v>
      </c>
      <c r="C48" s="38" t="s">
        <v>92</v>
      </c>
      <c r="D48" s="37" t="s">
        <v>93</v>
      </c>
      <c r="E48" s="38" t="s">
        <v>9</v>
      </c>
      <c r="F48" s="38">
        <v>3</v>
      </c>
      <c r="G48" s="51" t="s">
        <v>10</v>
      </c>
      <c r="H48" s="56"/>
      <c r="I48" s="13">
        <f>'_2021_VB_bez izmaiņām'!S48</f>
        <v>64</v>
      </c>
      <c r="J48" s="13">
        <f>'_2021_VB_bez izmaiņām'!T48</f>
        <v>64</v>
      </c>
      <c r="K48" s="74">
        <f>ROUND('_2021_VB_bez izmaiņām'!K48*1.05,0)</f>
        <v>9</v>
      </c>
      <c r="L48" s="74">
        <f t="shared" si="23"/>
        <v>9</v>
      </c>
      <c r="M48" s="13">
        <f t="shared" ref="M48:N49" si="29">I48+(K48*12)</f>
        <v>172</v>
      </c>
      <c r="N48" s="13">
        <f t="shared" si="29"/>
        <v>172</v>
      </c>
      <c r="O48" s="13">
        <f>ROUND('_2021_VB_bez izmaiņām'!O48*0.9,0)</f>
        <v>50</v>
      </c>
      <c r="P48" s="74">
        <f t="shared" si="24"/>
        <v>50</v>
      </c>
      <c r="Q48" s="39">
        <f>'_2021_VB_bez izmaiņām'!Q48*1.1</f>
        <v>38.599000000000004</v>
      </c>
      <c r="R48" s="4">
        <f t="shared" si="5"/>
        <v>1929.9500000000003</v>
      </c>
      <c r="S48" s="18">
        <f t="shared" ref="S48:T49" si="30">M48-O48</f>
        <v>122</v>
      </c>
      <c r="T48" s="18">
        <f t="shared" si="30"/>
        <v>122</v>
      </c>
      <c r="U48" s="1"/>
      <c r="V48" s="1">
        <v>1</v>
      </c>
    </row>
    <row r="49" spans="1:24" x14ac:dyDescent="0.25">
      <c r="A49" s="37">
        <v>40</v>
      </c>
      <c r="B49" s="38" t="s">
        <v>6</v>
      </c>
      <c r="C49" s="38" t="s">
        <v>94</v>
      </c>
      <c r="D49" s="37" t="s">
        <v>95</v>
      </c>
      <c r="E49" s="38" t="s">
        <v>9</v>
      </c>
      <c r="F49" s="38">
        <v>5</v>
      </c>
      <c r="G49" s="51" t="s">
        <v>10</v>
      </c>
      <c r="H49" s="56"/>
      <c r="I49" s="13">
        <f>'_2021_VB_bez izmaiņām'!S49</f>
        <v>27</v>
      </c>
      <c r="J49" s="13">
        <f>'_2021_VB_bez izmaiņām'!T49</f>
        <v>27</v>
      </c>
      <c r="K49" s="74">
        <f>ROUND('_2021_VB_bez izmaiņām'!K49*1.05,0)</f>
        <v>4</v>
      </c>
      <c r="L49" s="74">
        <f t="shared" si="23"/>
        <v>4</v>
      </c>
      <c r="M49" s="13">
        <f t="shared" si="29"/>
        <v>75</v>
      </c>
      <c r="N49" s="13">
        <f t="shared" si="29"/>
        <v>75</v>
      </c>
      <c r="O49" s="13">
        <f>ROUND('_2021_VB_bez izmaiņām'!O49*0.9,0)</f>
        <v>21</v>
      </c>
      <c r="P49" s="74">
        <f t="shared" si="24"/>
        <v>21</v>
      </c>
      <c r="Q49" s="39">
        <f>'_2021_VB_bez izmaiņām'!Q49*1.1</f>
        <v>219.61500000000004</v>
      </c>
      <c r="R49" s="4">
        <f t="shared" si="5"/>
        <v>4611.9150000000009</v>
      </c>
      <c r="S49" s="18">
        <f t="shared" si="30"/>
        <v>54</v>
      </c>
      <c r="T49" s="18">
        <f t="shared" si="30"/>
        <v>54</v>
      </c>
      <c r="U49" s="1"/>
      <c r="V49" s="1">
        <v>1</v>
      </c>
    </row>
    <row r="50" spans="1:24" x14ac:dyDescent="0.25">
      <c r="I50" s="20">
        <f t="shared" ref="I50:P50" si="31">I6+I11+I13+I16+I19+I47</f>
        <v>5295</v>
      </c>
      <c r="J50" s="20">
        <f t="shared" si="31"/>
        <v>6914</v>
      </c>
      <c r="K50" s="20">
        <f t="shared" si="31"/>
        <v>603</v>
      </c>
      <c r="L50" s="20">
        <f t="shared" si="31"/>
        <v>729</v>
      </c>
      <c r="M50" s="20">
        <f t="shared" si="31"/>
        <v>12531</v>
      </c>
      <c r="N50" s="20">
        <f t="shared" si="31"/>
        <v>15662</v>
      </c>
      <c r="O50" s="20">
        <f t="shared" si="31"/>
        <v>5458</v>
      </c>
      <c r="P50" s="20">
        <f t="shared" si="31"/>
        <v>7254</v>
      </c>
      <c r="Q50" s="26" t="s">
        <v>119</v>
      </c>
      <c r="R50" s="20">
        <f>R6+R11+R13+R16+R19+R47</f>
        <v>1894718.0010000002</v>
      </c>
      <c r="S50" s="20">
        <f>S6+S11+S13+S16+S19+S47</f>
        <v>7025</v>
      </c>
      <c r="T50" s="20">
        <f>T6+T11+T13+T16+T19+T47</f>
        <v>8408</v>
      </c>
      <c r="X50" s="131"/>
    </row>
    <row r="51" spans="1:24" x14ac:dyDescent="0.25">
      <c r="I51" s="21">
        <f>I25+I26+I27+I28+I35+I36+I37+I38+I42+I43</f>
        <v>3741</v>
      </c>
      <c r="J51" s="21">
        <f t="shared" ref="J51:P51" si="32">J25+J26+J27+J28+J35+J36+J37+J38+J42+J43</f>
        <v>5360</v>
      </c>
      <c r="K51" s="21">
        <f t="shared" si="32"/>
        <v>283</v>
      </c>
      <c r="L51" s="21">
        <f t="shared" si="32"/>
        <v>409</v>
      </c>
      <c r="M51" s="21">
        <f t="shared" si="32"/>
        <v>7137</v>
      </c>
      <c r="N51" s="21">
        <f t="shared" si="32"/>
        <v>10268</v>
      </c>
      <c r="O51" s="21">
        <f t="shared" si="32"/>
        <v>3334</v>
      </c>
      <c r="P51" s="21">
        <f t="shared" si="32"/>
        <v>5082</v>
      </c>
      <c r="Q51" s="21"/>
      <c r="R51" s="21">
        <f>R25+R26+R27+R28+R35+R36+R37+R38+R42+R43</f>
        <v>1166981.0039999997</v>
      </c>
      <c r="S51" s="21">
        <f>S25+S26+S27+S28+S35+S36+S37+S38+S42+S43</f>
        <v>3803</v>
      </c>
      <c r="T51" s="21">
        <f>T25+T26+T27+T28+T35+T36+T37+T38+T42+T43</f>
        <v>5186</v>
      </c>
    </row>
    <row r="52" spans="1:24" x14ac:dyDescent="0.25">
      <c r="P52" s="89" t="s">
        <v>131</v>
      </c>
      <c r="Q52" s="90" t="s">
        <v>131</v>
      </c>
      <c r="R52" s="21">
        <v>1166981</v>
      </c>
    </row>
    <row r="53" spans="1:24" x14ac:dyDescent="0.25">
      <c r="P53" s="89" t="s">
        <v>132</v>
      </c>
      <c r="Q53" s="90" t="s">
        <v>132</v>
      </c>
      <c r="R53" s="21">
        <f>R51-R52</f>
        <v>3.9999997243285179E-3</v>
      </c>
    </row>
    <row r="55" spans="1:24" x14ac:dyDescent="0.25">
      <c r="I55" s="21">
        <f t="shared" ref="I55:P55" si="33">I7+I8+I9+I10+I12+I14+I15+I17+I18+I20+I21+I22+I23+I24+I29+I30+I31+I32+I33+I34+I39+I40+I41+I44+I46+I48+I49+I45</f>
        <v>1554</v>
      </c>
      <c r="J55" s="21">
        <f t="shared" si="33"/>
        <v>1554</v>
      </c>
      <c r="K55" s="21">
        <f t="shared" si="33"/>
        <v>320</v>
      </c>
      <c r="L55" s="21">
        <f t="shared" si="33"/>
        <v>320</v>
      </c>
      <c r="M55" s="21">
        <f t="shared" si="33"/>
        <v>5394</v>
      </c>
      <c r="N55" s="21">
        <f t="shared" si="33"/>
        <v>5394</v>
      </c>
      <c r="O55" s="21">
        <f t="shared" si="33"/>
        <v>2172</v>
      </c>
      <c r="P55" s="21">
        <f t="shared" si="33"/>
        <v>2172</v>
      </c>
      <c r="Q55" s="21"/>
      <c r="R55" s="21">
        <f>R7+R8+R9+R10+R12+R14+R15+R17+R18+R20+R21+R22+R23+R24+R29+R30+R31+R32+R33+R34+R39+R40+R41+R44+R46+R48+R49+R45</f>
        <v>727736.99699999997</v>
      </c>
      <c r="S55" s="21">
        <f>S7+S8+S9+S10+S12+S14+S15+S17+S18+S20+S21+S22+S23+S24+S29+S30+S31+S32+S33+S34+S39+S40+S41+S44+S46+S48+S49+S45</f>
        <v>3222</v>
      </c>
      <c r="T55" s="21">
        <f t="shared" ref="T55" si="34">T7+T8+T9+T10+T12+T14+T15+T17+T18+T20+T21+T22+T23+T24+T29+T30+T31+T32+T33+T34+T39+T40+T41+T44+T46+T48+T49+T45</f>
        <v>3222</v>
      </c>
      <c r="U55" s="21"/>
      <c r="V55" s="21"/>
      <c r="W55" s="21"/>
    </row>
    <row r="56" spans="1:24" x14ac:dyDescent="0.25">
      <c r="P56" s="89" t="s">
        <v>133</v>
      </c>
      <c r="Q56" s="90" t="s">
        <v>131</v>
      </c>
      <c r="R56" s="55">
        <v>727737</v>
      </c>
    </row>
    <row r="57" spans="1:24" x14ac:dyDescent="0.25">
      <c r="P57" s="89" t="s">
        <v>134</v>
      </c>
      <c r="Q57" s="90" t="s">
        <v>132</v>
      </c>
      <c r="R57" s="21">
        <f>R55-R56</f>
        <v>-3.0000000260770321E-3</v>
      </c>
    </row>
    <row r="59" spans="1:24" x14ac:dyDescent="0.25">
      <c r="Q59" s="139" t="s">
        <v>135</v>
      </c>
      <c r="R59" s="21">
        <f>R52+R56</f>
        <v>1894718</v>
      </c>
    </row>
    <row r="60" spans="1:24" ht="19.5" x14ac:dyDescent="0.25">
      <c r="O60" s="140"/>
      <c r="P60" s="140"/>
      <c r="Q60" s="141" t="s">
        <v>163</v>
      </c>
      <c r="R60" s="142">
        <f>R50-R59</f>
        <v>1.0000001639127731E-3</v>
      </c>
    </row>
    <row r="61" spans="1:24" x14ac:dyDescent="0.25">
      <c r="R61" s="21">
        <f>R50-R52-R56-R57-R53</f>
        <v>4.6566128730773926E-10</v>
      </c>
    </row>
    <row r="62" spans="1:24" x14ac:dyDescent="0.25">
      <c r="I62" s="21">
        <f>I50-I51-I55</f>
        <v>0</v>
      </c>
      <c r="J62" s="21">
        <f t="shared" ref="J62:P62" si="35">J50-J51-J55</f>
        <v>0</v>
      </c>
      <c r="K62" s="21">
        <f t="shared" si="35"/>
        <v>0</v>
      </c>
      <c r="L62" s="21">
        <f t="shared" si="35"/>
        <v>0</v>
      </c>
      <c r="M62" s="21">
        <f t="shared" si="35"/>
        <v>0</v>
      </c>
      <c r="N62" s="21">
        <f t="shared" si="35"/>
        <v>0</v>
      </c>
      <c r="O62" s="21">
        <f t="shared" si="35"/>
        <v>-48</v>
      </c>
      <c r="P62" s="21">
        <f t="shared" si="35"/>
        <v>0</v>
      </c>
      <c r="Q62" s="21"/>
      <c r="R62" s="21">
        <f>R50-R51-R55</f>
        <v>0</v>
      </c>
      <c r="S62" s="21">
        <f>S50-S51-S55</f>
        <v>0</v>
      </c>
      <c r="T62" s="21">
        <f>T50-T51-T55</f>
        <v>0</v>
      </c>
    </row>
    <row r="64" spans="1:24" x14ac:dyDescent="0.25">
      <c r="I64" s="21"/>
      <c r="J64" s="21"/>
      <c r="K64" s="21"/>
      <c r="L64" s="21"/>
      <c r="M64" s="21"/>
      <c r="N64" s="21"/>
      <c r="O64" s="21"/>
      <c r="P64" s="21"/>
      <c r="Q64" s="21"/>
      <c r="R64" s="21"/>
      <c r="S64" s="21"/>
      <c r="T64" s="21"/>
      <c r="U64" s="21"/>
    </row>
  </sheetData>
  <autoFilter ref="A5:Z5" xr:uid="{D1B79ED2-EAB1-4B47-B3F6-DBA429A86CFF}"/>
  <mergeCells count="20">
    <mergeCell ref="A1:T1"/>
    <mergeCell ref="I2:R2"/>
    <mergeCell ref="A3:G3"/>
    <mergeCell ref="I3:J3"/>
    <mergeCell ref="K3:L3"/>
    <mergeCell ref="M3:N3"/>
    <mergeCell ref="O3:P3"/>
    <mergeCell ref="Q3:Q4"/>
    <mergeCell ref="R3:R4"/>
    <mergeCell ref="S3:T3"/>
    <mergeCell ref="P52:Q52"/>
    <mergeCell ref="P53:Q53"/>
    <mergeCell ref="P56:Q56"/>
    <mergeCell ref="P57:Q57"/>
    <mergeCell ref="D6:G6"/>
    <mergeCell ref="D11:G11"/>
    <mergeCell ref="D13:G13"/>
    <mergeCell ref="D16:G16"/>
    <mergeCell ref="D19:G19"/>
    <mergeCell ref="D47:G47"/>
  </mergeCells>
  <pageMargins left="0.51181102362204722" right="0.31496062992125984" top="0.94488188976377963" bottom="0.59055118110236227" header="0.31496062992125984" footer="0.31496062992125984"/>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6E355-68FA-419A-AB08-4A6CEAFCB092}">
  <sheetPr>
    <tabColor theme="0" tint="-0.249977111117893"/>
  </sheetPr>
  <dimension ref="A1:Z64"/>
  <sheetViews>
    <sheetView zoomScale="60" zoomScaleNormal="60" workbookViewId="0">
      <pane ySplit="5" topLeftCell="A57" activePane="bottomLeft" state="frozen"/>
      <selection activeCell="D1" sqref="D1"/>
      <selection pane="bottomLeft" activeCell="R76" sqref="R76"/>
    </sheetView>
  </sheetViews>
  <sheetFormatPr defaultColWidth="9.140625" defaultRowHeight="15" x14ac:dyDescent="0.25"/>
  <cols>
    <col min="1" max="1" width="4" style="53" customWidth="1"/>
    <col min="2" max="2" width="13" style="54" customWidth="1"/>
    <col min="3" max="3" width="11.7109375" style="54" customWidth="1"/>
    <col min="4" max="4" width="31.140625" style="53" customWidth="1"/>
    <col min="5" max="5" width="12.140625" style="54" customWidth="1"/>
    <col min="6" max="6" width="8.85546875" style="54" customWidth="1"/>
    <col min="7" max="7" width="33.85546875" style="55" customWidth="1"/>
    <col min="8" max="8" width="2.140625" style="55" customWidth="1"/>
    <col min="9" max="16" width="9.140625" style="55" customWidth="1"/>
    <col min="17" max="17" width="9.140625" style="139" customWidth="1"/>
    <col min="18" max="18" width="14.7109375" style="55" customWidth="1"/>
    <col min="19" max="20" width="9.140625" style="55" customWidth="1"/>
    <col min="21" max="22" width="5.42578125" style="9" hidden="1" customWidth="1"/>
    <col min="23" max="23" width="50" style="33" hidden="1" customWidth="1"/>
    <col min="24" max="24" width="20.140625" style="53" customWidth="1"/>
    <col min="25" max="25" width="16" style="53" customWidth="1"/>
    <col min="26" max="26" width="10.85546875" style="53" bestFit="1" customWidth="1"/>
    <col min="27" max="16384" width="9.140625" style="53"/>
  </cols>
  <sheetData>
    <row r="1" spans="1:26" ht="54" customHeight="1" x14ac:dyDescent="0.25">
      <c r="A1" s="128" t="s">
        <v>200</v>
      </c>
      <c r="B1" s="128"/>
      <c r="C1" s="128"/>
      <c r="D1" s="128"/>
      <c r="E1" s="128"/>
      <c r="F1" s="128"/>
      <c r="G1" s="128"/>
      <c r="H1" s="128"/>
      <c r="I1" s="128"/>
      <c r="J1" s="128"/>
      <c r="K1" s="128"/>
      <c r="L1" s="128"/>
      <c r="M1" s="128"/>
      <c r="N1" s="128"/>
      <c r="O1" s="128"/>
      <c r="P1" s="128"/>
      <c r="Q1" s="128"/>
      <c r="R1" s="128"/>
      <c r="S1" s="128"/>
      <c r="T1" s="128"/>
      <c r="X1" s="129"/>
      <c r="Y1" s="130"/>
      <c r="Z1" s="131"/>
    </row>
    <row r="2" spans="1:26" s="43" customFormat="1" ht="18.75" x14ac:dyDescent="0.3">
      <c r="B2" s="44"/>
      <c r="C2" s="44"/>
      <c r="E2" s="44"/>
      <c r="F2" s="44"/>
      <c r="G2" s="45"/>
      <c r="H2" s="45"/>
      <c r="I2" s="92" t="s">
        <v>192</v>
      </c>
      <c r="J2" s="93"/>
      <c r="K2" s="93"/>
      <c r="L2" s="93"/>
      <c r="M2" s="93"/>
      <c r="N2" s="93"/>
      <c r="O2" s="93"/>
      <c r="P2" s="93"/>
      <c r="Q2" s="94"/>
      <c r="R2" s="95"/>
      <c r="S2" s="45"/>
      <c r="T2" s="132"/>
      <c r="U2" s="31"/>
      <c r="V2" s="31"/>
      <c r="W2" s="133"/>
      <c r="X2" s="134"/>
      <c r="Y2" s="135"/>
      <c r="Z2" s="135"/>
    </row>
    <row r="3" spans="1:26" ht="27.75" customHeight="1" x14ac:dyDescent="0.25">
      <c r="A3" s="96" t="s">
        <v>100</v>
      </c>
      <c r="B3" s="96"/>
      <c r="C3" s="96"/>
      <c r="D3" s="96"/>
      <c r="E3" s="96"/>
      <c r="F3" s="96"/>
      <c r="G3" s="96"/>
      <c r="H3" s="7"/>
      <c r="I3" s="97" t="s">
        <v>138</v>
      </c>
      <c r="J3" s="97"/>
      <c r="K3" s="97" t="s">
        <v>167</v>
      </c>
      <c r="L3" s="97"/>
      <c r="M3" s="98" t="s">
        <v>169</v>
      </c>
      <c r="N3" s="98"/>
      <c r="O3" s="98" t="s">
        <v>128</v>
      </c>
      <c r="P3" s="98"/>
      <c r="Q3" s="99" t="s">
        <v>129</v>
      </c>
      <c r="R3" s="100" t="s">
        <v>170</v>
      </c>
      <c r="S3" s="97" t="s">
        <v>171</v>
      </c>
      <c r="T3" s="97"/>
      <c r="U3" s="7"/>
      <c r="V3" s="7"/>
      <c r="W3" s="76"/>
      <c r="Z3" s="130"/>
    </row>
    <row r="4" spans="1:26" ht="150.75" customHeight="1" x14ac:dyDescent="0.2">
      <c r="A4" s="46" t="s">
        <v>96</v>
      </c>
      <c r="B4" s="2" t="s">
        <v>0</v>
      </c>
      <c r="C4" s="2" t="s">
        <v>101</v>
      </c>
      <c r="D4" s="46" t="s">
        <v>1</v>
      </c>
      <c r="E4" s="2" t="s">
        <v>2</v>
      </c>
      <c r="F4" s="2" t="s">
        <v>3</v>
      </c>
      <c r="G4" s="47" t="s">
        <v>4</v>
      </c>
      <c r="H4" s="136"/>
      <c r="I4" s="2" t="s">
        <v>127</v>
      </c>
      <c r="J4" s="2" t="s">
        <v>187</v>
      </c>
      <c r="K4" s="2" t="s">
        <v>168</v>
      </c>
      <c r="L4" s="2" t="s">
        <v>188</v>
      </c>
      <c r="M4" s="88" t="s">
        <v>117</v>
      </c>
      <c r="N4" s="88" t="s">
        <v>118</v>
      </c>
      <c r="O4" s="88" t="s">
        <v>123</v>
      </c>
      <c r="P4" s="88" t="s">
        <v>124</v>
      </c>
      <c r="Q4" s="99"/>
      <c r="R4" s="100"/>
      <c r="S4" s="2" t="s">
        <v>127</v>
      </c>
      <c r="T4" s="2" t="s">
        <v>130</v>
      </c>
      <c r="U4" s="1" t="s">
        <v>115</v>
      </c>
      <c r="V4" s="1" t="s">
        <v>116</v>
      </c>
      <c r="W4" s="34" t="s">
        <v>114</v>
      </c>
    </row>
    <row r="5" spans="1:26" s="9" customFormat="1" ht="12" customHeight="1" x14ac:dyDescent="0.2">
      <c r="A5" s="2">
        <v>1</v>
      </c>
      <c r="B5" s="2">
        <v>2</v>
      </c>
      <c r="C5" s="2">
        <v>3</v>
      </c>
      <c r="D5" s="2">
        <v>4</v>
      </c>
      <c r="E5" s="2">
        <v>5</v>
      </c>
      <c r="F5" s="2">
        <v>6</v>
      </c>
      <c r="G5" s="2">
        <v>7</v>
      </c>
      <c r="H5" s="136"/>
      <c r="I5" s="1">
        <v>8</v>
      </c>
      <c r="J5" s="1">
        <v>9</v>
      </c>
      <c r="K5" s="1">
        <v>10</v>
      </c>
      <c r="L5" s="1">
        <v>11</v>
      </c>
      <c r="M5" s="1">
        <v>12</v>
      </c>
      <c r="N5" s="1">
        <v>13</v>
      </c>
      <c r="O5" s="1">
        <v>14</v>
      </c>
      <c r="P5" s="1">
        <v>15</v>
      </c>
      <c r="Q5" s="29">
        <v>16</v>
      </c>
      <c r="R5" s="1">
        <v>17</v>
      </c>
      <c r="S5" s="2">
        <v>18</v>
      </c>
      <c r="T5" s="2">
        <v>19</v>
      </c>
      <c r="U5" s="1"/>
      <c r="V5" s="1"/>
      <c r="W5" s="34"/>
    </row>
    <row r="6" spans="1:26" ht="18" customHeight="1" x14ac:dyDescent="0.25">
      <c r="A6" s="48"/>
      <c r="B6" s="49"/>
      <c r="C6" s="50">
        <v>4</v>
      </c>
      <c r="D6" s="91" t="s">
        <v>5</v>
      </c>
      <c r="E6" s="91"/>
      <c r="F6" s="91"/>
      <c r="G6" s="91"/>
      <c r="H6" s="137"/>
      <c r="I6" s="10">
        <f>'_2022_VB_bez izmaiņām'!S6</f>
        <v>637</v>
      </c>
      <c r="J6" s="10">
        <f>'_2022_VB_bez izmaiņām'!T6</f>
        <v>637</v>
      </c>
      <c r="K6" s="10">
        <f>ROUND('_2022_VB_bez izmaiņām'!K6*1.05,0)</f>
        <v>58</v>
      </c>
      <c r="L6" s="10">
        <f t="shared" ref="L6:R6" si="0">L7+L8+L9+L10</f>
        <v>58</v>
      </c>
      <c r="M6" s="10">
        <f t="shared" si="0"/>
        <v>1333</v>
      </c>
      <c r="N6" s="10">
        <f t="shared" si="0"/>
        <v>1333</v>
      </c>
      <c r="O6" s="10">
        <f>ROUND('_2022_VB_bez izmaiņām'!O6*0.9,0)</f>
        <v>304</v>
      </c>
      <c r="P6" s="10">
        <f t="shared" si="0"/>
        <v>306</v>
      </c>
      <c r="Q6" s="73" t="s">
        <v>119</v>
      </c>
      <c r="R6" s="3">
        <f t="shared" si="0"/>
        <v>24977.667000000005</v>
      </c>
      <c r="S6" s="10">
        <f>S7+S8+S9+S10</f>
        <v>1027</v>
      </c>
      <c r="T6" s="10">
        <f>T7+T8+T9+T10</f>
        <v>1027</v>
      </c>
      <c r="U6" s="8"/>
      <c r="V6" s="8">
        <v>1</v>
      </c>
    </row>
    <row r="7" spans="1:26" ht="27.75" customHeight="1" x14ac:dyDescent="0.25">
      <c r="A7" s="37">
        <v>1</v>
      </c>
      <c r="B7" s="38" t="s">
        <v>6</v>
      </c>
      <c r="C7" s="38" t="s">
        <v>7</v>
      </c>
      <c r="D7" s="37" t="s">
        <v>8</v>
      </c>
      <c r="E7" s="38" t="s">
        <v>9</v>
      </c>
      <c r="F7" s="38" t="s">
        <v>97</v>
      </c>
      <c r="G7" s="51" t="s">
        <v>10</v>
      </c>
      <c r="H7" s="56"/>
      <c r="I7" s="13">
        <f>'_2022_VB_bez izmaiņām'!S7</f>
        <v>125</v>
      </c>
      <c r="J7" s="13">
        <f>'_2022_VB_bez izmaiņām'!T7</f>
        <v>125</v>
      </c>
      <c r="K7" s="74">
        <f>ROUND('_2022_VB_bez izmaiņām'!K7*1.05,0)</f>
        <v>18</v>
      </c>
      <c r="L7" s="74">
        <f>K7</f>
        <v>18</v>
      </c>
      <c r="M7" s="13">
        <f>I7+(K7*12)</f>
        <v>341</v>
      </c>
      <c r="N7" s="13">
        <f>J7+(L7*12)</f>
        <v>341</v>
      </c>
      <c r="O7" s="13">
        <f>ROUND('_2022_VB_bez izmaiņām'!O7*0.9,0)</f>
        <v>131</v>
      </c>
      <c r="P7" s="74">
        <f>O7</f>
        <v>131</v>
      </c>
      <c r="Q7" s="39">
        <f>'_2022_VB_bez izmaiņām'!Q7*1.1</f>
        <v>101.64000000000001</v>
      </c>
      <c r="R7" s="4">
        <f>Q7*P7</f>
        <v>13314.840000000002</v>
      </c>
      <c r="S7" s="18">
        <f>M7-O7</f>
        <v>210</v>
      </c>
      <c r="T7" s="18">
        <f>N7-P7</f>
        <v>210</v>
      </c>
      <c r="U7" s="1"/>
      <c r="V7" s="1">
        <v>1</v>
      </c>
      <c r="W7" s="33" t="s">
        <v>102</v>
      </c>
      <c r="X7" s="138"/>
    </row>
    <row r="8" spans="1:26" ht="18" customHeight="1" x14ac:dyDescent="0.25">
      <c r="A8" s="37">
        <v>2</v>
      </c>
      <c r="B8" s="38" t="s">
        <v>6</v>
      </c>
      <c r="C8" s="38" t="s">
        <v>11</v>
      </c>
      <c r="D8" s="37" t="s">
        <v>12</v>
      </c>
      <c r="E8" s="38" t="s">
        <v>9</v>
      </c>
      <c r="F8" s="38">
        <v>5</v>
      </c>
      <c r="G8" s="51" t="s">
        <v>10</v>
      </c>
      <c r="H8" s="56"/>
      <c r="I8" s="13">
        <f>'_2022_VB_bez izmaiņām'!S8</f>
        <v>108</v>
      </c>
      <c r="J8" s="13">
        <f>'_2022_VB_bez izmaiņām'!T8</f>
        <v>108</v>
      </c>
      <c r="K8" s="74">
        <f>ROUND('_2022_VB_bez izmaiņām'!K8*1.05,0)</f>
        <v>8</v>
      </c>
      <c r="L8" s="74">
        <f t="shared" ref="L8:L10" si="1">K8</f>
        <v>8</v>
      </c>
      <c r="M8" s="13">
        <f t="shared" ref="M8:N10" si="2">I8+(K8*12)</f>
        <v>204</v>
      </c>
      <c r="N8" s="13">
        <f t="shared" si="2"/>
        <v>204</v>
      </c>
      <c r="O8" s="13">
        <f>ROUND('_2022_VB_bez izmaiņām'!O8*0.9,0)</f>
        <v>39</v>
      </c>
      <c r="P8" s="74">
        <f t="shared" ref="P8:P10" si="3">O8</f>
        <v>39</v>
      </c>
      <c r="Q8" s="39">
        <f>'_2022_VB_bez izmaiņām'!Q8*1.1</f>
        <v>101.64000000000001</v>
      </c>
      <c r="R8" s="4">
        <f t="shared" ref="R8:R49" si="4">Q8*P8</f>
        <v>3963.9600000000005</v>
      </c>
      <c r="S8" s="18">
        <f t="shared" ref="S8:T10" si="5">M8-O8</f>
        <v>165</v>
      </c>
      <c r="T8" s="18">
        <f t="shared" si="5"/>
        <v>165</v>
      </c>
      <c r="U8" s="1"/>
      <c r="V8" s="1">
        <v>1</v>
      </c>
    </row>
    <row r="9" spans="1:26" ht="36" customHeight="1" x14ac:dyDescent="0.25">
      <c r="A9" s="37">
        <v>3</v>
      </c>
      <c r="B9" s="38" t="s">
        <v>13</v>
      </c>
      <c r="C9" s="38" t="s">
        <v>14</v>
      </c>
      <c r="D9" s="37" t="s">
        <v>15</v>
      </c>
      <c r="E9" s="38" t="s">
        <v>9</v>
      </c>
      <c r="F9" s="38">
        <v>2</v>
      </c>
      <c r="G9" s="51" t="s">
        <v>10</v>
      </c>
      <c r="H9" s="56"/>
      <c r="I9" s="13">
        <f>'_2022_VB_bez izmaiņām'!S9</f>
        <v>148</v>
      </c>
      <c r="J9" s="13">
        <f>'_2022_VB_bez izmaiņām'!T9</f>
        <v>148</v>
      </c>
      <c r="K9" s="74">
        <f>ROUND('_2022_VB_bez izmaiņām'!K9*1.05,0)</f>
        <v>12</v>
      </c>
      <c r="L9" s="74">
        <f t="shared" si="1"/>
        <v>12</v>
      </c>
      <c r="M9" s="13">
        <f t="shared" si="2"/>
        <v>292</v>
      </c>
      <c r="N9" s="13">
        <f t="shared" si="2"/>
        <v>292</v>
      </c>
      <c r="O9" s="13">
        <f>ROUND('_2022_VB_bez izmaiņām'!O9*0.9,0)</f>
        <v>50</v>
      </c>
      <c r="P9" s="74">
        <f t="shared" si="3"/>
        <v>50</v>
      </c>
      <c r="Q9" s="39">
        <f>'_2022_VB_bez izmaiņām'!Q9*1.1</f>
        <v>40.656000000000013</v>
      </c>
      <c r="R9" s="4">
        <f t="shared" si="4"/>
        <v>2032.8000000000006</v>
      </c>
      <c r="S9" s="18">
        <f t="shared" si="5"/>
        <v>242</v>
      </c>
      <c r="T9" s="18">
        <f t="shared" si="5"/>
        <v>242</v>
      </c>
      <c r="U9" s="1"/>
      <c r="V9" s="1">
        <v>1</v>
      </c>
    </row>
    <row r="10" spans="1:26" ht="18" customHeight="1" x14ac:dyDescent="0.25">
      <c r="A10" s="37">
        <v>4</v>
      </c>
      <c r="B10" s="38" t="s">
        <v>16</v>
      </c>
      <c r="C10" s="38" t="s">
        <v>17</v>
      </c>
      <c r="D10" s="37" t="s">
        <v>18</v>
      </c>
      <c r="E10" s="38" t="s">
        <v>9</v>
      </c>
      <c r="F10" s="38">
        <v>5</v>
      </c>
      <c r="G10" s="51" t="s">
        <v>10</v>
      </c>
      <c r="H10" s="56"/>
      <c r="I10" s="13">
        <f>'_2022_VB_bez izmaiņām'!S10</f>
        <v>256</v>
      </c>
      <c r="J10" s="13">
        <f>'_2022_VB_bez izmaiņām'!T10</f>
        <v>256</v>
      </c>
      <c r="K10" s="74">
        <f>ROUND('_2022_VB_bez izmaiņām'!K10*1.05,0)</f>
        <v>20</v>
      </c>
      <c r="L10" s="74">
        <f t="shared" si="1"/>
        <v>20</v>
      </c>
      <c r="M10" s="13">
        <f t="shared" si="2"/>
        <v>496</v>
      </c>
      <c r="N10" s="13">
        <f t="shared" si="2"/>
        <v>496</v>
      </c>
      <c r="O10" s="13">
        <f>ROUND('_2022_VB_bez izmaiņām'!O10*0.9,0)</f>
        <v>86</v>
      </c>
      <c r="P10" s="74">
        <f t="shared" si="3"/>
        <v>86</v>
      </c>
      <c r="Q10" s="39">
        <f>'_2022_VB_bez izmaiņām'!Q10*1.1</f>
        <v>65.884500000000017</v>
      </c>
      <c r="R10" s="4">
        <f t="shared" si="4"/>
        <v>5666.0670000000018</v>
      </c>
      <c r="S10" s="18">
        <f t="shared" si="5"/>
        <v>410</v>
      </c>
      <c r="T10" s="18">
        <f t="shared" si="5"/>
        <v>410</v>
      </c>
      <c r="U10" s="1"/>
      <c r="V10" s="1">
        <v>1</v>
      </c>
    </row>
    <row r="11" spans="1:26" ht="18" customHeight="1" x14ac:dyDescent="0.25">
      <c r="A11" s="48"/>
      <c r="B11" s="49"/>
      <c r="C11" s="50">
        <v>6</v>
      </c>
      <c r="D11" s="91" t="s">
        <v>19</v>
      </c>
      <c r="E11" s="91"/>
      <c r="F11" s="91"/>
      <c r="G11" s="91"/>
      <c r="H11" s="137"/>
      <c r="I11" s="14">
        <f>'_2022_VB_bez izmaiņām'!S11</f>
        <v>52</v>
      </c>
      <c r="J11" s="14">
        <f>'_2022_VB_bez izmaiņām'!T11</f>
        <v>52</v>
      </c>
      <c r="K11" s="14">
        <f>ROUND('_2022_VB_bez izmaiņām'!K11*1.05,0)</f>
        <v>48</v>
      </c>
      <c r="L11" s="14">
        <f t="shared" ref="L11:R11" si="6">L12</f>
        <v>48</v>
      </c>
      <c r="M11" s="14">
        <f t="shared" si="6"/>
        <v>628</v>
      </c>
      <c r="N11" s="14">
        <f t="shared" si="6"/>
        <v>628</v>
      </c>
      <c r="O11" s="14">
        <f>ROUND('_2022_VB_bez izmaiņām'!O11*0.9,0)</f>
        <v>450</v>
      </c>
      <c r="P11" s="14">
        <f t="shared" si="6"/>
        <v>470</v>
      </c>
      <c r="Q11" s="73" t="s">
        <v>119</v>
      </c>
      <c r="R11" s="5">
        <f t="shared" si="6"/>
        <v>317756.31300000002</v>
      </c>
      <c r="S11" s="14">
        <f>S12</f>
        <v>158</v>
      </c>
      <c r="T11" s="14">
        <f>T12</f>
        <v>158</v>
      </c>
      <c r="U11" s="8"/>
      <c r="V11" s="8">
        <v>1</v>
      </c>
    </row>
    <row r="12" spans="1:26" s="43" customFormat="1" ht="34.5" customHeight="1" x14ac:dyDescent="0.25">
      <c r="A12" s="35">
        <v>5</v>
      </c>
      <c r="B12" s="36" t="s">
        <v>20</v>
      </c>
      <c r="C12" s="36" t="s">
        <v>21</v>
      </c>
      <c r="D12" s="35" t="s">
        <v>22</v>
      </c>
      <c r="E12" s="36" t="s">
        <v>9</v>
      </c>
      <c r="F12" s="36">
        <v>2</v>
      </c>
      <c r="G12" s="52" t="s">
        <v>23</v>
      </c>
      <c r="H12" s="57"/>
      <c r="I12" s="13">
        <f>'_2022_VB_bez izmaiņām'!S12</f>
        <v>52</v>
      </c>
      <c r="J12" s="13">
        <f>'_2022_VB_bez izmaiņām'!T12</f>
        <v>52</v>
      </c>
      <c r="K12" s="74">
        <f>ROUND('_2022_VB_bez izmaiņām'!K12*1.05,0)</f>
        <v>48</v>
      </c>
      <c r="L12" s="74">
        <f>K12</f>
        <v>48</v>
      </c>
      <c r="M12" s="13">
        <f t="shared" ref="M12:N12" si="7">I12+(K12*12)</f>
        <v>628</v>
      </c>
      <c r="N12" s="13">
        <f t="shared" si="7"/>
        <v>628</v>
      </c>
      <c r="O12" s="13">
        <f>ROUND('_2022_VB_bez izmaiņām'!O12*0.9,0)+10</f>
        <v>470</v>
      </c>
      <c r="P12" s="74">
        <f>O12</f>
        <v>470</v>
      </c>
      <c r="Q12" s="40">
        <f>'_2022_VB_bez izmaiņām'!Q12*1.1</f>
        <v>676.86190000000011</v>
      </c>
      <c r="R12" s="22">
        <f>Q12*P12-368.78</f>
        <v>317756.31300000002</v>
      </c>
      <c r="S12" s="19">
        <f t="shared" ref="S12:T12" si="8">M12-O12</f>
        <v>158</v>
      </c>
      <c r="T12" s="19">
        <f t="shared" si="8"/>
        <v>158</v>
      </c>
      <c r="U12" s="24"/>
      <c r="V12" s="24">
        <v>1</v>
      </c>
      <c r="W12" s="32"/>
    </row>
    <row r="13" spans="1:26" ht="18" customHeight="1" x14ac:dyDescent="0.25">
      <c r="A13" s="48"/>
      <c r="B13" s="49"/>
      <c r="C13" s="50">
        <v>12</v>
      </c>
      <c r="D13" s="91" t="s">
        <v>24</v>
      </c>
      <c r="E13" s="91"/>
      <c r="F13" s="91"/>
      <c r="G13" s="91"/>
      <c r="H13" s="137"/>
      <c r="I13" s="10">
        <f>'_2022_VB_bez izmaiņām'!S13</f>
        <v>42</v>
      </c>
      <c r="J13" s="10">
        <f>'_2022_VB_bez izmaiņām'!T13</f>
        <v>42</v>
      </c>
      <c r="K13" s="10">
        <f>ROUND('_2022_VB_bez izmaiņām'!K13*1.05,0)</f>
        <v>9</v>
      </c>
      <c r="L13" s="10">
        <f t="shared" ref="L13:R13" si="9">L14+L15</f>
        <v>9</v>
      </c>
      <c r="M13" s="10">
        <f t="shared" si="9"/>
        <v>150</v>
      </c>
      <c r="N13" s="10">
        <f t="shared" si="9"/>
        <v>150</v>
      </c>
      <c r="O13" s="10">
        <f>ROUND('_2022_VB_bez izmaiņām'!O13*0.9,0)</f>
        <v>76</v>
      </c>
      <c r="P13" s="10">
        <f t="shared" si="9"/>
        <v>75</v>
      </c>
      <c r="Q13" s="73" t="s">
        <v>119</v>
      </c>
      <c r="R13" s="3">
        <f t="shared" si="9"/>
        <v>4218.0600000000013</v>
      </c>
      <c r="S13" s="10">
        <f>S14+S15</f>
        <v>75</v>
      </c>
      <c r="T13" s="10">
        <f>T14+T15</f>
        <v>75</v>
      </c>
      <c r="U13" s="8"/>
      <c r="V13" s="8">
        <v>1</v>
      </c>
    </row>
    <row r="14" spans="1:26" ht="33.75" customHeight="1" x14ac:dyDescent="0.25">
      <c r="A14" s="37">
        <v>6</v>
      </c>
      <c r="B14" s="38" t="s">
        <v>25</v>
      </c>
      <c r="C14" s="38" t="s">
        <v>26</v>
      </c>
      <c r="D14" s="37" t="s">
        <v>27</v>
      </c>
      <c r="E14" s="38" t="s">
        <v>9</v>
      </c>
      <c r="F14" s="38" t="s">
        <v>104</v>
      </c>
      <c r="G14" s="51" t="s">
        <v>10</v>
      </c>
      <c r="H14" s="56"/>
      <c r="I14" s="13">
        <f>'_2022_VB_bez izmaiņām'!S14</f>
        <v>17</v>
      </c>
      <c r="J14" s="13">
        <f>'_2022_VB_bez izmaiņām'!T14</f>
        <v>17</v>
      </c>
      <c r="K14" s="74">
        <f>ROUND('_2022_VB_bez izmaiņām'!K14*1.05,0)</f>
        <v>4</v>
      </c>
      <c r="L14" s="74">
        <f>K14</f>
        <v>4</v>
      </c>
      <c r="M14" s="13">
        <f t="shared" ref="M14:N15" si="10">I14+(K14*12)</f>
        <v>65</v>
      </c>
      <c r="N14" s="13">
        <f t="shared" si="10"/>
        <v>65</v>
      </c>
      <c r="O14" s="13">
        <f>ROUND('_2022_VB_bez izmaiņām'!O14*0.9,0)</f>
        <v>34</v>
      </c>
      <c r="P14" s="74">
        <f>O14</f>
        <v>34</v>
      </c>
      <c r="Q14" s="39">
        <f>'_2022_VB_bez izmaiņām'!Q14*1.1</f>
        <v>42.35</v>
      </c>
      <c r="R14" s="4">
        <f t="shared" si="4"/>
        <v>1439.9</v>
      </c>
      <c r="S14" s="18">
        <f t="shared" ref="S14:T15" si="11">M14-O14</f>
        <v>31</v>
      </c>
      <c r="T14" s="18">
        <f t="shared" si="11"/>
        <v>31</v>
      </c>
      <c r="U14" s="1"/>
      <c r="V14" s="1">
        <v>1</v>
      </c>
      <c r="W14" s="33" t="s">
        <v>103</v>
      </c>
    </row>
    <row r="15" spans="1:26" ht="24" customHeight="1" x14ac:dyDescent="0.25">
      <c r="A15" s="37">
        <v>7</v>
      </c>
      <c r="B15" s="38" t="s">
        <v>25</v>
      </c>
      <c r="C15" s="38" t="s">
        <v>26</v>
      </c>
      <c r="D15" s="37" t="s">
        <v>28</v>
      </c>
      <c r="E15" s="38" t="s">
        <v>9</v>
      </c>
      <c r="F15" s="38" t="s">
        <v>104</v>
      </c>
      <c r="G15" s="51" t="s">
        <v>10</v>
      </c>
      <c r="H15" s="56"/>
      <c r="I15" s="13">
        <f>'_2022_VB_bez izmaiņām'!S15</f>
        <v>25</v>
      </c>
      <c r="J15" s="13">
        <f>'_2022_VB_bez izmaiņām'!T15</f>
        <v>25</v>
      </c>
      <c r="K15" s="74">
        <f>ROUND('_2022_VB_bez izmaiņām'!K15*1.05,0)</f>
        <v>5</v>
      </c>
      <c r="L15" s="74">
        <f>K15</f>
        <v>5</v>
      </c>
      <c r="M15" s="13">
        <f t="shared" si="10"/>
        <v>85</v>
      </c>
      <c r="N15" s="13">
        <f t="shared" si="10"/>
        <v>85</v>
      </c>
      <c r="O15" s="13">
        <f>ROUND('_2022_VB_bez izmaiņām'!O15*0.9,0)</f>
        <v>41</v>
      </c>
      <c r="P15" s="74">
        <f>O15</f>
        <v>41</v>
      </c>
      <c r="Q15" s="39">
        <f>'_2022_VB_bez izmaiņām'!Q15*1.1</f>
        <v>67.760000000000019</v>
      </c>
      <c r="R15" s="4">
        <f t="shared" si="4"/>
        <v>2778.1600000000008</v>
      </c>
      <c r="S15" s="18">
        <f t="shared" si="11"/>
        <v>44</v>
      </c>
      <c r="T15" s="18">
        <f t="shared" si="11"/>
        <v>44</v>
      </c>
      <c r="U15" s="1"/>
      <c r="V15" s="1">
        <v>1</v>
      </c>
      <c r="W15" s="33" t="s">
        <v>103</v>
      </c>
    </row>
    <row r="16" spans="1:26" ht="18" customHeight="1" x14ac:dyDescent="0.25">
      <c r="A16" s="48"/>
      <c r="B16" s="49"/>
      <c r="C16" s="50">
        <v>15</v>
      </c>
      <c r="D16" s="91" t="s">
        <v>29</v>
      </c>
      <c r="E16" s="91"/>
      <c r="F16" s="91"/>
      <c r="G16" s="91"/>
      <c r="H16" s="137"/>
      <c r="I16" s="10">
        <f>'_2022_VB_bez izmaiņām'!S16</f>
        <v>201</v>
      </c>
      <c r="J16" s="10">
        <f>'_2022_VB_bez izmaiņām'!T16</f>
        <v>201</v>
      </c>
      <c r="K16" s="10">
        <f>ROUND('_2022_VB_bez izmaiņām'!K16*1.05,0)</f>
        <v>17</v>
      </c>
      <c r="L16" s="10">
        <f t="shared" ref="L16:P16" si="12">L17+L18</f>
        <v>15</v>
      </c>
      <c r="M16" s="10">
        <f t="shared" si="12"/>
        <v>381</v>
      </c>
      <c r="N16" s="10">
        <f t="shared" si="12"/>
        <v>381</v>
      </c>
      <c r="O16" s="10">
        <f>ROUND('_2022_VB_bez izmaiņām'!O16*0.9,0)</f>
        <v>70</v>
      </c>
      <c r="P16" s="10">
        <f t="shared" si="12"/>
        <v>71</v>
      </c>
      <c r="Q16" s="73" t="s">
        <v>119</v>
      </c>
      <c r="R16" s="3">
        <f t="shared" ref="R16" si="13">R17+R18</f>
        <v>2814.8230000000003</v>
      </c>
      <c r="S16" s="10">
        <f>S17+S18</f>
        <v>310</v>
      </c>
      <c r="T16" s="10">
        <f>T17+T18</f>
        <v>310</v>
      </c>
      <c r="U16" s="8"/>
      <c r="V16" s="8">
        <v>1</v>
      </c>
    </row>
    <row r="17" spans="1:23" ht="18" customHeight="1" x14ac:dyDescent="0.25">
      <c r="A17" s="37">
        <v>8</v>
      </c>
      <c r="B17" s="38" t="s">
        <v>16</v>
      </c>
      <c r="C17" s="38" t="s">
        <v>30</v>
      </c>
      <c r="D17" s="37" t="s">
        <v>31</v>
      </c>
      <c r="E17" s="38" t="s">
        <v>9</v>
      </c>
      <c r="F17" s="38">
        <v>5</v>
      </c>
      <c r="G17" s="51" t="s">
        <v>10</v>
      </c>
      <c r="H17" s="56"/>
      <c r="I17" s="13">
        <f>'_2022_VB_bez izmaiņām'!S17</f>
        <v>107</v>
      </c>
      <c r="J17" s="13">
        <f>'_2022_VB_bez izmaiņām'!T17</f>
        <v>107</v>
      </c>
      <c r="K17" s="74">
        <f>ROUND('_2022_VB_bez izmaiņām'!K17*1.05,0)</f>
        <v>8</v>
      </c>
      <c r="L17" s="74">
        <f>K17</f>
        <v>8</v>
      </c>
      <c r="M17" s="13">
        <f t="shared" ref="M17:N18" si="14">I17+(K17*12)</f>
        <v>203</v>
      </c>
      <c r="N17" s="13">
        <f t="shared" si="14"/>
        <v>203</v>
      </c>
      <c r="O17" s="13">
        <f>ROUND('_2022_VB_bez izmaiņām'!O17*0.9,0)</f>
        <v>37</v>
      </c>
      <c r="P17" s="74">
        <f>O17</f>
        <v>37</v>
      </c>
      <c r="Q17" s="39">
        <f>'_2022_VB_bez izmaiņām'!Q17*1.1</f>
        <v>58.564000000000007</v>
      </c>
      <c r="R17" s="4">
        <f t="shared" si="4"/>
        <v>2166.8680000000004</v>
      </c>
      <c r="S17" s="18">
        <f t="shared" ref="S17:T18" si="15">M17-O17</f>
        <v>166</v>
      </c>
      <c r="T17" s="18">
        <f t="shared" si="15"/>
        <v>166</v>
      </c>
      <c r="U17" s="1"/>
      <c r="V17" s="1">
        <v>1</v>
      </c>
    </row>
    <row r="18" spans="1:23" ht="33" customHeight="1" x14ac:dyDescent="0.25">
      <c r="A18" s="37">
        <v>9</v>
      </c>
      <c r="B18" s="38" t="s">
        <v>6</v>
      </c>
      <c r="C18" s="38" t="s">
        <v>30</v>
      </c>
      <c r="D18" s="37" t="s">
        <v>32</v>
      </c>
      <c r="E18" s="38" t="s">
        <v>9</v>
      </c>
      <c r="F18" s="38">
        <v>2</v>
      </c>
      <c r="G18" s="51" t="s">
        <v>10</v>
      </c>
      <c r="H18" s="56"/>
      <c r="I18" s="13">
        <f>'_2022_VB_bez izmaiņām'!S18</f>
        <v>94</v>
      </c>
      <c r="J18" s="13">
        <f>'_2022_VB_bez izmaiņām'!T18</f>
        <v>94</v>
      </c>
      <c r="K18" s="74">
        <f>ROUND('_2022_VB_bez izmaiņām'!K18*1.05,0)</f>
        <v>7</v>
      </c>
      <c r="L18" s="74">
        <f>K18</f>
        <v>7</v>
      </c>
      <c r="M18" s="13">
        <f t="shared" si="14"/>
        <v>178</v>
      </c>
      <c r="N18" s="13">
        <f t="shared" si="14"/>
        <v>178</v>
      </c>
      <c r="O18" s="13">
        <f>ROUND('_2022_VB_bez izmaiņām'!O18*0.9,0)</f>
        <v>34</v>
      </c>
      <c r="P18" s="74">
        <f>O18</f>
        <v>34</v>
      </c>
      <c r="Q18" s="39">
        <f>'_2022_VB_bez izmaiņām'!Q18*1.1</f>
        <v>19.057500000000005</v>
      </c>
      <c r="R18" s="4">
        <f t="shared" si="4"/>
        <v>647.95500000000015</v>
      </c>
      <c r="S18" s="18">
        <f t="shared" si="15"/>
        <v>144</v>
      </c>
      <c r="T18" s="18">
        <f t="shared" si="15"/>
        <v>144</v>
      </c>
      <c r="U18" s="1"/>
      <c r="V18" s="1">
        <v>1</v>
      </c>
    </row>
    <row r="19" spans="1:23" ht="18" customHeight="1" x14ac:dyDescent="0.25">
      <c r="A19" s="48"/>
      <c r="B19" s="49"/>
      <c r="C19" s="50">
        <v>22</v>
      </c>
      <c r="D19" s="91" t="s">
        <v>33</v>
      </c>
      <c r="E19" s="91"/>
      <c r="F19" s="91"/>
      <c r="G19" s="91"/>
      <c r="H19" s="137"/>
      <c r="I19" s="10">
        <f>'_2022_VB_bez izmaiņām'!S19</f>
        <v>5917</v>
      </c>
      <c r="J19" s="10">
        <f>'_2022_VB_bez izmaiņām'!T19</f>
        <v>7300</v>
      </c>
      <c r="K19" s="10">
        <f>ROUND('_2022_VB_bez izmaiņām'!K19*1.05,0)</f>
        <v>486</v>
      </c>
      <c r="L19" s="10">
        <f t="shared" ref="L19:P19" si="16">SUM(L20:L46)</f>
        <v>622</v>
      </c>
      <c r="M19" s="10">
        <f t="shared" si="16"/>
        <v>11785</v>
      </c>
      <c r="N19" s="10">
        <f t="shared" si="16"/>
        <v>14764</v>
      </c>
      <c r="O19" s="10">
        <f>ROUND('_2022_VB_bez izmaiņām'!O19*0.9,0)</f>
        <v>3949</v>
      </c>
      <c r="P19" s="10">
        <f t="shared" si="16"/>
        <v>5605</v>
      </c>
      <c r="Q19" s="73" t="s">
        <v>119</v>
      </c>
      <c r="R19" s="3">
        <f>SUM(R20:R46)</f>
        <v>1538450.5277</v>
      </c>
      <c r="S19" s="10">
        <f>SUM(S20:S46)</f>
        <v>7772</v>
      </c>
      <c r="T19" s="10">
        <f>SUM(T20:T46)</f>
        <v>9159</v>
      </c>
      <c r="U19" s="8">
        <v>1</v>
      </c>
      <c r="V19" s="8">
        <v>1</v>
      </c>
    </row>
    <row r="20" spans="1:23" ht="17.25" customHeight="1" x14ac:dyDescent="0.25">
      <c r="A20" s="37">
        <v>10</v>
      </c>
      <c r="B20" s="38" t="s">
        <v>34</v>
      </c>
      <c r="C20" s="38" t="s">
        <v>35</v>
      </c>
      <c r="D20" s="37" t="s">
        <v>36</v>
      </c>
      <c r="E20" s="38" t="s">
        <v>9</v>
      </c>
      <c r="F20" s="38">
        <v>2</v>
      </c>
      <c r="G20" s="51" t="s">
        <v>37</v>
      </c>
      <c r="H20" s="56"/>
      <c r="I20" s="13">
        <f>'_2022_VB_bez izmaiņām'!S20</f>
        <v>136</v>
      </c>
      <c r="J20" s="13">
        <f>'_2022_VB_bez izmaiņām'!T20</f>
        <v>136</v>
      </c>
      <c r="K20" s="74">
        <f>ROUND('_2022_VB_bez izmaiņām'!K20*1.05,0)</f>
        <v>11</v>
      </c>
      <c r="L20" s="74">
        <f>K20</f>
        <v>11</v>
      </c>
      <c r="M20" s="13">
        <f t="shared" ref="M20:N35" si="17">I20+(K20*12)</f>
        <v>268</v>
      </c>
      <c r="N20" s="13">
        <f t="shared" si="17"/>
        <v>268</v>
      </c>
      <c r="O20" s="13">
        <f>ROUND('_2022_VB_bez izmaiņām'!O20*0.9,0)</f>
        <v>61</v>
      </c>
      <c r="P20" s="74">
        <f>O20</f>
        <v>61</v>
      </c>
      <c r="Q20" s="39">
        <f>'_2022_VB_bez izmaiņām'!Q20*1.1</f>
        <v>80.525500000000008</v>
      </c>
      <c r="R20" s="4">
        <f t="shared" si="4"/>
        <v>4912.0555000000004</v>
      </c>
      <c r="S20" s="18">
        <f t="shared" ref="S20:T35" si="18">M20-O20</f>
        <v>207</v>
      </c>
      <c r="T20" s="18">
        <f t="shared" si="18"/>
        <v>207</v>
      </c>
      <c r="U20" s="1"/>
      <c r="V20" s="1">
        <v>1</v>
      </c>
    </row>
    <row r="21" spans="1:23" ht="30.75" customHeight="1" x14ac:dyDescent="0.25">
      <c r="A21" s="37">
        <v>11</v>
      </c>
      <c r="B21" s="38" t="s">
        <v>34</v>
      </c>
      <c r="C21" s="38" t="s">
        <v>38</v>
      </c>
      <c r="D21" s="37" t="s">
        <v>39</v>
      </c>
      <c r="E21" s="38" t="s">
        <v>9</v>
      </c>
      <c r="F21" s="38" t="s">
        <v>98</v>
      </c>
      <c r="G21" s="51" t="s">
        <v>37</v>
      </c>
      <c r="H21" s="56"/>
      <c r="I21" s="13">
        <f>'_2022_VB_bez izmaiņām'!S21</f>
        <v>66</v>
      </c>
      <c r="J21" s="13">
        <f>'_2022_VB_bez izmaiņām'!T21</f>
        <v>66</v>
      </c>
      <c r="K21" s="74">
        <f>ROUND('_2022_VB_bez izmaiņām'!K21*1.05,0)</f>
        <v>8</v>
      </c>
      <c r="L21" s="74">
        <f>K21</f>
        <v>8</v>
      </c>
      <c r="M21" s="13">
        <f t="shared" si="17"/>
        <v>162</v>
      </c>
      <c r="N21" s="13">
        <f t="shared" si="17"/>
        <v>162</v>
      </c>
      <c r="O21" s="13">
        <f>ROUND('_2022_VB_bez izmaiņām'!O21*0.9,0)</f>
        <v>59</v>
      </c>
      <c r="P21" s="74">
        <f>O21</f>
        <v>59</v>
      </c>
      <c r="Q21" s="39">
        <f>'_2022_VB_bez izmaiņām'!Q21*1.1</f>
        <v>61.492200000000011</v>
      </c>
      <c r="R21" s="4">
        <f t="shared" si="4"/>
        <v>3628.0398000000005</v>
      </c>
      <c r="S21" s="18">
        <f t="shared" si="18"/>
        <v>103</v>
      </c>
      <c r="T21" s="18">
        <f t="shared" si="18"/>
        <v>103</v>
      </c>
      <c r="U21" s="1"/>
      <c r="V21" s="1">
        <v>1</v>
      </c>
      <c r="W21" s="33" t="s">
        <v>105</v>
      </c>
    </row>
    <row r="22" spans="1:23" ht="36" customHeight="1" x14ac:dyDescent="0.25">
      <c r="A22" s="37">
        <v>12</v>
      </c>
      <c r="B22" s="38" t="s">
        <v>40</v>
      </c>
      <c r="C22" s="38" t="s">
        <v>41</v>
      </c>
      <c r="D22" s="37" t="s">
        <v>42</v>
      </c>
      <c r="E22" s="38" t="s">
        <v>9</v>
      </c>
      <c r="F22" s="38">
        <v>5</v>
      </c>
      <c r="G22" s="51" t="s">
        <v>43</v>
      </c>
      <c r="H22" s="56"/>
      <c r="I22" s="13">
        <f>'_2022_VB_bez izmaiņām'!S22</f>
        <v>68</v>
      </c>
      <c r="J22" s="13">
        <f>'_2022_VB_bez izmaiņām'!T22</f>
        <v>68</v>
      </c>
      <c r="K22" s="74">
        <f>ROUND('_2022_VB_bez izmaiņām'!K22*1.05,0)</f>
        <v>5</v>
      </c>
      <c r="L22" s="74">
        <f t="shared" ref="L22:L49" si="19">K22</f>
        <v>5</v>
      </c>
      <c r="M22" s="13">
        <f t="shared" si="17"/>
        <v>128</v>
      </c>
      <c r="N22" s="13">
        <f t="shared" si="17"/>
        <v>128</v>
      </c>
      <c r="O22" s="13">
        <f>ROUND('_2022_VB_bez izmaiņām'!O22*0.9,0)</f>
        <v>25</v>
      </c>
      <c r="P22" s="74">
        <f t="shared" ref="P22:P49" si="20">O22</f>
        <v>25</v>
      </c>
      <c r="Q22" s="39">
        <f>'_2022_VB_bez izmaiņām'!Q22*1.1</f>
        <v>109.80750000000002</v>
      </c>
      <c r="R22" s="4">
        <f t="shared" si="4"/>
        <v>2745.1875000000005</v>
      </c>
      <c r="S22" s="18">
        <f t="shared" si="18"/>
        <v>103</v>
      </c>
      <c r="T22" s="18">
        <f t="shared" si="18"/>
        <v>103</v>
      </c>
      <c r="U22" s="1"/>
      <c r="V22" s="1">
        <v>1</v>
      </c>
    </row>
    <row r="23" spans="1:23" ht="24" customHeight="1" x14ac:dyDescent="0.25">
      <c r="A23" s="37">
        <v>13</v>
      </c>
      <c r="B23" s="38" t="s">
        <v>40</v>
      </c>
      <c r="C23" s="38" t="s">
        <v>41</v>
      </c>
      <c r="D23" s="37" t="s">
        <v>106</v>
      </c>
      <c r="E23" s="38" t="s">
        <v>9</v>
      </c>
      <c r="F23" s="38">
        <v>5</v>
      </c>
      <c r="G23" s="51" t="s">
        <v>43</v>
      </c>
      <c r="H23" s="56"/>
      <c r="I23" s="13">
        <f>'_2022_VB_bez izmaiņām'!S23</f>
        <v>27</v>
      </c>
      <c r="J23" s="13">
        <f>'_2022_VB_bez izmaiņām'!T23</f>
        <v>27</v>
      </c>
      <c r="K23" s="74">
        <f>ROUND('_2022_VB_bez izmaiņām'!K23*1.05,0)</f>
        <v>2</v>
      </c>
      <c r="L23" s="74">
        <f t="shared" si="19"/>
        <v>2</v>
      </c>
      <c r="M23" s="13">
        <f t="shared" si="17"/>
        <v>51</v>
      </c>
      <c r="N23" s="13">
        <f t="shared" si="17"/>
        <v>51</v>
      </c>
      <c r="O23" s="13">
        <f>ROUND('_2022_VB_bez izmaiņām'!O23*0.9,0)</f>
        <v>10</v>
      </c>
      <c r="P23" s="74">
        <f t="shared" si="20"/>
        <v>10</v>
      </c>
      <c r="Q23" s="39">
        <f>'_2022_VB_bez izmaiņām'!Q23*1.1</f>
        <v>58.564000000000007</v>
      </c>
      <c r="R23" s="4">
        <f t="shared" si="4"/>
        <v>585.6400000000001</v>
      </c>
      <c r="S23" s="18">
        <f t="shared" si="18"/>
        <v>41</v>
      </c>
      <c r="T23" s="18">
        <f t="shared" si="18"/>
        <v>41</v>
      </c>
      <c r="U23" s="1"/>
      <c r="V23" s="1">
        <v>1</v>
      </c>
      <c r="W23" s="33" t="s">
        <v>107</v>
      </c>
    </row>
    <row r="24" spans="1:23" ht="35.25" customHeight="1" x14ac:dyDescent="0.25">
      <c r="A24" s="37">
        <v>14</v>
      </c>
      <c r="B24" s="38" t="s">
        <v>34</v>
      </c>
      <c r="C24" s="38" t="s">
        <v>44</v>
      </c>
      <c r="D24" s="37" t="s">
        <v>45</v>
      </c>
      <c r="E24" s="38" t="s">
        <v>9</v>
      </c>
      <c r="F24" s="38">
        <v>5</v>
      </c>
      <c r="G24" s="51" t="s">
        <v>37</v>
      </c>
      <c r="H24" s="56"/>
      <c r="I24" s="13">
        <f>'_2022_VB_bez izmaiņām'!S24</f>
        <v>855</v>
      </c>
      <c r="J24" s="13">
        <f>'_2022_VB_bez izmaiņām'!T24</f>
        <v>855</v>
      </c>
      <c r="K24" s="74">
        <f>ROUND('_2022_VB_bez izmaiņām'!K24*1.05,0)</f>
        <v>64</v>
      </c>
      <c r="L24" s="74">
        <f t="shared" si="19"/>
        <v>64</v>
      </c>
      <c r="M24" s="13">
        <f t="shared" si="17"/>
        <v>1623</v>
      </c>
      <c r="N24" s="13">
        <f t="shared" si="17"/>
        <v>1623</v>
      </c>
      <c r="O24" s="13">
        <f>ROUND('_2022_VB_bez izmaiņām'!O24*0.9,0)</f>
        <v>249</v>
      </c>
      <c r="P24" s="74">
        <f t="shared" si="20"/>
        <v>249</v>
      </c>
      <c r="Q24" s="39">
        <f>'_2022_VB_bez izmaiņām'!Q24*1.1</f>
        <v>687.86080000000015</v>
      </c>
      <c r="R24" s="4">
        <f t="shared" si="4"/>
        <v>171277.33920000005</v>
      </c>
      <c r="S24" s="18">
        <f t="shared" si="18"/>
        <v>1374</v>
      </c>
      <c r="T24" s="18">
        <f t="shared" si="18"/>
        <v>1374</v>
      </c>
      <c r="U24" s="1"/>
      <c r="V24" s="1">
        <v>1</v>
      </c>
    </row>
    <row r="25" spans="1:23" ht="36" customHeight="1" x14ac:dyDescent="0.25">
      <c r="A25" s="37">
        <v>15</v>
      </c>
      <c r="B25" s="38" t="s">
        <v>177</v>
      </c>
      <c r="C25" s="38" t="s">
        <v>46</v>
      </c>
      <c r="D25" s="37" t="s">
        <v>178</v>
      </c>
      <c r="E25" s="38" t="s">
        <v>9</v>
      </c>
      <c r="F25" s="38">
        <v>3</v>
      </c>
      <c r="G25" s="51" t="s">
        <v>47</v>
      </c>
      <c r="H25" s="56"/>
      <c r="I25" s="17">
        <f>'_2022_VB_bez izmaiņām'!S25</f>
        <v>16</v>
      </c>
      <c r="J25" s="17">
        <f>'_2022_VB_bez izmaiņām'!T25</f>
        <v>16</v>
      </c>
      <c r="K25" s="74">
        <f>ROUND('_2022_VB_bez izmaiņām'!K25*1.05,0)</f>
        <v>1</v>
      </c>
      <c r="L25" s="74">
        <f t="shared" si="19"/>
        <v>1</v>
      </c>
      <c r="M25" s="17">
        <f t="shared" si="17"/>
        <v>28</v>
      </c>
      <c r="N25" s="17">
        <f t="shared" si="17"/>
        <v>28</v>
      </c>
      <c r="O25" s="17">
        <f>ROUND('_2022_VB_bez izmaiņām'!O25*0.9,0)</f>
        <v>5</v>
      </c>
      <c r="P25" s="74">
        <f t="shared" si="20"/>
        <v>5</v>
      </c>
      <c r="Q25" s="41">
        <f>'_2022_VB_bez izmaiņām'!Q25*1.1</f>
        <v>247.51760000000004</v>
      </c>
      <c r="R25" s="6">
        <f t="shared" si="4"/>
        <v>1237.5880000000002</v>
      </c>
      <c r="S25" s="19">
        <f t="shared" si="18"/>
        <v>23</v>
      </c>
      <c r="T25" s="19">
        <f t="shared" si="18"/>
        <v>23</v>
      </c>
      <c r="U25" s="1">
        <v>1</v>
      </c>
      <c r="V25" s="1"/>
    </row>
    <row r="26" spans="1:23" ht="42.75" customHeight="1" x14ac:dyDescent="0.25">
      <c r="A26" s="37" t="s">
        <v>179</v>
      </c>
      <c r="B26" s="38" t="s">
        <v>48</v>
      </c>
      <c r="C26" s="38" t="s">
        <v>49</v>
      </c>
      <c r="D26" s="37" t="s">
        <v>180</v>
      </c>
      <c r="E26" s="38" t="s">
        <v>9</v>
      </c>
      <c r="F26" s="38">
        <v>5</v>
      </c>
      <c r="G26" s="51" t="s">
        <v>47</v>
      </c>
      <c r="H26" s="56"/>
      <c r="I26" s="17">
        <f>'_2022_VB_bez izmaiņām'!S26</f>
        <v>2305</v>
      </c>
      <c r="J26" s="17">
        <f>'_2022_VB_bez izmaiņām'!T26</f>
        <v>3688</v>
      </c>
      <c r="K26" s="75">
        <f>ROUND('_2022_VB_bez izmaiņām'!K26*1.05,0)</f>
        <v>221</v>
      </c>
      <c r="L26" s="75">
        <f>ROUND(K26*1.6,0)</f>
        <v>354</v>
      </c>
      <c r="M26" s="17">
        <f t="shared" si="17"/>
        <v>4957</v>
      </c>
      <c r="N26" s="17">
        <f t="shared" si="17"/>
        <v>7936</v>
      </c>
      <c r="O26" s="17">
        <f>ROUND('_2022_VB_bez izmaiņām'!O26*0.9,0)+30</f>
        <v>2653</v>
      </c>
      <c r="P26" s="75">
        <f>ROUND(O26*1.6,0)</f>
        <v>4245</v>
      </c>
      <c r="Q26" s="41">
        <f>'_2022_VB_bez izmaiņām'!Q26*1.1</f>
        <v>243.81500000000003</v>
      </c>
      <c r="R26" s="6">
        <f>Q26*P26-564.65</f>
        <v>1034430.0250000001</v>
      </c>
      <c r="S26" s="19">
        <f>M26-O26</f>
        <v>2304</v>
      </c>
      <c r="T26" s="19">
        <f t="shared" si="18"/>
        <v>3691</v>
      </c>
      <c r="U26" s="1">
        <v>1</v>
      </c>
      <c r="V26" s="1"/>
    </row>
    <row r="27" spans="1:23" ht="46.5" customHeight="1" x14ac:dyDescent="0.25">
      <c r="A27" s="37">
        <v>19</v>
      </c>
      <c r="B27" s="38" t="s">
        <v>50</v>
      </c>
      <c r="C27" s="38" t="s">
        <v>51</v>
      </c>
      <c r="D27" s="37" t="s">
        <v>120</v>
      </c>
      <c r="E27" s="38" t="s">
        <v>9</v>
      </c>
      <c r="F27" s="38">
        <v>5</v>
      </c>
      <c r="G27" s="51" t="s">
        <v>52</v>
      </c>
      <c r="H27" s="56"/>
      <c r="I27" s="17">
        <f>'_2022_VB_bez izmaiņām'!S27</f>
        <v>488</v>
      </c>
      <c r="J27" s="17">
        <f>'_2022_VB_bez izmaiņām'!T27</f>
        <v>488</v>
      </c>
      <c r="K27" s="74">
        <f>ROUND('_2022_VB_bez izmaiņām'!K27*1.05,0)</f>
        <v>22</v>
      </c>
      <c r="L27" s="74">
        <f t="shared" si="19"/>
        <v>22</v>
      </c>
      <c r="M27" s="17">
        <f t="shared" si="17"/>
        <v>752</v>
      </c>
      <c r="N27" s="17">
        <f t="shared" si="17"/>
        <v>752</v>
      </c>
      <c r="O27" s="17">
        <f>ROUND('_2022_VB_bez izmaiņām'!O27*0.9,0)</f>
        <v>81</v>
      </c>
      <c r="P27" s="74">
        <f t="shared" si="20"/>
        <v>81</v>
      </c>
      <c r="Q27" s="41">
        <f>'_2022_VB_bez izmaiņām'!Q27*1.1</f>
        <v>313.92240000000004</v>
      </c>
      <c r="R27" s="6">
        <f t="shared" si="4"/>
        <v>25427.714400000004</v>
      </c>
      <c r="S27" s="19">
        <f t="shared" si="18"/>
        <v>671</v>
      </c>
      <c r="T27" s="19">
        <f t="shared" si="18"/>
        <v>671</v>
      </c>
      <c r="U27" s="1">
        <v>1</v>
      </c>
      <c r="V27" s="1"/>
      <c r="W27" s="33" t="s">
        <v>109</v>
      </c>
    </row>
    <row r="28" spans="1:23" ht="46.5" customHeight="1" x14ac:dyDescent="0.25">
      <c r="A28" s="37">
        <v>20</v>
      </c>
      <c r="B28" s="38" t="s">
        <v>53</v>
      </c>
      <c r="C28" s="38" t="s">
        <v>51</v>
      </c>
      <c r="D28" s="37" t="s">
        <v>54</v>
      </c>
      <c r="E28" s="38" t="s">
        <v>9</v>
      </c>
      <c r="F28" s="38">
        <v>5</v>
      </c>
      <c r="G28" s="51" t="s">
        <v>55</v>
      </c>
      <c r="H28" s="56"/>
      <c r="I28" s="17">
        <f>'_2022_VB_bez izmaiņām'!S28</f>
        <v>75</v>
      </c>
      <c r="J28" s="17">
        <f>'_2022_VB_bez izmaiņām'!T28</f>
        <v>75</v>
      </c>
      <c r="K28" s="74">
        <f>ROUND('_2022_VB_bez izmaiņām'!K28*1.05,0)</f>
        <v>2</v>
      </c>
      <c r="L28" s="74">
        <f t="shared" si="19"/>
        <v>2</v>
      </c>
      <c r="M28" s="17">
        <f t="shared" si="17"/>
        <v>99</v>
      </c>
      <c r="N28" s="17">
        <f t="shared" si="17"/>
        <v>99</v>
      </c>
      <c r="O28" s="17">
        <f>ROUND('_2022_VB_bez izmaiņām'!O28*0.9,0)</f>
        <v>8</v>
      </c>
      <c r="P28" s="74">
        <f t="shared" si="20"/>
        <v>8</v>
      </c>
      <c r="Q28" s="41">
        <f>'_2022_VB_bez izmaiņām'!Q28*1.1</f>
        <v>1270.5</v>
      </c>
      <c r="R28" s="6">
        <f t="shared" si="4"/>
        <v>10164</v>
      </c>
      <c r="S28" s="19">
        <f t="shared" si="18"/>
        <v>91</v>
      </c>
      <c r="T28" s="19">
        <f t="shared" si="18"/>
        <v>91</v>
      </c>
      <c r="U28" s="1">
        <v>1</v>
      </c>
      <c r="V28" s="1"/>
    </row>
    <row r="29" spans="1:23" ht="36" customHeight="1" x14ac:dyDescent="0.25">
      <c r="A29" s="37">
        <v>21</v>
      </c>
      <c r="B29" s="38" t="s">
        <v>6</v>
      </c>
      <c r="C29" s="38" t="s">
        <v>56</v>
      </c>
      <c r="D29" s="37" t="s">
        <v>57</v>
      </c>
      <c r="E29" s="38" t="s">
        <v>9</v>
      </c>
      <c r="F29" s="38">
        <v>2</v>
      </c>
      <c r="G29" s="51" t="s">
        <v>10</v>
      </c>
      <c r="H29" s="56"/>
      <c r="I29" s="13">
        <f>'_2022_VB_bez izmaiņām'!S29</f>
        <v>13</v>
      </c>
      <c r="J29" s="13">
        <f>'_2022_VB_bez izmaiņām'!T29</f>
        <v>13</v>
      </c>
      <c r="K29" s="74">
        <f>ROUND('_2022_VB_bez izmaiņām'!K29*1.05,0)</f>
        <v>1</v>
      </c>
      <c r="L29" s="74">
        <f t="shared" si="19"/>
        <v>1</v>
      </c>
      <c r="M29" s="13">
        <f t="shared" si="17"/>
        <v>25</v>
      </c>
      <c r="N29" s="13">
        <f t="shared" si="17"/>
        <v>25</v>
      </c>
      <c r="O29" s="13">
        <f>ROUND('_2022_VB_bez izmaiņām'!O29*0.9,0)</f>
        <v>5</v>
      </c>
      <c r="P29" s="74">
        <f t="shared" si="20"/>
        <v>5</v>
      </c>
      <c r="Q29" s="39">
        <f>'_2022_VB_bez izmaiņām'!Q29*1.1</f>
        <v>16.940000000000005</v>
      </c>
      <c r="R29" s="4">
        <f t="shared" si="4"/>
        <v>84.700000000000017</v>
      </c>
      <c r="S29" s="18">
        <f t="shared" si="18"/>
        <v>20</v>
      </c>
      <c r="T29" s="18">
        <f t="shared" si="18"/>
        <v>20</v>
      </c>
      <c r="U29" s="1"/>
      <c r="V29" s="1">
        <v>1</v>
      </c>
    </row>
    <row r="30" spans="1:23" ht="21.75" customHeight="1" x14ac:dyDescent="0.25">
      <c r="A30" s="37">
        <v>22</v>
      </c>
      <c r="B30" s="38" t="s">
        <v>6</v>
      </c>
      <c r="C30" s="38" t="s">
        <v>58</v>
      </c>
      <c r="D30" s="37" t="s">
        <v>59</v>
      </c>
      <c r="E30" s="38" t="s">
        <v>9</v>
      </c>
      <c r="F30" s="38">
        <v>5</v>
      </c>
      <c r="G30" s="51" t="s">
        <v>10</v>
      </c>
      <c r="H30" s="56"/>
      <c r="I30" s="13">
        <f>'_2022_VB_bez izmaiņām'!S30</f>
        <v>13</v>
      </c>
      <c r="J30" s="13">
        <f>'_2022_VB_bez izmaiņām'!T30</f>
        <v>13</v>
      </c>
      <c r="K30" s="74">
        <f>ROUND('_2022_VB_bez izmaiņām'!K30*1.05,0)</f>
        <v>1</v>
      </c>
      <c r="L30" s="74">
        <f t="shared" si="19"/>
        <v>1</v>
      </c>
      <c r="M30" s="13">
        <f t="shared" si="17"/>
        <v>25</v>
      </c>
      <c r="N30" s="13">
        <f t="shared" si="17"/>
        <v>25</v>
      </c>
      <c r="O30" s="13">
        <f>ROUND('_2022_VB_bez izmaiņām'!O30*0.9,0)</f>
        <v>5</v>
      </c>
      <c r="P30" s="74">
        <f t="shared" si="20"/>
        <v>5</v>
      </c>
      <c r="Q30" s="39">
        <f>'_2022_VB_bez izmaiņām'!Q30*1.1</f>
        <v>1054.1520000000003</v>
      </c>
      <c r="R30" s="4">
        <f t="shared" si="4"/>
        <v>5270.7600000000011</v>
      </c>
      <c r="S30" s="18">
        <f t="shared" si="18"/>
        <v>20</v>
      </c>
      <c r="T30" s="18">
        <f t="shared" si="18"/>
        <v>20</v>
      </c>
      <c r="U30" s="1"/>
      <c r="V30" s="1">
        <v>1</v>
      </c>
    </row>
    <row r="31" spans="1:23" ht="21.75" customHeight="1" x14ac:dyDescent="0.25">
      <c r="A31" s="37">
        <v>23</v>
      </c>
      <c r="B31" s="38" t="s">
        <v>60</v>
      </c>
      <c r="C31" s="38" t="s">
        <v>61</v>
      </c>
      <c r="D31" s="37" t="s">
        <v>62</v>
      </c>
      <c r="E31" s="38" t="s">
        <v>9</v>
      </c>
      <c r="F31" s="38">
        <v>3</v>
      </c>
      <c r="G31" s="51" t="s">
        <v>10</v>
      </c>
      <c r="H31" s="56"/>
      <c r="I31" s="13">
        <f>'_2022_VB_bez izmaiņām'!S31</f>
        <v>227</v>
      </c>
      <c r="J31" s="13">
        <f>'_2022_VB_bez izmaiņām'!T31</f>
        <v>227</v>
      </c>
      <c r="K31" s="74">
        <f>ROUND('_2022_VB_bez izmaiņām'!K31*1.05,0)</f>
        <v>43</v>
      </c>
      <c r="L31" s="74">
        <f t="shared" si="19"/>
        <v>43</v>
      </c>
      <c r="M31" s="13">
        <f t="shared" si="17"/>
        <v>743</v>
      </c>
      <c r="N31" s="13">
        <f t="shared" si="17"/>
        <v>743</v>
      </c>
      <c r="O31" s="13">
        <f>ROUND('_2022_VB_bez izmaiņām'!O31*0.9,0)</f>
        <v>324</v>
      </c>
      <c r="P31" s="74">
        <f t="shared" si="20"/>
        <v>324</v>
      </c>
      <c r="Q31" s="39">
        <f>'_2022_VB_bez izmaiņām'!Q31*1.1</f>
        <v>404.14000000000004</v>
      </c>
      <c r="R31" s="4">
        <f t="shared" si="4"/>
        <v>130941.36000000002</v>
      </c>
      <c r="S31" s="18">
        <f t="shared" si="18"/>
        <v>419</v>
      </c>
      <c r="T31" s="18">
        <f t="shared" si="18"/>
        <v>419</v>
      </c>
      <c r="U31" s="1"/>
      <c r="V31" s="1">
        <v>1</v>
      </c>
    </row>
    <row r="32" spans="1:23" ht="32.25" customHeight="1" x14ac:dyDescent="0.25">
      <c r="A32" s="37">
        <v>24</v>
      </c>
      <c r="B32" s="38" t="s">
        <v>60</v>
      </c>
      <c r="C32" s="38" t="s">
        <v>61</v>
      </c>
      <c r="D32" s="37" t="s">
        <v>108</v>
      </c>
      <c r="E32" s="38" t="s">
        <v>9</v>
      </c>
      <c r="F32" s="38">
        <v>5</v>
      </c>
      <c r="G32" s="51" t="s">
        <v>10</v>
      </c>
      <c r="H32" s="56"/>
      <c r="I32" s="13">
        <f>'_2022_VB_bez izmaiņām'!S32</f>
        <v>0</v>
      </c>
      <c r="J32" s="13">
        <f>'_2022_VB_bez izmaiņām'!T32</f>
        <v>0</v>
      </c>
      <c r="K32" s="74">
        <f>ROUND('_2022_VB_bez izmaiņām'!K32*1.05,0)</f>
        <v>0</v>
      </c>
      <c r="L32" s="74">
        <f t="shared" si="19"/>
        <v>0</v>
      </c>
      <c r="M32" s="13">
        <f t="shared" si="17"/>
        <v>0</v>
      </c>
      <c r="N32" s="13">
        <f t="shared" si="17"/>
        <v>0</v>
      </c>
      <c r="O32" s="13">
        <f>ROUND('_2022_VB_bez izmaiņām'!O32*0.9,0)</f>
        <v>0</v>
      </c>
      <c r="P32" s="74">
        <f t="shared" si="20"/>
        <v>0</v>
      </c>
      <c r="Q32" s="39">
        <f>'_2022_VB_bez izmaiņām'!Q32*1.1</f>
        <v>877.25000000000023</v>
      </c>
      <c r="R32" s="4">
        <f t="shared" si="4"/>
        <v>0</v>
      </c>
      <c r="S32" s="18">
        <f t="shared" si="18"/>
        <v>0</v>
      </c>
      <c r="T32" s="18">
        <f t="shared" si="18"/>
        <v>0</v>
      </c>
      <c r="U32" s="1"/>
      <c r="V32" s="1">
        <v>1</v>
      </c>
      <c r="W32" s="33" t="s">
        <v>189</v>
      </c>
    </row>
    <row r="33" spans="1:23" ht="49.5" customHeight="1" x14ac:dyDescent="0.25">
      <c r="A33" s="37">
        <v>25</v>
      </c>
      <c r="B33" s="38" t="s">
        <v>60</v>
      </c>
      <c r="C33" s="38" t="s">
        <v>61</v>
      </c>
      <c r="D33" s="37" t="s">
        <v>63</v>
      </c>
      <c r="E33" s="38" t="s">
        <v>9</v>
      </c>
      <c r="F33" s="38">
        <v>3</v>
      </c>
      <c r="G33" s="51" t="s">
        <v>64</v>
      </c>
      <c r="H33" s="56"/>
      <c r="I33" s="13">
        <f>'_2022_VB_bez izmaiņām'!S33</f>
        <v>94</v>
      </c>
      <c r="J33" s="13">
        <f>'_2022_VB_bez izmaiņām'!T33</f>
        <v>94</v>
      </c>
      <c r="K33" s="74">
        <f>ROUND('_2022_VB_bez izmaiņām'!K33*1.05,0)</f>
        <v>7</v>
      </c>
      <c r="L33" s="74">
        <f t="shared" si="19"/>
        <v>7</v>
      </c>
      <c r="M33" s="13">
        <f t="shared" si="17"/>
        <v>178</v>
      </c>
      <c r="N33" s="13">
        <f t="shared" si="17"/>
        <v>178</v>
      </c>
      <c r="O33" s="13">
        <f>ROUND('_2022_VB_bez izmaiņām'!O33*0.9,0)</f>
        <v>29</v>
      </c>
      <c r="P33" s="74">
        <f t="shared" si="20"/>
        <v>29</v>
      </c>
      <c r="Q33" s="39">
        <f>'_2022_VB_bez izmaiņām'!Q33*1.1</f>
        <v>175.69200000000001</v>
      </c>
      <c r="R33" s="4">
        <f t="shared" si="4"/>
        <v>5095.0680000000002</v>
      </c>
      <c r="S33" s="18">
        <f t="shared" si="18"/>
        <v>149</v>
      </c>
      <c r="T33" s="18">
        <f t="shared" si="18"/>
        <v>149</v>
      </c>
      <c r="U33" s="1"/>
      <c r="V33" s="1">
        <v>1</v>
      </c>
    </row>
    <row r="34" spans="1:23" ht="25.5" customHeight="1" x14ac:dyDescent="0.25">
      <c r="A34" s="37">
        <v>26</v>
      </c>
      <c r="B34" s="38" t="s">
        <v>147</v>
      </c>
      <c r="C34" s="38" t="s">
        <v>65</v>
      </c>
      <c r="D34" s="37" t="s">
        <v>66</v>
      </c>
      <c r="E34" s="38" t="s">
        <v>9</v>
      </c>
      <c r="F34" s="38">
        <v>5</v>
      </c>
      <c r="G34" s="51" t="s">
        <v>110</v>
      </c>
      <c r="H34" s="56"/>
      <c r="I34" s="13">
        <f>'_2022_VB_bez izmaiņām'!S34</f>
        <v>0</v>
      </c>
      <c r="J34" s="13">
        <f>'_2022_VB_bez izmaiņām'!T34</f>
        <v>0</v>
      </c>
      <c r="K34" s="74">
        <f>ROUND('_2022_VB_bez izmaiņām'!K34*1.05,0)</f>
        <v>0</v>
      </c>
      <c r="L34" s="74">
        <f t="shared" si="19"/>
        <v>0</v>
      </c>
      <c r="M34" s="13">
        <f t="shared" si="17"/>
        <v>0</v>
      </c>
      <c r="N34" s="13">
        <f t="shared" si="17"/>
        <v>0</v>
      </c>
      <c r="O34" s="13">
        <f>ROUND('_2022_VB_bez izmaiņām'!O34*0.9,0)</f>
        <v>0</v>
      </c>
      <c r="P34" s="74">
        <f t="shared" si="20"/>
        <v>0</v>
      </c>
      <c r="Q34" s="39">
        <f>'_2022_VB_bez izmaiņām'!Q34*1.1</f>
        <v>231.91666666666669</v>
      </c>
      <c r="R34" s="4">
        <f t="shared" si="4"/>
        <v>0</v>
      </c>
      <c r="S34" s="18">
        <f t="shared" si="18"/>
        <v>0</v>
      </c>
      <c r="T34" s="18">
        <f t="shared" si="18"/>
        <v>0</v>
      </c>
      <c r="U34" s="1"/>
      <c r="V34" s="1">
        <v>1</v>
      </c>
      <c r="W34" s="33" t="s">
        <v>126</v>
      </c>
    </row>
    <row r="35" spans="1:23" ht="60.75" customHeight="1" x14ac:dyDescent="0.25">
      <c r="A35" s="37">
        <v>27</v>
      </c>
      <c r="B35" s="38" t="s">
        <v>181</v>
      </c>
      <c r="C35" s="38" t="s">
        <v>67</v>
      </c>
      <c r="D35" s="37" t="s">
        <v>68</v>
      </c>
      <c r="E35" s="38" t="s">
        <v>9</v>
      </c>
      <c r="F35" s="38">
        <v>3</v>
      </c>
      <c r="G35" s="51" t="s">
        <v>69</v>
      </c>
      <c r="H35" s="56"/>
      <c r="I35" s="17">
        <f>'_2022_VB_bez izmaiņām'!S35</f>
        <v>289</v>
      </c>
      <c r="J35" s="17">
        <f>'_2022_VB_bez izmaiņām'!T35</f>
        <v>289</v>
      </c>
      <c r="K35" s="74">
        <f>ROUND('_2022_VB_bez izmaiņām'!K35*1.05,0)</f>
        <v>12</v>
      </c>
      <c r="L35" s="74">
        <f t="shared" si="19"/>
        <v>12</v>
      </c>
      <c r="M35" s="17">
        <f t="shared" si="17"/>
        <v>433</v>
      </c>
      <c r="N35" s="17">
        <f t="shared" si="17"/>
        <v>433</v>
      </c>
      <c r="O35" s="17">
        <f>ROUND('_2022_VB_bez izmaiņām'!O35*0.9,0)</f>
        <v>81</v>
      </c>
      <c r="P35" s="74">
        <f t="shared" si="20"/>
        <v>81</v>
      </c>
      <c r="Q35" s="40">
        <f>'_2022_VB_bez izmaiņām'!Q35*1.1</f>
        <v>586.58380000000011</v>
      </c>
      <c r="R35" s="22">
        <f t="shared" si="4"/>
        <v>47513.287800000006</v>
      </c>
      <c r="S35" s="19">
        <f t="shared" si="18"/>
        <v>352</v>
      </c>
      <c r="T35" s="19">
        <f t="shared" si="18"/>
        <v>352</v>
      </c>
      <c r="U35" s="1">
        <v>1</v>
      </c>
      <c r="V35" s="1"/>
    </row>
    <row r="36" spans="1:23" x14ac:dyDescent="0.25">
      <c r="A36" s="37">
        <v>28</v>
      </c>
      <c r="B36" s="38" t="s">
        <v>70</v>
      </c>
      <c r="C36" s="38" t="s">
        <v>121</v>
      </c>
      <c r="D36" s="37" t="s">
        <v>122</v>
      </c>
      <c r="E36" s="38" t="s">
        <v>9</v>
      </c>
      <c r="F36" s="38">
        <v>5</v>
      </c>
      <c r="G36" s="51" t="s">
        <v>47</v>
      </c>
      <c r="H36" s="56"/>
      <c r="I36" s="17">
        <f>'_2022_VB_bez izmaiņām'!S36</f>
        <v>0</v>
      </c>
      <c r="J36" s="17">
        <f>'_2022_VB_bez izmaiņām'!T36</f>
        <v>0</v>
      </c>
      <c r="K36" s="74">
        <f>ROUND('_2022_VB_bez izmaiņām'!K36*1.05,0)</f>
        <v>0</v>
      </c>
      <c r="L36" s="74">
        <f t="shared" si="19"/>
        <v>0</v>
      </c>
      <c r="M36" s="17">
        <f t="shared" ref="M36:N46" si="21">I36+(K36*12)</f>
        <v>0</v>
      </c>
      <c r="N36" s="17">
        <f t="shared" si="21"/>
        <v>0</v>
      </c>
      <c r="O36" s="17">
        <f>ROUND('_2022_VB_bez izmaiņām'!O36*0.9,0)</f>
        <v>0</v>
      </c>
      <c r="P36" s="74">
        <f t="shared" si="20"/>
        <v>0</v>
      </c>
      <c r="Q36" s="40">
        <f>'_2022_VB_bez izmaiņām'!Q36*1.1</f>
        <v>150.30620000000002</v>
      </c>
      <c r="R36" s="22">
        <f t="shared" si="4"/>
        <v>0</v>
      </c>
      <c r="S36" s="19">
        <f t="shared" ref="S36:T46" si="22">M36-O36</f>
        <v>0</v>
      </c>
      <c r="T36" s="19">
        <f t="shared" si="22"/>
        <v>0</v>
      </c>
      <c r="U36" s="1">
        <v>1</v>
      </c>
      <c r="V36" s="1"/>
      <c r="W36" s="33" t="s">
        <v>126</v>
      </c>
    </row>
    <row r="37" spans="1:23" ht="40.5" customHeight="1" x14ac:dyDescent="0.25">
      <c r="A37" s="37">
        <v>29</v>
      </c>
      <c r="B37" s="59" t="s">
        <v>71</v>
      </c>
      <c r="C37" s="59" t="s">
        <v>72</v>
      </c>
      <c r="D37" s="58" t="s">
        <v>73</v>
      </c>
      <c r="E37" s="59" t="s">
        <v>9</v>
      </c>
      <c r="F37" s="59">
        <v>5</v>
      </c>
      <c r="G37" s="61" t="s">
        <v>74</v>
      </c>
      <c r="H37" s="57"/>
      <c r="I37" s="17">
        <f>'_2022_VB_bez izmaiņām'!S37</f>
        <v>138</v>
      </c>
      <c r="J37" s="17">
        <f>'_2022_VB_bez izmaiņām'!T37</f>
        <v>138</v>
      </c>
      <c r="K37" s="74">
        <f>ROUND('_2022_VB_bez izmaiņām'!K37*1.05,0)</f>
        <v>12</v>
      </c>
      <c r="L37" s="74">
        <f t="shared" si="19"/>
        <v>12</v>
      </c>
      <c r="M37" s="17">
        <f t="shared" si="21"/>
        <v>282</v>
      </c>
      <c r="N37" s="17">
        <f t="shared" si="21"/>
        <v>282</v>
      </c>
      <c r="O37" s="17">
        <f>ROUND('_2022_VB_bez izmaiņām'!O37*0.9,0)</f>
        <v>49</v>
      </c>
      <c r="P37" s="74">
        <f t="shared" si="20"/>
        <v>49</v>
      </c>
      <c r="Q37" s="42">
        <f>'_2022_VB_bez izmaiņām'!Q37*1.1</f>
        <v>505.00560000000013</v>
      </c>
      <c r="R37" s="23">
        <f t="shared" si="4"/>
        <v>24745.274400000006</v>
      </c>
      <c r="S37" s="18">
        <f t="shared" si="22"/>
        <v>233</v>
      </c>
      <c r="T37" s="18">
        <f t="shared" si="22"/>
        <v>233</v>
      </c>
      <c r="U37" s="24">
        <v>1</v>
      </c>
      <c r="V37" s="24"/>
      <c r="W37" s="32"/>
    </row>
    <row r="38" spans="1:23" ht="117" customHeight="1" x14ac:dyDescent="0.25">
      <c r="A38" s="59">
        <v>30</v>
      </c>
      <c r="B38" s="59" t="s">
        <v>71</v>
      </c>
      <c r="C38" s="59" t="s">
        <v>72</v>
      </c>
      <c r="D38" s="58" t="s">
        <v>75</v>
      </c>
      <c r="E38" s="59" t="s">
        <v>9</v>
      </c>
      <c r="F38" s="59">
        <v>5</v>
      </c>
      <c r="G38" s="61" t="s">
        <v>76</v>
      </c>
      <c r="H38" s="57"/>
      <c r="I38" s="17">
        <f>'_2022_VB_bez izmaiņām'!S38</f>
        <v>0</v>
      </c>
      <c r="J38" s="17">
        <f>'_2022_VB_bez izmaiņām'!T38</f>
        <v>0</v>
      </c>
      <c r="K38" s="74">
        <f>ROUND('_2022_VB_bez izmaiņām'!K38*1.05,0)</f>
        <v>0</v>
      </c>
      <c r="L38" s="74">
        <f t="shared" si="19"/>
        <v>0</v>
      </c>
      <c r="M38" s="17">
        <f t="shared" si="21"/>
        <v>0</v>
      </c>
      <c r="N38" s="17">
        <f>J38+(L38*12)</f>
        <v>0</v>
      </c>
      <c r="O38" s="17">
        <f>ROUND('_2022_VB_bez izmaiņām'!O38*0.9,0)</f>
        <v>0</v>
      </c>
      <c r="P38" s="74">
        <f t="shared" si="20"/>
        <v>0</v>
      </c>
      <c r="Q38" s="42">
        <f>'_2022_VB_bez izmaiņām'!Q38*1.1</f>
        <v>420.98320000000007</v>
      </c>
      <c r="R38" s="23">
        <f t="shared" si="4"/>
        <v>0</v>
      </c>
      <c r="S38" s="18">
        <f t="shared" si="22"/>
        <v>0</v>
      </c>
      <c r="T38" s="18">
        <f t="shared" si="22"/>
        <v>0</v>
      </c>
      <c r="U38" s="24">
        <v>1</v>
      </c>
      <c r="V38" s="24"/>
      <c r="W38" s="32" t="s">
        <v>126</v>
      </c>
    </row>
    <row r="39" spans="1:23" ht="42.75" customHeight="1" x14ac:dyDescent="0.25">
      <c r="A39" s="37">
        <v>31</v>
      </c>
      <c r="B39" s="38" t="s">
        <v>77</v>
      </c>
      <c r="C39" s="38" t="s">
        <v>78</v>
      </c>
      <c r="D39" s="37" t="s">
        <v>99</v>
      </c>
      <c r="E39" s="38" t="s">
        <v>9</v>
      </c>
      <c r="F39" s="38">
        <v>2</v>
      </c>
      <c r="G39" s="51" t="s">
        <v>10</v>
      </c>
      <c r="H39" s="56"/>
      <c r="I39" s="13">
        <f>'_2022_VB_bez izmaiņām'!S39</f>
        <v>217</v>
      </c>
      <c r="J39" s="13">
        <f>'_2022_VB_bez izmaiņām'!T39</f>
        <v>217</v>
      </c>
      <c r="K39" s="74">
        <f>ROUND('_2022_VB_bez izmaiņām'!K39*1.05,0)</f>
        <v>25</v>
      </c>
      <c r="L39" s="74">
        <f t="shared" si="19"/>
        <v>25</v>
      </c>
      <c r="M39" s="13">
        <f t="shared" si="21"/>
        <v>517</v>
      </c>
      <c r="N39" s="13">
        <f t="shared" si="21"/>
        <v>517</v>
      </c>
      <c r="O39" s="13">
        <f>ROUND('_2022_VB_bez izmaiņām'!O39*0.9,0)</f>
        <v>161</v>
      </c>
      <c r="P39" s="74">
        <f t="shared" si="20"/>
        <v>161</v>
      </c>
      <c r="Q39" s="42">
        <f>'_2022_VB_bez izmaiņām'!Q39*1.1</f>
        <v>85.196100000000015</v>
      </c>
      <c r="R39" s="23">
        <f t="shared" si="4"/>
        <v>13716.572100000003</v>
      </c>
      <c r="S39" s="18">
        <f t="shared" si="22"/>
        <v>356</v>
      </c>
      <c r="T39" s="18">
        <f t="shared" si="22"/>
        <v>356</v>
      </c>
      <c r="U39" s="1"/>
      <c r="V39" s="1">
        <v>1</v>
      </c>
      <c r="W39" s="33" t="s">
        <v>111</v>
      </c>
    </row>
    <row r="40" spans="1:23" ht="20.25" customHeight="1" x14ac:dyDescent="0.25">
      <c r="A40" s="37">
        <v>32</v>
      </c>
      <c r="B40" s="38" t="s">
        <v>148</v>
      </c>
      <c r="C40" s="38" t="s">
        <v>79</v>
      </c>
      <c r="D40" s="37" t="s">
        <v>80</v>
      </c>
      <c r="E40" s="38" t="s">
        <v>9</v>
      </c>
      <c r="F40" s="38">
        <v>5</v>
      </c>
      <c r="G40" s="51" t="s">
        <v>110</v>
      </c>
      <c r="H40" s="56"/>
      <c r="I40" s="13">
        <f>'_2022_VB_bez izmaiņām'!S40</f>
        <v>0</v>
      </c>
      <c r="J40" s="13">
        <f>'_2022_VB_bez izmaiņām'!T40</f>
        <v>0</v>
      </c>
      <c r="K40" s="74">
        <f>ROUND('_2022_VB_bez izmaiņām'!K40*1.05,0)</f>
        <v>0</v>
      </c>
      <c r="L40" s="74">
        <f t="shared" si="19"/>
        <v>0</v>
      </c>
      <c r="M40" s="13">
        <f t="shared" si="21"/>
        <v>0</v>
      </c>
      <c r="N40" s="13">
        <f t="shared" si="21"/>
        <v>0</v>
      </c>
      <c r="O40" s="13">
        <f>ROUND('_2022_VB_bez izmaiņām'!O40*0.9,0)</f>
        <v>0</v>
      </c>
      <c r="P40" s="74">
        <f t="shared" si="20"/>
        <v>0</v>
      </c>
      <c r="Q40" s="39">
        <f>'_2022_VB_bez izmaiņām'!Q40*1.1</f>
        <v>3025.0000000000005</v>
      </c>
      <c r="R40" s="4">
        <f t="shared" si="4"/>
        <v>0</v>
      </c>
      <c r="S40" s="18">
        <f t="shared" si="22"/>
        <v>0</v>
      </c>
      <c r="T40" s="18">
        <f t="shared" si="22"/>
        <v>0</v>
      </c>
      <c r="U40" s="1"/>
      <c r="V40" s="1">
        <v>1</v>
      </c>
      <c r="W40" s="33" t="s">
        <v>126</v>
      </c>
    </row>
    <row r="41" spans="1:23" ht="22.5" customHeight="1" x14ac:dyDescent="0.25">
      <c r="A41" s="37">
        <v>33</v>
      </c>
      <c r="B41" s="38" t="s">
        <v>6</v>
      </c>
      <c r="C41" s="38" t="s">
        <v>81</v>
      </c>
      <c r="D41" s="37" t="s">
        <v>82</v>
      </c>
      <c r="E41" s="38" t="s">
        <v>9</v>
      </c>
      <c r="F41" s="38">
        <v>7</v>
      </c>
      <c r="G41" s="51" t="s">
        <v>112</v>
      </c>
      <c r="H41" s="56"/>
      <c r="I41" s="13">
        <f>'_2022_VB_bez izmaiņām'!S41</f>
        <v>0</v>
      </c>
      <c r="J41" s="13">
        <f>'_2022_VB_bez izmaiņām'!T41</f>
        <v>0</v>
      </c>
      <c r="K41" s="74">
        <f>ROUND('_2022_VB_bez izmaiņām'!K41*1.05,0)</f>
        <v>0</v>
      </c>
      <c r="L41" s="74">
        <f t="shared" si="19"/>
        <v>0</v>
      </c>
      <c r="M41" s="13">
        <f t="shared" si="21"/>
        <v>0</v>
      </c>
      <c r="N41" s="13">
        <f t="shared" si="21"/>
        <v>0</v>
      </c>
      <c r="O41" s="13">
        <f>ROUND('_2022_VB_bez izmaiņām'!O41*0.9,0)</f>
        <v>0</v>
      </c>
      <c r="P41" s="74">
        <f t="shared" si="20"/>
        <v>0</v>
      </c>
      <c r="Q41" s="39">
        <f>'_2022_VB_bez izmaiņām'!Q41*1.1</f>
        <v>3025.0000000000005</v>
      </c>
      <c r="R41" s="4">
        <f t="shared" si="4"/>
        <v>0</v>
      </c>
      <c r="S41" s="18">
        <f t="shared" si="22"/>
        <v>0</v>
      </c>
      <c r="T41" s="18">
        <f t="shared" si="22"/>
        <v>0</v>
      </c>
      <c r="U41" s="1"/>
      <c r="V41" s="1">
        <v>1</v>
      </c>
      <c r="W41" s="33" t="s">
        <v>126</v>
      </c>
    </row>
    <row r="42" spans="1:23" ht="30" customHeight="1" x14ac:dyDescent="0.25">
      <c r="A42" s="37">
        <v>34</v>
      </c>
      <c r="B42" s="38" t="s">
        <v>77</v>
      </c>
      <c r="C42" s="38" t="s">
        <v>78</v>
      </c>
      <c r="D42" s="37" t="s">
        <v>83</v>
      </c>
      <c r="E42" s="38" t="s">
        <v>9</v>
      </c>
      <c r="F42" s="38">
        <v>5</v>
      </c>
      <c r="G42" s="51" t="s">
        <v>74</v>
      </c>
      <c r="H42" s="56"/>
      <c r="I42" s="13">
        <f>'_2022_VB_bez izmaiņām'!S42</f>
        <v>291</v>
      </c>
      <c r="J42" s="13">
        <f>'_2022_VB_bez izmaiņām'!T42</f>
        <v>291</v>
      </c>
      <c r="K42" s="74">
        <f>ROUND('_2022_VB_bez izmaiņām'!K42*1.05,0)</f>
        <v>12</v>
      </c>
      <c r="L42" s="74">
        <f t="shared" si="19"/>
        <v>12</v>
      </c>
      <c r="M42" s="13">
        <f>I42+(K42*12)</f>
        <v>435</v>
      </c>
      <c r="N42" s="13">
        <f t="shared" si="21"/>
        <v>435</v>
      </c>
      <c r="O42" s="13">
        <f>ROUND('_2022_VB_bez izmaiņām'!O42*0.9,0)</f>
        <v>82</v>
      </c>
      <c r="P42" s="74">
        <f t="shared" si="20"/>
        <v>82</v>
      </c>
      <c r="Q42" s="39">
        <f>'_2022_VB_bez izmaiņām'!Q42*1.1</f>
        <v>84.7</v>
      </c>
      <c r="R42" s="4">
        <f t="shared" si="4"/>
        <v>6945.4000000000005</v>
      </c>
      <c r="S42" s="18">
        <f>M42-O42</f>
        <v>353</v>
      </c>
      <c r="T42" s="18">
        <f t="shared" si="22"/>
        <v>353</v>
      </c>
      <c r="U42" s="1">
        <v>1</v>
      </c>
      <c r="V42" s="1"/>
    </row>
    <row r="43" spans="1:23" ht="30" customHeight="1" x14ac:dyDescent="0.25">
      <c r="A43" s="37">
        <v>35</v>
      </c>
      <c r="B43" s="38" t="s">
        <v>182</v>
      </c>
      <c r="C43" s="38" t="s">
        <v>183</v>
      </c>
      <c r="D43" s="37" t="s">
        <v>184</v>
      </c>
      <c r="E43" s="38" t="s">
        <v>9</v>
      </c>
      <c r="F43" s="38">
        <v>5</v>
      </c>
      <c r="G43" s="51" t="s">
        <v>185</v>
      </c>
      <c r="H43" s="56"/>
      <c r="I43" s="13">
        <f>'_2022_VB_bez izmaiņām'!S43</f>
        <v>201</v>
      </c>
      <c r="J43" s="13">
        <f>'_2022_VB_bez izmaiņām'!T43</f>
        <v>201</v>
      </c>
      <c r="K43" s="74">
        <f>ROUND('_2022_VB_bez izmaiņām'!K43*1.05,0)</f>
        <v>17</v>
      </c>
      <c r="L43" s="74">
        <f t="shared" si="19"/>
        <v>17</v>
      </c>
      <c r="M43" s="13">
        <f>I43+(K43*12)</f>
        <v>405</v>
      </c>
      <c r="N43" s="13">
        <f t="shared" si="21"/>
        <v>405</v>
      </c>
      <c r="O43" s="13">
        <f>ROUND('_2022_VB_bez izmaiņām'!O43*0.9,0)</f>
        <v>73</v>
      </c>
      <c r="P43" s="74">
        <f t="shared" si="20"/>
        <v>73</v>
      </c>
      <c r="Q43" s="39">
        <f>'_2022_VB_bez izmaiņām'!Q43*1.1</f>
        <v>226.27000000000004</v>
      </c>
      <c r="R43" s="4">
        <f>Q43*P43</f>
        <v>16517.710000000003</v>
      </c>
      <c r="S43" s="18">
        <f>M43-O43</f>
        <v>332</v>
      </c>
      <c r="T43" s="18">
        <f t="shared" si="22"/>
        <v>332</v>
      </c>
      <c r="U43" s="1"/>
      <c r="V43" s="1"/>
    </row>
    <row r="44" spans="1:23" ht="63.75" customHeight="1" x14ac:dyDescent="0.25">
      <c r="A44" s="37">
        <v>36</v>
      </c>
      <c r="B44" s="38" t="s">
        <v>84</v>
      </c>
      <c r="C44" s="38" t="s">
        <v>79</v>
      </c>
      <c r="D44" s="37" t="s">
        <v>85</v>
      </c>
      <c r="E44" s="38" t="s">
        <v>9</v>
      </c>
      <c r="F44" s="38">
        <v>5</v>
      </c>
      <c r="G44" s="51" t="s">
        <v>86</v>
      </c>
      <c r="H44" s="56"/>
      <c r="I44" s="13">
        <f>'_2022_VB_bez izmaiņām'!S44</f>
        <v>68</v>
      </c>
      <c r="J44" s="13">
        <f>'_2022_VB_bez izmaiņām'!T44</f>
        <v>68</v>
      </c>
      <c r="K44" s="74">
        <f>ROUND('_2022_VB_bez izmaiņām'!K44*1.05,0)</f>
        <v>5</v>
      </c>
      <c r="L44" s="74">
        <f t="shared" si="19"/>
        <v>5</v>
      </c>
      <c r="M44" s="13">
        <f t="shared" si="21"/>
        <v>128</v>
      </c>
      <c r="N44" s="13">
        <f t="shared" si="21"/>
        <v>128</v>
      </c>
      <c r="O44" s="13">
        <f>ROUND('_2022_VB_bez izmaiņām'!O44*0.9,0)</f>
        <v>24</v>
      </c>
      <c r="P44" s="74">
        <f t="shared" si="20"/>
        <v>24</v>
      </c>
      <c r="Q44" s="39">
        <f>'_2022_VB_bez izmaiņām'!Q44*1.1</f>
        <v>187.40480000000002</v>
      </c>
      <c r="R44" s="4">
        <f t="shared" si="4"/>
        <v>4497.7152000000006</v>
      </c>
      <c r="S44" s="18">
        <f t="shared" si="22"/>
        <v>104</v>
      </c>
      <c r="T44" s="18">
        <f t="shared" si="22"/>
        <v>104</v>
      </c>
      <c r="U44" s="1"/>
      <c r="V44" s="1">
        <v>1</v>
      </c>
    </row>
    <row r="45" spans="1:23" ht="53.25" customHeight="1" x14ac:dyDescent="0.25">
      <c r="A45" s="60">
        <v>37</v>
      </c>
      <c r="B45" s="59" t="s">
        <v>87</v>
      </c>
      <c r="C45" s="59" t="s">
        <v>88</v>
      </c>
      <c r="D45" s="58" t="s">
        <v>89</v>
      </c>
      <c r="E45" s="59" t="s">
        <v>9</v>
      </c>
      <c r="F45" s="59">
        <v>5</v>
      </c>
      <c r="G45" s="61" t="s">
        <v>10</v>
      </c>
      <c r="H45" s="57"/>
      <c r="I45" s="13">
        <f>'_2022_VB_bez izmaiņām'!S45</f>
        <v>134</v>
      </c>
      <c r="J45" s="13">
        <f>'_2022_VB_bez izmaiņām'!T45</f>
        <v>134</v>
      </c>
      <c r="K45" s="74">
        <f>ROUND('_2022_VB_bez izmaiņām'!K45*1.05,0)</f>
        <v>7</v>
      </c>
      <c r="L45" s="74">
        <f t="shared" si="19"/>
        <v>7</v>
      </c>
      <c r="M45" s="13">
        <f t="shared" si="21"/>
        <v>218</v>
      </c>
      <c r="N45" s="13">
        <f t="shared" si="21"/>
        <v>218</v>
      </c>
      <c r="O45" s="13">
        <f>ROUND('_2022_VB_bez izmaiņām'!O45*0.9,0)</f>
        <v>12</v>
      </c>
      <c r="P45" s="74">
        <f t="shared" si="20"/>
        <v>12</v>
      </c>
      <c r="Q45" s="39">
        <f>'_2022_VB_bez izmaiņām'!Q45*1.1</f>
        <v>1535.8409000000001</v>
      </c>
      <c r="R45" s="4">
        <f t="shared" si="4"/>
        <v>18430.090800000002</v>
      </c>
      <c r="S45" s="18">
        <f t="shared" si="22"/>
        <v>206</v>
      </c>
      <c r="T45" s="18">
        <f t="shared" si="22"/>
        <v>206</v>
      </c>
      <c r="U45" s="1"/>
      <c r="V45" s="1">
        <v>1</v>
      </c>
    </row>
    <row r="46" spans="1:23" x14ac:dyDescent="0.25">
      <c r="A46" s="37">
        <v>38</v>
      </c>
      <c r="B46" s="38" t="s">
        <v>87</v>
      </c>
      <c r="C46" s="38" t="s">
        <v>90</v>
      </c>
      <c r="D46" s="37" t="s">
        <v>113</v>
      </c>
      <c r="E46" s="38" t="s">
        <v>9</v>
      </c>
      <c r="F46" s="38">
        <v>5</v>
      </c>
      <c r="G46" s="51" t="s">
        <v>10</v>
      </c>
      <c r="H46" s="56"/>
      <c r="I46" s="13">
        <f>'_2022_VB_bez izmaiņām'!S46</f>
        <v>196</v>
      </c>
      <c r="J46" s="13">
        <f>'_2022_VB_bez izmaiņām'!T46</f>
        <v>196</v>
      </c>
      <c r="K46" s="74">
        <f>ROUND('_2022_VB_bez izmaiņām'!K46*1.05,0)</f>
        <v>11</v>
      </c>
      <c r="L46" s="74">
        <f t="shared" si="19"/>
        <v>11</v>
      </c>
      <c r="M46" s="13">
        <f t="shared" si="21"/>
        <v>328</v>
      </c>
      <c r="N46" s="13">
        <f t="shared" si="21"/>
        <v>328</v>
      </c>
      <c r="O46" s="13">
        <f>ROUND('_2022_VB_bez izmaiņām'!O46*0.9,0)</f>
        <v>17</v>
      </c>
      <c r="P46" s="74">
        <f t="shared" si="20"/>
        <v>17</v>
      </c>
      <c r="Q46" s="39">
        <f>'_2022_VB_bez izmaiņām'!Q46*1.1</f>
        <v>605</v>
      </c>
      <c r="R46" s="4">
        <f t="shared" si="4"/>
        <v>10285</v>
      </c>
      <c r="S46" s="18">
        <f t="shared" si="22"/>
        <v>311</v>
      </c>
      <c r="T46" s="18">
        <f t="shared" si="22"/>
        <v>311</v>
      </c>
      <c r="U46" s="1"/>
      <c r="V46" s="1">
        <v>1</v>
      </c>
      <c r="W46" s="33" t="s">
        <v>109</v>
      </c>
    </row>
    <row r="47" spans="1:23" ht="20.25" customHeight="1" x14ac:dyDescent="0.25">
      <c r="A47" s="48"/>
      <c r="B47" s="49"/>
      <c r="C47" s="50">
        <v>27</v>
      </c>
      <c r="D47" s="91" t="s">
        <v>91</v>
      </c>
      <c r="E47" s="91"/>
      <c r="F47" s="91"/>
      <c r="G47" s="91"/>
      <c r="H47" s="137"/>
      <c r="I47" s="10">
        <f>'_2022_VB_bez izmaiņām'!S47</f>
        <v>176</v>
      </c>
      <c r="J47" s="10">
        <f>'_2022_VB_bez izmaiņām'!T47</f>
        <v>176</v>
      </c>
      <c r="K47" s="10">
        <f>ROUND('_2022_VB_bez izmaiņām'!K47*1.05,0)</f>
        <v>15</v>
      </c>
      <c r="L47" s="10">
        <f t="shared" ref="L47:R47" si="23">L48+L49</f>
        <v>13</v>
      </c>
      <c r="M47" s="10">
        <f t="shared" si="23"/>
        <v>332</v>
      </c>
      <c r="N47" s="10">
        <f t="shared" si="23"/>
        <v>332</v>
      </c>
      <c r="O47" s="10">
        <f>ROUND('_2022_VB_bez izmaiņām'!O47*0.9,0)</f>
        <v>63</v>
      </c>
      <c r="P47" s="10">
        <f t="shared" si="23"/>
        <v>64</v>
      </c>
      <c r="Q47" s="73" t="s">
        <v>119</v>
      </c>
      <c r="R47" s="3">
        <f t="shared" si="23"/>
        <v>6500.6040000000021</v>
      </c>
      <c r="S47" s="10">
        <f>S48+S49</f>
        <v>268</v>
      </c>
      <c r="T47" s="10">
        <f>T48+T49</f>
        <v>268</v>
      </c>
      <c r="U47" s="8"/>
      <c r="V47" s="8">
        <v>1</v>
      </c>
    </row>
    <row r="48" spans="1:23" ht="30" x14ac:dyDescent="0.25">
      <c r="A48" s="37">
        <v>39</v>
      </c>
      <c r="B48" s="38" t="s">
        <v>6</v>
      </c>
      <c r="C48" s="38" t="s">
        <v>92</v>
      </c>
      <c r="D48" s="37" t="s">
        <v>93</v>
      </c>
      <c r="E48" s="38" t="s">
        <v>9</v>
      </c>
      <c r="F48" s="38">
        <v>3</v>
      </c>
      <c r="G48" s="51" t="s">
        <v>10</v>
      </c>
      <c r="H48" s="56"/>
      <c r="I48" s="13">
        <f>'_2022_VB_bez izmaiņām'!S48</f>
        <v>122</v>
      </c>
      <c r="J48" s="13">
        <f>'_2022_VB_bez izmaiņām'!T48</f>
        <v>122</v>
      </c>
      <c r="K48" s="74">
        <f>ROUND('_2022_VB_bez izmaiņām'!K48*1.05,0)</f>
        <v>9</v>
      </c>
      <c r="L48" s="74">
        <f t="shared" si="19"/>
        <v>9</v>
      </c>
      <c r="M48" s="13">
        <f t="shared" ref="M48:N49" si="24">I48+(K48*12)</f>
        <v>230</v>
      </c>
      <c r="N48" s="13">
        <f t="shared" si="24"/>
        <v>230</v>
      </c>
      <c r="O48" s="13">
        <f>ROUND('_2022_VB_bez izmaiņām'!O48*0.9,0)</f>
        <v>45</v>
      </c>
      <c r="P48" s="74">
        <f t="shared" si="20"/>
        <v>45</v>
      </c>
      <c r="Q48" s="39">
        <f>'_2022_VB_bez izmaiņām'!Q48*1.1</f>
        <v>42.458900000000007</v>
      </c>
      <c r="R48" s="4">
        <f t="shared" si="4"/>
        <v>1910.6505000000004</v>
      </c>
      <c r="S48" s="18">
        <f t="shared" ref="S48:T49" si="25">M48-O48</f>
        <v>185</v>
      </c>
      <c r="T48" s="18">
        <f t="shared" si="25"/>
        <v>185</v>
      </c>
      <c r="U48" s="1"/>
      <c r="V48" s="1">
        <v>1</v>
      </c>
    </row>
    <row r="49" spans="1:24" x14ac:dyDescent="0.25">
      <c r="A49" s="37">
        <v>40</v>
      </c>
      <c r="B49" s="38" t="s">
        <v>6</v>
      </c>
      <c r="C49" s="38" t="s">
        <v>94</v>
      </c>
      <c r="D49" s="37" t="s">
        <v>95</v>
      </c>
      <c r="E49" s="38" t="s">
        <v>9</v>
      </c>
      <c r="F49" s="38">
        <v>5</v>
      </c>
      <c r="G49" s="51" t="s">
        <v>10</v>
      </c>
      <c r="H49" s="56"/>
      <c r="I49" s="13">
        <f>'_2022_VB_bez izmaiņām'!S49</f>
        <v>54</v>
      </c>
      <c r="J49" s="13">
        <f>'_2022_VB_bez izmaiņām'!T49</f>
        <v>54</v>
      </c>
      <c r="K49" s="74">
        <f>ROUND('_2022_VB_bez izmaiņām'!K49*1.05,0)</f>
        <v>4</v>
      </c>
      <c r="L49" s="74">
        <f t="shared" si="19"/>
        <v>4</v>
      </c>
      <c r="M49" s="13">
        <f t="shared" si="24"/>
        <v>102</v>
      </c>
      <c r="N49" s="13">
        <f t="shared" si="24"/>
        <v>102</v>
      </c>
      <c r="O49" s="13">
        <f>ROUND('_2022_VB_bez izmaiņām'!O49*0.9,0)</f>
        <v>19</v>
      </c>
      <c r="P49" s="74">
        <f t="shared" si="20"/>
        <v>19</v>
      </c>
      <c r="Q49" s="39">
        <f>'_2022_VB_bez izmaiņām'!Q49*1.1</f>
        <v>241.57650000000007</v>
      </c>
      <c r="R49" s="4">
        <f t="shared" si="4"/>
        <v>4589.9535000000014</v>
      </c>
      <c r="S49" s="18">
        <f t="shared" si="25"/>
        <v>83</v>
      </c>
      <c r="T49" s="18">
        <f t="shared" si="25"/>
        <v>83</v>
      </c>
      <c r="U49" s="1"/>
      <c r="V49" s="1">
        <v>1</v>
      </c>
    </row>
    <row r="50" spans="1:24" x14ac:dyDescent="0.25">
      <c r="I50" s="20">
        <f t="shared" ref="I50:P50" si="26">I6+I11+I13+I16+I19+I47</f>
        <v>7025</v>
      </c>
      <c r="J50" s="20">
        <f t="shared" si="26"/>
        <v>8408</v>
      </c>
      <c r="K50" s="20">
        <f t="shared" si="26"/>
        <v>633</v>
      </c>
      <c r="L50" s="20">
        <f t="shared" si="26"/>
        <v>765</v>
      </c>
      <c r="M50" s="20">
        <f t="shared" si="26"/>
        <v>14609</v>
      </c>
      <c r="N50" s="20">
        <f t="shared" si="26"/>
        <v>17588</v>
      </c>
      <c r="O50" s="20">
        <f t="shared" si="26"/>
        <v>4912</v>
      </c>
      <c r="P50" s="20">
        <f t="shared" si="26"/>
        <v>6591</v>
      </c>
      <c r="Q50" s="26" t="s">
        <v>119</v>
      </c>
      <c r="R50" s="20">
        <f>R6+R11+R13+R16+R19+R47</f>
        <v>1894717.9946999999</v>
      </c>
      <c r="S50" s="20">
        <f>S6+S11+S13+S16+S19+S47</f>
        <v>9610</v>
      </c>
      <c r="T50" s="20">
        <f>T6+T11+T13+T16+T19+T47</f>
        <v>10997</v>
      </c>
      <c r="X50" s="131"/>
    </row>
    <row r="51" spans="1:24" x14ac:dyDescent="0.25">
      <c r="I51" s="21">
        <f>I25+I26+I27+I28+I35+I36+I37+I38+I42+I43</f>
        <v>3803</v>
      </c>
      <c r="J51" s="21">
        <f t="shared" ref="J51:P51" si="27">J25+J26+J27+J28+J35+J36+J37+J38+J42+J43</f>
        <v>5186</v>
      </c>
      <c r="K51" s="21">
        <f t="shared" si="27"/>
        <v>299</v>
      </c>
      <c r="L51" s="21">
        <f t="shared" si="27"/>
        <v>432</v>
      </c>
      <c r="M51" s="21">
        <f t="shared" si="27"/>
        <v>7391</v>
      </c>
      <c r="N51" s="21">
        <f t="shared" si="27"/>
        <v>10370</v>
      </c>
      <c r="O51" s="21">
        <f t="shared" si="27"/>
        <v>3032</v>
      </c>
      <c r="P51" s="21">
        <f t="shared" si="27"/>
        <v>4624</v>
      </c>
      <c r="Q51" s="21"/>
      <c r="R51" s="21">
        <f>R25+R26+R27+R28+R35+R36+R37+R38+R42+R43</f>
        <v>1166980.9996</v>
      </c>
      <c r="S51" s="21">
        <f>S25+S26+S27+S28+S35+S36+S37+S38+S42+S43</f>
        <v>4359</v>
      </c>
      <c r="T51" s="21">
        <f>T25+T26+T27+T28+T35+T36+T37+T38+T42+T43</f>
        <v>5746</v>
      </c>
    </row>
    <row r="52" spans="1:24" x14ac:dyDescent="0.25">
      <c r="P52" s="89" t="s">
        <v>131</v>
      </c>
      <c r="Q52" s="90" t="s">
        <v>131</v>
      </c>
      <c r="R52" s="21">
        <v>1166981</v>
      </c>
    </row>
    <row r="53" spans="1:24" x14ac:dyDescent="0.25">
      <c r="P53" s="89" t="s">
        <v>132</v>
      </c>
      <c r="Q53" s="90" t="s">
        <v>132</v>
      </c>
      <c r="R53" s="21">
        <f>R51-R52</f>
        <v>-4.0000001899898052E-4</v>
      </c>
    </row>
    <row r="55" spans="1:24" x14ac:dyDescent="0.25">
      <c r="I55" s="21">
        <f t="shared" ref="I55:P55" si="28">I7+I8+I9+I10+I12+I14+I15+I17+I18+I20+I21+I22+I23+I24+I29+I30+I31+I32+I33+I34+I39+I40+I41+I44+I46+I48+I49+I45</f>
        <v>3222</v>
      </c>
      <c r="J55" s="21">
        <f t="shared" si="28"/>
        <v>3222</v>
      </c>
      <c r="K55" s="21">
        <f t="shared" si="28"/>
        <v>333</v>
      </c>
      <c r="L55" s="21">
        <f t="shared" si="28"/>
        <v>333</v>
      </c>
      <c r="M55" s="21">
        <f t="shared" si="28"/>
        <v>7218</v>
      </c>
      <c r="N55" s="21">
        <f t="shared" si="28"/>
        <v>7218</v>
      </c>
      <c r="O55" s="21">
        <f t="shared" si="28"/>
        <v>1967</v>
      </c>
      <c r="P55" s="21">
        <f t="shared" si="28"/>
        <v>1967</v>
      </c>
      <c r="Q55" s="21"/>
      <c r="R55" s="21">
        <f>R7+R8+R9+R10+R12+R14+R15+R17+R18+R20+R21+R22+R23+R24+R29+R30+R31+R32+R33+R34+R39+R40+R41+R44+R46+R48+R49+R45</f>
        <v>727736.99510000006</v>
      </c>
      <c r="S55" s="21">
        <f>S7+S8+S9+S10+S12+S14+S15+S17+S18+S20+S21+S22+S23+S24+S29+S30+S31+S32+S33+S34+S39+S40+S41+S44+S46+S48+S49+S45</f>
        <v>5251</v>
      </c>
      <c r="T55" s="21">
        <f t="shared" ref="T55" si="29">T7+T8+T9+T10+T12+T14+T15+T17+T18+T20+T21+T22+T23+T24+T29+T30+T31+T32+T33+T34+T39+T40+T41+T44+T46+T48+T49+T45</f>
        <v>5251</v>
      </c>
      <c r="U55" s="21"/>
      <c r="V55" s="21"/>
      <c r="W55" s="21"/>
    </row>
    <row r="56" spans="1:24" x14ac:dyDescent="0.25">
      <c r="P56" s="89" t="s">
        <v>133</v>
      </c>
      <c r="Q56" s="90" t="s">
        <v>131</v>
      </c>
      <c r="R56" s="55">
        <v>727737</v>
      </c>
    </row>
    <row r="57" spans="1:24" x14ac:dyDescent="0.25">
      <c r="P57" s="89" t="s">
        <v>134</v>
      </c>
      <c r="Q57" s="90" t="s">
        <v>132</v>
      </c>
      <c r="R57" s="21">
        <f>R55-R56</f>
        <v>-4.8999999416992068E-3</v>
      </c>
    </row>
    <row r="59" spans="1:24" x14ac:dyDescent="0.25">
      <c r="Q59" s="139" t="s">
        <v>135</v>
      </c>
      <c r="R59" s="21">
        <f>R52+R56</f>
        <v>1894718</v>
      </c>
    </row>
    <row r="60" spans="1:24" ht="19.5" x14ac:dyDescent="0.25">
      <c r="O60" s="140"/>
      <c r="P60" s="140"/>
      <c r="Q60" s="141" t="s">
        <v>172</v>
      </c>
      <c r="R60" s="142">
        <f>R50-R59</f>
        <v>-5.3000000771135092E-3</v>
      </c>
    </row>
    <row r="61" spans="1:24" x14ac:dyDescent="0.25">
      <c r="R61" s="21">
        <f>R50-R52-R56-R57-R53</f>
        <v>-1.1641532182693481E-10</v>
      </c>
    </row>
    <row r="62" spans="1:24" x14ac:dyDescent="0.25">
      <c r="I62" s="21">
        <f>I50-I51-I55</f>
        <v>0</v>
      </c>
      <c r="J62" s="21">
        <f t="shared" ref="J62:P62" si="30">J50-J51-J55</f>
        <v>0</v>
      </c>
      <c r="K62" s="21">
        <f t="shared" si="30"/>
        <v>1</v>
      </c>
      <c r="L62" s="21">
        <f t="shared" si="30"/>
        <v>0</v>
      </c>
      <c r="M62" s="21">
        <f t="shared" si="30"/>
        <v>0</v>
      </c>
      <c r="N62" s="21">
        <f t="shared" si="30"/>
        <v>0</v>
      </c>
      <c r="O62" s="21">
        <f t="shared" si="30"/>
        <v>-87</v>
      </c>
      <c r="P62" s="21">
        <f t="shared" si="30"/>
        <v>0</v>
      </c>
      <c r="Q62" s="21"/>
      <c r="R62" s="21">
        <f>R50-R51-R55</f>
        <v>0</v>
      </c>
      <c r="S62" s="21">
        <f>S50-S51-S55</f>
        <v>0</v>
      </c>
      <c r="T62" s="21">
        <f>T50-T51-T55</f>
        <v>0</v>
      </c>
    </row>
    <row r="64" spans="1:24" x14ac:dyDescent="0.25">
      <c r="I64" s="21"/>
      <c r="J64" s="21"/>
      <c r="K64" s="21"/>
      <c r="L64" s="21"/>
      <c r="M64" s="21"/>
      <c r="N64" s="21"/>
      <c r="O64" s="21"/>
      <c r="P64" s="21"/>
      <c r="Q64" s="21"/>
      <c r="R64" s="21"/>
      <c r="S64" s="21"/>
      <c r="T64" s="21"/>
      <c r="U64" s="21"/>
    </row>
  </sheetData>
  <autoFilter ref="A5:Z5" xr:uid="{D1B79ED2-EAB1-4B47-B3F6-DBA429A86CFF}"/>
  <mergeCells count="20">
    <mergeCell ref="A1:T1"/>
    <mergeCell ref="I2:R2"/>
    <mergeCell ref="A3:G3"/>
    <mergeCell ref="I3:J3"/>
    <mergeCell ref="K3:L3"/>
    <mergeCell ref="M3:N3"/>
    <mergeCell ref="O3:P3"/>
    <mergeCell ref="Q3:Q4"/>
    <mergeCell ref="R3:R4"/>
    <mergeCell ref="S3:T3"/>
    <mergeCell ref="P52:Q52"/>
    <mergeCell ref="P53:Q53"/>
    <mergeCell ref="P56:Q56"/>
    <mergeCell ref="P57:Q57"/>
    <mergeCell ref="D6:G6"/>
    <mergeCell ref="D11:G11"/>
    <mergeCell ref="D13:G13"/>
    <mergeCell ref="D16:G16"/>
    <mergeCell ref="D19:G19"/>
    <mergeCell ref="D47:G47"/>
  </mergeCells>
  <pageMargins left="0.51181102362204722" right="0.31496062992125984" top="0.94488188976377963" bottom="0.59055118110236227"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E337A-0624-41DD-B1BE-3CE03A655E59}">
  <dimension ref="A1:Z42"/>
  <sheetViews>
    <sheetView zoomScale="70" zoomScaleNormal="70" workbookViewId="0">
      <selection activeCell="AD25" sqref="A1:XFD1048576"/>
    </sheetView>
  </sheetViews>
  <sheetFormatPr defaultColWidth="9.140625" defaultRowHeight="15" x14ac:dyDescent="0.25"/>
  <cols>
    <col min="1" max="1" width="36.7109375" style="108" customWidth="1"/>
    <col min="2" max="2" width="12.28515625" style="108" customWidth="1"/>
    <col min="3" max="11" width="9.28515625" style="108" customWidth="1"/>
    <col min="12" max="18" width="9.140625" style="108"/>
    <col min="19" max="26" width="0" style="108" hidden="1" customWidth="1"/>
    <col min="27" max="16384" width="9.140625" style="108"/>
  </cols>
  <sheetData>
    <row r="1" spans="1:26" ht="15" customHeight="1" x14ac:dyDescent="0.25">
      <c r="A1" s="105" t="s">
        <v>194</v>
      </c>
      <c r="B1" s="83" t="s">
        <v>193</v>
      </c>
      <c r="C1" s="84"/>
      <c r="D1" s="84"/>
      <c r="E1" s="84"/>
      <c r="F1" s="84"/>
      <c r="G1" s="84"/>
      <c r="H1" s="84"/>
      <c r="I1" s="84"/>
      <c r="J1" s="84"/>
      <c r="K1" s="84"/>
      <c r="L1" s="106"/>
      <c r="M1" s="106"/>
      <c r="N1" s="106"/>
      <c r="O1" s="106"/>
      <c r="P1" s="106"/>
      <c r="Q1" s="107"/>
    </row>
    <row r="2" spans="1:26" x14ac:dyDescent="0.25">
      <c r="A2" s="109" t="s">
        <v>194</v>
      </c>
      <c r="B2" s="103" t="s">
        <v>175</v>
      </c>
      <c r="C2" s="104" t="s">
        <v>151</v>
      </c>
      <c r="D2" s="104"/>
      <c r="E2" s="104"/>
      <c r="F2" s="104" t="s">
        <v>152</v>
      </c>
      <c r="G2" s="104"/>
      <c r="H2" s="104"/>
      <c r="I2" s="104" t="s">
        <v>164</v>
      </c>
      <c r="J2" s="104"/>
      <c r="K2" s="104"/>
      <c r="L2" s="110"/>
      <c r="M2" s="110"/>
      <c r="N2" s="110"/>
      <c r="O2" s="110"/>
      <c r="P2" s="110"/>
      <c r="Q2" s="111"/>
    </row>
    <row r="3" spans="1:26" s="114" customFormat="1" x14ac:dyDescent="0.25">
      <c r="A3" s="109" t="s">
        <v>194</v>
      </c>
      <c r="B3" s="103"/>
      <c r="C3" s="62" t="s">
        <v>176</v>
      </c>
      <c r="D3" s="62" t="s">
        <v>186</v>
      </c>
      <c r="E3" s="62" t="s">
        <v>150</v>
      </c>
      <c r="F3" s="62" t="s">
        <v>176</v>
      </c>
      <c r="G3" s="62" t="s">
        <v>186</v>
      </c>
      <c r="H3" s="62" t="s">
        <v>150</v>
      </c>
      <c r="I3" s="62" t="s">
        <v>176</v>
      </c>
      <c r="J3" s="62" t="s">
        <v>186</v>
      </c>
      <c r="K3" s="62" t="s">
        <v>150</v>
      </c>
      <c r="L3" s="112"/>
      <c r="M3" s="112"/>
      <c r="N3" s="112"/>
      <c r="O3" s="112"/>
      <c r="P3" s="112"/>
      <c r="Q3" s="113"/>
    </row>
    <row r="4" spans="1:26" x14ac:dyDescent="0.25">
      <c r="A4" s="109" t="s">
        <v>194</v>
      </c>
      <c r="B4" s="63" t="s">
        <v>173</v>
      </c>
      <c r="C4" s="64">
        <f>'_2021_VB_bez izmaiņām'!R52+93612</f>
        <v>1260593</v>
      </c>
      <c r="D4" s="64">
        <v>0</v>
      </c>
      <c r="E4" s="65">
        <f>C4+D4</f>
        <v>1260593</v>
      </c>
      <c r="F4" s="64">
        <f>C4</f>
        <v>1260593</v>
      </c>
      <c r="G4" s="64">
        <v>0</v>
      </c>
      <c r="H4" s="65">
        <f>F4+G4</f>
        <v>1260593</v>
      </c>
      <c r="I4" s="64">
        <f>F4</f>
        <v>1260593</v>
      </c>
      <c r="J4" s="64">
        <v>0</v>
      </c>
      <c r="K4" s="65">
        <f>I4+J4</f>
        <v>1260593</v>
      </c>
      <c r="L4" s="110"/>
      <c r="M4" s="110"/>
      <c r="N4" s="110"/>
      <c r="O4" s="110"/>
      <c r="P4" s="110"/>
      <c r="Q4" s="111"/>
    </row>
    <row r="5" spans="1:26" x14ac:dyDescent="0.25">
      <c r="A5" s="109" t="s">
        <v>194</v>
      </c>
      <c r="B5" s="63" t="s">
        <v>174</v>
      </c>
      <c r="C5" s="64">
        <f>'_2021_VB_bez izmaiņām'!R56+40267</f>
        <v>768004</v>
      </c>
      <c r="D5" s="64">
        <v>0</v>
      </c>
      <c r="E5" s="65">
        <f>C5+D5</f>
        <v>768004</v>
      </c>
      <c r="F5" s="64">
        <f>C5</f>
        <v>768004</v>
      </c>
      <c r="G5" s="64">
        <v>0</v>
      </c>
      <c r="H5" s="65">
        <f>F5+G5</f>
        <v>768004</v>
      </c>
      <c r="I5" s="64">
        <f>F5</f>
        <v>768004</v>
      </c>
      <c r="J5" s="64">
        <v>0</v>
      </c>
      <c r="K5" s="65">
        <f>I5+J5</f>
        <v>768004</v>
      </c>
      <c r="L5" s="110"/>
      <c r="M5" s="110"/>
      <c r="N5" s="110"/>
      <c r="O5" s="110"/>
      <c r="P5" s="110"/>
      <c r="Q5" s="111"/>
    </row>
    <row r="6" spans="1:26" s="117" customFormat="1" ht="14.25" x14ac:dyDescent="0.2">
      <c r="A6" s="109" t="s">
        <v>194</v>
      </c>
      <c r="B6" s="66" t="s">
        <v>149</v>
      </c>
      <c r="C6" s="67">
        <f>C4+C5</f>
        <v>2028597</v>
      </c>
      <c r="D6" s="67">
        <f t="shared" ref="D6:E6" si="0">D4+D5</f>
        <v>0</v>
      </c>
      <c r="E6" s="67">
        <f t="shared" si="0"/>
        <v>2028597</v>
      </c>
      <c r="F6" s="67">
        <f>F4+F5</f>
        <v>2028597</v>
      </c>
      <c r="G6" s="67">
        <f t="shared" ref="G6:H6" si="1">G4+G5</f>
        <v>0</v>
      </c>
      <c r="H6" s="67">
        <f t="shared" si="1"/>
        <v>2028597</v>
      </c>
      <c r="I6" s="67">
        <f>I4+I5</f>
        <v>2028597</v>
      </c>
      <c r="J6" s="67">
        <f t="shared" ref="J6:K6" si="2">J4+J5</f>
        <v>0</v>
      </c>
      <c r="K6" s="67">
        <f t="shared" si="2"/>
        <v>2028597</v>
      </c>
      <c r="L6" s="115"/>
      <c r="M6" s="115"/>
      <c r="N6" s="115"/>
      <c r="O6" s="115"/>
      <c r="P6" s="115"/>
      <c r="Q6" s="116"/>
    </row>
    <row r="7" spans="1:26" x14ac:dyDescent="0.25">
      <c r="A7" s="109" t="s">
        <v>194</v>
      </c>
      <c r="B7" s="118"/>
      <c r="C7" s="110"/>
      <c r="D7" s="110"/>
      <c r="E7" s="110"/>
      <c r="F7" s="110"/>
      <c r="G7" s="110"/>
      <c r="H7" s="110"/>
      <c r="I7" s="110"/>
      <c r="J7" s="110"/>
      <c r="K7" s="110"/>
      <c r="L7" s="110"/>
      <c r="M7" s="110"/>
      <c r="N7" s="110"/>
      <c r="O7" s="110"/>
      <c r="P7" s="110"/>
      <c r="Q7" s="111"/>
    </row>
    <row r="8" spans="1:26" ht="20.25" customHeight="1" x14ac:dyDescent="0.25">
      <c r="A8" s="109" t="s">
        <v>194</v>
      </c>
      <c r="B8" s="115" t="s">
        <v>153</v>
      </c>
      <c r="C8" s="110"/>
      <c r="D8" s="110"/>
      <c r="E8" s="110"/>
      <c r="F8" s="119"/>
      <c r="G8" s="119"/>
      <c r="H8" s="115" t="s">
        <v>161</v>
      </c>
      <c r="I8" s="110"/>
      <c r="J8" s="110"/>
      <c r="K8" s="110"/>
      <c r="L8" s="119"/>
      <c r="M8" s="115" t="s">
        <v>160</v>
      </c>
      <c r="N8" s="110"/>
      <c r="O8" s="110"/>
      <c r="P8" s="110"/>
      <c r="Q8" s="111"/>
    </row>
    <row r="9" spans="1:26" x14ac:dyDescent="0.25">
      <c r="A9" s="109" t="s">
        <v>194</v>
      </c>
      <c r="B9" s="102" t="str">
        <f>B2</f>
        <v>TPL veids</v>
      </c>
      <c r="C9" s="101" t="s">
        <v>157</v>
      </c>
      <c r="D9" s="101"/>
      <c r="E9" s="101"/>
      <c r="F9" s="101"/>
      <c r="G9" s="77"/>
      <c r="H9" s="102" t="str">
        <f>B9</f>
        <v>TPL veids</v>
      </c>
      <c r="I9" s="101" t="s">
        <v>162</v>
      </c>
      <c r="J9" s="101"/>
      <c r="K9" s="101"/>
      <c r="L9" s="78"/>
      <c r="M9" s="102" t="str">
        <f>H9</f>
        <v>TPL veids</v>
      </c>
      <c r="N9" s="101" t="str">
        <f>M8</f>
        <v>Izsniegtais TPL skaits</v>
      </c>
      <c r="O9" s="101"/>
      <c r="P9" s="101"/>
      <c r="Q9" s="111"/>
    </row>
    <row r="10" spans="1:26" s="114" customFormat="1" x14ac:dyDescent="0.25">
      <c r="A10" s="109" t="s">
        <v>194</v>
      </c>
      <c r="B10" s="102"/>
      <c r="C10" s="68" t="s">
        <v>154</v>
      </c>
      <c r="D10" s="68" t="s">
        <v>155</v>
      </c>
      <c r="E10" s="68" t="s">
        <v>156</v>
      </c>
      <c r="F10" s="68" t="s">
        <v>165</v>
      </c>
      <c r="G10" s="79"/>
      <c r="H10" s="102"/>
      <c r="I10" s="68" t="s">
        <v>158</v>
      </c>
      <c r="J10" s="68" t="s">
        <v>159</v>
      </c>
      <c r="K10" s="68" t="s">
        <v>166</v>
      </c>
      <c r="L10" s="79"/>
      <c r="M10" s="102"/>
      <c r="N10" s="68" t="s">
        <v>158</v>
      </c>
      <c r="O10" s="68" t="s">
        <v>159</v>
      </c>
      <c r="P10" s="68" t="s">
        <v>166</v>
      </c>
      <c r="Q10" s="113"/>
    </row>
    <row r="11" spans="1:26" x14ac:dyDescent="0.25">
      <c r="A11" s="109" t="s">
        <v>194</v>
      </c>
      <c r="B11" s="63" t="s">
        <v>173</v>
      </c>
      <c r="C11" s="69">
        <f>'_2021_VB_bez izmaiņām'!I51</f>
        <v>4198</v>
      </c>
      <c r="D11" s="69">
        <f>'_2022_VB_bez izmaiņām'!I51</f>
        <v>3741</v>
      </c>
      <c r="E11" s="69">
        <f>'_2023_VB_bez izmaiņām'!I51</f>
        <v>3803</v>
      </c>
      <c r="F11" s="69">
        <f>'_2023_VB_bez izmaiņām'!S51</f>
        <v>4359</v>
      </c>
      <c r="G11" s="80"/>
      <c r="H11" s="63" t="s">
        <v>173</v>
      </c>
      <c r="I11" s="69">
        <f>'_2021_VB_bez izmaiņām'!O51</f>
        <v>3667</v>
      </c>
      <c r="J11" s="69">
        <f>'_2022_VB_bez izmaiņām'!O51</f>
        <v>3334</v>
      </c>
      <c r="K11" s="69">
        <f>'_2023_VB_bez izmaiņām'!O51</f>
        <v>3032</v>
      </c>
      <c r="L11" s="81"/>
      <c r="M11" s="63" t="s">
        <v>173</v>
      </c>
      <c r="N11" s="69">
        <f>'_2021_VB_bez izmaiņām'!P51</f>
        <v>5588</v>
      </c>
      <c r="O11" s="69">
        <f>'_2022_VB_bez izmaiņām'!P51</f>
        <v>5082</v>
      </c>
      <c r="P11" s="69">
        <f>'_2023_VB_bez izmaiņām'!P51</f>
        <v>4624</v>
      </c>
      <c r="Q11" s="111"/>
    </row>
    <row r="12" spans="1:26" ht="34.15" customHeight="1" x14ac:dyDescent="0.25">
      <c r="A12" s="109" t="s">
        <v>194</v>
      </c>
      <c r="B12" s="63" t="s">
        <v>174</v>
      </c>
      <c r="C12" s="69">
        <f>'_2021_VB_bez izmaiņām'!I55</f>
        <v>283</v>
      </c>
      <c r="D12" s="69">
        <f>'_2022_VB_bez izmaiņām'!I55</f>
        <v>1554</v>
      </c>
      <c r="E12" s="69">
        <f>'_2023_VB_bez izmaiņām'!I55</f>
        <v>3222</v>
      </c>
      <c r="F12" s="69">
        <f>'_2023_VB_bez izmaiņām'!S55</f>
        <v>5251</v>
      </c>
      <c r="G12" s="80"/>
      <c r="H12" s="63" t="s">
        <v>174</v>
      </c>
      <c r="I12" s="69">
        <f>'_2021_VB_bez izmaiņām'!O55</f>
        <v>2399</v>
      </c>
      <c r="J12" s="69">
        <f>'_2022_VB_bez izmaiņām'!O55</f>
        <v>2172</v>
      </c>
      <c r="K12" s="69">
        <f>'_2023_VB_bez izmaiņām'!O55</f>
        <v>1967</v>
      </c>
      <c r="L12" s="81"/>
      <c r="M12" s="63" t="s">
        <v>174</v>
      </c>
      <c r="N12" s="69">
        <f>'_2021_VB_bez izmaiņām'!P55</f>
        <v>2399</v>
      </c>
      <c r="O12" s="69">
        <f>'_2022_VB_bez izmaiņām'!P55</f>
        <v>2172</v>
      </c>
      <c r="P12" s="69">
        <f>'_2023_VB_bez izmaiņām'!P55</f>
        <v>1967</v>
      </c>
      <c r="Q12" s="111"/>
      <c r="S12" s="120" t="s">
        <v>197</v>
      </c>
      <c r="T12" s="120"/>
      <c r="U12" s="120"/>
      <c r="V12" s="120"/>
      <c r="W12" s="120"/>
      <c r="X12" s="120"/>
      <c r="Y12" s="120"/>
      <c r="Z12" s="120"/>
    </row>
    <row r="13" spans="1:26" s="117" customFormat="1" ht="14.25" x14ac:dyDescent="0.2">
      <c r="A13" s="109" t="s">
        <v>194</v>
      </c>
      <c r="B13" s="70" t="s">
        <v>149</v>
      </c>
      <c r="C13" s="71">
        <f>C11+C12</f>
        <v>4481</v>
      </c>
      <c r="D13" s="71">
        <f t="shared" ref="D13:F13" si="3">D11+D12</f>
        <v>5295</v>
      </c>
      <c r="E13" s="71">
        <f t="shared" si="3"/>
        <v>7025</v>
      </c>
      <c r="F13" s="71">
        <f t="shared" si="3"/>
        <v>9610</v>
      </c>
      <c r="G13" s="121"/>
      <c r="H13" s="70" t="s">
        <v>149</v>
      </c>
      <c r="I13" s="71">
        <f>I11+I12</f>
        <v>6066</v>
      </c>
      <c r="J13" s="71">
        <f t="shared" ref="J13:K13" si="4">J11+J12</f>
        <v>5506</v>
      </c>
      <c r="K13" s="71">
        <f t="shared" si="4"/>
        <v>4999</v>
      </c>
      <c r="L13" s="82"/>
      <c r="M13" s="70" t="s">
        <v>149</v>
      </c>
      <c r="N13" s="71">
        <f>N11+N12</f>
        <v>7987</v>
      </c>
      <c r="O13" s="71">
        <f t="shared" ref="O13:P13" si="5">O11+O12</f>
        <v>7254</v>
      </c>
      <c r="P13" s="71">
        <f t="shared" si="5"/>
        <v>6591</v>
      </c>
      <c r="Q13" s="116"/>
    </row>
    <row r="14" spans="1:26" ht="15.75" thickBot="1" x14ac:dyDescent="0.3">
      <c r="A14" s="122"/>
      <c r="B14" s="123"/>
      <c r="C14" s="123"/>
      <c r="D14" s="123"/>
      <c r="E14" s="123"/>
      <c r="F14" s="124"/>
      <c r="G14" s="124"/>
      <c r="H14" s="124"/>
      <c r="I14" s="124"/>
      <c r="J14" s="124"/>
      <c r="K14" s="124"/>
      <c r="L14" s="124"/>
      <c r="M14" s="123"/>
      <c r="N14" s="123"/>
      <c r="O14" s="123"/>
      <c r="P14" s="123"/>
      <c r="Q14" s="125"/>
    </row>
    <row r="15" spans="1:26" ht="43.15" customHeight="1" x14ac:dyDescent="0.25">
      <c r="A15" s="109" t="s">
        <v>195</v>
      </c>
      <c r="B15" s="85" t="s">
        <v>193</v>
      </c>
      <c r="C15" s="86"/>
      <c r="D15" s="86"/>
      <c r="E15" s="86"/>
      <c r="F15" s="86"/>
      <c r="G15" s="86"/>
      <c r="H15" s="86"/>
      <c r="I15" s="86"/>
      <c r="J15" s="86"/>
      <c r="K15" s="86"/>
      <c r="L15" s="110"/>
      <c r="M15" s="110"/>
      <c r="N15" s="110"/>
      <c r="O15" s="110"/>
      <c r="P15" s="110"/>
      <c r="Q15" s="111"/>
      <c r="S15" s="120" t="s">
        <v>198</v>
      </c>
      <c r="T15" s="120"/>
      <c r="U15" s="120"/>
      <c r="V15" s="120"/>
      <c r="W15" s="120"/>
      <c r="X15" s="120"/>
      <c r="Y15" s="120"/>
      <c r="Z15" s="120"/>
    </row>
    <row r="16" spans="1:26" x14ac:dyDescent="0.25">
      <c r="A16" s="109" t="s">
        <v>195</v>
      </c>
      <c r="B16" s="103" t="s">
        <v>175</v>
      </c>
      <c r="C16" s="104" t="s">
        <v>151</v>
      </c>
      <c r="D16" s="104"/>
      <c r="E16" s="104"/>
      <c r="F16" s="104" t="s">
        <v>152</v>
      </c>
      <c r="G16" s="104"/>
      <c r="H16" s="104"/>
      <c r="I16" s="104" t="s">
        <v>164</v>
      </c>
      <c r="J16" s="104"/>
      <c r="K16" s="104"/>
      <c r="L16" s="110"/>
      <c r="M16" s="110"/>
      <c r="N16" s="110"/>
      <c r="O16" s="110"/>
      <c r="P16" s="110"/>
      <c r="Q16" s="111"/>
    </row>
    <row r="17" spans="1:26" s="114" customFormat="1" ht="61.15" customHeight="1" x14ac:dyDescent="0.25">
      <c r="A17" s="109" t="s">
        <v>195</v>
      </c>
      <c r="B17" s="103"/>
      <c r="C17" s="62" t="s">
        <v>176</v>
      </c>
      <c r="D17" s="62" t="s">
        <v>186</v>
      </c>
      <c r="E17" s="62" t="s">
        <v>150</v>
      </c>
      <c r="F17" s="62" t="s">
        <v>176</v>
      </c>
      <c r="G17" s="62" t="s">
        <v>186</v>
      </c>
      <c r="H17" s="62" t="s">
        <v>150</v>
      </c>
      <c r="I17" s="62" t="s">
        <v>176</v>
      </c>
      <c r="J17" s="62" t="s">
        <v>186</v>
      </c>
      <c r="K17" s="62" t="s">
        <v>150</v>
      </c>
      <c r="L17" s="112"/>
      <c r="M17" s="112"/>
      <c r="N17" s="112"/>
      <c r="O17" s="112"/>
      <c r="P17" s="112"/>
      <c r="Q17" s="113"/>
      <c r="S17" s="120" t="s">
        <v>199</v>
      </c>
      <c r="T17" s="120"/>
      <c r="U17" s="120"/>
      <c r="V17" s="120"/>
      <c r="W17" s="120"/>
      <c r="X17" s="120"/>
      <c r="Y17" s="120"/>
      <c r="Z17" s="120"/>
    </row>
    <row r="18" spans="1:26" x14ac:dyDescent="0.25">
      <c r="A18" s="109" t="s">
        <v>195</v>
      </c>
      <c r="B18" s="63" t="s">
        <v>173</v>
      </c>
      <c r="C18" s="64">
        <f>C4</f>
        <v>1260593</v>
      </c>
      <c r="D18" s="64">
        <v>0</v>
      </c>
      <c r="E18" s="65">
        <f>C18+D18</f>
        <v>1260593</v>
      </c>
      <c r="F18" s="64">
        <f>C18</f>
        <v>1260593</v>
      </c>
      <c r="G18" s="64">
        <v>0</v>
      </c>
      <c r="H18" s="65">
        <f>F18+G18</f>
        <v>1260593</v>
      </c>
      <c r="I18" s="64">
        <f>F18</f>
        <v>1260593</v>
      </c>
      <c r="J18" s="64">
        <v>0</v>
      </c>
      <c r="K18" s="65">
        <f>I18+J18</f>
        <v>1260593</v>
      </c>
      <c r="L18" s="110"/>
      <c r="M18" s="110"/>
      <c r="N18" s="110"/>
      <c r="O18" s="110"/>
      <c r="P18" s="110"/>
      <c r="Q18" s="111"/>
    </row>
    <row r="19" spans="1:26" x14ac:dyDescent="0.25">
      <c r="A19" s="109" t="s">
        <v>195</v>
      </c>
      <c r="B19" s="63" t="s">
        <v>174</v>
      </c>
      <c r="C19" s="64">
        <f>C5</f>
        <v>768004</v>
      </c>
      <c r="D19" s="64">
        <v>0</v>
      </c>
      <c r="E19" s="65">
        <f>C19+D19</f>
        <v>768004</v>
      </c>
      <c r="F19" s="64">
        <f>C19</f>
        <v>768004</v>
      </c>
      <c r="G19" s="64">
        <v>0</v>
      </c>
      <c r="H19" s="65">
        <f>F19+G19</f>
        <v>768004</v>
      </c>
      <c r="I19" s="64">
        <f>F19</f>
        <v>768004</v>
      </c>
      <c r="J19" s="64">
        <v>0</v>
      </c>
      <c r="K19" s="65">
        <f>I19+J19</f>
        <v>768004</v>
      </c>
      <c r="L19" s="110"/>
      <c r="M19" s="110"/>
      <c r="N19" s="110"/>
      <c r="O19" s="110"/>
      <c r="P19" s="110"/>
      <c r="Q19" s="111"/>
    </row>
    <row r="20" spans="1:26" s="117" customFormat="1" ht="14.25" x14ac:dyDescent="0.2">
      <c r="A20" s="109" t="s">
        <v>195</v>
      </c>
      <c r="B20" s="66" t="s">
        <v>149</v>
      </c>
      <c r="C20" s="67">
        <f>C18+C19</f>
        <v>2028597</v>
      </c>
      <c r="D20" s="67">
        <f t="shared" ref="D20:E20" si="6">D18+D19</f>
        <v>0</v>
      </c>
      <c r="E20" s="67">
        <f t="shared" si="6"/>
        <v>2028597</v>
      </c>
      <c r="F20" s="67">
        <f>F18+F19</f>
        <v>2028597</v>
      </c>
      <c r="G20" s="67">
        <f t="shared" ref="G20:H20" si="7">G18+G19</f>
        <v>0</v>
      </c>
      <c r="H20" s="67">
        <f t="shared" si="7"/>
        <v>2028597</v>
      </c>
      <c r="I20" s="67">
        <f>I18+I19</f>
        <v>2028597</v>
      </c>
      <c r="J20" s="67">
        <f t="shared" ref="J20:K20" si="8">J18+J19</f>
        <v>0</v>
      </c>
      <c r="K20" s="67">
        <f t="shared" si="8"/>
        <v>2028597</v>
      </c>
      <c r="L20" s="115"/>
      <c r="M20" s="115"/>
      <c r="N20" s="115"/>
      <c r="O20" s="115"/>
      <c r="P20" s="115"/>
      <c r="Q20" s="116"/>
    </row>
    <row r="21" spans="1:26" x14ac:dyDescent="0.25">
      <c r="A21" s="109" t="s">
        <v>195</v>
      </c>
      <c r="B21" s="118"/>
      <c r="C21" s="110"/>
      <c r="D21" s="110"/>
      <c r="E21" s="110"/>
      <c r="F21" s="110"/>
      <c r="G21" s="110"/>
      <c r="H21" s="110"/>
      <c r="I21" s="110"/>
      <c r="J21" s="110"/>
      <c r="K21" s="110"/>
      <c r="L21" s="110"/>
      <c r="M21" s="110"/>
      <c r="N21" s="110"/>
      <c r="O21" s="110"/>
      <c r="P21" s="110"/>
      <c r="Q21" s="111"/>
    </row>
    <row r="22" spans="1:26" ht="20.25" customHeight="1" x14ac:dyDescent="0.25">
      <c r="A22" s="109" t="s">
        <v>195</v>
      </c>
      <c r="B22" s="115" t="s">
        <v>153</v>
      </c>
      <c r="C22" s="110"/>
      <c r="D22" s="110"/>
      <c r="E22" s="110"/>
      <c r="F22" s="119"/>
      <c r="G22" s="119"/>
      <c r="H22" s="115" t="s">
        <v>161</v>
      </c>
      <c r="I22" s="110"/>
      <c r="J22" s="110"/>
      <c r="K22" s="110"/>
      <c r="L22" s="119"/>
      <c r="M22" s="115" t="s">
        <v>160</v>
      </c>
      <c r="N22" s="110"/>
      <c r="O22" s="110"/>
      <c r="P22" s="110"/>
      <c r="Q22" s="111"/>
    </row>
    <row r="23" spans="1:26" x14ac:dyDescent="0.25">
      <c r="A23" s="109" t="s">
        <v>195</v>
      </c>
      <c r="B23" s="102" t="str">
        <f>B16</f>
        <v>TPL veids</v>
      </c>
      <c r="C23" s="101" t="s">
        <v>157</v>
      </c>
      <c r="D23" s="101"/>
      <c r="E23" s="101"/>
      <c r="F23" s="101"/>
      <c r="G23" s="77"/>
      <c r="H23" s="102" t="str">
        <f>B23</f>
        <v>TPL veids</v>
      </c>
      <c r="I23" s="101" t="s">
        <v>162</v>
      </c>
      <c r="J23" s="101"/>
      <c r="K23" s="101"/>
      <c r="L23" s="78"/>
      <c r="M23" s="102" t="str">
        <f>H23</f>
        <v>TPL veids</v>
      </c>
      <c r="N23" s="101" t="str">
        <f>M22</f>
        <v>Izsniegtais TPL skaits</v>
      </c>
      <c r="O23" s="101"/>
      <c r="P23" s="101"/>
      <c r="Q23" s="111"/>
      <c r="S23" s="126">
        <f>E27-E41</f>
        <v>4612</v>
      </c>
      <c r="T23" s="126">
        <f>F27-F41</f>
        <v>6479</v>
      </c>
    </row>
    <row r="24" spans="1:26" s="114" customFormat="1" x14ac:dyDescent="0.25">
      <c r="A24" s="109" t="s">
        <v>195</v>
      </c>
      <c r="B24" s="102"/>
      <c r="C24" s="68" t="s">
        <v>154</v>
      </c>
      <c r="D24" s="68" t="s">
        <v>155</v>
      </c>
      <c r="E24" s="68" t="s">
        <v>156</v>
      </c>
      <c r="F24" s="68" t="s">
        <v>165</v>
      </c>
      <c r="G24" s="79"/>
      <c r="H24" s="102"/>
      <c r="I24" s="68" t="s">
        <v>158</v>
      </c>
      <c r="J24" s="68" t="s">
        <v>159</v>
      </c>
      <c r="K24" s="68" t="s">
        <v>166</v>
      </c>
      <c r="L24" s="79"/>
      <c r="M24" s="102"/>
      <c r="N24" s="68" t="s">
        <v>158</v>
      </c>
      <c r="O24" s="68" t="s">
        <v>159</v>
      </c>
      <c r="P24" s="68" t="s">
        <v>166</v>
      </c>
      <c r="Q24" s="113"/>
    </row>
    <row r="25" spans="1:26" x14ac:dyDescent="0.25">
      <c r="A25" s="109" t="s">
        <v>195</v>
      </c>
      <c r="B25" s="63" t="s">
        <v>173</v>
      </c>
      <c r="C25" s="69">
        <f>_2021_VB_ar_MK_grozījumiem!I51</f>
        <v>4198</v>
      </c>
      <c r="D25" s="69">
        <f>_2022_VB_ar_MK_grozījumiem!I51</f>
        <v>3933</v>
      </c>
      <c r="E25" s="69">
        <f>_2023_VB_ar_MK_grozījumiem!I51</f>
        <v>4218</v>
      </c>
      <c r="F25" s="69">
        <f>_2023_VB_ar_MK_grozījumiem!S51</f>
        <v>5026</v>
      </c>
      <c r="G25" s="80"/>
      <c r="H25" s="63" t="s">
        <v>173</v>
      </c>
      <c r="I25" s="69">
        <f>_2021_VB_ar_MK_grozījumiem!O51</f>
        <v>3715</v>
      </c>
      <c r="J25" s="69">
        <f>_2022_VB_ar_MK_grozījumiem!O51</f>
        <v>3375</v>
      </c>
      <c r="K25" s="69">
        <f>_2023_VB_ar_MK_grozījumiem!O51</f>
        <v>3068</v>
      </c>
      <c r="L25" s="81"/>
      <c r="M25" s="63" t="s">
        <v>173</v>
      </c>
      <c r="N25" s="69">
        <f>_2021_VB_ar_MK_grozījumiem!P51</f>
        <v>5484</v>
      </c>
      <c r="O25" s="69">
        <f>_2022_VB_ar_MK_grozījumiem!P51</f>
        <v>4986</v>
      </c>
      <c r="P25" s="69">
        <f>_2023_VB_ar_MK_grozījumiem!P51</f>
        <v>4536</v>
      </c>
      <c r="Q25" s="111"/>
    </row>
    <row r="26" spans="1:26" x14ac:dyDescent="0.25">
      <c r="A26" s="109" t="s">
        <v>195</v>
      </c>
      <c r="B26" s="63" t="s">
        <v>174</v>
      </c>
      <c r="C26" s="69">
        <f>_2021_VB_ar_MK_grozījumiem!I55</f>
        <v>283</v>
      </c>
      <c r="D26" s="69">
        <f>_2022_VB_ar_MK_grozījumiem!I55</f>
        <v>4181</v>
      </c>
      <c r="E26" s="69">
        <f>_2023_VB_ar_MK_grozījumiem!I55</f>
        <v>8464</v>
      </c>
      <c r="F26" s="69">
        <f>_2023_VB_ar_MK_grozījumiem!S55</f>
        <v>13107</v>
      </c>
      <c r="G26" s="80"/>
      <c r="H26" s="63" t="s">
        <v>174</v>
      </c>
      <c r="I26" s="69">
        <f>_2021_VB_ar_MK_grozījumiem!O55</f>
        <v>1482</v>
      </c>
      <c r="J26" s="69">
        <f>_2022_VB_ar_MK_grozījumiem!O55</f>
        <v>1345</v>
      </c>
      <c r="K26" s="69">
        <f>_2023_VB_ar_MK_grozījumiem!O55</f>
        <v>1225</v>
      </c>
      <c r="L26" s="81"/>
      <c r="M26" s="63" t="s">
        <v>174</v>
      </c>
      <c r="N26" s="69">
        <f>_2021_VB_ar_MK_grozījumiem!P55</f>
        <v>1482</v>
      </c>
      <c r="O26" s="69">
        <f>_2022_VB_ar_MK_grozījumiem!P55</f>
        <v>1345</v>
      </c>
      <c r="P26" s="69">
        <f>_2023_VB_ar_MK_grozījumiem!P55</f>
        <v>1225</v>
      </c>
      <c r="Q26" s="111"/>
    </row>
    <row r="27" spans="1:26" s="117" customFormat="1" ht="14.25" x14ac:dyDescent="0.2">
      <c r="A27" s="109" t="s">
        <v>195</v>
      </c>
      <c r="B27" s="70" t="s">
        <v>149</v>
      </c>
      <c r="C27" s="71">
        <f>C25+C26</f>
        <v>4481</v>
      </c>
      <c r="D27" s="71">
        <f t="shared" ref="D27:F27" si="9">D25+D26</f>
        <v>8114</v>
      </c>
      <c r="E27" s="71">
        <f t="shared" si="9"/>
        <v>12682</v>
      </c>
      <c r="F27" s="71">
        <f t="shared" si="9"/>
        <v>18133</v>
      </c>
      <c r="G27" s="121"/>
      <c r="H27" s="70" t="s">
        <v>149</v>
      </c>
      <c r="I27" s="87">
        <f>I25+I26</f>
        <v>5197</v>
      </c>
      <c r="J27" s="71">
        <f t="shared" ref="J27:K27" si="10">J25+J26</f>
        <v>4720</v>
      </c>
      <c r="K27" s="71">
        <f t="shared" si="10"/>
        <v>4293</v>
      </c>
      <c r="L27" s="82"/>
      <c r="M27" s="70" t="s">
        <v>149</v>
      </c>
      <c r="N27" s="71">
        <f>N25+N26</f>
        <v>6966</v>
      </c>
      <c r="O27" s="71">
        <f t="shared" ref="O27:P27" si="11">O25+O26</f>
        <v>6331</v>
      </c>
      <c r="P27" s="71">
        <f t="shared" si="11"/>
        <v>5761</v>
      </c>
      <c r="Q27" s="116"/>
    </row>
    <row r="28" spans="1:26" ht="15.75" thickBot="1" x14ac:dyDescent="0.3">
      <c r="A28" s="127"/>
      <c r="B28" s="123"/>
      <c r="C28" s="123"/>
      <c r="D28" s="123"/>
      <c r="E28" s="123"/>
      <c r="F28" s="123"/>
      <c r="G28" s="123"/>
      <c r="H28" s="123"/>
      <c r="I28" s="123"/>
      <c r="J28" s="123"/>
      <c r="K28" s="123"/>
      <c r="L28" s="123"/>
      <c r="M28" s="123"/>
      <c r="N28" s="123"/>
      <c r="O28" s="123"/>
      <c r="P28" s="123"/>
      <c r="Q28" s="125"/>
    </row>
    <row r="29" spans="1:26" ht="15" customHeight="1" x14ac:dyDescent="0.25">
      <c r="A29" s="105" t="s">
        <v>196</v>
      </c>
      <c r="B29" s="83" t="s">
        <v>193</v>
      </c>
      <c r="C29" s="84"/>
      <c r="D29" s="84"/>
      <c r="E29" s="84"/>
      <c r="F29" s="84"/>
      <c r="G29" s="84"/>
      <c r="H29" s="84"/>
      <c r="I29" s="84"/>
      <c r="J29" s="84"/>
      <c r="K29" s="84"/>
      <c r="L29" s="106"/>
      <c r="M29" s="106"/>
      <c r="N29" s="106"/>
      <c r="O29" s="106"/>
      <c r="P29" s="106"/>
      <c r="Q29" s="107"/>
    </row>
    <row r="30" spans="1:26" x14ac:dyDescent="0.25">
      <c r="A30" s="109" t="s">
        <v>196</v>
      </c>
      <c r="B30" s="103" t="s">
        <v>175</v>
      </c>
      <c r="C30" s="104" t="s">
        <v>151</v>
      </c>
      <c r="D30" s="104"/>
      <c r="E30" s="104"/>
      <c r="F30" s="104" t="s">
        <v>152</v>
      </c>
      <c r="G30" s="104"/>
      <c r="H30" s="104"/>
      <c r="I30" s="104" t="s">
        <v>164</v>
      </c>
      <c r="J30" s="104"/>
      <c r="K30" s="104"/>
      <c r="L30" s="110"/>
      <c r="M30" s="110"/>
      <c r="N30" s="110"/>
      <c r="O30" s="110"/>
      <c r="P30" s="110"/>
      <c r="Q30" s="111"/>
    </row>
    <row r="31" spans="1:26" s="114" customFormat="1" x14ac:dyDescent="0.25">
      <c r="A31" s="109" t="s">
        <v>196</v>
      </c>
      <c r="B31" s="103"/>
      <c r="C31" s="62" t="s">
        <v>176</v>
      </c>
      <c r="D31" s="62" t="s">
        <v>186</v>
      </c>
      <c r="E31" s="62" t="s">
        <v>150</v>
      </c>
      <c r="F31" s="62" t="s">
        <v>176</v>
      </c>
      <c r="G31" s="62" t="s">
        <v>186</v>
      </c>
      <c r="H31" s="62" t="s">
        <v>150</v>
      </c>
      <c r="I31" s="62" t="s">
        <v>176</v>
      </c>
      <c r="J31" s="62" t="s">
        <v>186</v>
      </c>
      <c r="K31" s="62" t="s">
        <v>150</v>
      </c>
      <c r="L31" s="112"/>
      <c r="M31" s="112"/>
      <c r="N31" s="112"/>
      <c r="O31" s="112"/>
      <c r="P31" s="112"/>
      <c r="Q31" s="113"/>
    </row>
    <row r="32" spans="1:26" x14ac:dyDescent="0.25">
      <c r="A32" s="109" t="s">
        <v>196</v>
      </c>
      <c r="B32" s="63" t="s">
        <v>173</v>
      </c>
      <c r="C32" s="64">
        <f>C4</f>
        <v>1260593</v>
      </c>
      <c r="D32" s="64">
        <v>0</v>
      </c>
      <c r="E32" s="65">
        <f>C32+D32</f>
        <v>1260593</v>
      </c>
      <c r="F32" s="64">
        <f>C32</f>
        <v>1260593</v>
      </c>
      <c r="G32" s="64">
        <f>'_2022_VB_ar_MK_grozījumiem+fin'!R53</f>
        <v>68563.771999999648</v>
      </c>
      <c r="H32" s="65">
        <f>F32+G32</f>
        <v>1329156.7719999996</v>
      </c>
      <c r="I32" s="64">
        <f>F32</f>
        <v>1260593</v>
      </c>
      <c r="J32" s="64">
        <f>'_2023_VB_ar_MK_grozījumiem+fin'!R53</f>
        <v>96541.268800000194</v>
      </c>
      <c r="K32" s="65">
        <f>I32+J32</f>
        <v>1357134.2688000002</v>
      </c>
      <c r="L32" s="110"/>
      <c r="M32" s="110"/>
      <c r="N32" s="110"/>
      <c r="O32" s="110"/>
      <c r="P32" s="110"/>
      <c r="Q32" s="111"/>
    </row>
    <row r="33" spans="1:17" x14ac:dyDescent="0.25">
      <c r="A33" s="109" t="s">
        <v>196</v>
      </c>
      <c r="B33" s="63" t="s">
        <v>174</v>
      </c>
      <c r="C33" s="64">
        <f>C5</f>
        <v>768004</v>
      </c>
      <c r="D33" s="64">
        <v>0</v>
      </c>
      <c r="E33" s="65">
        <f>C33+D33</f>
        <v>768004</v>
      </c>
      <c r="F33" s="64">
        <f>C33</f>
        <v>768004</v>
      </c>
      <c r="G33" s="64">
        <f>'_2022_VB_ar_MK_grozījumiem+fin'!R57</f>
        <v>2910221.342333334</v>
      </c>
      <c r="H33" s="65">
        <f>F33+G33</f>
        <v>3678225.342333334</v>
      </c>
      <c r="I33" s="64">
        <f>F33</f>
        <v>768004</v>
      </c>
      <c r="J33" s="64">
        <f>'_2023_VB_ar_MK_grozījumiem+fin'!R57</f>
        <v>4758196.6667666687</v>
      </c>
      <c r="K33" s="65">
        <f>I33+J33</f>
        <v>5526200.6667666687</v>
      </c>
      <c r="L33" s="110"/>
      <c r="M33" s="110"/>
      <c r="N33" s="110"/>
      <c r="O33" s="110"/>
      <c r="P33" s="110"/>
      <c r="Q33" s="111"/>
    </row>
    <row r="34" spans="1:17" s="117" customFormat="1" ht="14.25" x14ac:dyDescent="0.2">
      <c r="A34" s="109" t="s">
        <v>196</v>
      </c>
      <c r="B34" s="66" t="s">
        <v>149</v>
      </c>
      <c r="C34" s="67">
        <f>C32+C33</f>
        <v>2028597</v>
      </c>
      <c r="D34" s="67">
        <f t="shared" ref="D34:E34" si="12">D32+D33</f>
        <v>0</v>
      </c>
      <c r="E34" s="67">
        <f t="shared" si="12"/>
        <v>2028597</v>
      </c>
      <c r="F34" s="67">
        <f>F32+F33</f>
        <v>2028597</v>
      </c>
      <c r="G34" s="67">
        <f t="shared" ref="G34:H34" si="13">G32+G33</f>
        <v>2978785.1143333334</v>
      </c>
      <c r="H34" s="67">
        <f t="shared" si="13"/>
        <v>5007382.1143333334</v>
      </c>
      <c r="I34" s="67">
        <f>I32+I33</f>
        <v>2028597</v>
      </c>
      <c r="J34" s="67">
        <f t="shared" ref="J34:K34" si="14">J32+J33</f>
        <v>4854737.9355666693</v>
      </c>
      <c r="K34" s="67">
        <f t="shared" si="14"/>
        <v>6883334.9355666693</v>
      </c>
      <c r="L34" s="115"/>
      <c r="M34" s="115"/>
      <c r="N34" s="115"/>
      <c r="O34" s="115"/>
      <c r="P34" s="115"/>
      <c r="Q34" s="116"/>
    </row>
    <row r="35" spans="1:17" x14ac:dyDescent="0.25">
      <c r="A35" s="109" t="s">
        <v>196</v>
      </c>
      <c r="B35" s="118"/>
      <c r="C35" s="110"/>
      <c r="D35" s="110"/>
      <c r="E35" s="110"/>
      <c r="F35" s="110"/>
      <c r="G35" s="110"/>
      <c r="H35" s="110"/>
      <c r="I35" s="110"/>
      <c r="J35" s="110"/>
      <c r="K35" s="110"/>
      <c r="L35" s="110"/>
      <c r="M35" s="110"/>
      <c r="N35" s="110"/>
      <c r="O35" s="110"/>
      <c r="P35" s="110"/>
      <c r="Q35" s="111"/>
    </row>
    <row r="36" spans="1:17" ht="20.25" customHeight="1" x14ac:dyDescent="0.25">
      <c r="A36" s="109" t="s">
        <v>196</v>
      </c>
      <c r="B36" s="115" t="s">
        <v>153</v>
      </c>
      <c r="C36" s="110"/>
      <c r="D36" s="110"/>
      <c r="E36" s="110"/>
      <c r="F36" s="119"/>
      <c r="G36" s="119"/>
      <c r="H36" s="115" t="s">
        <v>161</v>
      </c>
      <c r="I36" s="110"/>
      <c r="J36" s="110"/>
      <c r="K36" s="110"/>
      <c r="L36" s="119"/>
      <c r="M36" s="115" t="s">
        <v>160</v>
      </c>
      <c r="N36" s="110"/>
      <c r="O36" s="110"/>
      <c r="P36" s="110"/>
      <c r="Q36" s="111"/>
    </row>
    <row r="37" spans="1:17" x14ac:dyDescent="0.25">
      <c r="A37" s="109" t="s">
        <v>196</v>
      </c>
      <c r="B37" s="102" t="str">
        <f>B30</f>
        <v>TPL veids</v>
      </c>
      <c r="C37" s="101" t="s">
        <v>157</v>
      </c>
      <c r="D37" s="101"/>
      <c r="E37" s="101"/>
      <c r="F37" s="101"/>
      <c r="G37" s="77"/>
      <c r="H37" s="102" t="str">
        <f>B37</f>
        <v>TPL veids</v>
      </c>
      <c r="I37" s="101" t="s">
        <v>162</v>
      </c>
      <c r="J37" s="101"/>
      <c r="K37" s="101"/>
      <c r="L37" s="78"/>
      <c r="M37" s="102" t="str">
        <f>H37</f>
        <v>TPL veids</v>
      </c>
      <c r="N37" s="101" t="str">
        <f>M36</f>
        <v>Izsniegtais TPL skaits</v>
      </c>
      <c r="O37" s="101"/>
      <c r="P37" s="101"/>
      <c r="Q37" s="111"/>
    </row>
    <row r="38" spans="1:17" s="114" customFormat="1" x14ac:dyDescent="0.25">
      <c r="A38" s="109" t="s">
        <v>196</v>
      </c>
      <c r="B38" s="102"/>
      <c r="C38" s="68" t="s">
        <v>154</v>
      </c>
      <c r="D38" s="68" t="s">
        <v>155</v>
      </c>
      <c r="E38" s="68" t="s">
        <v>156</v>
      </c>
      <c r="F38" s="68" t="s">
        <v>165</v>
      </c>
      <c r="G38" s="79"/>
      <c r="H38" s="102"/>
      <c r="I38" s="68" t="s">
        <v>158</v>
      </c>
      <c r="J38" s="68" t="s">
        <v>159</v>
      </c>
      <c r="K38" s="68" t="s">
        <v>166</v>
      </c>
      <c r="L38" s="79"/>
      <c r="M38" s="102"/>
      <c r="N38" s="68" t="s">
        <v>158</v>
      </c>
      <c r="O38" s="68" t="s">
        <v>159</v>
      </c>
      <c r="P38" s="68" t="s">
        <v>166</v>
      </c>
      <c r="Q38" s="113"/>
    </row>
    <row r="39" spans="1:17" x14ac:dyDescent="0.25">
      <c r="A39" s="109" t="s">
        <v>196</v>
      </c>
      <c r="B39" s="63" t="s">
        <v>173</v>
      </c>
      <c r="C39" s="69">
        <f>C25</f>
        <v>4198</v>
      </c>
      <c r="D39" s="69">
        <f>D25</f>
        <v>3933</v>
      </c>
      <c r="E39" s="69">
        <f>'_2022_VB_ar_MK_grozījumiem+fin'!S51</f>
        <v>3995</v>
      </c>
      <c r="F39" s="69">
        <f>'_2023_VB_ar_MK_grozījumiem+fin'!S51</f>
        <v>4726</v>
      </c>
      <c r="G39" s="80"/>
      <c r="H39" s="63" t="s">
        <v>173</v>
      </c>
      <c r="I39" s="69">
        <f>I25</f>
        <v>3715</v>
      </c>
      <c r="J39" s="69">
        <f>'_2022_VB_ar_MK_grozījumiem+fin'!O51</f>
        <v>3598</v>
      </c>
      <c r="K39" s="69">
        <f>'_2023_VB_ar_MK_grozījumiem+fin'!O51</f>
        <v>3368</v>
      </c>
      <c r="L39" s="81"/>
      <c r="M39" s="63" t="s">
        <v>173</v>
      </c>
      <c r="N39" s="69">
        <f>N25</f>
        <v>5484</v>
      </c>
      <c r="O39" s="69">
        <f>'_2022_VB_ar_MK_grozījumiem+fin'!P51</f>
        <v>5346</v>
      </c>
      <c r="P39" s="69">
        <f>'_2023_VB_ar_MK_grozījumiem+fin'!P51</f>
        <v>4960</v>
      </c>
      <c r="Q39" s="111"/>
    </row>
    <row r="40" spans="1:17" x14ac:dyDescent="0.25">
      <c r="A40" s="109" t="s">
        <v>196</v>
      </c>
      <c r="B40" s="63" t="s">
        <v>174</v>
      </c>
      <c r="C40" s="69">
        <f>C26</f>
        <v>283</v>
      </c>
      <c r="D40" s="69">
        <f>D26</f>
        <v>4181</v>
      </c>
      <c r="E40" s="69">
        <f>'_2022_VB_ar_MK_grozījumiem+fin'!S55</f>
        <v>4075</v>
      </c>
      <c r="F40" s="69">
        <f>'_2023_VB_ar_MK_grozījumiem+fin'!S55</f>
        <v>6928</v>
      </c>
      <c r="G40" s="80"/>
      <c r="H40" s="63" t="s">
        <v>174</v>
      </c>
      <c r="I40" s="69">
        <f>I26</f>
        <v>1482</v>
      </c>
      <c r="J40" s="69">
        <f>'_2022_VB_ar_MK_grozījumiem+fin'!O55</f>
        <v>5734</v>
      </c>
      <c r="K40" s="69">
        <f>'_2023_VB_ar_MK_grozījumiem+fin'!P55</f>
        <v>7404</v>
      </c>
      <c r="L40" s="81"/>
      <c r="M40" s="63" t="s">
        <v>174</v>
      </c>
      <c r="N40" s="69">
        <f>N26</f>
        <v>1482</v>
      </c>
      <c r="O40" s="69">
        <f>'_2022_VB_ar_MK_grozījumiem+fin'!O55</f>
        <v>5734</v>
      </c>
      <c r="P40" s="69">
        <f>'_2023_VB_ar_MK_grozījumiem+fin'!P55</f>
        <v>7404</v>
      </c>
      <c r="Q40" s="111"/>
    </row>
    <row r="41" spans="1:17" s="117" customFormat="1" ht="14.25" x14ac:dyDescent="0.2">
      <c r="A41" s="109" t="s">
        <v>196</v>
      </c>
      <c r="B41" s="70" t="s">
        <v>149</v>
      </c>
      <c r="C41" s="71">
        <f>C39+C40</f>
        <v>4481</v>
      </c>
      <c r="D41" s="71">
        <f t="shared" ref="D41:F41" si="15">D39+D40</f>
        <v>8114</v>
      </c>
      <c r="E41" s="71">
        <f t="shared" si="15"/>
        <v>8070</v>
      </c>
      <c r="F41" s="71">
        <f t="shared" si="15"/>
        <v>11654</v>
      </c>
      <c r="G41" s="121"/>
      <c r="H41" s="70" t="s">
        <v>149</v>
      </c>
      <c r="I41" s="71">
        <f>I39+I40</f>
        <v>5197</v>
      </c>
      <c r="J41" s="87">
        <f t="shared" ref="J41:K41" si="16">J39+J40</f>
        <v>9332</v>
      </c>
      <c r="K41" s="87">
        <f t="shared" si="16"/>
        <v>10772</v>
      </c>
      <c r="L41" s="82"/>
      <c r="M41" s="70" t="s">
        <v>149</v>
      </c>
      <c r="N41" s="71">
        <f>N39+N40</f>
        <v>6966</v>
      </c>
      <c r="O41" s="71">
        <f t="shared" ref="O41:P41" si="17">O39+O40</f>
        <v>11080</v>
      </c>
      <c r="P41" s="71">
        <f t="shared" si="17"/>
        <v>12364</v>
      </c>
      <c r="Q41" s="116"/>
    </row>
    <row r="42" spans="1:17" ht="15.75" thickBot="1" x14ac:dyDescent="0.3">
      <c r="A42" s="127"/>
      <c r="B42" s="123"/>
      <c r="C42" s="123"/>
      <c r="D42" s="123"/>
      <c r="E42" s="123"/>
      <c r="F42" s="123"/>
      <c r="G42" s="123"/>
      <c r="H42" s="123"/>
      <c r="I42" s="123"/>
      <c r="J42" s="123"/>
      <c r="K42" s="123"/>
      <c r="L42" s="123"/>
      <c r="M42" s="123"/>
      <c r="N42" s="123"/>
      <c r="O42" s="123"/>
      <c r="P42" s="123"/>
      <c r="Q42" s="125"/>
    </row>
  </sheetData>
  <mergeCells count="33">
    <mergeCell ref="S12:Z12"/>
    <mergeCell ref="S15:Z15"/>
    <mergeCell ref="S17:Z17"/>
    <mergeCell ref="M9:M10"/>
    <mergeCell ref="N9:P9"/>
    <mergeCell ref="B2:B3"/>
    <mergeCell ref="C2:E2"/>
    <mergeCell ref="F2:H2"/>
    <mergeCell ref="I2:K2"/>
    <mergeCell ref="B9:B10"/>
    <mergeCell ref="C9:F9"/>
    <mergeCell ref="B37:B38"/>
    <mergeCell ref="C37:F37"/>
    <mergeCell ref="H37:H38"/>
    <mergeCell ref="H9:H10"/>
    <mergeCell ref="I9:K9"/>
    <mergeCell ref="B30:B31"/>
    <mergeCell ref="C30:E30"/>
    <mergeCell ref="F30:H30"/>
    <mergeCell ref="I30:K30"/>
    <mergeCell ref="B16:B17"/>
    <mergeCell ref="C16:E16"/>
    <mergeCell ref="F16:H16"/>
    <mergeCell ref="I16:K16"/>
    <mergeCell ref="B23:B24"/>
    <mergeCell ref="C23:F23"/>
    <mergeCell ref="H23:H24"/>
    <mergeCell ref="I23:K23"/>
    <mergeCell ref="I37:K37"/>
    <mergeCell ref="M37:M38"/>
    <mergeCell ref="N37:P37"/>
    <mergeCell ref="M23:M24"/>
    <mergeCell ref="N23:P23"/>
  </mergeCells>
  <pageMargins left="0.70866141732283472" right="0.70866141732283472" top="0.74803149606299213" bottom="0.74803149606299213"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_2022_VB_ar_MK_grozījumiem+fin</vt:lpstr>
      <vt:lpstr>_2023_VB_ar_MK_grozījumiem+fin</vt:lpstr>
      <vt:lpstr>_2021_VB_ar_MK_grozījumiem</vt:lpstr>
      <vt:lpstr>_2022_VB_ar_MK_grozījumiem</vt:lpstr>
      <vt:lpstr>_2023_VB_ar_MK_grozījumiem</vt:lpstr>
      <vt:lpstr>_2021_VB_bez izmaiņām</vt:lpstr>
      <vt:lpstr>_2022_VB_bez izmaiņām</vt:lpstr>
      <vt:lpstr>_2023_VB_bez izmaiņām</vt:lpstr>
      <vt:lpstr>KOPSAVILKUMS</vt:lpstr>
      <vt:lpstr>_2021_VB_ar_MK_grozījumiem!Print_Titles</vt:lpstr>
      <vt:lpstr>'_2021_VB_bez izmaiņām'!Print_Titles</vt:lpstr>
      <vt:lpstr>_2022_VB_ar_MK_grozījumiem!Print_Titles</vt:lpstr>
      <vt:lpstr>'_2022_VB_ar_MK_grozījumiem+fin'!Print_Titles</vt:lpstr>
      <vt:lpstr>'_2022_VB_bez izmaiņām'!Print_Titles</vt:lpstr>
      <vt:lpstr>_2023_VB_ar_MK_grozījumiem!Print_Titles</vt:lpstr>
      <vt:lpstr>'_2023_VB_ar_MK_grozījumiem+fin'!Print_Titles</vt:lpstr>
      <vt:lpstr>'_2023_VB_bez izmaiņām'!Print_Titles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2020-11-04T06:23:49Z</dcterms:modified>
</cp:coreProperties>
</file>