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vnozare.pri\vm\Redirect_profiles\VM_Liene_Abola\My Documents\MK_Noteikumi_Nr.851\2020\"/>
    </mc:Choice>
  </mc:AlternateContent>
  <xr:revisionPtr revIDLastSave="0" documentId="13_ncr:1_{09CF55C1-4E5D-43AA-A0C1-DD57B91A731A}" xr6:coauthVersionLast="45" xr6:coauthVersionMax="45" xr10:uidLastSave="{00000000-0000-0000-0000-000000000000}"/>
  <bookViews>
    <workbookView xWindow="-120" yWindow="-120" windowWidth="29040" windowHeight="15840" tabRatio="924" xr2:uid="{2A6925A8-DFFE-464F-919D-CCAC93AACF9D}"/>
  </bookViews>
  <sheets>
    <sheet name="KOPSAVILKUMS" sheetId="29" r:id="rId1"/>
    <sheet name="29_01_H_2020" sheetId="21" state="hidden" r:id="rId2"/>
    <sheet name="Pārējās ministrijas MK66" sheetId="3" r:id="rId3"/>
    <sheet name="Pārējās ministrijas MK851" sheetId="4" r:id="rId4"/>
    <sheet name="Pārējās ministrijas MK509" sheetId="19" r:id="rId5"/>
    <sheet name="VM padotibas iest MK66" sheetId="1" r:id="rId6"/>
    <sheet name="VM NMPD MK851" sheetId="2" r:id="rId7"/>
    <sheet name="LM_līgumorg_66" sheetId="20" r:id="rId8"/>
    <sheet name="LM_līgumorg_851" sheetId="6" r:id="rId9"/>
    <sheet name="IEM_kapitsab_851" sheetId="7" r:id="rId10"/>
    <sheet name="IZM_pašv" sheetId="9" r:id="rId11"/>
    <sheet name="rezidenti" sheetId="25" r:id="rId12"/>
    <sheet name="caur tarifiem - MK not 851" sheetId="17" r:id="rId13"/>
  </sheets>
  <externalReferences>
    <externalReference r:id="rId14"/>
  </externalReferences>
  <definedNames>
    <definedName name="_xlnm._FilterDatabase" localSheetId="10" hidden="1">IZM_pašv!$A$77:$I$163</definedName>
    <definedName name="_xlnm._FilterDatabase" localSheetId="5" hidden="1">'VM padotibas iest MK66'!$A$2:$U$50</definedName>
    <definedName name="_xlnm.Print_Area" localSheetId="1">'29_01_H_2020'!$B:$H</definedName>
    <definedName name="_xlnm.Print_Area" localSheetId="12">'caur tarifiem - MK not 851'!$A$1:$Y$52</definedName>
    <definedName name="_xlnm.Print_Area" localSheetId="0">KOPSAVILKUMS!$A$1:$D$75</definedName>
    <definedName name="_xlnm.Print_Area" localSheetId="11">rezidenti!$C:$M</definedName>
    <definedName name="_xlnm.Print_Titles" localSheetId="10">IZM_pašv!$6:$7</definedName>
    <definedName name="_xlnm.Print_Titles" localSheetId="8">LM_līgumorg_851!$4:$6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4" i="17" l="1"/>
  <c r="S20" i="25"/>
  <c r="T20" i="25" s="1"/>
  <c r="R20" i="25"/>
  <c r="Q20" i="25"/>
  <c r="R19" i="25"/>
  <c r="S19" i="25" s="1"/>
  <c r="T19" i="25" s="1"/>
  <c r="Q19" i="25"/>
  <c r="R18" i="25"/>
  <c r="S18" i="25" s="1"/>
  <c r="T18" i="25" s="1"/>
  <c r="Q18" i="25"/>
  <c r="R17" i="25"/>
  <c r="S17" i="25" s="1"/>
  <c r="T17" i="25" s="1"/>
  <c r="T21" i="25" s="1"/>
  <c r="Q17" i="25"/>
  <c r="U14" i="25"/>
  <c r="U13" i="25"/>
  <c r="U12" i="25" s="1"/>
  <c r="T12" i="25"/>
  <c r="S12" i="25"/>
  <c r="R12" i="25"/>
  <c r="Q12" i="25"/>
  <c r="U11" i="25"/>
  <c r="U10" i="25"/>
  <c r="T9" i="25"/>
  <c r="S9" i="25"/>
  <c r="R9" i="25"/>
  <c r="Q9" i="25"/>
  <c r="U8" i="25"/>
  <c r="U7" i="25"/>
  <c r="T6" i="25"/>
  <c r="S6" i="25"/>
  <c r="R6" i="25"/>
  <c r="Q6" i="25"/>
  <c r="U6" i="25" l="1"/>
  <c r="U9" i="25"/>
  <c r="G11" i="4" l="1"/>
  <c r="G65" i="21" l="1"/>
  <c r="H65" i="21" s="1"/>
  <c r="F65" i="21"/>
  <c r="G55" i="21"/>
  <c r="H55" i="21" s="1"/>
  <c r="F55" i="21"/>
  <c r="G54" i="21"/>
  <c r="H54" i="21" s="1"/>
  <c r="F54" i="21"/>
  <c r="G28" i="21"/>
  <c r="H28" i="21" s="1"/>
  <c r="F28" i="21"/>
  <c r="H27" i="21"/>
  <c r="G27" i="21"/>
  <c r="F27" i="21"/>
  <c r="H26" i="21"/>
  <c r="G26" i="21"/>
  <c r="F26" i="21"/>
  <c r="G25" i="21"/>
  <c r="H25" i="21" s="1"/>
  <c r="F25" i="21"/>
  <c r="G24" i="21"/>
  <c r="H24" i="21" s="1"/>
  <c r="F24" i="21"/>
  <c r="L23" i="17"/>
  <c r="W23" i="17"/>
  <c r="E18" i="21" l="1"/>
  <c r="E21" i="21"/>
  <c r="E20" i="21"/>
  <c r="E19" i="21"/>
  <c r="E17" i="21"/>
  <c r="E16" i="21"/>
  <c r="D17" i="29"/>
  <c r="D16" i="29"/>
  <c r="B75" i="29"/>
  <c r="B74" i="29"/>
  <c r="B73" i="29" s="1"/>
  <c r="D73" i="29"/>
  <c r="C73" i="29"/>
  <c r="B72" i="29"/>
  <c r="B71" i="29" s="1"/>
  <c r="D71" i="29"/>
  <c r="C71" i="29"/>
  <c r="B70" i="29"/>
  <c r="B69" i="29" s="1"/>
  <c r="D69" i="29"/>
  <c r="C69" i="29"/>
  <c r="B67" i="29"/>
  <c r="B66" i="29" s="1"/>
  <c r="B65" i="29" s="1"/>
  <c r="D66" i="29"/>
  <c r="D65" i="29" s="1"/>
  <c r="C66" i="29"/>
  <c r="C65" i="29" s="1"/>
  <c r="B64" i="29"/>
  <c r="B63" i="29" s="1"/>
  <c r="D63" i="29"/>
  <c r="C63" i="29"/>
  <c r="B62" i="29"/>
  <c r="B61" i="29" s="1"/>
  <c r="D61" i="29"/>
  <c r="C61" i="29"/>
  <c r="B60" i="29"/>
  <c r="B59" i="29" s="1"/>
  <c r="D59" i="29"/>
  <c r="C59" i="29"/>
  <c r="B58" i="29"/>
  <c r="B57" i="29" s="1"/>
  <c r="D57" i="29"/>
  <c r="C57" i="29"/>
  <c r="C56" i="29"/>
  <c r="C55" i="29" s="1"/>
  <c r="B56" i="29"/>
  <c r="B55" i="29" s="1"/>
  <c r="D55" i="29"/>
  <c r="B53" i="29"/>
  <c r="B52" i="29" s="1"/>
  <c r="D52" i="29"/>
  <c r="C52" i="29"/>
  <c r="B51" i="29"/>
  <c r="B50" i="29" s="1"/>
  <c r="D50" i="29"/>
  <c r="C50" i="29"/>
  <c r="B49" i="29"/>
  <c r="B48" i="29" s="1"/>
  <c r="D48" i="29"/>
  <c r="C48" i="29"/>
  <c r="B47" i="29"/>
  <c r="B46" i="29" s="1"/>
  <c r="D46" i="29"/>
  <c r="C46" i="29"/>
  <c r="B44" i="29"/>
  <c r="B43" i="29"/>
  <c r="D42" i="29"/>
  <c r="D41" i="29" s="1"/>
  <c r="C42" i="29"/>
  <c r="C41" i="29" s="1"/>
  <c r="B38" i="29"/>
  <c r="D37" i="29"/>
  <c r="C37" i="29"/>
  <c r="B37" i="29"/>
  <c r="B36" i="29"/>
  <c r="B35" i="29" s="1"/>
  <c r="D35" i="29"/>
  <c r="C35" i="29"/>
  <c r="B34" i="29"/>
  <c r="B33" i="29" s="1"/>
  <c r="D33" i="29"/>
  <c r="C33" i="29"/>
  <c r="B32" i="29"/>
  <c r="B31" i="29" s="1"/>
  <c r="D31" i="29"/>
  <c r="C31" i="29"/>
  <c r="B30" i="29"/>
  <c r="B29" i="29"/>
  <c r="B28" i="29"/>
  <c r="D27" i="29"/>
  <c r="C27" i="29"/>
  <c r="B26" i="29"/>
  <c r="B25" i="29" s="1"/>
  <c r="D25" i="29"/>
  <c r="C25" i="29"/>
  <c r="B24" i="29"/>
  <c r="B23" i="29" s="1"/>
  <c r="D23" i="29"/>
  <c r="C23" i="29"/>
  <c r="B22" i="29"/>
  <c r="B21" i="29"/>
  <c r="D20" i="29"/>
  <c r="C20" i="29"/>
  <c r="B19" i="29"/>
  <c r="B18" i="29" s="1"/>
  <c r="D18" i="29"/>
  <c r="C18" i="29"/>
  <c r="B17" i="29"/>
  <c r="B16" i="29" s="1"/>
  <c r="C16" i="29"/>
  <c r="B15" i="29"/>
  <c r="B14" i="29" s="1"/>
  <c r="D14" i="29"/>
  <c r="C14" i="29"/>
  <c r="B13" i="29"/>
  <c r="B12" i="29" s="1"/>
  <c r="D12" i="29"/>
  <c r="C12" i="29"/>
  <c r="B11" i="29"/>
  <c r="B10" i="29" s="1"/>
  <c r="D10" i="29"/>
  <c r="C10" i="29"/>
  <c r="B9" i="29"/>
  <c r="B8" i="29" s="1"/>
  <c r="D8" i="29"/>
  <c r="C8" i="29"/>
  <c r="C7" i="29" l="1"/>
  <c r="D45" i="29"/>
  <c r="B42" i="29"/>
  <c r="B41" i="29" s="1"/>
  <c r="F19" i="21"/>
  <c r="G19" i="21"/>
  <c r="H19" i="21" s="1"/>
  <c r="B45" i="29"/>
  <c r="C54" i="29"/>
  <c r="G20" i="21"/>
  <c r="H20" i="21" s="1"/>
  <c r="F20" i="21"/>
  <c r="C68" i="29"/>
  <c r="G16" i="21"/>
  <c r="H16" i="21" s="1"/>
  <c r="F16" i="21"/>
  <c r="G21" i="21"/>
  <c r="H21" i="21" s="1"/>
  <c r="F21" i="21"/>
  <c r="B27" i="29"/>
  <c r="C45" i="29"/>
  <c r="D54" i="29"/>
  <c r="G17" i="21"/>
  <c r="H17" i="21" s="1"/>
  <c r="F17" i="21"/>
  <c r="F18" i="21"/>
  <c r="G18" i="21"/>
  <c r="H18" i="21" s="1"/>
  <c r="B20" i="29"/>
  <c r="D68" i="29"/>
  <c r="D40" i="29" s="1"/>
  <c r="B68" i="29"/>
  <c r="D7" i="29"/>
  <c r="B54" i="29"/>
  <c r="B7" i="29" l="1"/>
  <c r="C40" i="29"/>
  <c r="C6" i="29" s="1"/>
  <c r="B40" i="29"/>
  <c r="B6" i="29" s="1"/>
  <c r="D6" i="29"/>
  <c r="E16" i="17" l="1"/>
  <c r="Y23" i="17" l="1"/>
  <c r="L6" i="21" l="1"/>
  <c r="M6" i="21" l="1"/>
  <c r="E12" i="17" l="1"/>
  <c r="P16" i="17" l="1"/>
  <c r="P17" i="17"/>
  <c r="E9" i="17"/>
  <c r="P12" i="17"/>
  <c r="P11" i="17"/>
  <c r="P10" i="17"/>
  <c r="P15" i="17"/>
  <c r="P20" i="17"/>
  <c r="E19" i="17"/>
  <c r="E11" i="17"/>
  <c r="P9" i="17" l="1"/>
  <c r="E14" i="17"/>
  <c r="E21" i="17" s="1"/>
  <c r="H10" i="17"/>
  <c r="I10" i="17" s="1"/>
  <c r="J10" i="17" s="1"/>
  <c r="K10" i="17" l="1"/>
  <c r="L10" i="17" s="1"/>
  <c r="H33" i="7" l="1"/>
  <c r="H34" i="7"/>
  <c r="H35" i="7"/>
  <c r="H36" i="7"/>
  <c r="H37" i="7"/>
  <c r="H38" i="7"/>
  <c r="H39" i="7"/>
  <c r="H40" i="7"/>
  <c r="H41" i="7"/>
  <c r="H42" i="7"/>
  <c r="H43" i="7"/>
  <c r="H44" i="7"/>
  <c r="H45" i="7"/>
  <c r="H46" i="7"/>
  <c r="H47" i="7"/>
  <c r="H48" i="7"/>
  <c r="H49" i="7"/>
  <c r="H32" i="7"/>
  <c r="H125" i="6"/>
  <c r="H126" i="6"/>
  <c r="H127" i="6"/>
  <c r="H128" i="6"/>
  <c r="H129" i="6"/>
  <c r="H124" i="6"/>
  <c r="H110" i="6"/>
  <c r="H109" i="6"/>
  <c r="H103" i="6"/>
  <c r="H102" i="6"/>
  <c r="H95" i="6"/>
  <c r="H88" i="6"/>
  <c r="H80" i="6"/>
  <c r="H78" i="6"/>
  <c r="H76" i="6"/>
  <c r="H72" i="6"/>
  <c r="H73" i="6"/>
  <c r="H71" i="6"/>
  <c r="H56" i="6"/>
  <c r="H55" i="6"/>
  <c r="H53" i="6"/>
  <c r="H52" i="6"/>
  <c r="H49" i="6"/>
  <c r="H43" i="6"/>
  <c r="H44" i="6"/>
  <c r="H45" i="6"/>
  <c r="H46" i="6"/>
  <c r="H47" i="6"/>
  <c r="H42" i="6"/>
  <c r="H34" i="6"/>
  <c r="H31" i="6"/>
  <c r="H30" i="6"/>
  <c r="H19" i="6"/>
  <c r="H18" i="6"/>
  <c r="H14" i="6"/>
  <c r="H15" i="6"/>
  <c r="H13" i="6"/>
  <c r="G94" i="2"/>
  <c r="G95" i="2"/>
  <c r="G93" i="2"/>
  <c r="G91" i="2"/>
  <c r="G90"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48" i="2"/>
  <c r="H33" i="19"/>
  <c r="H34" i="19"/>
  <c r="H35" i="19"/>
  <c r="H36" i="19"/>
  <c r="H37" i="19"/>
  <c r="H38" i="19"/>
  <c r="H39" i="19"/>
  <c r="H40" i="19"/>
  <c r="H41" i="19"/>
  <c r="H42" i="19"/>
  <c r="H43" i="19"/>
  <c r="H44" i="19"/>
  <c r="H45" i="19"/>
  <c r="H46" i="19"/>
  <c r="H47" i="19"/>
  <c r="H48" i="19"/>
  <c r="H49" i="19"/>
  <c r="H50" i="19"/>
  <c r="H51" i="19"/>
  <c r="H52" i="19"/>
  <c r="H53" i="19"/>
  <c r="H54" i="19"/>
  <c r="H55" i="19"/>
  <c r="H56" i="19"/>
  <c r="H57" i="19"/>
  <c r="H58" i="19"/>
  <c r="H59" i="19"/>
  <c r="H60" i="19"/>
  <c r="H61" i="19"/>
  <c r="H62" i="19"/>
  <c r="H63" i="19"/>
  <c r="H64" i="19"/>
  <c r="H65" i="19"/>
  <c r="H66" i="19"/>
  <c r="H67" i="19"/>
  <c r="H68" i="19"/>
  <c r="H69" i="19"/>
  <c r="H70" i="19"/>
  <c r="H71" i="19"/>
  <c r="H72" i="19"/>
  <c r="H73" i="19"/>
  <c r="H74" i="19"/>
  <c r="H75" i="19"/>
  <c r="H76" i="19"/>
  <c r="H77" i="19"/>
  <c r="H78" i="19"/>
  <c r="H79" i="19"/>
  <c r="H80" i="19"/>
  <c r="H81" i="19"/>
  <c r="H82" i="19"/>
  <c r="H83" i="19"/>
  <c r="H84" i="19"/>
  <c r="H85" i="19"/>
  <c r="H86" i="19"/>
  <c r="H87" i="19"/>
  <c r="H88" i="19"/>
  <c r="H89" i="19"/>
  <c r="H90" i="19"/>
  <c r="H91" i="19"/>
  <c r="H92" i="19"/>
  <c r="H93" i="19"/>
  <c r="H94" i="19"/>
  <c r="H95" i="19"/>
  <c r="H96" i="19"/>
  <c r="H97" i="19"/>
  <c r="H98" i="19"/>
  <c r="H99" i="19"/>
  <c r="H100" i="19"/>
  <c r="H101" i="19"/>
  <c r="H102" i="19"/>
  <c r="H103" i="19"/>
  <c r="H104" i="19"/>
  <c r="H105" i="19"/>
  <c r="H106" i="19"/>
  <c r="H107" i="19"/>
  <c r="H108" i="19"/>
  <c r="H109" i="19"/>
  <c r="H110" i="19"/>
  <c r="H111" i="19"/>
  <c r="H112" i="19"/>
  <c r="H113" i="19"/>
  <c r="H114" i="19"/>
  <c r="H115" i="19"/>
  <c r="H116" i="19"/>
  <c r="H117" i="19"/>
  <c r="H118" i="19"/>
  <c r="H119" i="19"/>
  <c r="H120" i="19"/>
  <c r="H121" i="19"/>
  <c r="H122" i="19"/>
  <c r="H123" i="19"/>
  <c r="H124" i="19"/>
  <c r="H125" i="19"/>
  <c r="H126" i="19"/>
  <c r="H127" i="19"/>
  <c r="H128" i="19"/>
  <c r="H129" i="19"/>
  <c r="H130" i="19"/>
  <c r="H131" i="19"/>
  <c r="H132" i="19"/>
  <c r="H133" i="19"/>
  <c r="H134" i="19"/>
  <c r="H135" i="19"/>
  <c r="H32" i="19"/>
  <c r="G32" i="4"/>
  <c r="G29" i="4"/>
  <c r="G28" i="4"/>
  <c r="G19" i="4"/>
  <c r="G20" i="4"/>
  <c r="G21" i="4"/>
  <c r="G18" i="4"/>
  <c r="S10" i="17" l="1"/>
  <c r="T10" i="17" s="1"/>
  <c r="Y10" i="17" s="1"/>
  <c r="E9" i="21" l="1"/>
  <c r="O14" i="21"/>
  <c r="H14" i="19" s="1"/>
  <c r="I15" i="9" l="1"/>
  <c r="I19" i="9"/>
  <c r="I23" i="9"/>
  <c r="I27" i="9"/>
  <c r="I31" i="9"/>
  <c r="I35" i="9"/>
  <c r="I39" i="9"/>
  <c r="I43" i="9"/>
  <c r="I47" i="9"/>
  <c r="I51" i="9"/>
  <c r="I55" i="9"/>
  <c r="I59" i="9"/>
  <c r="I63" i="9"/>
  <c r="I67" i="9"/>
  <c r="I71" i="9"/>
  <c r="I75" i="9"/>
  <c r="I79" i="9"/>
  <c r="I83" i="9"/>
  <c r="I87" i="9"/>
  <c r="I91" i="9"/>
  <c r="I95" i="9"/>
  <c r="I99" i="9"/>
  <c r="I103" i="9"/>
  <c r="I107" i="9"/>
  <c r="I111" i="9"/>
  <c r="I115" i="9"/>
  <c r="I119" i="9"/>
  <c r="I123" i="9"/>
  <c r="I127" i="9"/>
  <c r="I131" i="9"/>
  <c r="I135" i="9"/>
  <c r="I139" i="9"/>
  <c r="I143" i="9"/>
  <c r="I147" i="9"/>
  <c r="I151" i="9"/>
  <c r="I155" i="9"/>
  <c r="I159" i="9"/>
  <c r="I163" i="9"/>
  <c r="I167" i="9"/>
  <c r="H16" i="7"/>
  <c r="H20" i="7"/>
  <c r="H24" i="7"/>
  <c r="H28" i="7"/>
  <c r="H134" i="6"/>
  <c r="H133" i="6"/>
  <c r="H121" i="6"/>
  <c r="H114" i="6"/>
  <c r="H85" i="6"/>
  <c r="H68" i="6"/>
  <c r="H61" i="6"/>
  <c r="H26" i="6"/>
  <c r="I12" i="9"/>
  <c r="I16" i="9"/>
  <c r="I20" i="9"/>
  <c r="I24" i="9"/>
  <c r="I28" i="9"/>
  <c r="I32" i="9"/>
  <c r="I36" i="9"/>
  <c r="I40" i="9"/>
  <c r="I44" i="9"/>
  <c r="I48" i="9"/>
  <c r="I52" i="9"/>
  <c r="I56" i="9"/>
  <c r="I60" i="9"/>
  <c r="I64" i="9"/>
  <c r="I68" i="9"/>
  <c r="I72" i="9"/>
  <c r="I76" i="9"/>
  <c r="I80" i="9"/>
  <c r="I84" i="9"/>
  <c r="I88" i="9"/>
  <c r="I92" i="9"/>
  <c r="I96" i="9"/>
  <c r="I100" i="9"/>
  <c r="I104" i="9"/>
  <c r="I108" i="9"/>
  <c r="I112" i="9"/>
  <c r="I116" i="9"/>
  <c r="I120" i="9"/>
  <c r="I124" i="9"/>
  <c r="I128" i="9"/>
  <c r="I132" i="9"/>
  <c r="I136" i="9"/>
  <c r="I140" i="9"/>
  <c r="I144" i="9"/>
  <c r="I148" i="9"/>
  <c r="I152" i="9"/>
  <c r="I156" i="9"/>
  <c r="I160" i="9"/>
  <c r="I164" i="9"/>
  <c r="I11" i="9"/>
  <c r="H13" i="7"/>
  <c r="H17" i="7"/>
  <c r="H21" i="7"/>
  <c r="H25" i="7"/>
  <c r="H29" i="7"/>
  <c r="H135" i="6"/>
  <c r="H122" i="6"/>
  <c r="H93" i="6"/>
  <c r="H66" i="6"/>
  <c r="H58" i="6"/>
  <c r="H40" i="6"/>
  <c r="H24" i="6"/>
  <c r="G99" i="2"/>
  <c r="G88" i="2"/>
  <c r="G14" i="2"/>
  <c r="G18" i="2"/>
  <c r="G22" i="2"/>
  <c r="G26" i="2"/>
  <c r="G30" i="2"/>
  <c r="G34" i="2"/>
  <c r="G38" i="2"/>
  <c r="G42" i="2"/>
  <c r="G46" i="2"/>
  <c r="I13" i="9"/>
  <c r="I17" i="9"/>
  <c r="I21" i="9"/>
  <c r="I25" i="9"/>
  <c r="I29" i="9"/>
  <c r="I33" i="9"/>
  <c r="I37" i="9"/>
  <c r="I41" i="9"/>
  <c r="I45" i="9"/>
  <c r="I49" i="9"/>
  <c r="I53" i="9"/>
  <c r="I57" i="9"/>
  <c r="I61" i="9"/>
  <c r="I65" i="9"/>
  <c r="I69" i="9"/>
  <c r="I73" i="9"/>
  <c r="I77" i="9"/>
  <c r="I81" i="9"/>
  <c r="I85" i="9"/>
  <c r="I89" i="9"/>
  <c r="I93" i="9"/>
  <c r="I97" i="9"/>
  <c r="I101" i="9"/>
  <c r="I105" i="9"/>
  <c r="I109" i="9"/>
  <c r="I113" i="9"/>
  <c r="I117" i="9"/>
  <c r="I121" i="9"/>
  <c r="I125" i="9"/>
  <c r="I129" i="9"/>
  <c r="I133" i="9"/>
  <c r="I137" i="9"/>
  <c r="I141" i="9"/>
  <c r="I145" i="9"/>
  <c r="I149" i="9"/>
  <c r="I153" i="9"/>
  <c r="I157" i="9"/>
  <c r="I161" i="9"/>
  <c r="I165" i="9"/>
  <c r="H52" i="7"/>
  <c r="H14" i="7"/>
  <c r="H18" i="7"/>
  <c r="H22" i="7"/>
  <c r="H26" i="7"/>
  <c r="H30" i="7"/>
  <c r="H136" i="6"/>
  <c r="H119" i="6"/>
  <c r="H100" i="6"/>
  <c r="H59" i="6"/>
  <c r="H39" i="6"/>
  <c r="H27" i="6"/>
  <c r="G100" i="2"/>
  <c r="G15" i="2"/>
  <c r="G19" i="2"/>
  <c r="G23" i="2"/>
  <c r="G27" i="2"/>
  <c r="G31" i="2"/>
  <c r="G35" i="2"/>
  <c r="G39" i="2"/>
  <c r="G43" i="2"/>
  <c r="G12" i="2"/>
  <c r="I26" i="9"/>
  <c r="I42" i="9"/>
  <c r="I58" i="9"/>
  <c r="I74" i="9"/>
  <c r="I90" i="9"/>
  <c r="I106" i="9"/>
  <c r="I122" i="9"/>
  <c r="I138" i="9"/>
  <c r="I154" i="9"/>
  <c r="H23" i="7"/>
  <c r="H86" i="6"/>
  <c r="H60" i="6"/>
  <c r="G17" i="2"/>
  <c r="G25" i="2"/>
  <c r="G33" i="2"/>
  <c r="G41" i="2"/>
  <c r="H18" i="19"/>
  <c r="H22" i="19"/>
  <c r="H26" i="19"/>
  <c r="H30" i="19"/>
  <c r="G14" i="4"/>
  <c r="I14" i="9"/>
  <c r="I30" i="9"/>
  <c r="I46" i="9"/>
  <c r="I62" i="9"/>
  <c r="I78" i="9"/>
  <c r="I94" i="9"/>
  <c r="I110" i="9"/>
  <c r="I126" i="9"/>
  <c r="I142" i="9"/>
  <c r="I158" i="9"/>
  <c r="H27" i="7"/>
  <c r="H99" i="6"/>
  <c r="H11" i="6"/>
  <c r="G20" i="2"/>
  <c r="G28" i="2"/>
  <c r="G36" i="2"/>
  <c r="G44" i="2"/>
  <c r="H15" i="19"/>
  <c r="H19" i="19"/>
  <c r="H23" i="19"/>
  <c r="H27" i="19"/>
  <c r="H12" i="19"/>
  <c r="G25" i="4"/>
  <c r="G15" i="4"/>
  <c r="I18" i="9"/>
  <c r="I34" i="9"/>
  <c r="I50" i="9"/>
  <c r="I66" i="9"/>
  <c r="I82" i="9"/>
  <c r="I98" i="9"/>
  <c r="I114" i="9"/>
  <c r="I130" i="9"/>
  <c r="I146" i="9"/>
  <c r="I162" i="9"/>
  <c r="H15" i="7"/>
  <c r="H12" i="7"/>
  <c r="H120" i="6"/>
  <c r="H107" i="6"/>
  <c r="G98" i="2"/>
  <c r="G13" i="2"/>
  <c r="G21" i="2"/>
  <c r="G29" i="2"/>
  <c r="G37" i="2"/>
  <c r="G45" i="2"/>
  <c r="I70" i="9"/>
  <c r="I134" i="9"/>
  <c r="G16" i="2"/>
  <c r="H13" i="19"/>
  <c r="H21" i="19"/>
  <c r="H29" i="19"/>
  <c r="G12" i="4"/>
  <c r="H17" i="19"/>
  <c r="I54" i="9"/>
  <c r="G40" i="2"/>
  <c r="I22" i="9"/>
  <c r="I86" i="9"/>
  <c r="I150" i="9"/>
  <c r="H19" i="7"/>
  <c r="H115" i="6"/>
  <c r="H28" i="6"/>
  <c r="G24" i="2"/>
  <c r="H16" i="19"/>
  <c r="H24" i="19"/>
  <c r="G13" i="4"/>
  <c r="I38" i="9"/>
  <c r="I102" i="9"/>
  <c r="I166" i="9"/>
  <c r="H137" i="6"/>
  <c r="H69" i="6"/>
  <c r="G32" i="2"/>
  <c r="H25" i="19"/>
  <c r="I118" i="9"/>
  <c r="H20" i="19"/>
  <c r="G34" i="4" l="1"/>
  <c r="I169" i="9"/>
  <c r="E23" i="21" l="1"/>
  <c r="G23" i="21" l="1"/>
  <c r="H23" i="21" s="1"/>
  <c r="F23" i="21"/>
  <c r="L21" i="3"/>
  <c r="L11" i="3"/>
  <c r="K11" i="3" s="1"/>
  <c r="J11" i="3"/>
  <c r="M11" i="3" l="1"/>
  <c r="L43" i="20"/>
  <c r="L44" i="20"/>
  <c r="L42" i="20"/>
  <c r="L40" i="20"/>
  <c r="L34" i="20"/>
  <c r="L35" i="20"/>
  <c r="L36" i="20"/>
  <c r="L33" i="20"/>
  <c r="L29" i="20"/>
  <c r="L30" i="20"/>
  <c r="L31" i="20"/>
  <c r="L28" i="20"/>
  <c r="L9" i="20"/>
  <c r="L10" i="20"/>
  <c r="L11" i="20"/>
  <c r="L12" i="20"/>
  <c r="L13" i="20"/>
  <c r="L14" i="20"/>
  <c r="L15" i="20"/>
  <c r="L16" i="20"/>
  <c r="L17" i="20"/>
  <c r="L18" i="20"/>
  <c r="L19" i="20"/>
  <c r="L20" i="20"/>
  <c r="L21" i="20"/>
  <c r="L22" i="20"/>
  <c r="L23" i="20"/>
  <c r="L24" i="20"/>
  <c r="L8" i="20"/>
  <c r="L277" i="1"/>
  <c r="L278" i="1"/>
  <c r="L279" i="1"/>
  <c r="L280" i="1"/>
  <c r="L281" i="1"/>
  <c r="L282" i="1"/>
  <c r="L276" i="1"/>
  <c r="L263" i="1"/>
  <c r="L264" i="1"/>
  <c r="L265" i="1"/>
  <c r="L266" i="1"/>
  <c r="L267" i="1"/>
  <c r="L268" i="1"/>
  <c r="L269" i="1"/>
  <c r="L262" i="1"/>
  <c r="L258" i="1"/>
  <c r="L259" i="1"/>
  <c r="L260" i="1"/>
  <c r="L257" i="1"/>
  <c r="L241" i="1"/>
  <c r="L242" i="1"/>
  <c r="L243" i="1"/>
  <c r="L244" i="1"/>
  <c r="L245" i="1"/>
  <c r="L246" i="1"/>
  <c r="L247" i="1"/>
  <c r="L248" i="1"/>
  <c r="L249" i="1"/>
  <c r="L250" i="1"/>
  <c r="L251" i="1"/>
  <c r="L252" i="1"/>
  <c r="L253" i="1"/>
  <c r="L254" i="1"/>
  <c r="L255" i="1"/>
  <c r="L240" i="1"/>
  <c r="L209" i="1"/>
  <c r="L210" i="1"/>
  <c r="L211" i="1"/>
  <c r="L212" i="1"/>
  <c r="L213" i="1"/>
  <c r="L214" i="1"/>
  <c r="L215" i="1"/>
  <c r="L216" i="1"/>
  <c r="L217" i="1"/>
  <c r="L218" i="1"/>
  <c r="L219" i="1"/>
  <c r="L220" i="1"/>
  <c r="L221" i="1"/>
  <c r="L222" i="1"/>
  <c r="L223" i="1"/>
  <c r="L224" i="1"/>
  <c r="L225" i="1"/>
  <c r="L226" i="1"/>
  <c r="L227" i="1"/>
  <c r="L228" i="1"/>
  <c r="L229" i="1"/>
  <c r="L230" i="1"/>
  <c r="L231" i="1"/>
  <c r="L232" i="1"/>
  <c r="L233" i="1"/>
  <c r="L234" i="1"/>
  <c r="L208" i="1"/>
  <c r="L198" i="1"/>
  <c r="L199" i="1"/>
  <c r="L200" i="1"/>
  <c r="L201" i="1"/>
  <c r="L114" i="1"/>
  <c r="L118" i="1"/>
  <c r="L120" i="1"/>
  <c r="L121" i="1"/>
  <c r="L122" i="1"/>
  <c r="L123" i="1"/>
  <c r="L124" i="1"/>
  <c r="L125" i="1"/>
  <c r="L126" i="1"/>
  <c r="L127" i="1"/>
  <c r="L128" i="1"/>
  <c r="L129" i="1"/>
  <c r="L131" i="1"/>
  <c r="L132" i="1"/>
  <c r="L133" i="1"/>
  <c r="L136" i="1"/>
  <c r="L137" i="1"/>
  <c r="L138" i="1"/>
  <c r="L139" i="1"/>
  <c r="L142" i="1"/>
  <c r="L143" i="1"/>
  <c r="L144" i="1"/>
  <c r="L146" i="1"/>
  <c r="L147" i="1"/>
  <c r="L148" i="1"/>
  <c r="L149" i="1"/>
  <c r="L150" i="1"/>
  <c r="L151" i="1"/>
  <c r="L152" i="1"/>
  <c r="L153" i="1"/>
  <c r="L154" i="1"/>
  <c r="L155" i="1"/>
  <c r="L156" i="1"/>
  <c r="L158" i="1"/>
  <c r="L159" i="1"/>
  <c r="L160" i="1"/>
  <c r="L161" i="1"/>
  <c r="L162" i="1"/>
  <c r="L163" i="1"/>
  <c r="L164" i="1"/>
  <c r="L165" i="1"/>
  <c r="L166" i="1"/>
  <c r="L167" i="1"/>
  <c r="L168" i="1"/>
  <c r="L169" i="1"/>
  <c r="L170" i="1"/>
  <c r="L173" i="1"/>
  <c r="L174" i="1"/>
  <c r="L175" i="1"/>
  <c r="L176" i="1"/>
  <c r="L179" i="1"/>
  <c r="L180" i="1"/>
  <c r="L181" i="1"/>
  <c r="L182" i="1"/>
  <c r="L183" i="1"/>
  <c r="L184" i="1"/>
  <c r="L185" i="1"/>
  <c r="L186" i="1"/>
  <c r="L187" i="1"/>
  <c r="L188" i="1"/>
  <c r="L189" i="1"/>
  <c r="L190" i="1"/>
  <c r="L191" i="1"/>
  <c r="L192" i="1"/>
  <c r="L108" i="1"/>
  <c r="L101" i="1"/>
  <c r="L100" i="1"/>
  <c r="L96" i="1"/>
  <c r="L97" i="1"/>
  <c r="L95" i="1"/>
  <c r="L92" i="1"/>
  <c r="L84" i="1"/>
  <c r="L85" i="1"/>
  <c r="L83" i="1"/>
  <c r="L68" i="1"/>
  <c r="L69" i="1"/>
  <c r="L70" i="1"/>
  <c r="L71" i="1"/>
  <c r="L72" i="1"/>
  <c r="L73" i="1"/>
  <c r="L74" i="1"/>
  <c r="L75" i="1"/>
  <c r="L76" i="1"/>
  <c r="L77" i="1"/>
  <c r="L78" i="1"/>
  <c r="L79" i="1"/>
  <c r="L80" i="1"/>
  <c r="L67" i="1"/>
  <c r="L56" i="1"/>
  <c r="L57" i="1"/>
  <c r="L58" i="1"/>
  <c r="L59" i="1"/>
  <c r="L60" i="1"/>
  <c r="L61" i="1"/>
  <c r="L62" i="1"/>
  <c r="L63" i="1"/>
  <c r="L64" i="1"/>
  <c r="L55" i="1"/>
  <c r="L47" i="1"/>
  <c r="L48" i="1"/>
  <c r="L46" i="1"/>
  <c r="L31" i="1"/>
  <c r="L32" i="1"/>
  <c r="L33" i="1"/>
  <c r="L34" i="1"/>
  <c r="L35" i="1"/>
  <c r="L36" i="1"/>
  <c r="L37" i="1"/>
  <c r="L38" i="1"/>
  <c r="L39" i="1"/>
  <c r="L40" i="1"/>
  <c r="L41" i="1"/>
  <c r="L42" i="1"/>
  <c r="L43" i="1"/>
  <c r="L30" i="1"/>
  <c r="L9" i="1"/>
  <c r="L10" i="1"/>
  <c r="L11" i="1"/>
  <c r="L12" i="1"/>
  <c r="L13" i="1"/>
  <c r="L14" i="1"/>
  <c r="L15" i="1"/>
  <c r="L16" i="1"/>
  <c r="L17" i="1"/>
  <c r="L18" i="1"/>
  <c r="L19" i="1"/>
  <c r="L20" i="1"/>
  <c r="L21" i="1"/>
  <c r="L22" i="1"/>
  <c r="L23" i="1"/>
  <c r="L24" i="1"/>
  <c r="L25" i="1"/>
  <c r="L26" i="1"/>
  <c r="L27" i="1"/>
  <c r="L8" i="1"/>
  <c r="L332" i="3"/>
  <c r="L331" i="3"/>
  <c r="L326" i="3"/>
  <c r="L327" i="3"/>
  <c r="L328" i="3"/>
  <c r="L329" i="3"/>
  <c r="L325" i="3"/>
  <c r="L322" i="3"/>
  <c r="L302" i="3"/>
  <c r="L303" i="3"/>
  <c r="L304" i="3"/>
  <c r="L305" i="3"/>
  <c r="L306" i="3"/>
  <c r="L307" i="3"/>
  <c r="L308" i="3"/>
  <c r="L309" i="3"/>
  <c r="L310" i="3"/>
  <c r="L311" i="3"/>
  <c r="L312" i="3"/>
  <c r="L313" i="3"/>
  <c r="L314" i="3"/>
  <c r="L315" i="3"/>
  <c r="L316" i="3"/>
  <c r="L317" i="3"/>
  <c r="L318" i="3"/>
  <c r="L319" i="3"/>
  <c r="L301" i="3"/>
  <c r="L299" i="3"/>
  <c r="L298" i="3"/>
  <c r="L282" i="3"/>
  <c r="L283" i="3"/>
  <c r="L284" i="3"/>
  <c r="L285" i="3"/>
  <c r="L286" i="3"/>
  <c r="L287" i="3"/>
  <c r="L288" i="3"/>
  <c r="L289" i="3"/>
  <c r="L290" i="3"/>
  <c r="L291" i="3"/>
  <c r="L292" i="3"/>
  <c r="L281" i="3"/>
  <c r="L277" i="3"/>
  <c r="L278" i="3"/>
  <c r="L279" i="3"/>
  <c r="L276" i="3"/>
  <c r="L272" i="3"/>
  <c r="L271" i="3"/>
  <c r="L265" i="3"/>
  <c r="L266" i="3"/>
  <c r="L267" i="3"/>
  <c r="L264" i="3"/>
  <c r="L262" i="3"/>
  <c r="L245" i="3"/>
  <c r="L246" i="3"/>
  <c r="L247" i="3"/>
  <c r="L248" i="3"/>
  <c r="L249" i="3"/>
  <c r="L250" i="3"/>
  <c r="L244" i="3"/>
  <c r="L235" i="3"/>
  <c r="L236" i="3"/>
  <c r="L237" i="3"/>
  <c r="L238" i="3"/>
  <c r="L239" i="3"/>
  <c r="L234" i="3"/>
  <c r="L223" i="3"/>
  <c r="L224" i="3"/>
  <c r="L225" i="3"/>
  <c r="L226" i="3"/>
  <c r="L227" i="3"/>
  <c r="L228" i="3"/>
  <c r="L229" i="3"/>
  <c r="L230" i="3"/>
  <c r="L231" i="3"/>
  <c r="L222" i="3"/>
  <c r="L205" i="3"/>
  <c r="L206" i="3"/>
  <c r="L207" i="3"/>
  <c r="L208" i="3"/>
  <c r="L209" i="3"/>
  <c r="L210" i="3"/>
  <c r="L211" i="3"/>
  <c r="L212" i="3"/>
  <c r="L213" i="3"/>
  <c r="L214" i="3"/>
  <c r="L215" i="3"/>
  <c r="L216" i="3"/>
  <c r="L217" i="3"/>
  <c r="L218" i="3"/>
  <c r="L219" i="3"/>
  <c r="L204" i="3"/>
  <c r="L198" i="3"/>
  <c r="L192" i="3"/>
  <c r="L193" i="3"/>
  <c r="L194" i="3"/>
  <c r="L195" i="3"/>
  <c r="L191" i="3"/>
  <c r="L184" i="3"/>
  <c r="L185" i="3"/>
  <c r="L186" i="3"/>
  <c r="L187" i="3"/>
  <c r="L188" i="3"/>
  <c r="L183" i="3"/>
  <c r="L170" i="3"/>
  <c r="L171" i="3"/>
  <c r="L172" i="3"/>
  <c r="L173" i="3"/>
  <c r="L174" i="3"/>
  <c r="L175" i="3"/>
  <c r="L176" i="3"/>
  <c r="L177" i="3"/>
  <c r="L178" i="3"/>
  <c r="L169" i="3"/>
  <c r="L155" i="3"/>
  <c r="L156" i="3"/>
  <c r="L157" i="3"/>
  <c r="L158" i="3"/>
  <c r="L159" i="3"/>
  <c r="L160" i="3"/>
  <c r="L161" i="3"/>
  <c r="L162" i="3"/>
  <c r="L163" i="3"/>
  <c r="L164" i="3"/>
  <c r="L165" i="3"/>
  <c r="L166" i="3"/>
  <c r="L154" i="3"/>
  <c r="L144" i="3"/>
  <c r="L145" i="3"/>
  <c r="L146" i="3"/>
  <c r="L147" i="3"/>
  <c r="L148" i="3"/>
  <c r="L149" i="3"/>
  <c r="L143" i="3"/>
  <c r="L136" i="3"/>
  <c r="L137" i="3"/>
  <c r="L138" i="3"/>
  <c r="L139" i="3"/>
  <c r="L140" i="3"/>
  <c r="L135" i="3"/>
  <c r="L125" i="3"/>
  <c r="L126" i="3"/>
  <c r="L127" i="3"/>
  <c r="L128" i="3"/>
  <c r="L129" i="3"/>
  <c r="L130" i="3"/>
  <c r="L124" i="3"/>
  <c r="L115" i="3"/>
  <c r="L116" i="3"/>
  <c r="L117" i="3"/>
  <c r="L118" i="3"/>
  <c r="L119" i="3"/>
  <c r="L120" i="3"/>
  <c r="L121" i="3"/>
  <c r="L114" i="3"/>
  <c r="L105" i="3"/>
  <c r="L106" i="3"/>
  <c r="L107" i="3"/>
  <c r="L108" i="3"/>
  <c r="L109" i="3"/>
  <c r="L104" i="3"/>
  <c r="L99" i="3"/>
  <c r="L100" i="3"/>
  <c r="L101" i="3"/>
  <c r="L98" i="3"/>
  <c r="L92" i="3"/>
  <c r="L93" i="3"/>
  <c r="L94" i="3"/>
  <c r="L95" i="3"/>
  <c r="L91" i="3"/>
  <c r="L85" i="3"/>
  <c r="L84"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43" i="3"/>
  <c r="L12" i="3"/>
  <c r="L13" i="3"/>
  <c r="L14" i="3"/>
  <c r="L15" i="3"/>
  <c r="L16" i="3"/>
  <c r="L17" i="3"/>
  <c r="L18" i="3"/>
  <c r="L19" i="3"/>
  <c r="L20" i="3"/>
  <c r="L22" i="3"/>
  <c r="L23" i="3"/>
  <c r="L24" i="3"/>
  <c r="L25" i="3"/>
  <c r="L26" i="3"/>
  <c r="L27" i="3"/>
  <c r="L28" i="3"/>
  <c r="L29" i="3"/>
  <c r="L30" i="3"/>
  <c r="L31" i="3"/>
  <c r="L32" i="3"/>
  <c r="L33" i="3"/>
  <c r="L34" i="3"/>
  <c r="L35" i="3"/>
  <c r="L36" i="3"/>
  <c r="L37" i="3"/>
  <c r="L38" i="3"/>
  <c r="L39" i="3"/>
  <c r="L40" i="3"/>
  <c r="G11" i="9"/>
  <c r="J282" i="3"/>
  <c r="J283" i="3"/>
  <c r="J284" i="3"/>
  <c r="J285" i="3"/>
  <c r="J286" i="3"/>
  <c r="J287" i="3"/>
  <c r="J288" i="3"/>
  <c r="J289" i="3"/>
  <c r="J290" i="3"/>
  <c r="J291" i="3"/>
  <c r="J292" i="3"/>
  <c r="J281" i="3"/>
  <c r="J277" i="3"/>
  <c r="J278" i="3"/>
  <c r="J279" i="3"/>
  <c r="J276" i="3"/>
  <c r="M277" i="3" l="1"/>
  <c r="M290" i="3"/>
  <c r="M286" i="3"/>
  <c r="M282" i="3"/>
  <c r="M279" i="3"/>
  <c r="M292" i="3"/>
  <c r="M288" i="3"/>
  <c r="M284" i="3"/>
  <c r="M278" i="3"/>
  <c r="M291" i="3"/>
  <c r="M283" i="3"/>
  <c r="M287" i="3"/>
  <c r="M276" i="3"/>
  <c r="N276" i="3" s="1"/>
  <c r="O276" i="3" s="1"/>
  <c r="P276" i="3" s="1"/>
  <c r="M289" i="3"/>
  <c r="M281" i="3"/>
  <c r="M285" i="3"/>
  <c r="J44" i="20" l="1"/>
  <c r="J43" i="20"/>
  <c r="J42" i="20"/>
  <c r="J40" i="20"/>
  <c r="J36" i="20"/>
  <c r="J34" i="20"/>
  <c r="J35" i="20"/>
  <c r="J33" i="20"/>
  <c r="J29" i="20"/>
  <c r="J30" i="20"/>
  <c r="J31" i="20"/>
  <c r="J28" i="20"/>
  <c r="J24" i="20"/>
  <c r="J9" i="20"/>
  <c r="J10" i="20"/>
  <c r="J11" i="20"/>
  <c r="J12" i="20"/>
  <c r="J13" i="20"/>
  <c r="J14" i="20"/>
  <c r="J15" i="20"/>
  <c r="J16" i="20"/>
  <c r="J17" i="20"/>
  <c r="J18" i="20"/>
  <c r="J19" i="20"/>
  <c r="J20" i="20"/>
  <c r="J21" i="20"/>
  <c r="J22" i="20"/>
  <c r="J23" i="20"/>
  <c r="J8" i="20"/>
  <c r="J277" i="1"/>
  <c r="J278" i="1"/>
  <c r="J279" i="1"/>
  <c r="J280" i="1"/>
  <c r="J281" i="1"/>
  <c r="J282" i="1"/>
  <c r="J276" i="1"/>
  <c r="J267" i="1"/>
  <c r="J268" i="1"/>
  <c r="J269" i="1"/>
  <c r="J263" i="1"/>
  <c r="J264" i="1"/>
  <c r="J265" i="1"/>
  <c r="J266" i="1"/>
  <c r="J262" i="1"/>
  <c r="J258" i="1"/>
  <c r="J259" i="1"/>
  <c r="J260" i="1"/>
  <c r="J257" i="1"/>
  <c r="J241" i="1"/>
  <c r="J242" i="1"/>
  <c r="J243" i="1"/>
  <c r="J244" i="1"/>
  <c r="J245" i="1"/>
  <c r="J246" i="1"/>
  <c r="J247" i="1"/>
  <c r="J248" i="1"/>
  <c r="J249" i="1"/>
  <c r="J250" i="1"/>
  <c r="J251" i="1"/>
  <c r="J252" i="1"/>
  <c r="J253" i="1"/>
  <c r="J254" i="1"/>
  <c r="J255" i="1"/>
  <c r="J240" i="1"/>
  <c r="J234"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08" i="1"/>
  <c r="J198" i="1"/>
  <c r="J199" i="1"/>
  <c r="J200" i="1"/>
  <c r="J201" i="1"/>
  <c r="J197"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9" i="1"/>
  <c r="J140" i="1"/>
  <c r="J141" i="1"/>
  <c r="J142" i="1"/>
  <c r="J143" i="1"/>
  <c r="J144" i="1"/>
  <c r="J145" i="1"/>
  <c r="J146" i="1"/>
  <c r="J147" i="1"/>
  <c r="J148" i="1"/>
  <c r="J149" i="1"/>
  <c r="J150" i="1"/>
  <c r="J151" i="1"/>
  <c r="J152" i="1"/>
  <c r="J153" i="1"/>
  <c r="J154" i="1"/>
  <c r="J155" i="1"/>
  <c r="J156" i="1"/>
  <c r="J157" i="1"/>
  <c r="J158" i="1"/>
  <c r="J159"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08" i="1"/>
  <c r="J101" i="1"/>
  <c r="J100" i="1"/>
  <c r="J96" i="1"/>
  <c r="J97" i="1"/>
  <c r="J95" i="1"/>
  <c r="J92" i="1"/>
  <c r="J84" i="1"/>
  <c r="J85" i="1"/>
  <c r="J83" i="1"/>
  <c r="J68" i="1"/>
  <c r="J69" i="1"/>
  <c r="J70" i="1"/>
  <c r="J71" i="1"/>
  <c r="J72" i="1"/>
  <c r="J73" i="1"/>
  <c r="J74" i="1"/>
  <c r="J75" i="1"/>
  <c r="J76" i="1"/>
  <c r="J77" i="1"/>
  <c r="J78" i="1"/>
  <c r="J79" i="1"/>
  <c r="J80" i="1"/>
  <c r="J67" i="1"/>
  <c r="J56" i="1"/>
  <c r="J57" i="1"/>
  <c r="J58" i="1"/>
  <c r="J59" i="1"/>
  <c r="J60" i="1"/>
  <c r="J61" i="1"/>
  <c r="J62" i="1"/>
  <c r="J63" i="1"/>
  <c r="J64" i="1"/>
  <c r="J55" i="1"/>
  <c r="J47" i="1"/>
  <c r="J48" i="1"/>
  <c r="J46" i="1"/>
  <c r="J31" i="1"/>
  <c r="J32" i="1"/>
  <c r="J33" i="1"/>
  <c r="J34" i="1"/>
  <c r="J35" i="1"/>
  <c r="J36" i="1"/>
  <c r="J37" i="1"/>
  <c r="J38" i="1"/>
  <c r="J39" i="1"/>
  <c r="J40" i="1"/>
  <c r="J41" i="1"/>
  <c r="J42" i="1"/>
  <c r="J43" i="1"/>
  <c r="J30" i="1"/>
  <c r="J9" i="1"/>
  <c r="J10" i="1"/>
  <c r="J11" i="1"/>
  <c r="J12" i="1"/>
  <c r="J13" i="1"/>
  <c r="J14" i="1"/>
  <c r="J15" i="1"/>
  <c r="J16" i="1"/>
  <c r="J17" i="1"/>
  <c r="J18" i="1"/>
  <c r="J19" i="1"/>
  <c r="J20" i="1"/>
  <c r="J21" i="1"/>
  <c r="J22" i="1"/>
  <c r="J23" i="1"/>
  <c r="J24" i="1"/>
  <c r="J25" i="1"/>
  <c r="J26" i="1"/>
  <c r="J27" i="1"/>
  <c r="J8" i="1"/>
  <c r="H62" i="6" l="1"/>
  <c r="G11" i="2"/>
  <c r="J332" i="3" l="1"/>
  <c r="J331" i="3"/>
  <c r="J326" i="3"/>
  <c r="J327" i="3"/>
  <c r="J328" i="3"/>
  <c r="J329" i="3"/>
  <c r="J325" i="3"/>
  <c r="J322" i="3"/>
  <c r="J302" i="3"/>
  <c r="J303" i="3"/>
  <c r="J304" i="3"/>
  <c r="J305" i="3"/>
  <c r="J306" i="3"/>
  <c r="J307" i="3"/>
  <c r="J308" i="3"/>
  <c r="J309" i="3"/>
  <c r="J310" i="3"/>
  <c r="J311" i="3"/>
  <c r="J312" i="3"/>
  <c r="J313" i="3"/>
  <c r="J314" i="3"/>
  <c r="J315" i="3"/>
  <c r="J316" i="3"/>
  <c r="J317" i="3"/>
  <c r="J318" i="3"/>
  <c r="J319" i="3"/>
  <c r="J301" i="3"/>
  <c r="J299" i="3"/>
  <c r="J298" i="3"/>
  <c r="J272" i="3"/>
  <c r="J271" i="3"/>
  <c r="J265" i="3"/>
  <c r="J266" i="3"/>
  <c r="J267" i="3"/>
  <c r="J264" i="3"/>
  <c r="J262" i="3"/>
  <c r="J245" i="3"/>
  <c r="J246" i="3"/>
  <c r="J247" i="3"/>
  <c r="J248" i="3"/>
  <c r="J249" i="3"/>
  <c r="J250" i="3"/>
  <c r="J244" i="3"/>
  <c r="J235" i="3"/>
  <c r="J236" i="3"/>
  <c r="J237" i="3"/>
  <c r="J238" i="3"/>
  <c r="J239" i="3"/>
  <c r="J234" i="3"/>
  <c r="J223" i="3"/>
  <c r="J224" i="3"/>
  <c r="J225" i="3"/>
  <c r="J226" i="3"/>
  <c r="J227" i="3"/>
  <c r="J228" i="3"/>
  <c r="J229" i="3"/>
  <c r="J230" i="3"/>
  <c r="J231" i="3"/>
  <c r="J222" i="3"/>
  <c r="J205" i="3"/>
  <c r="J206" i="3"/>
  <c r="J207" i="3"/>
  <c r="J208" i="3"/>
  <c r="J209" i="3"/>
  <c r="J210" i="3"/>
  <c r="J211" i="3"/>
  <c r="J212" i="3"/>
  <c r="J213" i="3"/>
  <c r="J214" i="3"/>
  <c r="J215" i="3"/>
  <c r="J216" i="3"/>
  <c r="J217" i="3"/>
  <c r="J218" i="3"/>
  <c r="J219" i="3"/>
  <c r="J204" i="3"/>
  <c r="J198" i="3"/>
  <c r="J192" i="3"/>
  <c r="J193" i="3"/>
  <c r="J194" i="3"/>
  <c r="J195" i="3"/>
  <c r="J191" i="3"/>
  <c r="J184" i="3"/>
  <c r="J185" i="3"/>
  <c r="J186" i="3"/>
  <c r="J187" i="3"/>
  <c r="J188" i="3"/>
  <c r="J183" i="3"/>
  <c r="J170" i="3"/>
  <c r="J171" i="3"/>
  <c r="J172" i="3"/>
  <c r="J173" i="3"/>
  <c r="J174" i="3"/>
  <c r="J175" i="3"/>
  <c r="J176" i="3"/>
  <c r="J177" i="3"/>
  <c r="J178" i="3"/>
  <c r="J169" i="3"/>
  <c r="J155" i="3"/>
  <c r="J156" i="3"/>
  <c r="J157" i="3"/>
  <c r="J158" i="3"/>
  <c r="J159" i="3"/>
  <c r="J160" i="3"/>
  <c r="J161" i="3"/>
  <c r="J162" i="3"/>
  <c r="J163" i="3"/>
  <c r="J164" i="3"/>
  <c r="J165" i="3"/>
  <c r="J166" i="3"/>
  <c r="J154" i="3"/>
  <c r="J144" i="3"/>
  <c r="J145" i="3"/>
  <c r="J146" i="3"/>
  <c r="J147" i="3"/>
  <c r="J148" i="3"/>
  <c r="J149" i="3"/>
  <c r="J143" i="3"/>
  <c r="J136" i="3"/>
  <c r="J137" i="3"/>
  <c r="J138" i="3"/>
  <c r="J139" i="3"/>
  <c r="J140" i="3"/>
  <c r="J135" i="3"/>
  <c r="J125" i="3"/>
  <c r="J126" i="3"/>
  <c r="J127" i="3"/>
  <c r="J128" i="3"/>
  <c r="J129" i="3"/>
  <c r="J130" i="3"/>
  <c r="J124" i="3"/>
  <c r="J115" i="3"/>
  <c r="J116" i="3"/>
  <c r="J117" i="3"/>
  <c r="J118" i="3"/>
  <c r="J119" i="3"/>
  <c r="J120" i="3"/>
  <c r="J121" i="3"/>
  <c r="J114" i="3"/>
  <c r="J105" i="3"/>
  <c r="J106" i="3"/>
  <c r="J107" i="3"/>
  <c r="J108" i="3"/>
  <c r="J109" i="3"/>
  <c r="J104" i="3"/>
  <c r="J99" i="3"/>
  <c r="J100" i="3"/>
  <c r="J101" i="3"/>
  <c r="J98" i="3"/>
  <c r="J92" i="3"/>
  <c r="J93" i="3"/>
  <c r="J94" i="3"/>
  <c r="J95" i="3"/>
  <c r="J91" i="3"/>
  <c r="J85" i="3"/>
  <c r="J84"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43" i="3"/>
  <c r="J12" i="3" l="1"/>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S20" i="17" l="1"/>
  <c r="T20" i="17" s="1"/>
  <c r="H20" i="17"/>
  <c r="I20" i="17" s="1"/>
  <c r="J20" i="17" s="1"/>
  <c r="R19" i="17"/>
  <c r="P19" i="17"/>
  <c r="G19" i="17"/>
  <c r="S17" i="17"/>
  <c r="T17" i="17" s="1"/>
  <c r="U17" i="17" s="1"/>
  <c r="H17" i="17"/>
  <c r="I17" i="17" s="1"/>
  <c r="S16" i="17"/>
  <c r="T16" i="17" s="1"/>
  <c r="H16" i="17"/>
  <c r="I16" i="17" s="1"/>
  <c r="S15" i="17"/>
  <c r="T15" i="17" s="1"/>
  <c r="U15" i="17" s="1"/>
  <c r="V15" i="17" s="1"/>
  <c r="W15" i="17" s="1"/>
  <c r="H15" i="17"/>
  <c r="I15" i="17" s="1"/>
  <c r="S12" i="17"/>
  <c r="T12" i="17" s="1"/>
  <c r="U12" i="17" s="1"/>
  <c r="V12" i="17" s="1"/>
  <c r="W12" i="17" s="1"/>
  <c r="H12" i="17"/>
  <c r="I12" i="17" s="1"/>
  <c r="J12" i="17" s="1"/>
  <c r="K12" i="17" s="1"/>
  <c r="L12" i="17" s="1"/>
  <c r="S11" i="17"/>
  <c r="T11" i="17" s="1"/>
  <c r="U11" i="17" s="1"/>
  <c r="H11" i="17"/>
  <c r="I11" i="17" s="1"/>
  <c r="U10" i="17"/>
  <c r="H19" i="17" l="1"/>
  <c r="V17" i="17"/>
  <c r="W17" i="17" s="1"/>
  <c r="Y20" i="17"/>
  <c r="I19" i="17"/>
  <c r="I33" i="17"/>
  <c r="J33" i="17" s="1"/>
  <c r="L33" i="17" s="1"/>
  <c r="Y11" i="17"/>
  <c r="T19" i="17"/>
  <c r="T33" i="17"/>
  <c r="U33" i="17" s="1"/>
  <c r="W33" i="17" s="1"/>
  <c r="V11" i="17"/>
  <c r="W11" i="17" s="1"/>
  <c r="U16" i="17"/>
  <c r="V16" i="17" s="1"/>
  <c r="W16" i="17" s="1"/>
  <c r="U20" i="17"/>
  <c r="V20" i="17" s="1"/>
  <c r="W20" i="17" s="1"/>
  <c r="Y16" i="17"/>
  <c r="J16" i="17"/>
  <c r="K16" i="17" s="1"/>
  <c r="L16" i="17" s="1"/>
  <c r="P14" i="17"/>
  <c r="V10" i="17"/>
  <c r="W10" i="17" s="1"/>
  <c r="J11" i="17"/>
  <c r="K11" i="17" s="1"/>
  <c r="L11" i="17" s="1"/>
  <c r="Y12" i="17"/>
  <c r="Y15" i="17"/>
  <c r="J15" i="17"/>
  <c r="K15" i="17" s="1"/>
  <c r="L15" i="17" s="1"/>
  <c r="Y17" i="17"/>
  <c r="J17" i="17"/>
  <c r="K17" i="17" s="1"/>
  <c r="L17" i="17" s="1"/>
  <c r="K20" i="17"/>
  <c r="L20" i="17" s="1"/>
  <c r="S19" i="17"/>
  <c r="U21" i="17" l="1"/>
  <c r="J21" i="17"/>
  <c r="P21" i="17"/>
  <c r="Y19" i="17"/>
  <c r="V21" i="17"/>
  <c r="W21" i="17"/>
  <c r="W24" i="17" s="1"/>
  <c r="L21" i="17" l="1"/>
  <c r="L24" i="17" s="1"/>
  <c r="K21" i="17"/>
  <c r="Y21" i="17" l="1"/>
  <c r="W40" i="17"/>
  <c r="L40" i="17" l="1"/>
  <c r="Y40" i="17" l="1"/>
  <c r="E15" i="21" l="1"/>
  <c r="G15" i="21" l="1"/>
  <c r="H15" i="21" s="1"/>
  <c r="F15" i="21"/>
  <c r="E14" i="21"/>
  <c r="B101" i="2"/>
  <c r="F14" i="21" l="1"/>
  <c r="G14" i="21"/>
  <c r="H14" i="21" s="1"/>
  <c r="K40" i="1"/>
  <c r="M41" i="1"/>
  <c r="N41" i="1" s="1"/>
  <c r="O41" i="1" s="1"/>
  <c r="P41" i="1" s="1"/>
  <c r="K41" i="1"/>
  <c r="K42" i="1"/>
  <c r="K43" i="1"/>
  <c r="K38" i="1"/>
  <c r="K39" i="1"/>
  <c r="K37" i="1"/>
  <c r="I44" i="1"/>
  <c r="M39" i="1" l="1"/>
  <c r="N39" i="1" s="1"/>
  <c r="O39" i="1" s="1"/>
  <c r="M43" i="1"/>
  <c r="N43" i="1" s="1"/>
  <c r="O43" i="1" s="1"/>
  <c r="M38" i="1"/>
  <c r="N38" i="1" s="1"/>
  <c r="O38" i="1" s="1"/>
  <c r="M42" i="1"/>
  <c r="N42" i="1" s="1"/>
  <c r="O42" i="1" s="1"/>
  <c r="M40" i="1"/>
  <c r="N40" i="1" s="1"/>
  <c r="O40" i="1" s="1"/>
  <c r="P40" i="1" s="1"/>
  <c r="Q41" i="1"/>
  <c r="M37" i="1"/>
  <c r="N37" i="1" s="1"/>
  <c r="O37" i="1" s="1"/>
  <c r="P37" i="1" s="1"/>
  <c r="I270" i="1"/>
  <c r="P38" i="1" l="1"/>
  <c r="Q38" i="1" s="1"/>
  <c r="P42" i="1"/>
  <c r="Q42" i="1" s="1"/>
  <c r="P43" i="1"/>
  <c r="Q43" i="1" s="1"/>
  <c r="P39" i="1"/>
  <c r="Q39" i="1" s="1"/>
  <c r="Q40" i="1"/>
  <c r="Q37" i="1"/>
  <c r="E28" i="21"/>
  <c r="E25" i="21"/>
  <c r="E22" i="21"/>
  <c r="H178" i="1"/>
  <c r="L178" i="1" s="1"/>
  <c r="H177" i="1"/>
  <c r="L177" i="1" s="1"/>
  <c r="H172" i="1"/>
  <c r="L172" i="1" s="1"/>
  <c r="H171" i="1"/>
  <c r="L171" i="1" s="1"/>
  <c r="G160" i="1"/>
  <c r="H157" i="1"/>
  <c r="L157" i="1" s="1"/>
  <c r="H145" i="1"/>
  <c r="L145" i="1" s="1"/>
  <c r="H141" i="1"/>
  <c r="H140" i="1"/>
  <c r="L140" i="1" s="1"/>
  <c r="G138" i="1"/>
  <c r="H135" i="1"/>
  <c r="L135" i="1" s="1"/>
  <c r="H134" i="1"/>
  <c r="L134" i="1" s="1"/>
  <c r="H130" i="1"/>
  <c r="L130" i="1" s="1"/>
  <c r="H119" i="1"/>
  <c r="H117" i="1"/>
  <c r="L117" i="1" s="1"/>
  <c r="H116" i="1"/>
  <c r="L116" i="1" s="1"/>
  <c r="H115" i="1"/>
  <c r="L115" i="1" s="1"/>
  <c r="H113" i="1"/>
  <c r="H112" i="1"/>
  <c r="L112" i="1" s="1"/>
  <c r="K112" i="1" s="1"/>
  <c r="H111" i="1"/>
  <c r="L111" i="1" s="1"/>
  <c r="K111" i="1" s="1"/>
  <c r="H110" i="1"/>
  <c r="L110" i="1" s="1"/>
  <c r="H109" i="1"/>
  <c r="K114" i="1"/>
  <c r="K116" i="1"/>
  <c r="K117" i="1"/>
  <c r="K118" i="1"/>
  <c r="K120" i="1"/>
  <c r="K121" i="1"/>
  <c r="K122" i="1"/>
  <c r="K123" i="1"/>
  <c r="K124" i="1"/>
  <c r="K125" i="1"/>
  <c r="K126" i="1"/>
  <c r="K127" i="1"/>
  <c r="K128" i="1"/>
  <c r="K129" i="1"/>
  <c r="K131" i="1"/>
  <c r="K132" i="1"/>
  <c r="K133" i="1"/>
  <c r="K135" i="1"/>
  <c r="K136" i="1"/>
  <c r="K137" i="1"/>
  <c r="K138" i="1"/>
  <c r="K139" i="1"/>
  <c r="K142" i="1"/>
  <c r="K143" i="1"/>
  <c r="K144" i="1"/>
  <c r="K145" i="1"/>
  <c r="K146" i="1"/>
  <c r="K147" i="1"/>
  <c r="H197" i="1"/>
  <c r="L197" i="1" s="1"/>
  <c r="F22" i="21" l="1"/>
  <c r="G22" i="21"/>
  <c r="H22" i="21" s="1"/>
  <c r="K109" i="1"/>
  <c r="L109" i="1"/>
  <c r="L119" i="1"/>
  <c r="K119" i="1" s="1"/>
  <c r="K113" i="1"/>
  <c r="L113" i="1"/>
  <c r="L141" i="1"/>
  <c r="K141" i="1" s="1"/>
  <c r="M121" i="1"/>
  <c r="N121" i="1" s="1"/>
  <c r="O121" i="1" s="1"/>
  <c r="P121" i="1" s="1"/>
  <c r="M128" i="1"/>
  <c r="N128" i="1" s="1"/>
  <c r="O128" i="1" s="1"/>
  <c r="P128" i="1" s="1"/>
  <c r="J160" i="1"/>
  <c r="J138" i="1"/>
  <c r="M138" i="1" s="1"/>
  <c r="N138" i="1" s="1"/>
  <c r="O138" i="1" s="1"/>
  <c r="M137" i="1"/>
  <c r="N137" i="1" s="1"/>
  <c r="O137" i="1" s="1"/>
  <c r="M133" i="1"/>
  <c r="N133" i="1" s="1"/>
  <c r="O133" i="1" s="1"/>
  <c r="P133" i="1" s="1"/>
  <c r="M136" i="1"/>
  <c r="N136" i="1" s="1"/>
  <c r="O136" i="1" s="1"/>
  <c r="M132" i="1"/>
  <c r="N132" i="1" s="1"/>
  <c r="O132" i="1" s="1"/>
  <c r="P132" i="1" s="1"/>
  <c r="M118" i="1"/>
  <c r="N118" i="1" s="1"/>
  <c r="O118" i="1" s="1"/>
  <c r="P118" i="1" s="1"/>
  <c r="M112" i="1"/>
  <c r="N112" i="1" s="1"/>
  <c r="O112" i="1" s="1"/>
  <c r="P112" i="1" s="1"/>
  <c r="M129" i="1"/>
  <c r="N129" i="1" s="1"/>
  <c r="O129" i="1" s="1"/>
  <c r="P129" i="1" s="1"/>
  <c r="M122" i="1"/>
  <c r="N122" i="1" s="1"/>
  <c r="O122" i="1" s="1"/>
  <c r="P122" i="1" s="1"/>
  <c r="M117" i="1"/>
  <c r="N117" i="1" s="1"/>
  <c r="O117" i="1" s="1"/>
  <c r="P117" i="1" s="1"/>
  <c r="M113" i="1"/>
  <c r="N113" i="1" s="1"/>
  <c r="O113" i="1" s="1"/>
  <c r="P113" i="1" s="1"/>
  <c r="M120" i="1"/>
  <c r="N120" i="1" s="1"/>
  <c r="O120" i="1" s="1"/>
  <c r="P120" i="1" s="1"/>
  <c r="M126" i="1"/>
  <c r="N126" i="1" s="1"/>
  <c r="O126" i="1" s="1"/>
  <c r="P126" i="1" s="1"/>
  <c r="M125" i="1"/>
  <c r="N125" i="1" s="1"/>
  <c r="O125" i="1" s="1"/>
  <c r="P125" i="1" s="1"/>
  <c r="M123" i="1"/>
  <c r="N123" i="1" s="1"/>
  <c r="O123" i="1" s="1"/>
  <c r="P123" i="1" s="1"/>
  <c r="M111" i="1"/>
  <c r="N111" i="1" s="1"/>
  <c r="O111" i="1" s="1"/>
  <c r="P111" i="1" s="1"/>
  <c r="M109" i="1"/>
  <c r="N109" i="1" s="1"/>
  <c r="O109" i="1" s="1"/>
  <c r="P109" i="1" s="1"/>
  <c r="M146" i="1"/>
  <c r="N146" i="1" s="1"/>
  <c r="O146" i="1" s="1"/>
  <c r="P146" i="1" s="1"/>
  <c r="M144" i="1"/>
  <c r="N144" i="1" s="1"/>
  <c r="O144" i="1" s="1"/>
  <c r="P144" i="1" s="1"/>
  <c r="M114" i="1"/>
  <c r="N114" i="1" s="1"/>
  <c r="O114" i="1" s="1"/>
  <c r="P114" i="1" s="1"/>
  <c r="M135" i="1"/>
  <c r="N135" i="1" s="1"/>
  <c r="O135" i="1" s="1"/>
  <c r="P135" i="1" s="1"/>
  <c r="M131" i="1"/>
  <c r="N131" i="1" s="1"/>
  <c r="O131" i="1" s="1"/>
  <c r="P131" i="1" s="1"/>
  <c r="M127" i="1"/>
  <c r="N127" i="1" s="1"/>
  <c r="O127" i="1" s="1"/>
  <c r="P127" i="1" s="1"/>
  <c r="M124" i="1"/>
  <c r="N124" i="1" s="1"/>
  <c r="O124" i="1" s="1"/>
  <c r="P124" i="1" s="1"/>
  <c r="M119" i="1"/>
  <c r="N119" i="1" s="1"/>
  <c r="O119" i="1" s="1"/>
  <c r="P119" i="1" s="1"/>
  <c r="M116" i="1"/>
  <c r="N116" i="1" s="1"/>
  <c r="O116" i="1" s="1"/>
  <c r="P116" i="1" s="1"/>
  <c r="K134" i="1"/>
  <c r="M134" i="1"/>
  <c r="N134" i="1" s="1"/>
  <c r="O134" i="1" s="1"/>
  <c r="P134" i="1" s="1"/>
  <c r="K130" i="1"/>
  <c r="M130" i="1"/>
  <c r="N130" i="1" s="1"/>
  <c r="O130" i="1" s="1"/>
  <c r="P130" i="1" s="1"/>
  <c r="K140" i="1"/>
  <c r="M140" i="1"/>
  <c r="N140" i="1" s="1"/>
  <c r="O140" i="1" s="1"/>
  <c r="P140" i="1" s="1"/>
  <c r="M142" i="1"/>
  <c r="N142" i="1" s="1"/>
  <c r="O142" i="1" s="1"/>
  <c r="P142" i="1" s="1"/>
  <c r="K110" i="1"/>
  <c r="M110" i="1"/>
  <c r="N110" i="1" s="1"/>
  <c r="O110" i="1" s="1"/>
  <c r="P110" i="1" s="1"/>
  <c r="K115" i="1"/>
  <c r="M115" i="1"/>
  <c r="N115" i="1" s="1"/>
  <c r="O115" i="1" s="1"/>
  <c r="P115" i="1" s="1"/>
  <c r="M139" i="1"/>
  <c r="N139" i="1" s="1"/>
  <c r="O139" i="1" s="1"/>
  <c r="M147" i="1"/>
  <c r="N147" i="1" s="1"/>
  <c r="O147" i="1" s="1"/>
  <c r="M143" i="1"/>
  <c r="N143" i="1" s="1"/>
  <c r="O143" i="1" s="1"/>
  <c r="M145" i="1"/>
  <c r="N145" i="1" s="1"/>
  <c r="O145" i="1" s="1"/>
  <c r="M141" i="1"/>
  <c r="N141" i="1" s="1"/>
  <c r="O141" i="1" s="1"/>
  <c r="Q128" i="1"/>
  <c r="F77" i="9"/>
  <c r="F10" i="9"/>
  <c r="H165" i="9"/>
  <c r="H167" i="9"/>
  <c r="G165" i="9"/>
  <c r="G166" i="9"/>
  <c r="H166" i="9" s="1"/>
  <c r="G167" i="9"/>
  <c r="F163" i="9"/>
  <c r="Q121" i="1" l="1"/>
  <c r="P145" i="1"/>
  <c r="Q145" i="1" s="1"/>
  <c r="P141" i="1"/>
  <c r="Q141" i="1" s="1"/>
  <c r="P136" i="1"/>
  <c r="Q136" i="1" s="1"/>
  <c r="P143" i="1"/>
  <c r="Q143" i="1" s="1"/>
  <c r="P139" i="1"/>
  <c r="Q139" i="1" s="1"/>
  <c r="P147" i="1"/>
  <c r="Q147" i="1" s="1"/>
  <c r="P137" i="1"/>
  <c r="Q137" i="1" s="1"/>
  <c r="P138" i="1"/>
  <c r="Q138" i="1" s="1"/>
  <c r="Q133" i="1"/>
  <c r="Q127" i="1"/>
  <c r="Q134" i="1"/>
  <c r="Q113" i="1"/>
  <c r="Q144" i="1"/>
  <c r="Q123" i="1"/>
  <c r="Q112" i="1"/>
  <c r="Q132" i="1"/>
  <c r="Q120" i="1"/>
  <c r="Q140" i="1"/>
  <c r="Q114" i="1"/>
  <c r="Q129" i="1"/>
  <c r="Q111" i="1"/>
  <c r="Q118" i="1"/>
  <c r="Q124" i="1"/>
  <c r="Q116" i="1"/>
  <c r="Q125" i="1"/>
  <c r="Q117" i="1"/>
  <c r="Q122" i="1"/>
  <c r="Q126" i="1"/>
  <c r="Q131" i="1"/>
  <c r="Q142" i="1"/>
  <c r="Q135" i="1"/>
  <c r="Q146" i="1"/>
  <c r="Q109" i="1"/>
  <c r="Q119" i="1"/>
  <c r="Q130" i="1"/>
  <c r="Q115" i="1"/>
  <c r="Q110" i="1"/>
  <c r="K26" i="1"/>
  <c r="I47" i="20"/>
  <c r="I45" i="20"/>
  <c r="K44" i="20"/>
  <c r="K43" i="20"/>
  <c r="K42" i="20"/>
  <c r="K40" i="20"/>
  <c r="I37" i="20"/>
  <c r="K36" i="20"/>
  <c r="K35" i="20"/>
  <c r="K34" i="20"/>
  <c r="K33" i="20"/>
  <c r="K31" i="20"/>
  <c r="K30" i="20"/>
  <c r="K29" i="20"/>
  <c r="K28" i="20"/>
  <c r="K9" i="20"/>
  <c r="K10" i="20"/>
  <c r="K11" i="20"/>
  <c r="K12" i="20"/>
  <c r="K13" i="20"/>
  <c r="K14" i="20"/>
  <c r="K15" i="20"/>
  <c r="K16" i="20"/>
  <c r="K17" i="20"/>
  <c r="K18" i="20"/>
  <c r="K19" i="20"/>
  <c r="K20" i="20"/>
  <c r="K21" i="20"/>
  <c r="K22" i="20"/>
  <c r="K23" i="20"/>
  <c r="I25" i="20"/>
  <c r="K24" i="20"/>
  <c r="K8" i="20"/>
  <c r="C138" i="6"/>
  <c r="C130" i="6"/>
  <c r="C116" i="6"/>
  <c r="C111" i="6"/>
  <c r="C104" i="6"/>
  <c r="C96" i="6"/>
  <c r="C89" i="6"/>
  <c r="C81" i="6"/>
  <c r="C62" i="6"/>
  <c r="C35" i="6"/>
  <c r="C20" i="6"/>
  <c r="M40" i="20" l="1"/>
  <c r="N40" i="20" s="1"/>
  <c r="O40" i="20" s="1"/>
  <c r="C139" i="6"/>
  <c r="M35" i="20"/>
  <c r="N35" i="20" s="1"/>
  <c r="O35" i="20" s="1"/>
  <c r="M28" i="20"/>
  <c r="N28" i="20" s="1"/>
  <c r="O28" i="20" s="1"/>
  <c r="M26" i="1"/>
  <c r="N26" i="1" s="1"/>
  <c r="O26" i="1" s="1"/>
  <c r="M13" i="20"/>
  <c r="N13" i="20" s="1"/>
  <c r="O13" i="20" s="1"/>
  <c r="M44" i="20"/>
  <c r="N44" i="20" s="1"/>
  <c r="O44" i="20" s="1"/>
  <c r="M43" i="20"/>
  <c r="N43" i="20" s="1"/>
  <c r="O43" i="20" s="1"/>
  <c r="M42" i="20"/>
  <c r="N42" i="20" s="1"/>
  <c r="O42" i="20" s="1"/>
  <c r="M22" i="20"/>
  <c r="N22" i="20" s="1"/>
  <c r="O22" i="20" s="1"/>
  <c r="M36" i="20"/>
  <c r="N36" i="20" s="1"/>
  <c r="O36" i="20" s="1"/>
  <c r="M20" i="20"/>
  <c r="N20" i="20" s="1"/>
  <c r="O20" i="20" s="1"/>
  <c r="M24" i="20"/>
  <c r="N24" i="20" s="1"/>
  <c r="O24" i="20" s="1"/>
  <c r="M31" i="20"/>
  <c r="N31" i="20" s="1"/>
  <c r="O31" i="20" s="1"/>
  <c r="M12" i="20"/>
  <c r="N12" i="20" s="1"/>
  <c r="O12" i="20" s="1"/>
  <c r="M34" i="20"/>
  <c r="N34" i="20" s="1"/>
  <c r="O34" i="20" s="1"/>
  <c r="M33" i="20"/>
  <c r="N33" i="20" s="1"/>
  <c r="O33" i="20" s="1"/>
  <c r="M30" i="20"/>
  <c r="N30" i="20" s="1"/>
  <c r="O30" i="20" s="1"/>
  <c r="M29" i="20"/>
  <c r="N29" i="20" s="1"/>
  <c r="O29" i="20" s="1"/>
  <c r="M16" i="20"/>
  <c r="N16" i="20" s="1"/>
  <c r="O16" i="20" s="1"/>
  <c r="M18" i="20"/>
  <c r="N18" i="20" s="1"/>
  <c r="O18" i="20" s="1"/>
  <c r="M9" i="20"/>
  <c r="N9" i="20" s="1"/>
  <c r="O9" i="20" s="1"/>
  <c r="M21" i="20"/>
  <c r="N21" i="20" s="1"/>
  <c r="O21" i="20" s="1"/>
  <c r="M14" i="20"/>
  <c r="N14" i="20" s="1"/>
  <c r="O14" i="20" s="1"/>
  <c r="M17" i="20"/>
  <c r="N17" i="20" s="1"/>
  <c r="O17" i="20" s="1"/>
  <c r="M10" i="20"/>
  <c r="N10" i="20" s="1"/>
  <c r="O10" i="20" s="1"/>
  <c r="M23" i="20"/>
  <c r="N23" i="20" s="1"/>
  <c r="O23" i="20" s="1"/>
  <c r="P23" i="20" s="1"/>
  <c r="M19" i="20"/>
  <c r="N19" i="20" s="1"/>
  <c r="O19" i="20" s="1"/>
  <c r="M15" i="20"/>
  <c r="N15" i="20" s="1"/>
  <c r="O15" i="20" s="1"/>
  <c r="M11" i="20"/>
  <c r="N11" i="20" s="1"/>
  <c r="O11" i="20" s="1"/>
  <c r="M8" i="20"/>
  <c r="N8" i="20" s="1"/>
  <c r="O8" i="20" s="1"/>
  <c r="P8" i="20" s="1"/>
  <c r="H138" i="6"/>
  <c r="H130" i="6"/>
  <c r="H116" i="6"/>
  <c r="H111" i="6"/>
  <c r="H104" i="6"/>
  <c r="H89" i="6"/>
  <c r="H96" i="6"/>
  <c r="H81" i="6"/>
  <c r="H35" i="6"/>
  <c r="P15" i="20" l="1"/>
  <c r="Q15" i="20" s="1"/>
  <c r="P14" i="20"/>
  <c r="Q14" i="20" s="1"/>
  <c r="P34" i="20"/>
  <c r="Q34" i="20" s="1"/>
  <c r="P43" i="20"/>
  <c r="Q43" i="20" s="1"/>
  <c r="P21" i="20"/>
  <c r="Q21" i="20" s="1"/>
  <c r="P29" i="20"/>
  <c r="Q29" i="20" s="1"/>
  <c r="P12" i="20"/>
  <c r="Q12" i="20" s="1"/>
  <c r="P36" i="20"/>
  <c r="Q36" i="20" s="1"/>
  <c r="P44" i="20"/>
  <c r="Q44" i="20" s="1"/>
  <c r="P35" i="20"/>
  <c r="Q35" i="20" s="1"/>
  <c r="P18" i="20"/>
  <c r="Q18" i="20" s="1"/>
  <c r="P19" i="20"/>
  <c r="Q19" i="20" s="1"/>
  <c r="P16" i="20"/>
  <c r="Q16" i="20" s="1"/>
  <c r="P20" i="20"/>
  <c r="Q20" i="20" s="1"/>
  <c r="P28" i="20"/>
  <c r="Q28" i="20" s="1"/>
  <c r="P11" i="20"/>
  <c r="Q11" i="20" s="1"/>
  <c r="P10" i="20"/>
  <c r="Q10" i="20" s="1"/>
  <c r="P9" i="20"/>
  <c r="Q9" i="20" s="1"/>
  <c r="P30" i="20"/>
  <c r="Q30" i="20" s="1"/>
  <c r="P31" i="20"/>
  <c r="Q31" i="20" s="1"/>
  <c r="P22" i="20"/>
  <c r="Q22" i="20" s="1"/>
  <c r="P13" i="20"/>
  <c r="Q13" i="20" s="1"/>
  <c r="P17" i="20"/>
  <c r="Q17" i="20" s="1"/>
  <c r="P33" i="20"/>
  <c r="Q33" i="20" s="1"/>
  <c r="P24" i="20"/>
  <c r="Q24" i="20" s="1"/>
  <c r="P42" i="20"/>
  <c r="Q42" i="20" s="1"/>
  <c r="P26" i="1"/>
  <c r="Q26" i="1" s="1"/>
  <c r="P40" i="20"/>
  <c r="Q40" i="20" s="1"/>
  <c r="Q38" i="20" s="1"/>
  <c r="Q8" i="20"/>
  <c r="Q23" i="20"/>
  <c r="H20" i="6"/>
  <c r="H139" i="6" s="1"/>
  <c r="Q26" i="20" l="1"/>
  <c r="Q6" i="20"/>
  <c r="C53" i="7"/>
  <c r="Q5" i="20" l="1"/>
  <c r="E65" i="21" s="1"/>
  <c r="K282" i="3"/>
  <c r="N283" i="3"/>
  <c r="O283" i="3" s="1"/>
  <c r="P283" i="3" s="1"/>
  <c r="K283" i="3"/>
  <c r="K284" i="3"/>
  <c r="K285" i="3"/>
  <c r="K286" i="3"/>
  <c r="K287" i="3"/>
  <c r="K288" i="3"/>
  <c r="K289" i="3"/>
  <c r="K290" i="3"/>
  <c r="K291" i="3"/>
  <c r="K292" i="3"/>
  <c r="I293" i="3"/>
  <c r="K281" i="3"/>
  <c r="K298" i="3"/>
  <c r="K299" i="3"/>
  <c r="N291" i="3" l="1"/>
  <c r="O291" i="3" s="1"/>
  <c r="N289" i="3"/>
  <c r="O289" i="3" s="1"/>
  <c r="N286" i="3"/>
  <c r="O286" i="3" s="1"/>
  <c r="N282" i="3"/>
  <c r="O282" i="3" s="1"/>
  <c r="N287" i="3"/>
  <c r="O287" i="3" s="1"/>
  <c r="H53" i="7"/>
  <c r="N290" i="3"/>
  <c r="O290" i="3" s="1"/>
  <c r="N288" i="3"/>
  <c r="O288" i="3" s="1"/>
  <c r="N285" i="3"/>
  <c r="O285" i="3" s="1"/>
  <c r="N292" i="3"/>
  <c r="O292" i="3" s="1"/>
  <c r="N284" i="3"/>
  <c r="O284" i="3" s="1"/>
  <c r="Q283" i="3"/>
  <c r="N281" i="3"/>
  <c r="O281" i="3" s="1"/>
  <c r="M298" i="3"/>
  <c r="N298" i="3" s="1"/>
  <c r="O298" i="3" s="1"/>
  <c r="M299" i="3"/>
  <c r="N299" i="3" s="1"/>
  <c r="O299" i="3" s="1"/>
  <c r="P281" i="3" l="1"/>
  <c r="Q281" i="3" s="1"/>
  <c r="P298" i="3"/>
  <c r="Q298" i="3" s="1"/>
  <c r="P292" i="3"/>
  <c r="Q292" i="3" s="1"/>
  <c r="P285" i="3"/>
  <c r="Q285" i="3" s="1"/>
  <c r="P287" i="3"/>
  <c r="Q287" i="3" s="1"/>
  <c r="P288" i="3"/>
  <c r="Q288" i="3" s="1"/>
  <c r="P282" i="3"/>
  <c r="Q282" i="3" s="1"/>
  <c r="P289" i="3"/>
  <c r="Q289" i="3" s="1"/>
  <c r="P299" i="3"/>
  <c r="Q299" i="3" s="1"/>
  <c r="P284" i="3"/>
  <c r="Q284" i="3" s="1"/>
  <c r="P290" i="3"/>
  <c r="Q290" i="3" s="1"/>
  <c r="P286" i="3"/>
  <c r="Q286" i="3" s="1"/>
  <c r="P291" i="3"/>
  <c r="Q291" i="3" s="1"/>
  <c r="K250" i="3"/>
  <c r="I251" i="3"/>
  <c r="K238" i="3"/>
  <c r="K239" i="3"/>
  <c r="I240" i="3"/>
  <c r="I199" i="3"/>
  <c r="K198" i="3"/>
  <c r="K184" i="3"/>
  <c r="K185" i="3"/>
  <c r="K186" i="3"/>
  <c r="K187" i="3"/>
  <c r="K188" i="3"/>
  <c r="I189" i="3"/>
  <c r="K139" i="3"/>
  <c r="K140" i="3"/>
  <c r="I141" i="3"/>
  <c r="I102" i="3"/>
  <c r="K109" i="3"/>
  <c r="I110" i="3"/>
  <c r="K95" i="3"/>
  <c r="I96" i="3"/>
  <c r="I255" i="3" l="1"/>
  <c r="M239" i="3"/>
  <c r="N239" i="3" s="1"/>
  <c r="O239" i="3" s="1"/>
  <c r="M198" i="3"/>
  <c r="N198" i="3" s="1"/>
  <c r="O198" i="3" s="1"/>
  <c r="M238" i="3"/>
  <c r="N238" i="3" s="1"/>
  <c r="O238" i="3" s="1"/>
  <c r="M250" i="3"/>
  <c r="N250" i="3" s="1"/>
  <c r="O250" i="3" s="1"/>
  <c r="M188" i="3"/>
  <c r="N188" i="3" s="1"/>
  <c r="O188" i="3" s="1"/>
  <c r="M185" i="3"/>
  <c r="N185" i="3" s="1"/>
  <c r="O185" i="3" s="1"/>
  <c r="M186" i="3"/>
  <c r="N186" i="3" s="1"/>
  <c r="O186" i="3" s="1"/>
  <c r="M184" i="3"/>
  <c r="N184" i="3" s="1"/>
  <c r="O184" i="3" s="1"/>
  <c r="M187" i="3"/>
  <c r="N187" i="3" s="1"/>
  <c r="O187" i="3" s="1"/>
  <c r="M139" i="3"/>
  <c r="N139" i="3" s="1"/>
  <c r="O139" i="3" s="1"/>
  <c r="M140" i="3"/>
  <c r="N140" i="3" s="1"/>
  <c r="O140" i="3" s="1"/>
  <c r="I111" i="3"/>
  <c r="M95" i="3"/>
  <c r="N95" i="3" s="1"/>
  <c r="O95" i="3" s="1"/>
  <c r="M109" i="3"/>
  <c r="N109" i="3" s="1"/>
  <c r="O109" i="3" s="1"/>
  <c r="P140" i="3" l="1"/>
  <c r="Q140" i="3" s="1"/>
  <c r="P238" i="3"/>
  <c r="Q238" i="3" s="1"/>
  <c r="P139" i="3"/>
  <c r="Q139" i="3" s="1"/>
  <c r="P185" i="3"/>
  <c r="Q185" i="3" s="1"/>
  <c r="P198" i="3"/>
  <c r="Q198" i="3" s="1"/>
  <c r="P186" i="3"/>
  <c r="Q186" i="3" s="1"/>
  <c r="P109" i="3"/>
  <c r="Q109" i="3" s="1"/>
  <c r="P95" i="3"/>
  <c r="Q95" i="3" s="1"/>
  <c r="P187" i="3"/>
  <c r="Q187" i="3" s="1"/>
  <c r="P188" i="3"/>
  <c r="Q188" i="3" s="1"/>
  <c r="P239" i="3"/>
  <c r="Q239" i="3" s="1"/>
  <c r="P184" i="3"/>
  <c r="Q184" i="3" s="1"/>
  <c r="P250" i="3"/>
  <c r="Q250" i="3" s="1"/>
  <c r="C31" i="19"/>
  <c r="C155" i="19" s="1"/>
  <c r="C11" i="19"/>
  <c r="D28" i="19"/>
  <c r="H28" i="19" s="1"/>
  <c r="E28" i="19"/>
  <c r="F28" i="19"/>
  <c r="G28" i="19"/>
  <c r="G152" i="19"/>
  <c r="F152" i="19"/>
  <c r="E152" i="19"/>
  <c r="D152" i="19"/>
  <c r="G149" i="19"/>
  <c r="F149" i="19"/>
  <c r="E149" i="19"/>
  <c r="D149" i="19"/>
  <c r="G146" i="19"/>
  <c r="F146" i="19"/>
  <c r="E146" i="19"/>
  <c r="D146" i="19"/>
  <c r="G143" i="19"/>
  <c r="G139" i="19" s="1"/>
  <c r="F143" i="19"/>
  <c r="E143" i="19"/>
  <c r="D143" i="19"/>
  <c r="G140" i="19"/>
  <c r="F140" i="19"/>
  <c r="E140" i="19"/>
  <c r="E139" i="19" s="1"/>
  <c r="D140" i="19"/>
  <c r="G136" i="19"/>
  <c r="F136" i="19"/>
  <c r="E136" i="19"/>
  <c r="D136" i="19"/>
  <c r="I78" i="3"/>
  <c r="K64" i="3"/>
  <c r="K65" i="3"/>
  <c r="K66" i="3"/>
  <c r="K67" i="3"/>
  <c r="K68" i="3"/>
  <c r="K69" i="3"/>
  <c r="K70" i="3"/>
  <c r="K71" i="3"/>
  <c r="K72" i="3"/>
  <c r="K73" i="3"/>
  <c r="K74" i="3"/>
  <c r="K75" i="3"/>
  <c r="K76" i="3"/>
  <c r="K77" i="3"/>
  <c r="I41" i="3"/>
  <c r="K37" i="3"/>
  <c r="K38" i="3"/>
  <c r="K39" i="3"/>
  <c r="K40" i="3"/>
  <c r="H155" i="19" l="1"/>
  <c r="D139" i="19"/>
  <c r="F139" i="19"/>
  <c r="I79" i="3"/>
  <c r="M75" i="3"/>
  <c r="N75" i="3" s="1"/>
  <c r="O75" i="3" s="1"/>
  <c r="P75" i="3" s="1"/>
  <c r="Q75" i="3" s="1"/>
  <c r="M73" i="3"/>
  <c r="N73" i="3" s="1"/>
  <c r="O73" i="3" s="1"/>
  <c r="M67" i="3"/>
  <c r="N67" i="3" s="1"/>
  <c r="O67" i="3" s="1"/>
  <c r="M65" i="3"/>
  <c r="N65" i="3" s="1"/>
  <c r="O65" i="3" s="1"/>
  <c r="M72" i="3"/>
  <c r="N72" i="3" s="1"/>
  <c r="O72" i="3" s="1"/>
  <c r="P72" i="3" s="1"/>
  <c r="M64" i="3"/>
  <c r="N64" i="3" s="1"/>
  <c r="O64" i="3" s="1"/>
  <c r="M77" i="3"/>
  <c r="N77" i="3" s="1"/>
  <c r="O77" i="3" s="1"/>
  <c r="P77" i="3" s="1"/>
  <c r="M71" i="3"/>
  <c r="N71" i="3" s="1"/>
  <c r="O71" i="3" s="1"/>
  <c r="M68" i="3"/>
  <c r="N68" i="3" s="1"/>
  <c r="O68" i="3" s="1"/>
  <c r="M40" i="3"/>
  <c r="N40" i="3" s="1"/>
  <c r="O40" i="3" s="1"/>
  <c r="M38" i="3"/>
  <c r="N38" i="3" s="1"/>
  <c r="O38" i="3" s="1"/>
  <c r="M76" i="3"/>
  <c r="N76" i="3" s="1"/>
  <c r="O76" i="3" s="1"/>
  <c r="M69" i="3"/>
  <c r="N69" i="3" s="1"/>
  <c r="O69" i="3" s="1"/>
  <c r="M74" i="3"/>
  <c r="N74" i="3" s="1"/>
  <c r="O74" i="3" s="1"/>
  <c r="M70" i="3"/>
  <c r="N70" i="3" s="1"/>
  <c r="O70" i="3" s="1"/>
  <c r="M66" i="3"/>
  <c r="N66" i="3" s="1"/>
  <c r="O66" i="3" s="1"/>
  <c r="P66" i="3" s="1"/>
  <c r="M39" i="3"/>
  <c r="N39" i="3" s="1"/>
  <c r="O39" i="3" s="1"/>
  <c r="P39" i="3" s="1"/>
  <c r="M37" i="3"/>
  <c r="N37" i="3" s="1"/>
  <c r="O37" i="3" s="1"/>
  <c r="P37" i="3" s="1"/>
  <c r="P40" i="3" l="1"/>
  <c r="Q40" i="3" s="1"/>
  <c r="P64" i="3"/>
  <c r="Q64" i="3" s="1"/>
  <c r="P73" i="3"/>
  <c r="Q73" i="3" s="1"/>
  <c r="P69" i="3"/>
  <c r="Q69" i="3" s="1"/>
  <c r="P68" i="3"/>
  <c r="Q68" i="3" s="1"/>
  <c r="P74" i="3"/>
  <c r="Q74" i="3" s="1"/>
  <c r="P76" i="3"/>
  <c r="Q76" i="3" s="1"/>
  <c r="P71" i="3"/>
  <c r="Q71" i="3" s="1"/>
  <c r="P65" i="3"/>
  <c r="Q65" i="3" s="1"/>
  <c r="P70" i="3"/>
  <c r="Q70" i="3" s="1"/>
  <c r="P38" i="3"/>
  <c r="Q38" i="3" s="1"/>
  <c r="P67" i="3"/>
  <c r="Q67" i="3" s="1"/>
  <c r="Q72" i="3"/>
  <c r="Q77" i="3"/>
  <c r="Q39" i="3"/>
  <c r="Q66" i="3"/>
  <c r="Q37" i="3"/>
  <c r="N11" i="3" l="1"/>
  <c r="E54" i="21" l="1"/>
  <c r="M17" i="1"/>
  <c r="N17" i="1" s="1"/>
  <c r="O17" i="1" s="1"/>
  <c r="P17" i="1" s="1"/>
  <c r="M276" i="1"/>
  <c r="N276" i="1" s="1"/>
  <c r="M277" i="1"/>
  <c r="N277" i="1" s="1"/>
  <c r="M278" i="1"/>
  <c r="N278" i="1" s="1"/>
  <c r="M279" i="1"/>
  <c r="N279" i="1" s="1"/>
  <c r="M280" i="1"/>
  <c r="N280" i="1" s="1"/>
  <c r="M281" i="1"/>
  <c r="N281" i="1" s="1"/>
  <c r="M282" i="1"/>
  <c r="N282" i="1" s="1"/>
  <c r="K277" i="1"/>
  <c r="K278" i="1"/>
  <c r="K279" i="1"/>
  <c r="K280" i="1"/>
  <c r="K281" i="1"/>
  <c r="K282" i="1"/>
  <c r="K276" i="1"/>
  <c r="K263" i="1"/>
  <c r="M264" i="1"/>
  <c r="N264" i="1" s="1"/>
  <c r="O264" i="1" s="1"/>
  <c r="P264" i="1" s="1"/>
  <c r="K264" i="1"/>
  <c r="K265" i="1"/>
  <c r="M266" i="1"/>
  <c r="N266" i="1" s="1"/>
  <c r="O266" i="1" s="1"/>
  <c r="P266" i="1" s="1"/>
  <c r="K266" i="1"/>
  <c r="K267" i="1"/>
  <c r="M268" i="1"/>
  <c r="N268" i="1" s="1"/>
  <c r="O268" i="1" s="1"/>
  <c r="P268" i="1" s="1"/>
  <c r="K268" i="1"/>
  <c r="K269" i="1"/>
  <c r="K262" i="1"/>
  <c r="K258" i="1"/>
  <c r="M258" i="1"/>
  <c r="N258" i="1" s="1"/>
  <c r="O258" i="1" s="1"/>
  <c r="P258" i="1" s="1"/>
  <c r="K259" i="1"/>
  <c r="M259" i="1"/>
  <c r="N259" i="1" s="1"/>
  <c r="O259" i="1" s="1"/>
  <c r="P259" i="1" s="1"/>
  <c r="M260" i="1"/>
  <c r="N260" i="1" s="1"/>
  <c r="O260" i="1" s="1"/>
  <c r="P260" i="1" s="1"/>
  <c r="K260" i="1"/>
  <c r="K257" i="1"/>
  <c r="M257" i="1"/>
  <c r="N257" i="1" s="1"/>
  <c r="O257" i="1" s="1"/>
  <c r="P257" i="1" s="1"/>
  <c r="K241" i="1"/>
  <c r="M241" i="1"/>
  <c r="N241" i="1" s="1"/>
  <c r="O241" i="1" s="1"/>
  <c r="P241" i="1" s="1"/>
  <c r="M242" i="1"/>
  <c r="N242" i="1" s="1"/>
  <c r="O242" i="1" s="1"/>
  <c r="P242" i="1" s="1"/>
  <c r="K242" i="1"/>
  <c r="K243" i="1"/>
  <c r="K244" i="1"/>
  <c r="M244" i="1"/>
  <c r="N244" i="1" s="1"/>
  <c r="O244" i="1" s="1"/>
  <c r="P244" i="1" s="1"/>
  <c r="K245" i="1"/>
  <c r="M245" i="1"/>
  <c r="N245" i="1" s="1"/>
  <c r="O245" i="1" s="1"/>
  <c r="P245" i="1" s="1"/>
  <c r="M246" i="1"/>
  <c r="N246" i="1" s="1"/>
  <c r="O246" i="1" s="1"/>
  <c r="P246" i="1" s="1"/>
  <c r="K246" i="1"/>
  <c r="K247" i="1"/>
  <c r="K248" i="1"/>
  <c r="K249" i="1"/>
  <c r="M249" i="1"/>
  <c r="N249" i="1" s="1"/>
  <c r="O249" i="1" s="1"/>
  <c r="P249" i="1" s="1"/>
  <c r="M250" i="1"/>
  <c r="N250" i="1" s="1"/>
  <c r="O250" i="1" s="1"/>
  <c r="P250" i="1" s="1"/>
  <c r="K250" i="1"/>
  <c r="K251" i="1"/>
  <c r="K252" i="1"/>
  <c r="M252" i="1"/>
  <c r="N252" i="1" s="1"/>
  <c r="O252" i="1" s="1"/>
  <c r="P252" i="1" s="1"/>
  <c r="K253" i="1"/>
  <c r="M253" i="1"/>
  <c r="N253" i="1" s="1"/>
  <c r="O253" i="1" s="1"/>
  <c r="P253" i="1" s="1"/>
  <c r="M254" i="1"/>
  <c r="N254" i="1" s="1"/>
  <c r="O254" i="1" s="1"/>
  <c r="P254" i="1" s="1"/>
  <c r="K254" i="1"/>
  <c r="K255" i="1"/>
  <c r="K240" i="1"/>
  <c r="M240" i="1"/>
  <c r="N240" i="1" s="1"/>
  <c r="O240" i="1" s="1"/>
  <c r="P240" i="1" s="1"/>
  <c r="K209" i="1"/>
  <c r="M210" i="1"/>
  <c r="N210" i="1" s="1"/>
  <c r="O210" i="1" s="1"/>
  <c r="P210" i="1" s="1"/>
  <c r="K210" i="1"/>
  <c r="K211" i="1"/>
  <c r="M212" i="1"/>
  <c r="N212" i="1" s="1"/>
  <c r="O212" i="1" s="1"/>
  <c r="K212" i="1"/>
  <c r="K213" i="1"/>
  <c r="K214" i="1"/>
  <c r="M214" i="1"/>
  <c r="N214" i="1" s="1"/>
  <c r="O214" i="1" s="1"/>
  <c r="P214" i="1" s="1"/>
  <c r="K215" i="1"/>
  <c r="K216" i="1"/>
  <c r="M216" i="1"/>
  <c r="N216" i="1" s="1"/>
  <c r="O216" i="1" s="1"/>
  <c r="K217" i="1"/>
  <c r="K218" i="1"/>
  <c r="K219" i="1"/>
  <c r="M220" i="1"/>
  <c r="N220" i="1" s="1"/>
  <c r="O220" i="1" s="1"/>
  <c r="K220" i="1"/>
  <c r="K221" i="1"/>
  <c r="K222" i="1"/>
  <c r="M222" i="1"/>
  <c r="N222" i="1" s="1"/>
  <c r="O222" i="1" s="1"/>
  <c r="P222" i="1" s="1"/>
  <c r="K223" i="1"/>
  <c r="K224" i="1"/>
  <c r="K225" i="1"/>
  <c r="M226" i="1"/>
  <c r="N226" i="1" s="1"/>
  <c r="O226" i="1" s="1"/>
  <c r="P226" i="1" s="1"/>
  <c r="K226" i="1"/>
  <c r="K227" i="1"/>
  <c r="M228" i="1"/>
  <c r="N228" i="1" s="1"/>
  <c r="O228" i="1" s="1"/>
  <c r="K228" i="1"/>
  <c r="K229" i="1"/>
  <c r="K230" i="1"/>
  <c r="M230" i="1"/>
  <c r="N230" i="1" s="1"/>
  <c r="O230" i="1" s="1"/>
  <c r="P230" i="1" s="1"/>
  <c r="K231" i="1"/>
  <c r="K232" i="1"/>
  <c r="M232" i="1"/>
  <c r="N232" i="1" s="1"/>
  <c r="O232" i="1" s="1"/>
  <c r="K233" i="1"/>
  <c r="K234" i="1"/>
  <c r="K208" i="1"/>
  <c r="M208" i="1"/>
  <c r="N208" i="1" s="1"/>
  <c r="O208" i="1" s="1"/>
  <c r="P208" i="1" s="1"/>
  <c r="K198" i="1"/>
  <c r="M198" i="1"/>
  <c r="N198" i="1" s="1"/>
  <c r="O198" i="1" s="1"/>
  <c r="P198" i="1" s="1"/>
  <c r="M199" i="1"/>
  <c r="N199" i="1" s="1"/>
  <c r="O199" i="1" s="1"/>
  <c r="P199" i="1" s="1"/>
  <c r="K199" i="1"/>
  <c r="K200" i="1"/>
  <c r="K201" i="1"/>
  <c r="K197" i="1"/>
  <c r="M197" i="1"/>
  <c r="N197" i="1" s="1"/>
  <c r="O197" i="1" s="1"/>
  <c r="P197" i="1" s="1"/>
  <c r="K148" i="1"/>
  <c r="K149" i="1"/>
  <c r="M150" i="1"/>
  <c r="N150" i="1" s="1"/>
  <c r="O150" i="1" s="1"/>
  <c r="P150" i="1" s="1"/>
  <c r="K150" i="1"/>
  <c r="K151" i="1"/>
  <c r="K152" i="1"/>
  <c r="M153" i="1"/>
  <c r="N153" i="1" s="1"/>
  <c r="O153" i="1" s="1"/>
  <c r="P153" i="1" s="1"/>
  <c r="K153" i="1"/>
  <c r="K154" i="1"/>
  <c r="K155" i="1"/>
  <c r="K156" i="1"/>
  <c r="M157" i="1"/>
  <c r="N157" i="1" s="1"/>
  <c r="O157" i="1" s="1"/>
  <c r="P157" i="1" s="1"/>
  <c r="K157" i="1"/>
  <c r="K158" i="1"/>
  <c r="K159" i="1"/>
  <c r="M159" i="1"/>
  <c r="N159" i="1" s="1"/>
  <c r="O159" i="1" s="1"/>
  <c r="P159" i="1" s="1"/>
  <c r="M160" i="1"/>
  <c r="N160" i="1" s="1"/>
  <c r="O160" i="1" s="1"/>
  <c r="P160" i="1" s="1"/>
  <c r="K160" i="1"/>
  <c r="K161" i="1"/>
  <c r="M161" i="1"/>
  <c r="N161" i="1" s="1"/>
  <c r="O161" i="1" s="1"/>
  <c r="P161" i="1" s="1"/>
  <c r="K162" i="1"/>
  <c r="M163" i="1"/>
  <c r="N163" i="1" s="1"/>
  <c r="O163" i="1" s="1"/>
  <c r="P163" i="1" s="1"/>
  <c r="K163" i="1"/>
  <c r="K164" i="1"/>
  <c r="K165" i="1"/>
  <c r="M165" i="1"/>
  <c r="N165" i="1" s="1"/>
  <c r="O165" i="1" s="1"/>
  <c r="P165" i="1" s="1"/>
  <c r="M166" i="1"/>
  <c r="N166" i="1" s="1"/>
  <c r="O166" i="1" s="1"/>
  <c r="P166" i="1" s="1"/>
  <c r="K166" i="1"/>
  <c r="K167" i="1"/>
  <c r="K168" i="1"/>
  <c r="K169" i="1"/>
  <c r="K170" i="1"/>
  <c r="K171" i="1"/>
  <c r="K172" i="1"/>
  <c r="K173" i="1"/>
  <c r="K174" i="1"/>
  <c r="K175" i="1"/>
  <c r="K176" i="1"/>
  <c r="K177" i="1"/>
  <c r="K178" i="1"/>
  <c r="K179" i="1"/>
  <c r="K180" i="1"/>
  <c r="K181" i="1"/>
  <c r="K182" i="1"/>
  <c r="K183" i="1"/>
  <c r="K184" i="1"/>
  <c r="K185" i="1"/>
  <c r="K186" i="1"/>
  <c r="K187" i="1"/>
  <c r="K188" i="1"/>
  <c r="K189" i="1"/>
  <c r="K190" i="1"/>
  <c r="M191" i="1"/>
  <c r="N191" i="1" s="1"/>
  <c r="O191" i="1" s="1"/>
  <c r="P191" i="1" s="1"/>
  <c r="K191" i="1"/>
  <c r="K192" i="1"/>
  <c r="K108" i="1"/>
  <c r="M108" i="1"/>
  <c r="N108" i="1" s="1"/>
  <c r="O108" i="1" s="1"/>
  <c r="P108" i="1" s="1"/>
  <c r="M101" i="1"/>
  <c r="K101" i="1"/>
  <c r="K100" i="1"/>
  <c r="M100" i="1"/>
  <c r="K96" i="1"/>
  <c r="M96" i="1"/>
  <c r="M97" i="1"/>
  <c r="N97" i="1" s="1"/>
  <c r="O97" i="1" s="1"/>
  <c r="P97" i="1" s="1"/>
  <c r="K97" i="1"/>
  <c r="K95" i="1"/>
  <c r="K92" i="1"/>
  <c r="M92" i="1"/>
  <c r="M84" i="1"/>
  <c r="N84" i="1" s="1"/>
  <c r="O84" i="1" s="1"/>
  <c r="P84" i="1" s="1"/>
  <c r="K84" i="1"/>
  <c r="K85" i="1"/>
  <c r="K83" i="1"/>
  <c r="M83" i="1"/>
  <c r="N83" i="1" s="1"/>
  <c r="O83" i="1" s="1"/>
  <c r="P83" i="1" s="1"/>
  <c r="M68" i="1"/>
  <c r="N68" i="1" s="1"/>
  <c r="O68" i="1" s="1"/>
  <c r="P68" i="1" s="1"/>
  <c r="K68" i="1"/>
  <c r="M69" i="1"/>
  <c r="N69" i="1" s="1"/>
  <c r="O69" i="1" s="1"/>
  <c r="P69" i="1" s="1"/>
  <c r="K69" i="1"/>
  <c r="K70" i="1"/>
  <c r="M70" i="1"/>
  <c r="N70" i="1" s="1"/>
  <c r="O70" i="1" s="1"/>
  <c r="P70" i="1" s="1"/>
  <c r="K71" i="1"/>
  <c r="M71" i="1"/>
  <c r="N71" i="1" s="1"/>
  <c r="O71" i="1" s="1"/>
  <c r="P71" i="1" s="1"/>
  <c r="M72" i="1"/>
  <c r="N72" i="1" s="1"/>
  <c r="O72" i="1" s="1"/>
  <c r="P72" i="1" s="1"/>
  <c r="K72" i="1"/>
  <c r="K73" i="1"/>
  <c r="K74" i="1"/>
  <c r="M74" i="1"/>
  <c r="N74" i="1" s="1"/>
  <c r="O74" i="1" s="1"/>
  <c r="P74" i="1" s="1"/>
  <c r="K75" i="1"/>
  <c r="M75" i="1"/>
  <c r="N75" i="1" s="1"/>
  <c r="O75" i="1" s="1"/>
  <c r="P75" i="1" s="1"/>
  <c r="M76" i="1"/>
  <c r="N76" i="1" s="1"/>
  <c r="O76" i="1" s="1"/>
  <c r="P76" i="1" s="1"/>
  <c r="K76" i="1"/>
  <c r="M77" i="1"/>
  <c r="N77" i="1" s="1"/>
  <c r="O77" i="1" s="1"/>
  <c r="P77" i="1" s="1"/>
  <c r="K77" i="1"/>
  <c r="K78" i="1"/>
  <c r="M78" i="1"/>
  <c r="N78" i="1" s="1"/>
  <c r="O78" i="1" s="1"/>
  <c r="P78" i="1" s="1"/>
  <c r="K79" i="1"/>
  <c r="M79" i="1"/>
  <c r="N79" i="1" s="1"/>
  <c r="O79" i="1" s="1"/>
  <c r="P79" i="1" s="1"/>
  <c r="M80" i="1"/>
  <c r="N80" i="1" s="1"/>
  <c r="O80" i="1" s="1"/>
  <c r="P80" i="1" s="1"/>
  <c r="K80" i="1"/>
  <c r="K67" i="1"/>
  <c r="M67" i="1"/>
  <c r="N67" i="1" s="1"/>
  <c r="O67" i="1" s="1"/>
  <c r="P67" i="1" s="1"/>
  <c r="M56" i="1"/>
  <c r="N56" i="1" s="1"/>
  <c r="O56" i="1" s="1"/>
  <c r="P56" i="1" s="1"/>
  <c r="K56" i="1"/>
  <c r="M57" i="1"/>
  <c r="N57" i="1" s="1"/>
  <c r="O57" i="1" s="1"/>
  <c r="P57" i="1" s="1"/>
  <c r="K57" i="1"/>
  <c r="K58" i="1"/>
  <c r="M58" i="1"/>
  <c r="N58" i="1" s="1"/>
  <c r="O58" i="1" s="1"/>
  <c r="P58" i="1" s="1"/>
  <c r="K59" i="1"/>
  <c r="M59" i="1"/>
  <c r="N59" i="1" s="1"/>
  <c r="O59" i="1" s="1"/>
  <c r="P59" i="1" s="1"/>
  <c r="M60" i="1"/>
  <c r="N60" i="1" s="1"/>
  <c r="O60" i="1" s="1"/>
  <c r="P60" i="1" s="1"/>
  <c r="K60" i="1"/>
  <c r="K61" i="1"/>
  <c r="K62" i="1"/>
  <c r="M62" i="1"/>
  <c r="N62" i="1" s="1"/>
  <c r="O62" i="1" s="1"/>
  <c r="P62" i="1" s="1"/>
  <c r="K63" i="1"/>
  <c r="M63" i="1"/>
  <c r="N63" i="1" s="1"/>
  <c r="O63" i="1" s="1"/>
  <c r="P63" i="1" s="1"/>
  <c r="M64" i="1"/>
  <c r="N64" i="1" s="1"/>
  <c r="O64" i="1" s="1"/>
  <c r="P64" i="1" s="1"/>
  <c r="K64" i="1"/>
  <c r="K55" i="1"/>
  <c r="K12" i="1"/>
  <c r="K16" i="1"/>
  <c r="K20" i="1"/>
  <c r="M24" i="1"/>
  <c r="N24" i="1" s="1"/>
  <c r="O24" i="1" s="1"/>
  <c r="P24" i="1" s="1"/>
  <c r="M31" i="1"/>
  <c r="N31" i="1" s="1"/>
  <c r="O31" i="1" s="1"/>
  <c r="P31" i="1" s="1"/>
  <c r="K31" i="1"/>
  <c r="K32" i="1"/>
  <c r="M32" i="1"/>
  <c r="N32" i="1" s="1"/>
  <c r="O32" i="1" s="1"/>
  <c r="P32" i="1" s="1"/>
  <c r="K33" i="1"/>
  <c r="M33" i="1"/>
  <c r="N33" i="1" s="1"/>
  <c r="O33" i="1" s="1"/>
  <c r="P33" i="1" s="1"/>
  <c r="M34" i="1"/>
  <c r="N34" i="1" s="1"/>
  <c r="O34" i="1" s="1"/>
  <c r="P34" i="1" s="1"/>
  <c r="K34" i="1"/>
  <c r="K35" i="1"/>
  <c r="K36" i="1"/>
  <c r="M36" i="1"/>
  <c r="N36" i="1" s="1"/>
  <c r="O36" i="1" s="1"/>
  <c r="P36" i="1" s="1"/>
  <c r="K30" i="1"/>
  <c r="M30" i="1"/>
  <c r="N30" i="1" s="1"/>
  <c r="O30" i="1" s="1"/>
  <c r="P30" i="1" s="1"/>
  <c r="K13" i="1"/>
  <c r="K14" i="1"/>
  <c r="M14" i="1"/>
  <c r="N14" i="1" s="1"/>
  <c r="O14" i="1" s="1"/>
  <c r="P14" i="1" s="1"/>
  <c r="M15" i="1"/>
  <c r="N15" i="1" s="1"/>
  <c r="O15" i="1" s="1"/>
  <c r="P15" i="1" s="1"/>
  <c r="K15" i="1"/>
  <c r="M16" i="1"/>
  <c r="N16" i="1" s="1"/>
  <c r="O16" i="1" s="1"/>
  <c r="P16" i="1" s="1"/>
  <c r="K17" i="1"/>
  <c r="M18" i="1"/>
  <c r="N18" i="1" s="1"/>
  <c r="O18" i="1" s="1"/>
  <c r="P18" i="1" s="1"/>
  <c r="K18" i="1"/>
  <c r="M19" i="1"/>
  <c r="N19" i="1" s="1"/>
  <c r="O19" i="1" s="1"/>
  <c r="P19" i="1" s="1"/>
  <c r="K19" i="1"/>
  <c r="M22" i="1"/>
  <c r="N22" i="1" s="1"/>
  <c r="O22" i="1" s="1"/>
  <c r="P22" i="1" s="1"/>
  <c r="K22" i="1"/>
  <c r="K23" i="1"/>
  <c r="M23" i="1"/>
  <c r="N23" i="1" s="1"/>
  <c r="O23" i="1" s="1"/>
  <c r="P23" i="1" s="1"/>
  <c r="K25" i="1"/>
  <c r="K27" i="1"/>
  <c r="M27" i="1"/>
  <c r="N27" i="1" s="1"/>
  <c r="O27" i="1" s="1"/>
  <c r="P27" i="1" s="1"/>
  <c r="K8" i="1"/>
  <c r="M8" i="1"/>
  <c r="N8" i="1" s="1"/>
  <c r="O8" i="1" s="1"/>
  <c r="P8" i="1" s="1"/>
  <c r="K9" i="1"/>
  <c r="M9" i="1"/>
  <c r="N9" i="1" s="1"/>
  <c r="O9" i="1" s="1"/>
  <c r="P9" i="1" s="1"/>
  <c r="M10" i="1"/>
  <c r="N10" i="1" s="1"/>
  <c r="O10" i="1" s="1"/>
  <c r="P10" i="1" s="1"/>
  <c r="K10" i="1"/>
  <c r="M11" i="1"/>
  <c r="N11" i="1" s="1"/>
  <c r="O11" i="1" s="1"/>
  <c r="P11" i="1" s="1"/>
  <c r="K11" i="1"/>
  <c r="K332" i="3"/>
  <c r="M332" i="3"/>
  <c r="N332" i="3" s="1"/>
  <c r="O332" i="3" s="1"/>
  <c r="P332" i="3" s="1"/>
  <c r="K331" i="3"/>
  <c r="K326" i="3"/>
  <c r="M326" i="3"/>
  <c r="N326" i="3" s="1"/>
  <c r="O326" i="3" s="1"/>
  <c r="P326" i="3" s="1"/>
  <c r="K327" i="3"/>
  <c r="M327" i="3"/>
  <c r="N327" i="3" s="1"/>
  <c r="O327" i="3" s="1"/>
  <c r="P327" i="3" s="1"/>
  <c r="M328" i="3"/>
  <c r="N328" i="3" s="1"/>
  <c r="O328" i="3" s="1"/>
  <c r="P328" i="3" s="1"/>
  <c r="K328" i="3"/>
  <c r="K329" i="3"/>
  <c r="K325" i="3"/>
  <c r="M325" i="3"/>
  <c r="N325" i="3" s="1"/>
  <c r="O325" i="3" s="1"/>
  <c r="P325" i="3" s="1"/>
  <c r="K322" i="3"/>
  <c r="K302" i="3"/>
  <c r="M302" i="3"/>
  <c r="N302" i="3" s="1"/>
  <c r="O302" i="3" s="1"/>
  <c r="P302" i="3" s="1"/>
  <c r="K303" i="3"/>
  <c r="M303" i="3"/>
  <c r="N303" i="3" s="1"/>
  <c r="O303" i="3" s="1"/>
  <c r="P303" i="3" s="1"/>
  <c r="M304" i="3"/>
  <c r="N304" i="3" s="1"/>
  <c r="O304" i="3" s="1"/>
  <c r="P304" i="3" s="1"/>
  <c r="K304" i="3"/>
  <c r="M305" i="3"/>
  <c r="N305" i="3" s="1"/>
  <c r="O305" i="3" s="1"/>
  <c r="P305" i="3" s="1"/>
  <c r="K305" i="3"/>
  <c r="K306" i="3"/>
  <c r="M306" i="3"/>
  <c r="N306" i="3" s="1"/>
  <c r="O306" i="3" s="1"/>
  <c r="P306" i="3" s="1"/>
  <c r="K307" i="3"/>
  <c r="M307" i="3"/>
  <c r="N307" i="3" s="1"/>
  <c r="O307" i="3" s="1"/>
  <c r="P307" i="3" s="1"/>
  <c r="M308" i="3"/>
  <c r="N308" i="3" s="1"/>
  <c r="O308" i="3" s="1"/>
  <c r="P308" i="3" s="1"/>
  <c r="K308" i="3"/>
  <c r="K309" i="3"/>
  <c r="K310" i="3"/>
  <c r="M310" i="3"/>
  <c r="N310" i="3" s="1"/>
  <c r="O310" i="3" s="1"/>
  <c r="P310" i="3" s="1"/>
  <c r="K311" i="3"/>
  <c r="M311" i="3"/>
  <c r="N311" i="3" s="1"/>
  <c r="O311" i="3" s="1"/>
  <c r="P311" i="3" s="1"/>
  <c r="M312" i="3"/>
  <c r="N312" i="3" s="1"/>
  <c r="O312" i="3" s="1"/>
  <c r="P312" i="3" s="1"/>
  <c r="K312" i="3"/>
  <c r="M313" i="3"/>
  <c r="N313" i="3" s="1"/>
  <c r="O313" i="3" s="1"/>
  <c r="P313" i="3" s="1"/>
  <c r="K313" i="3"/>
  <c r="K314" i="3"/>
  <c r="M314" i="3"/>
  <c r="N314" i="3" s="1"/>
  <c r="O314" i="3" s="1"/>
  <c r="P314" i="3" s="1"/>
  <c r="K315" i="3"/>
  <c r="M315" i="3"/>
  <c r="N315" i="3" s="1"/>
  <c r="O315" i="3" s="1"/>
  <c r="P315" i="3" s="1"/>
  <c r="M316" i="3"/>
  <c r="N316" i="3" s="1"/>
  <c r="O316" i="3" s="1"/>
  <c r="P316" i="3" s="1"/>
  <c r="K316" i="3"/>
  <c r="K317" i="3"/>
  <c r="K318" i="3"/>
  <c r="M318" i="3"/>
  <c r="N318" i="3" s="1"/>
  <c r="O318" i="3" s="1"/>
  <c r="P318" i="3" s="1"/>
  <c r="K319" i="3"/>
  <c r="M319" i="3"/>
  <c r="N319" i="3" s="1"/>
  <c r="O319" i="3" s="1"/>
  <c r="P319" i="3" s="1"/>
  <c r="K301" i="3"/>
  <c r="N277" i="3"/>
  <c r="O277" i="3" s="1"/>
  <c r="P277" i="3" s="1"/>
  <c r="K277" i="3"/>
  <c r="K278" i="3"/>
  <c r="K279" i="3"/>
  <c r="N279" i="3"/>
  <c r="O279" i="3" s="1"/>
  <c r="P279" i="3" s="1"/>
  <c r="K276" i="3"/>
  <c r="M272" i="3"/>
  <c r="N272" i="3" s="1"/>
  <c r="O272" i="3" s="1"/>
  <c r="P272" i="3" s="1"/>
  <c r="K272" i="3"/>
  <c r="K271" i="3"/>
  <c r="M271" i="3"/>
  <c r="M265" i="3"/>
  <c r="N265" i="3" s="1"/>
  <c r="O265" i="3" s="1"/>
  <c r="P265" i="3" s="1"/>
  <c r="K265" i="3"/>
  <c r="K266" i="3"/>
  <c r="M266" i="3"/>
  <c r="N266" i="3" s="1"/>
  <c r="O266" i="3" s="1"/>
  <c r="P266" i="3" s="1"/>
  <c r="K267" i="3"/>
  <c r="M267" i="3"/>
  <c r="N267" i="3" s="1"/>
  <c r="O267" i="3" s="1"/>
  <c r="P267" i="3" s="1"/>
  <c r="K264" i="3"/>
  <c r="K262" i="3"/>
  <c r="M262" i="3"/>
  <c r="N262" i="3" s="1"/>
  <c r="O262" i="3" s="1"/>
  <c r="P262" i="3" s="1"/>
  <c r="K245" i="3"/>
  <c r="M245" i="3"/>
  <c r="N245" i="3" s="1"/>
  <c r="O245" i="3" s="1"/>
  <c r="P245" i="3" s="1"/>
  <c r="M246" i="3"/>
  <c r="N246" i="3" s="1"/>
  <c r="O246" i="3" s="1"/>
  <c r="P246" i="3" s="1"/>
  <c r="K246" i="3"/>
  <c r="K247" i="3"/>
  <c r="K248" i="3"/>
  <c r="M248" i="3"/>
  <c r="N248" i="3" s="1"/>
  <c r="O248" i="3" s="1"/>
  <c r="P248" i="3" s="1"/>
  <c r="K249" i="3"/>
  <c r="M249" i="3"/>
  <c r="N249" i="3" s="1"/>
  <c r="O249" i="3" s="1"/>
  <c r="P249" i="3" s="1"/>
  <c r="K244" i="3"/>
  <c r="K235" i="3"/>
  <c r="M235" i="3"/>
  <c r="N235" i="3" s="1"/>
  <c r="O235" i="3" s="1"/>
  <c r="P235" i="3" s="1"/>
  <c r="K236" i="3"/>
  <c r="M236" i="3"/>
  <c r="N236" i="3" s="1"/>
  <c r="O236" i="3" s="1"/>
  <c r="P236" i="3" s="1"/>
  <c r="M237" i="3"/>
  <c r="N237" i="3" s="1"/>
  <c r="O237" i="3" s="1"/>
  <c r="P237" i="3" s="1"/>
  <c r="K237" i="3"/>
  <c r="K234" i="3"/>
  <c r="M234" i="3"/>
  <c r="K223" i="3"/>
  <c r="M223" i="3"/>
  <c r="N223" i="3" s="1"/>
  <c r="O223" i="3" s="1"/>
  <c r="P223" i="3" s="1"/>
  <c r="M224" i="3"/>
  <c r="N224" i="3" s="1"/>
  <c r="O224" i="3" s="1"/>
  <c r="P224" i="3" s="1"/>
  <c r="K224" i="3"/>
  <c r="K225" i="3"/>
  <c r="K226" i="3"/>
  <c r="M226" i="3"/>
  <c r="N226" i="3" s="1"/>
  <c r="O226" i="3" s="1"/>
  <c r="P226" i="3" s="1"/>
  <c r="K227" i="3"/>
  <c r="M227" i="3"/>
  <c r="N227" i="3" s="1"/>
  <c r="O227" i="3" s="1"/>
  <c r="P227" i="3" s="1"/>
  <c r="M228" i="3"/>
  <c r="N228" i="3" s="1"/>
  <c r="O228" i="3" s="1"/>
  <c r="P228" i="3" s="1"/>
  <c r="K228" i="3"/>
  <c r="K229" i="3"/>
  <c r="K230" i="3"/>
  <c r="M230" i="3"/>
  <c r="N230" i="3" s="1"/>
  <c r="O230" i="3" s="1"/>
  <c r="P230" i="3" s="1"/>
  <c r="K231" i="3"/>
  <c r="M231" i="3"/>
  <c r="N231" i="3" s="1"/>
  <c r="O231" i="3" s="1"/>
  <c r="P231" i="3" s="1"/>
  <c r="K222" i="3"/>
  <c r="K205" i="3"/>
  <c r="M206" i="3"/>
  <c r="N206" i="3" s="1"/>
  <c r="O206" i="3" s="1"/>
  <c r="P206" i="3" s="1"/>
  <c r="K206" i="3"/>
  <c r="K207" i="3"/>
  <c r="M208" i="3"/>
  <c r="N208" i="3" s="1"/>
  <c r="O208" i="3" s="1"/>
  <c r="P208" i="3" s="1"/>
  <c r="K208" i="3"/>
  <c r="K209" i="3"/>
  <c r="M210" i="3"/>
  <c r="N210" i="3" s="1"/>
  <c r="O210" i="3" s="1"/>
  <c r="P210" i="3" s="1"/>
  <c r="K210" i="3"/>
  <c r="K211" i="3"/>
  <c r="M212" i="3"/>
  <c r="N212" i="3" s="1"/>
  <c r="O212" i="3" s="1"/>
  <c r="P212" i="3" s="1"/>
  <c r="K212" i="3"/>
  <c r="K213" i="3"/>
  <c r="M214" i="3"/>
  <c r="N214" i="3" s="1"/>
  <c r="O214" i="3" s="1"/>
  <c r="P214" i="3" s="1"/>
  <c r="K214" i="3"/>
  <c r="K215" i="3"/>
  <c r="M216" i="3"/>
  <c r="N216" i="3" s="1"/>
  <c r="O216" i="3" s="1"/>
  <c r="P216" i="3" s="1"/>
  <c r="K216" i="3"/>
  <c r="K217" i="3"/>
  <c r="M218" i="3"/>
  <c r="N218" i="3" s="1"/>
  <c r="O218" i="3" s="1"/>
  <c r="P218" i="3" s="1"/>
  <c r="K218" i="3"/>
  <c r="K219" i="3"/>
  <c r="K204" i="3"/>
  <c r="K130" i="3"/>
  <c r="M130" i="3"/>
  <c r="N130" i="3" s="1"/>
  <c r="O130" i="3" s="1"/>
  <c r="P130" i="3" s="1"/>
  <c r="M118" i="3"/>
  <c r="N118" i="3" s="1"/>
  <c r="O118" i="3" s="1"/>
  <c r="P118" i="3" s="1"/>
  <c r="K118" i="3"/>
  <c r="K119" i="3"/>
  <c r="K120" i="3"/>
  <c r="K121" i="3"/>
  <c r="M121" i="3"/>
  <c r="N121" i="3" s="1"/>
  <c r="O121" i="3" s="1"/>
  <c r="P121" i="3" s="1"/>
  <c r="K105" i="3"/>
  <c r="M105" i="3"/>
  <c r="N105" i="3" s="1"/>
  <c r="O105" i="3" s="1"/>
  <c r="P105" i="3" s="1"/>
  <c r="K106" i="3"/>
  <c r="M106" i="3"/>
  <c r="N106" i="3" s="1"/>
  <c r="O106" i="3" s="1"/>
  <c r="P106" i="3" s="1"/>
  <c r="M107" i="3"/>
  <c r="N107" i="3" s="1"/>
  <c r="O107" i="3" s="1"/>
  <c r="P107" i="3" s="1"/>
  <c r="K107" i="3"/>
  <c r="M108" i="3"/>
  <c r="N108" i="3" s="1"/>
  <c r="O108" i="3" s="1"/>
  <c r="P108" i="3" s="1"/>
  <c r="K108" i="3"/>
  <c r="K104" i="3"/>
  <c r="M104" i="3"/>
  <c r="N104" i="3" s="1"/>
  <c r="O104" i="3" s="1"/>
  <c r="P104" i="3" s="1"/>
  <c r="M99" i="3"/>
  <c r="N99" i="3" s="1"/>
  <c r="O99" i="3" s="1"/>
  <c r="P99" i="3" s="1"/>
  <c r="K99" i="3"/>
  <c r="K100" i="3"/>
  <c r="K101" i="3"/>
  <c r="M101" i="3"/>
  <c r="N101" i="3" s="1"/>
  <c r="O101" i="3" s="1"/>
  <c r="P101" i="3" s="1"/>
  <c r="K98" i="3"/>
  <c r="K92" i="3"/>
  <c r="K93" i="3"/>
  <c r="K94" i="3"/>
  <c r="M94" i="3"/>
  <c r="N94" i="3" s="1"/>
  <c r="O94" i="3" s="1"/>
  <c r="P94" i="3" s="1"/>
  <c r="K91" i="3"/>
  <c r="K85" i="3"/>
  <c r="K84" i="3"/>
  <c r="K44" i="3"/>
  <c r="K45" i="3"/>
  <c r="M45" i="3"/>
  <c r="N45" i="3" s="1"/>
  <c r="O45" i="3" s="1"/>
  <c r="P45" i="3" s="1"/>
  <c r="K46" i="3"/>
  <c r="M46" i="3"/>
  <c r="N46" i="3" s="1"/>
  <c r="O46" i="3" s="1"/>
  <c r="P46" i="3" s="1"/>
  <c r="M47" i="3"/>
  <c r="N47" i="3" s="1"/>
  <c r="O47" i="3" s="1"/>
  <c r="P47" i="3" s="1"/>
  <c r="K47" i="3"/>
  <c r="K48" i="3"/>
  <c r="K49" i="3"/>
  <c r="K50" i="3"/>
  <c r="M50" i="3"/>
  <c r="N50" i="3" s="1"/>
  <c r="O50" i="3" s="1"/>
  <c r="P50" i="3" s="1"/>
  <c r="M51" i="3"/>
  <c r="N51" i="3" s="1"/>
  <c r="O51" i="3" s="1"/>
  <c r="P51" i="3" s="1"/>
  <c r="K51" i="3"/>
  <c r="K52" i="3"/>
  <c r="K53" i="3"/>
  <c r="M53" i="3"/>
  <c r="N53" i="3" s="1"/>
  <c r="O53" i="3" s="1"/>
  <c r="P53" i="3" s="1"/>
  <c r="K54" i="3"/>
  <c r="M54" i="3"/>
  <c r="N54" i="3" s="1"/>
  <c r="O54" i="3" s="1"/>
  <c r="P54" i="3" s="1"/>
  <c r="M55" i="3"/>
  <c r="N55" i="3" s="1"/>
  <c r="O55" i="3" s="1"/>
  <c r="P55" i="3" s="1"/>
  <c r="K55" i="3"/>
  <c r="K56" i="3"/>
  <c r="K57" i="3"/>
  <c r="K58" i="3"/>
  <c r="M58" i="3"/>
  <c r="N58" i="3" s="1"/>
  <c r="O58" i="3" s="1"/>
  <c r="P58" i="3" s="1"/>
  <c r="M59" i="3"/>
  <c r="N59" i="3" s="1"/>
  <c r="O59" i="3" s="1"/>
  <c r="P59" i="3" s="1"/>
  <c r="K59" i="3"/>
  <c r="K60" i="3"/>
  <c r="K61" i="3"/>
  <c r="M61" i="3"/>
  <c r="N61" i="3" s="1"/>
  <c r="O61" i="3" s="1"/>
  <c r="P61" i="3" s="1"/>
  <c r="K62" i="3"/>
  <c r="M62" i="3"/>
  <c r="N62" i="3" s="1"/>
  <c r="O62" i="3" s="1"/>
  <c r="P62" i="3" s="1"/>
  <c r="M63" i="3"/>
  <c r="N63" i="3" s="1"/>
  <c r="O63" i="3" s="1"/>
  <c r="P63" i="3" s="1"/>
  <c r="K63" i="3"/>
  <c r="K43" i="3"/>
  <c r="K12" i="3"/>
  <c r="M12" i="3"/>
  <c r="N12" i="3" s="1"/>
  <c r="O12" i="3" s="1"/>
  <c r="P12" i="3" s="1"/>
  <c r="K13" i="3"/>
  <c r="M13" i="3"/>
  <c r="N13" i="3" s="1"/>
  <c r="O13" i="3" s="1"/>
  <c r="P13" i="3" s="1"/>
  <c r="M14" i="3"/>
  <c r="N14" i="3" s="1"/>
  <c r="O14" i="3" s="1"/>
  <c r="P14" i="3" s="1"/>
  <c r="K14" i="3"/>
  <c r="M15" i="3"/>
  <c r="N15" i="3" s="1"/>
  <c r="O15" i="3" s="1"/>
  <c r="P15" i="3" s="1"/>
  <c r="K15" i="3"/>
  <c r="K16" i="3"/>
  <c r="M16" i="3"/>
  <c r="N16" i="3" s="1"/>
  <c r="O16" i="3" s="1"/>
  <c r="P16" i="3" s="1"/>
  <c r="K17" i="3"/>
  <c r="M17" i="3"/>
  <c r="N17" i="3" s="1"/>
  <c r="O17" i="3" s="1"/>
  <c r="P17" i="3" s="1"/>
  <c r="M18" i="3"/>
  <c r="N18" i="3" s="1"/>
  <c r="O18" i="3" s="1"/>
  <c r="P18" i="3" s="1"/>
  <c r="K18" i="3"/>
  <c r="K19" i="3"/>
  <c r="K20" i="3"/>
  <c r="M20" i="3"/>
  <c r="N20" i="3" s="1"/>
  <c r="O20" i="3" s="1"/>
  <c r="P20" i="3" s="1"/>
  <c r="K21" i="3"/>
  <c r="M21" i="3"/>
  <c r="N21" i="3" s="1"/>
  <c r="O21" i="3" s="1"/>
  <c r="P21" i="3" s="1"/>
  <c r="M22" i="3"/>
  <c r="N22" i="3" s="1"/>
  <c r="O22" i="3" s="1"/>
  <c r="P22" i="3" s="1"/>
  <c r="K22" i="3"/>
  <c r="M23" i="3"/>
  <c r="N23" i="3" s="1"/>
  <c r="O23" i="3" s="1"/>
  <c r="P23" i="3" s="1"/>
  <c r="K23" i="3"/>
  <c r="K24" i="3"/>
  <c r="M24" i="3"/>
  <c r="N24" i="3" s="1"/>
  <c r="O24" i="3" s="1"/>
  <c r="P24" i="3" s="1"/>
  <c r="K25" i="3"/>
  <c r="M25" i="3"/>
  <c r="N25" i="3" s="1"/>
  <c r="O25" i="3" s="1"/>
  <c r="P25" i="3" s="1"/>
  <c r="M26" i="3"/>
  <c r="N26" i="3" s="1"/>
  <c r="O26" i="3" s="1"/>
  <c r="P26" i="3" s="1"/>
  <c r="K26" i="3"/>
  <c r="K27" i="3"/>
  <c r="K28" i="3"/>
  <c r="M28" i="3"/>
  <c r="N28" i="3" s="1"/>
  <c r="O28" i="3" s="1"/>
  <c r="P28" i="3" s="1"/>
  <c r="K29" i="3"/>
  <c r="M29" i="3"/>
  <c r="N29" i="3" s="1"/>
  <c r="O29" i="3" s="1"/>
  <c r="P29" i="3" s="1"/>
  <c r="M30" i="3"/>
  <c r="N30" i="3" s="1"/>
  <c r="O30" i="3" s="1"/>
  <c r="P30" i="3" s="1"/>
  <c r="K30" i="3"/>
  <c r="M31" i="3"/>
  <c r="N31" i="3" s="1"/>
  <c r="O31" i="3" s="1"/>
  <c r="P31" i="3" s="1"/>
  <c r="K31" i="3"/>
  <c r="K32" i="3"/>
  <c r="M32" i="3"/>
  <c r="N32" i="3" s="1"/>
  <c r="O32" i="3" s="1"/>
  <c r="P32" i="3" s="1"/>
  <c r="K33" i="3"/>
  <c r="M33" i="3"/>
  <c r="N33" i="3" s="1"/>
  <c r="O33" i="3" s="1"/>
  <c r="P33" i="3" s="1"/>
  <c r="M34" i="3"/>
  <c r="N34" i="3" s="1"/>
  <c r="O34" i="3" s="1"/>
  <c r="P34" i="3" s="1"/>
  <c r="K34" i="3"/>
  <c r="K35" i="3"/>
  <c r="M36" i="3"/>
  <c r="N36" i="3" s="1"/>
  <c r="O36" i="3" s="1"/>
  <c r="P36" i="3" s="1"/>
  <c r="K36" i="3"/>
  <c r="O11" i="3"/>
  <c r="P11" i="3" s="1"/>
  <c r="P220" i="1" l="1"/>
  <c r="Q220" i="1" s="1"/>
  <c r="P216" i="1"/>
  <c r="Q216" i="1" s="1"/>
  <c r="P212" i="1"/>
  <c r="Q212" i="1" s="1"/>
  <c r="P228" i="1"/>
  <c r="Q228" i="1" s="1"/>
  <c r="P232" i="1"/>
  <c r="Q232" i="1" s="1"/>
  <c r="N271" i="3"/>
  <c r="O271" i="3" s="1"/>
  <c r="O276" i="1"/>
  <c r="P276" i="1" s="1"/>
  <c r="O282" i="1"/>
  <c r="P282" i="1" s="1"/>
  <c r="O281" i="1"/>
  <c r="P281" i="1" s="1"/>
  <c r="O280" i="1"/>
  <c r="P280" i="1" s="1"/>
  <c r="O279" i="1"/>
  <c r="P279" i="1" s="1"/>
  <c r="O278" i="1"/>
  <c r="P278" i="1" s="1"/>
  <c r="O277" i="1"/>
  <c r="P277" i="1" s="1"/>
  <c r="K24" i="1"/>
  <c r="M20" i="1"/>
  <c r="N20" i="1" s="1"/>
  <c r="O20" i="1" s="1"/>
  <c r="M35" i="1"/>
  <c r="N35" i="1" s="1"/>
  <c r="O35" i="1" s="1"/>
  <c r="M61" i="1"/>
  <c r="N61" i="1" s="1"/>
  <c r="O61" i="1" s="1"/>
  <c r="P61" i="1" s="1"/>
  <c r="M73" i="1"/>
  <c r="N73" i="1" s="1"/>
  <c r="O73" i="1" s="1"/>
  <c r="M164" i="1"/>
  <c r="N164" i="1" s="1"/>
  <c r="O164" i="1" s="1"/>
  <c r="M234" i="1"/>
  <c r="N234" i="1" s="1"/>
  <c r="O234" i="1" s="1"/>
  <c r="P234" i="1" s="1"/>
  <c r="M218" i="1"/>
  <c r="N218" i="1" s="1"/>
  <c r="O218" i="1" s="1"/>
  <c r="P218" i="1" s="1"/>
  <c r="M12" i="1"/>
  <c r="N12" i="1" s="1"/>
  <c r="O12" i="1" s="1"/>
  <c r="M151" i="1"/>
  <c r="N151" i="1" s="1"/>
  <c r="O151" i="1" s="1"/>
  <c r="M251" i="1"/>
  <c r="N251" i="1" s="1"/>
  <c r="O251" i="1" s="1"/>
  <c r="M243" i="1"/>
  <c r="N243" i="1" s="1"/>
  <c r="O243" i="1" s="1"/>
  <c r="M25" i="1"/>
  <c r="N25" i="1" s="1"/>
  <c r="O25" i="1" s="1"/>
  <c r="M21" i="1"/>
  <c r="N21" i="1" s="1"/>
  <c r="O21" i="1" s="1"/>
  <c r="K21" i="1"/>
  <c r="M13" i="1"/>
  <c r="N13" i="1" s="1"/>
  <c r="O13" i="1" s="1"/>
  <c r="M155" i="1"/>
  <c r="N155" i="1" s="1"/>
  <c r="O155" i="1" s="1"/>
  <c r="P155" i="1" s="1"/>
  <c r="M154" i="1"/>
  <c r="N154" i="1" s="1"/>
  <c r="O154" i="1" s="1"/>
  <c r="P154" i="1" s="1"/>
  <c r="M201" i="1"/>
  <c r="N201" i="1" s="1"/>
  <c r="O201" i="1" s="1"/>
  <c r="M200" i="1"/>
  <c r="N200" i="1" s="1"/>
  <c r="O200" i="1" s="1"/>
  <c r="M224" i="1"/>
  <c r="N224" i="1" s="1"/>
  <c r="O224" i="1" s="1"/>
  <c r="M255" i="1"/>
  <c r="N255" i="1" s="1"/>
  <c r="O255" i="1" s="1"/>
  <c r="P255" i="1" s="1"/>
  <c r="M248" i="1"/>
  <c r="N248" i="1" s="1"/>
  <c r="O248" i="1" s="1"/>
  <c r="P248" i="1" s="1"/>
  <c r="M247" i="1"/>
  <c r="N247" i="1" s="1"/>
  <c r="O247" i="1" s="1"/>
  <c r="M85" i="1"/>
  <c r="N85" i="1" s="1"/>
  <c r="O85" i="1" s="1"/>
  <c r="M192" i="1"/>
  <c r="N192" i="1" s="1"/>
  <c r="O192" i="1" s="1"/>
  <c r="M158" i="1"/>
  <c r="N158" i="1" s="1"/>
  <c r="O158" i="1" s="1"/>
  <c r="P158" i="1" s="1"/>
  <c r="M152" i="1"/>
  <c r="N152" i="1" s="1"/>
  <c r="O152" i="1" s="1"/>
  <c r="M269" i="1"/>
  <c r="N269" i="1" s="1"/>
  <c r="O269" i="1" s="1"/>
  <c r="M267" i="1"/>
  <c r="N267" i="1" s="1"/>
  <c r="O267" i="1" s="1"/>
  <c r="P267" i="1" s="1"/>
  <c r="M265" i="1"/>
  <c r="N265" i="1" s="1"/>
  <c r="O265" i="1" s="1"/>
  <c r="M263" i="1"/>
  <c r="N263" i="1" s="1"/>
  <c r="O263" i="1" s="1"/>
  <c r="M55" i="1"/>
  <c r="N55" i="1" s="1"/>
  <c r="O55" i="1" s="1"/>
  <c r="M95" i="1"/>
  <c r="N95" i="1" s="1"/>
  <c r="O95" i="1" s="1"/>
  <c r="M190" i="1"/>
  <c r="N190" i="1" s="1"/>
  <c r="O190" i="1" s="1"/>
  <c r="M188" i="1"/>
  <c r="N188" i="1" s="1"/>
  <c r="O188" i="1" s="1"/>
  <c r="M186" i="1"/>
  <c r="N186" i="1" s="1"/>
  <c r="O186" i="1" s="1"/>
  <c r="M184" i="1"/>
  <c r="N184" i="1" s="1"/>
  <c r="O184" i="1" s="1"/>
  <c r="M182" i="1"/>
  <c r="N182" i="1" s="1"/>
  <c r="O182" i="1" s="1"/>
  <c r="M180" i="1"/>
  <c r="N180" i="1" s="1"/>
  <c r="O180" i="1" s="1"/>
  <c r="M178" i="1"/>
  <c r="N178" i="1" s="1"/>
  <c r="O178" i="1" s="1"/>
  <c r="M176" i="1"/>
  <c r="N176" i="1" s="1"/>
  <c r="O176" i="1" s="1"/>
  <c r="M174" i="1"/>
  <c r="N174" i="1" s="1"/>
  <c r="O174" i="1" s="1"/>
  <c r="P174" i="1" s="1"/>
  <c r="M172" i="1"/>
  <c r="N172" i="1" s="1"/>
  <c r="O172" i="1" s="1"/>
  <c r="M170" i="1"/>
  <c r="N170" i="1" s="1"/>
  <c r="O170" i="1" s="1"/>
  <c r="M168" i="1"/>
  <c r="N168" i="1" s="1"/>
  <c r="O168" i="1" s="1"/>
  <c r="M162" i="1"/>
  <c r="N162" i="1" s="1"/>
  <c r="O162" i="1" s="1"/>
  <c r="P162" i="1" s="1"/>
  <c r="M156" i="1"/>
  <c r="N156" i="1" s="1"/>
  <c r="O156" i="1" s="1"/>
  <c r="M262" i="1"/>
  <c r="N262" i="1" s="1"/>
  <c r="O262" i="1" s="1"/>
  <c r="Q268" i="1"/>
  <c r="Q266" i="1"/>
  <c r="Q264" i="1"/>
  <c r="Q258" i="1"/>
  <c r="Q259" i="1"/>
  <c r="Q260" i="1"/>
  <c r="Q257" i="1"/>
  <c r="Q252" i="1"/>
  <c r="Q244" i="1"/>
  <c r="Q253" i="1"/>
  <c r="Q249" i="1"/>
  <c r="Q245" i="1"/>
  <c r="Q241" i="1"/>
  <c r="Q250" i="1"/>
  <c r="Q246" i="1"/>
  <c r="Q242" i="1"/>
  <c r="Q254" i="1"/>
  <c r="Q240" i="1"/>
  <c r="M233" i="1"/>
  <c r="N233" i="1" s="1"/>
  <c r="O233" i="1" s="1"/>
  <c r="P233" i="1" s="1"/>
  <c r="M229" i="1"/>
  <c r="N229" i="1" s="1"/>
  <c r="O229" i="1" s="1"/>
  <c r="P229" i="1" s="1"/>
  <c r="M225" i="1"/>
  <c r="N225" i="1" s="1"/>
  <c r="O225" i="1" s="1"/>
  <c r="P225" i="1" s="1"/>
  <c r="M221" i="1"/>
  <c r="N221" i="1" s="1"/>
  <c r="O221" i="1" s="1"/>
  <c r="P221" i="1" s="1"/>
  <c r="M217" i="1"/>
  <c r="N217" i="1" s="1"/>
  <c r="O217" i="1" s="1"/>
  <c r="P217" i="1" s="1"/>
  <c r="M213" i="1"/>
  <c r="N213" i="1" s="1"/>
  <c r="O213" i="1" s="1"/>
  <c r="P213" i="1" s="1"/>
  <c r="M209" i="1"/>
  <c r="N209" i="1" s="1"/>
  <c r="O209" i="1" s="1"/>
  <c r="P209" i="1" s="1"/>
  <c r="Q230" i="1"/>
  <c r="Q226" i="1"/>
  <c r="Q222" i="1"/>
  <c r="Q214" i="1"/>
  <c r="Q210" i="1"/>
  <c r="M231" i="1"/>
  <c r="N231" i="1" s="1"/>
  <c r="O231" i="1" s="1"/>
  <c r="P231" i="1" s="1"/>
  <c r="M227" i="1"/>
  <c r="N227" i="1" s="1"/>
  <c r="O227" i="1" s="1"/>
  <c r="P227" i="1" s="1"/>
  <c r="M223" i="1"/>
  <c r="N223" i="1" s="1"/>
  <c r="O223" i="1" s="1"/>
  <c r="P223" i="1" s="1"/>
  <c r="M219" i="1"/>
  <c r="N219" i="1" s="1"/>
  <c r="O219" i="1" s="1"/>
  <c r="P219" i="1" s="1"/>
  <c r="M215" i="1"/>
  <c r="N215" i="1" s="1"/>
  <c r="O215" i="1" s="1"/>
  <c r="P215" i="1" s="1"/>
  <c r="M211" i="1"/>
  <c r="N211" i="1" s="1"/>
  <c r="O211" i="1" s="1"/>
  <c r="P211" i="1" s="1"/>
  <c r="Q208" i="1"/>
  <c r="Q198" i="1"/>
  <c r="Q199" i="1"/>
  <c r="Q197" i="1"/>
  <c r="Q191" i="1"/>
  <c r="Q165" i="1"/>
  <c r="Q157" i="1"/>
  <c r="M189" i="1"/>
  <c r="N189" i="1" s="1"/>
  <c r="O189" i="1" s="1"/>
  <c r="P189" i="1" s="1"/>
  <c r="M187" i="1"/>
  <c r="N187" i="1" s="1"/>
  <c r="O187" i="1" s="1"/>
  <c r="P187" i="1" s="1"/>
  <c r="M185" i="1"/>
  <c r="N185" i="1" s="1"/>
  <c r="O185" i="1" s="1"/>
  <c r="P185" i="1" s="1"/>
  <c r="M183" i="1"/>
  <c r="N183" i="1" s="1"/>
  <c r="O183" i="1" s="1"/>
  <c r="P183" i="1" s="1"/>
  <c r="M181" i="1"/>
  <c r="N181" i="1" s="1"/>
  <c r="O181" i="1" s="1"/>
  <c r="P181" i="1" s="1"/>
  <c r="M179" i="1"/>
  <c r="N179" i="1" s="1"/>
  <c r="O179" i="1" s="1"/>
  <c r="P179" i="1" s="1"/>
  <c r="M177" i="1"/>
  <c r="N177" i="1" s="1"/>
  <c r="O177" i="1" s="1"/>
  <c r="P177" i="1" s="1"/>
  <c r="M175" i="1"/>
  <c r="N175" i="1" s="1"/>
  <c r="O175" i="1" s="1"/>
  <c r="P175" i="1" s="1"/>
  <c r="M173" i="1"/>
  <c r="N173" i="1" s="1"/>
  <c r="O173" i="1" s="1"/>
  <c r="P173" i="1" s="1"/>
  <c r="M171" i="1"/>
  <c r="N171" i="1" s="1"/>
  <c r="O171" i="1" s="1"/>
  <c r="P171" i="1" s="1"/>
  <c r="M169" i="1"/>
  <c r="N169" i="1" s="1"/>
  <c r="O169" i="1" s="1"/>
  <c r="P169" i="1" s="1"/>
  <c r="M167" i="1"/>
  <c r="N167" i="1" s="1"/>
  <c r="O167" i="1" s="1"/>
  <c r="P167" i="1" s="1"/>
  <c r="Q163" i="1"/>
  <c r="Q159" i="1"/>
  <c r="Q161" i="1"/>
  <c r="Q153" i="1"/>
  <c r="Q166" i="1"/>
  <c r="Q160" i="1"/>
  <c r="Q150" i="1"/>
  <c r="M149" i="1"/>
  <c r="N149" i="1" s="1"/>
  <c r="O149" i="1" s="1"/>
  <c r="P149" i="1" s="1"/>
  <c r="Q108" i="1"/>
  <c r="Q97" i="1"/>
  <c r="Q84" i="1"/>
  <c r="Q83" i="1"/>
  <c r="Q79" i="1"/>
  <c r="Q80" i="1"/>
  <c r="Q68" i="1"/>
  <c r="Q77" i="1"/>
  <c r="Q69" i="1"/>
  <c r="Q75" i="1"/>
  <c r="Q71" i="1"/>
  <c r="Q76" i="1"/>
  <c r="Q72" i="1"/>
  <c r="Q78" i="1"/>
  <c r="Q74" i="1"/>
  <c r="Q70" i="1"/>
  <c r="Q67" i="1"/>
  <c r="Q63" i="1"/>
  <c r="Q59" i="1"/>
  <c r="Q64" i="1"/>
  <c r="Q60" i="1"/>
  <c r="Q56" i="1"/>
  <c r="Q57" i="1"/>
  <c r="Q62" i="1"/>
  <c r="Q58" i="1"/>
  <c r="Q31" i="1"/>
  <c r="Q36" i="1"/>
  <c r="Q32" i="1"/>
  <c r="Q34" i="1"/>
  <c r="Q33" i="1"/>
  <c r="Q30" i="1"/>
  <c r="Q17" i="1"/>
  <c r="Q24" i="1"/>
  <c r="Q27" i="1"/>
  <c r="Q22" i="1"/>
  <c r="Q18" i="1"/>
  <c r="Q14" i="1"/>
  <c r="Q16" i="1"/>
  <c r="Q23" i="1"/>
  <c r="Q19" i="1"/>
  <c r="Q15" i="1"/>
  <c r="Q11" i="1"/>
  <c r="Q8" i="1"/>
  <c r="Q10" i="1"/>
  <c r="Q9" i="1"/>
  <c r="Q11" i="3"/>
  <c r="N278" i="3"/>
  <c r="O278" i="3" s="1"/>
  <c r="P278" i="3" s="1"/>
  <c r="M100" i="3"/>
  <c r="N100" i="3" s="1"/>
  <c r="O100" i="3" s="1"/>
  <c r="M247" i="3"/>
  <c r="N247" i="3" s="1"/>
  <c r="O247" i="3" s="1"/>
  <c r="M317" i="3"/>
  <c r="N317" i="3" s="1"/>
  <c r="O317" i="3" s="1"/>
  <c r="M309" i="3"/>
  <c r="N309" i="3" s="1"/>
  <c r="O309" i="3" s="1"/>
  <c r="P309" i="3" s="1"/>
  <c r="M329" i="3"/>
  <c r="N329" i="3" s="1"/>
  <c r="O329" i="3" s="1"/>
  <c r="M60" i="3"/>
  <c r="N60" i="3" s="1"/>
  <c r="O60" i="3" s="1"/>
  <c r="P60" i="3" s="1"/>
  <c r="M52" i="3"/>
  <c r="N52" i="3" s="1"/>
  <c r="O52" i="3" s="1"/>
  <c r="P52" i="3" s="1"/>
  <c r="M44" i="3"/>
  <c r="N44" i="3" s="1"/>
  <c r="O44" i="3" s="1"/>
  <c r="M225" i="3"/>
  <c r="N225" i="3" s="1"/>
  <c r="O225" i="3" s="1"/>
  <c r="M27" i="3"/>
  <c r="N27" i="3" s="1"/>
  <c r="O27" i="3" s="1"/>
  <c r="M19" i="3"/>
  <c r="N19" i="3" s="1"/>
  <c r="O19" i="3" s="1"/>
  <c r="P19" i="3" s="1"/>
  <c r="M57" i="3"/>
  <c r="N57" i="3" s="1"/>
  <c r="O57" i="3" s="1"/>
  <c r="P57" i="3" s="1"/>
  <c r="M56" i="3"/>
  <c r="N56" i="3" s="1"/>
  <c r="O56" i="3" s="1"/>
  <c r="P56" i="3" s="1"/>
  <c r="M49" i="3"/>
  <c r="N49" i="3" s="1"/>
  <c r="O49" i="3" s="1"/>
  <c r="M48" i="3"/>
  <c r="N48" i="3" s="1"/>
  <c r="O48" i="3" s="1"/>
  <c r="M85" i="3"/>
  <c r="N85" i="3" s="1"/>
  <c r="O85" i="3" s="1"/>
  <c r="M93" i="3"/>
  <c r="N93" i="3" s="1"/>
  <c r="O93" i="3" s="1"/>
  <c r="M92" i="3"/>
  <c r="N92" i="3" s="1"/>
  <c r="O92" i="3" s="1"/>
  <c r="M120" i="3"/>
  <c r="N120" i="3" s="1"/>
  <c r="O120" i="3" s="1"/>
  <c r="P120" i="3" s="1"/>
  <c r="M119" i="3"/>
  <c r="N119" i="3" s="1"/>
  <c r="O119" i="3" s="1"/>
  <c r="M229" i="3"/>
  <c r="N229" i="3" s="1"/>
  <c r="O229" i="3" s="1"/>
  <c r="M35" i="3"/>
  <c r="N35" i="3" s="1"/>
  <c r="O35" i="3" s="1"/>
  <c r="P35" i="3" s="1"/>
  <c r="M84" i="3"/>
  <c r="N84" i="3" s="1"/>
  <c r="O84" i="3" s="1"/>
  <c r="M98" i="3"/>
  <c r="N98" i="3" s="1"/>
  <c r="O98" i="3" s="1"/>
  <c r="M219" i="3"/>
  <c r="M217" i="3"/>
  <c r="N217" i="3" s="1"/>
  <c r="O217" i="3" s="1"/>
  <c r="M215" i="3"/>
  <c r="N215" i="3" s="1"/>
  <c r="O215" i="3" s="1"/>
  <c r="M213" i="3"/>
  <c r="N213" i="3" s="1"/>
  <c r="O213" i="3" s="1"/>
  <c r="P213" i="3" s="1"/>
  <c r="M211" i="3"/>
  <c r="N211" i="3" s="1"/>
  <c r="O211" i="3" s="1"/>
  <c r="M209" i="3"/>
  <c r="N209" i="3" s="1"/>
  <c r="O209" i="3" s="1"/>
  <c r="M207" i="3"/>
  <c r="N207" i="3" s="1"/>
  <c r="O207" i="3" s="1"/>
  <c r="M205" i="3"/>
  <c r="N205" i="3" s="1"/>
  <c r="O205" i="3" s="1"/>
  <c r="M43" i="3"/>
  <c r="N43" i="3" s="1"/>
  <c r="O43" i="3" s="1"/>
  <c r="M91" i="3"/>
  <c r="N91" i="3" s="1"/>
  <c r="O91" i="3" s="1"/>
  <c r="M204" i="3"/>
  <c r="N204" i="3" s="1"/>
  <c r="O204" i="3" s="1"/>
  <c r="M222" i="3"/>
  <c r="N222" i="3" s="1"/>
  <c r="O222" i="3" s="1"/>
  <c r="M244" i="3"/>
  <c r="N244" i="3" s="1"/>
  <c r="O244" i="3" s="1"/>
  <c r="M264" i="3"/>
  <c r="N264" i="3" s="1"/>
  <c r="O264" i="3" s="1"/>
  <c r="M301" i="3"/>
  <c r="N301" i="3" s="1"/>
  <c r="O301" i="3" s="1"/>
  <c r="M322" i="3"/>
  <c r="N322" i="3" s="1"/>
  <c r="O322" i="3" s="1"/>
  <c r="M331" i="3"/>
  <c r="N331" i="3" s="1"/>
  <c r="O331" i="3" s="1"/>
  <c r="Q332" i="3"/>
  <c r="Q326" i="3"/>
  <c r="Q327" i="3"/>
  <c r="Q328" i="3"/>
  <c r="Q325" i="3"/>
  <c r="Q313" i="3"/>
  <c r="Q318" i="3"/>
  <c r="Q314" i="3"/>
  <c r="Q310" i="3"/>
  <c r="Q306" i="3"/>
  <c r="Q302" i="3"/>
  <c r="Q319" i="3"/>
  <c r="Q315" i="3"/>
  <c r="Q311" i="3"/>
  <c r="Q307" i="3"/>
  <c r="Q303" i="3"/>
  <c r="Q305" i="3"/>
  <c r="Q316" i="3"/>
  <c r="Q312" i="3"/>
  <c r="Q308" i="3"/>
  <c r="Q304" i="3"/>
  <c r="Q277" i="3"/>
  <c r="Q279" i="3"/>
  <c r="Q276" i="3"/>
  <c r="Q272" i="3"/>
  <c r="Q265" i="3"/>
  <c r="Q266" i="3"/>
  <c r="Q267" i="3"/>
  <c r="Q262" i="3"/>
  <c r="Q248" i="3"/>
  <c r="Q249" i="3"/>
  <c r="Q245" i="3"/>
  <c r="Q246" i="3"/>
  <c r="Q235" i="3"/>
  <c r="Q236" i="3"/>
  <c r="Q237" i="3"/>
  <c r="Q230" i="3"/>
  <c r="Q226" i="3"/>
  <c r="Q231" i="3"/>
  <c r="Q228" i="3"/>
  <c r="Q224" i="3"/>
  <c r="Q227" i="3"/>
  <c r="Q223" i="3"/>
  <c r="Q218" i="3"/>
  <c r="Q216" i="3"/>
  <c r="Q214" i="3"/>
  <c r="Q212" i="3"/>
  <c r="Q210" i="3"/>
  <c r="Q208" i="3"/>
  <c r="Q206" i="3"/>
  <c r="Q130" i="3"/>
  <c r="Q118" i="3"/>
  <c r="Q121" i="3"/>
  <c r="Q106" i="3"/>
  <c r="Q108" i="3"/>
  <c r="Q105" i="3"/>
  <c r="Q107" i="3"/>
  <c r="Q104" i="3"/>
  <c r="Q99" i="3"/>
  <c r="Q101" i="3"/>
  <c r="Q94" i="3"/>
  <c r="Q59" i="3"/>
  <c r="Q51" i="3"/>
  <c r="Q47" i="3"/>
  <c r="Q55" i="3"/>
  <c r="Q61" i="3"/>
  <c r="Q53" i="3"/>
  <c r="Q45" i="3"/>
  <c r="Q63" i="3"/>
  <c r="Q62" i="3"/>
  <c r="Q58" i="3"/>
  <c r="Q54" i="3"/>
  <c r="Q50" i="3"/>
  <c r="Q46" i="3"/>
  <c r="Q34" i="3"/>
  <c r="Q32" i="3"/>
  <c r="Q28" i="3"/>
  <c r="Q24" i="3"/>
  <c r="Q20" i="3"/>
  <c r="Q16" i="3"/>
  <c r="Q12" i="3"/>
  <c r="Q23" i="3"/>
  <c r="Q15" i="3"/>
  <c r="Q36" i="3"/>
  <c r="Q33" i="3"/>
  <c r="Q29" i="3"/>
  <c r="Q25" i="3"/>
  <c r="Q21" i="3"/>
  <c r="Q17" i="3"/>
  <c r="Q13" i="3"/>
  <c r="Q31" i="3"/>
  <c r="Q30" i="3"/>
  <c r="Q26" i="3"/>
  <c r="Q22" i="3"/>
  <c r="Q18" i="3"/>
  <c r="Q14" i="3"/>
  <c r="P264" i="3" l="1"/>
  <c r="Q264" i="3" s="1"/>
  <c r="Q260" i="3" s="1"/>
  <c r="P49" i="3"/>
  <c r="Q49" i="3" s="1"/>
  <c r="P247" i="3"/>
  <c r="Q247" i="3" s="1"/>
  <c r="P262" i="1"/>
  <c r="Q262" i="1" s="1"/>
  <c r="P178" i="1"/>
  <c r="Q178" i="1" s="1"/>
  <c r="P55" i="1"/>
  <c r="Q55" i="1" s="1"/>
  <c r="P85" i="1"/>
  <c r="Q85" i="1" s="1"/>
  <c r="P224" i="1"/>
  <c r="Q224" i="1" s="1"/>
  <c r="P12" i="1"/>
  <c r="Q12" i="1" s="1"/>
  <c r="P73" i="1"/>
  <c r="Q73" i="1" s="1"/>
  <c r="P331" i="3"/>
  <c r="Q331" i="3" s="1"/>
  <c r="P244" i="3"/>
  <c r="Q244" i="3" s="1"/>
  <c r="P43" i="3"/>
  <c r="Q43" i="3" s="1"/>
  <c r="P211" i="3"/>
  <c r="Q211" i="3" s="1"/>
  <c r="P229" i="3"/>
  <c r="Q229" i="3" s="1"/>
  <c r="P93" i="3"/>
  <c r="Q93" i="3" s="1"/>
  <c r="P225" i="3"/>
  <c r="Q225" i="3" s="1"/>
  <c r="P329" i="3"/>
  <c r="Q329" i="3" s="1"/>
  <c r="P100" i="3"/>
  <c r="Q100" i="3" s="1"/>
  <c r="P156" i="1"/>
  <c r="Q156" i="1" s="1"/>
  <c r="P172" i="1"/>
  <c r="Q172" i="1" s="1"/>
  <c r="P180" i="1"/>
  <c r="Q180" i="1" s="1"/>
  <c r="P188" i="1"/>
  <c r="Q188" i="1" s="1"/>
  <c r="P263" i="1"/>
  <c r="Q263" i="1" s="1"/>
  <c r="P152" i="1"/>
  <c r="Q152" i="1" s="1"/>
  <c r="P247" i="1"/>
  <c r="Q247" i="1" s="1"/>
  <c r="P200" i="1"/>
  <c r="Q200" i="1" s="1"/>
  <c r="P13" i="1"/>
  <c r="Q13" i="1" s="1"/>
  <c r="P243" i="1"/>
  <c r="Q243" i="1" s="1"/>
  <c r="P271" i="3"/>
  <c r="Q271" i="3" s="1"/>
  <c r="Q269" i="3" s="1"/>
  <c r="E72" i="21" s="1"/>
  <c r="P217" i="3"/>
  <c r="Q217" i="3" s="1"/>
  <c r="P205" i="3"/>
  <c r="Q205" i="3" s="1"/>
  <c r="P119" i="3"/>
  <c r="Q119" i="3" s="1"/>
  <c r="P182" i="1"/>
  <c r="Q182" i="1" s="1"/>
  <c r="P190" i="1"/>
  <c r="Q190" i="1" s="1"/>
  <c r="P265" i="1"/>
  <c r="Q265" i="1" s="1"/>
  <c r="P201" i="1"/>
  <c r="Q201" i="1" s="1"/>
  <c r="P251" i="1"/>
  <c r="Q251" i="1" s="1"/>
  <c r="P35" i="1"/>
  <c r="Q35" i="1" s="1"/>
  <c r="P91" i="3"/>
  <c r="Q91" i="3" s="1"/>
  <c r="P209" i="3"/>
  <c r="Q209" i="3" s="1"/>
  <c r="P92" i="3"/>
  <c r="Q92" i="3" s="1"/>
  <c r="P27" i="3"/>
  <c r="Q27" i="3" s="1"/>
  <c r="P170" i="1"/>
  <c r="Q170" i="1" s="1"/>
  <c r="P186" i="1"/>
  <c r="Q186" i="1" s="1"/>
  <c r="P269" i="1"/>
  <c r="Q269" i="1" s="1"/>
  <c r="P25" i="1"/>
  <c r="Q25" i="1" s="1"/>
  <c r="P322" i="3"/>
  <c r="Q322" i="3" s="1"/>
  <c r="P222" i="3"/>
  <c r="Q222" i="3" s="1"/>
  <c r="P98" i="3"/>
  <c r="Q98" i="3" s="1"/>
  <c r="P85" i="3"/>
  <c r="Q85" i="3" s="1"/>
  <c r="P44" i="3"/>
  <c r="Q44" i="3" s="1"/>
  <c r="P301" i="3"/>
  <c r="Q301" i="3" s="1"/>
  <c r="P204" i="3"/>
  <c r="Q204" i="3" s="1"/>
  <c r="P207" i="3"/>
  <c r="Q207" i="3" s="1"/>
  <c r="P215" i="3"/>
  <c r="Q215" i="3" s="1"/>
  <c r="P84" i="3"/>
  <c r="Q84" i="3" s="1"/>
  <c r="P48" i="3"/>
  <c r="Q48" i="3" s="1"/>
  <c r="P317" i="3"/>
  <c r="Q317" i="3" s="1"/>
  <c r="P168" i="1"/>
  <c r="Q168" i="1" s="1"/>
  <c r="P176" i="1"/>
  <c r="Q176" i="1" s="1"/>
  <c r="P184" i="1"/>
  <c r="Q184" i="1" s="1"/>
  <c r="P95" i="1"/>
  <c r="Q95" i="1" s="1"/>
  <c r="P192" i="1"/>
  <c r="Q192" i="1" s="1"/>
  <c r="P21" i="1"/>
  <c r="Q21" i="1" s="1"/>
  <c r="P151" i="1"/>
  <c r="Q151" i="1" s="1"/>
  <c r="P164" i="1"/>
  <c r="Q164" i="1" s="1"/>
  <c r="P20" i="1"/>
  <c r="Q20" i="1" s="1"/>
  <c r="Q234" i="1"/>
  <c r="Q162" i="1"/>
  <c r="Q248" i="1"/>
  <c r="Q155" i="1"/>
  <c r="Q158" i="1"/>
  <c r="Q120" i="3"/>
  <c r="Q56" i="3"/>
  <c r="Q35" i="3"/>
  <c r="Q277" i="1"/>
  <c r="Q279" i="1"/>
  <c r="Q281" i="1"/>
  <c r="Q276" i="1"/>
  <c r="Q278" i="1"/>
  <c r="Q280" i="1"/>
  <c r="Q282" i="1"/>
  <c r="Q218" i="1"/>
  <c r="Q61" i="1"/>
  <c r="Q174" i="1"/>
  <c r="Q255" i="1"/>
  <c r="Q267" i="1"/>
  <c r="Q154" i="1"/>
  <c r="Q211" i="1"/>
  <c r="Q217" i="1"/>
  <c r="Q215" i="1"/>
  <c r="Q231" i="1"/>
  <c r="Q221" i="1"/>
  <c r="Q219" i="1"/>
  <c r="Q209" i="1"/>
  <c r="Q225" i="1"/>
  <c r="Q227" i="1"/>
  <c r="Q233" i="1"/>
  <c r="Q223" i="1"/>
  <c r="Q213" i="1"/>
  <c r="Q229" i="1"/>
  <c r="Q169" i="1"/>
  <c r="Q185" i="1"/>
  <c r="Q179" i="1"/>
  <c r="Q187" i="1"/>
  <c r="Q173" i="1"/>
  <c r="Q181" i="1"/>
  <c r="Q189" i="1"/>
  <c r="Q177" i="1"/>
  <c r="Q171" i="1"/>
  <c r="Q149" i="1"/>
  <c r="Q167" i="1"/>
  <c r="Q175" i="1"/>
  <c r="Q183" i="1"/>
  <c r="Q52" i="3"/>
  <c r="Q60" i="3"/>
  <c r="Q19" i="3"/>
  <c r="Q57" i="3"/>
  <c r="Q213" i="3"/>
  <c r="Q278" i="3"/>
  <c r="E75" i="21" s="1"/>
  <c r="Q309" i="3"/>
  <c r="G72" i="21" l="1"/>
  <c r="H72" i="21" s="1"/>
  <c r="F72" i="21"/>
  <c r="E74" i="21"/>
  <c r="F75" i="21"/>
  <c r="G75" i="21"/>
  <c r="Q242" i="3"/>
  <c r="E63" i="21" s="1"/>
  <c r="Q323" i="3"/>
  <c r="E52" i="21" s="1"/>
  <c r="E48" i="21"/>
  <c r="Q320" i="3"/>
  <c r="Q82" i="3"/>
  <c r="E57" i="21" s="1"/>
  <c r="Q87" i="1"/>
  <c r="E32" i="21" s="1"/>
  <c r="Q296" i="3"/>
  <c r="E50" i="21" s="1"/>
  <c r="Q274" i="3"/>
  <c r="E70" i="21"/>
  <c r="E53" i="21"/>
  <c r="E73" i="21"/>
  <c r="Q79" i="3"/>
  <c r="Q271" i="1"/>
  <c r="E35" i="21" s="1"/>
  <c r="Q333" i="3"/>
  <c r="Q283" i="1"/>
  <c r="E38" i="21" s="1"/>
  <c r="Q235" i="1"/>
  <c r="E41" i="21" s="1"/>
  <c r="F38" i="21" l="1"/>
  <c r="G38" i="21"/>
  <c r="H38" i="21" s="1"/>
  <c r="F41" i="21"/>
  <c r="G41" i="21"/>
  <c r="H41" i="21" s="1"/>
  <c r="G32" i="21"/>
  <c r="H32" i="21" s="1"/>
  <c r="F32" i="21"/>
  <c r="G35" i="21"/>
  <c r="H35" i="21" s="1"/>
  <c r="F35" i="21"/>
  <c r="G73" i="21"/>
  <c r="H73" i="21" s="1"/>
  <c r="F73" i="21"/>
  <c r="G52" i="21"/>
  <c r="H52" i="21" s="1"/>
  <c r="F52" i="21"/>
  <c r="F63" i="21"/>
  <c r="G63" i="21"/>
  <c r="H63" i="21" s="1"/>
  <c r="F70" i="21"/>
  <c r="G70" i="21"/>
  <c r="H70" i="21" s="1"/>
  <c r="G50" i="21"/>
  <c r="H50" i="21" s="1"/>
  <c r="F50" i="21"/>
  <c r="G48" i="21"/>
  <c r="H48" i="21" s="1"/>
  <c r="F48" i="21"/>
  <c r="F74" i="21"/>
  <c r="G74" i="21"/>
  <c r="H74" i="21" s="1"/>
  <c r="F53" i="21"/>
  <c r="G53" i="21"/>
  <c r="H53" i="21" s="1"/>
  <c r="G57" i="21"/>
  <c r="H57" i="21" s="1"/>
  <c r="F57" i="21"/>
  <c r="E47" i="21"/>
  <c r="E64" i="21"/>
  <c r="E51" i="21"/>
  <c r="E58" i="21"/>
  <c r="E49" i="21"/>
  <c r="Q293" i="3"/>
  <c r="E69" i="21"/>
  <c r="E71" i="21"/>
  <c r="H75" i="21"/>
  <c r="E45" i="21"/>
  <c r="E42" i="21"/>
  <c r="E37" i="21"/>
  <c r="E36" i="21"/>
  <c r="I333" i="3"/>
  <c r="G36" i="21" l="1"/>
  <c r="H36" i="21" s="1"/>
  <c r="F36" i="21"/>
  <c r="F37" i="21"/>
  <c r="G37" i="21"/>
  <c r="H37" i="21" s="1"/>
  <c r="F42" i="21"/>
  <c r="G42" i="21"/>
  <c r="H42" i="21" s="1"/>
  <c r="G49" i="21"/>
  <c r="H49" i="21" s="1"/>
  <c r="F49" i="21"/>
  <c r="G51" i="21"/>
  <c r="H51" i="21" s="1"/>
  <c r="F51" i="21"/>
  <c r="F64" i="21"/>
  <c r="G64" i="21"/>
  <c r="H64" i="21" s="1"/>
  <c r="G47" i="21"/>
  <c r="H47" i="21" s="1"/>
  <c r="F47" i="21"/>
  <c r="G58" i="21"/>
  <c r="H58" i="21" s="1"/>
  <c r="F58" i="21"/>
  <c r="F71" i="21"/>
  <c r="G71" i="21"/>
  <c r="H71" i="21" s="1"/>
  <c r="G45" i="21"/>
  <c r="H45" i="21" s="1"/>
  <c r="F45" i="21"/>
  <c r="G69" i="21"/>
  <c r="H69" i="21" s="1"/>
  <c r="F69" i="21"/>
  <c r="E46" i="21"/>
  <c r="E44" i="21"/>
  <c r="G44" i="21" l="1"/>
  <c r="H44" i="21" s="1"/>
  <c r="F44" i="21"/>
  <c r="G46" i="21"/>
  <c r="H46" i="21" s="1"/>
  <c r="F46" i="21"/>
  <c r="I283" i="1"/>
  <c r="B169" i="9" l="1"/>
  <c r="G162" i="9"/>
  <c r="H162" i="9" s="1"/>
  <c r="G161" i="9"/>
  <c r="H161" i="9" s="1"/>
  <c r="G160" i="9"/>
  <c r="G159" i="9"/>
  <c r="H159" i="9" s="1"/>
  <c r="G157" i="9"/>
  <c r="H157" i="9" s="1"/>
  <c r="G156" i="9"/>
  <c r="H156" i="9" s="1"/>
  <c r="G155" i="9"/>
  <c r="H155" i="9" s="1"/>
  <c r="G154" i="9"/>
  <c r="H154" i="9" s="1"/>
  <c r="G153" i="9"/>
  <c r="H153" i="9" s="1"/>
  <c r="G152" i="9"/>
  <c r="H152" i="9" s="1"/>
  <c r="G151" i="9"/>
  <c r="G150" i="9"/>
  <c r="H150" i="9" s="1"/>
  <c r="G149" i="9"/>
  <c r="H149" i="9" s="1"/>
  <c r="G148" i="9"/>
  <c r="H148" i="9" s="1"/>
  <c r="G147" i="9"/>
  <c r="H147" i="9" s="1"/>
  <c r="G146" i="9"/>
  <c r="H146" i="9" s="1"/>
  <c r="G145" i="9"/>
  <c r="G144" i="9"/>
  <c r="H144" i="9" s="1"/>
  <c r="G143" i="9"/>
  <c r="H143" i="9" s="1"/>
  <c r="G142" i="9"/>
  <c r="H142" i="9" s="1"/>
  <c r="G141" i="9"/>
  <c r="H141" i="9" s="1"/>
  <c r="G140" i="9"/>
  <c r="H140" i="9" s="1"/>
  <c r="G139" i="9"/>
  <c r="H139" i="9" s="1"/>
  <c r="G138" i="9"/>
  <c r="H138" i="9" s="1"/>
  <c r="G137" i="9"/>
  <c r="H137" i="9" s="1"/>
  <c r="G136" i="9"/>
  <c r="H136" i="9" s="1"/>
  <c r="G135" i="9"/>
  <c r="H135" i="9" s="1"/>
  <c r="G134" i="9"/>
  <c r="H134" i="9" s="1"/>
  <c r="G133" i="9"/>
  <c r="G132" i="9"/>
  <c r="H132" i="9" s="1"/>
  <c r="G131" i="9"/>
  <c r="H131" i="9" s="1"/>
  <c r="G130" i="9"/>
  <c r="H130" i="9" s="1"/>
  <c r="G129" i="9"/>
  <c r="H129" i="9" s="1"/>
  <c r="G128" i="9"/>
  <c r="H128" i="9" s="1"/>
  <c r="G127" i="9"/>
  <c r="H127" i="9" s="1"/>
  <c r="G126" i="9"/>
  <c r="H126" i="9" s="1"/>
  <c r="G125" i="9"/>
  <c r="H125" i="9" s="1"/>
  <c r="G124" i="9"/>
  <c r="H124" i="9" s="1"/>
  <c r="G123" i="9"/>
  <c r="H123" i="9" s="1"/>
  <c r="G122" i="9"/>
  <c r="H122" i="9" s="1"/>
  <c r="G121" i="9"/>
  <c r="H121" i="9" s="1"/>
  <c r="G120" i="9"/>
  <c r="H120" i="9" s="1"/>
  <c r="G119" i="9"/>
  <c r="H119" i="9" s="1"/>
  <c r="G118" i="9"/>
  <c r="H118" i="9" s="1"/>
  <c r="G117" i="9"/>
  <c r="H117" i="9" s="1"/>
  <c r="G116" i="9"/>
  <c r="H116" i="9" s="1"/>
  <c r="G115" i="9"/>
  <c r="H115" i="9" s="1"/>
  <c r="G114" i="9"/>
  <c r="H114" i="9" s="1"/>
  <c r="G113" i="9"/>
  <c r="H113" i="9" s="1"/>
  <c r="G112" i="9"/>
  <c r="H112" i="9" s="1"/>
  <c r="G111" i="9"/>
  <c r="H111" i="9" s="1"/>
  <c r="G110" i="9"/>
  <c r="H110" i="9" s="1"/>
  <c r="G109" i="9"/>
  <c r="H109" i="9" s="1"/>
  <c r="G108" i="9"/>
  <c r="H108" i="9" s="1"/>
  <c r="G107" i="9"/>
  <c r="H107" i="9" s="1"/>
  <c r="G106" i="9"/>
  <c r="H106" i="9" s="1"/>
  <c r="G105" i="9"/>
  <c r="H105" i="9" s="1"/>
  <c r="G104" i="9"/>
  <c r="H104" i="9" s="1"/>
  <c r="G103" i="9"/>
  <c r="H103" i="9" s="1"/>
  <c r="G102" i="9"/>
  <c r="H102" i="9" s="1"/>
  <c r="G101" i="9"/>
  <c r="H101" i="9" s="1"/>
  <c r="G100" i="9"/>
  <c r="H100" i="9" s="1"/>
  <c r="G99" i="9"/>
  <c r="H99" i="9" s="1"/>
  <c r="G98" i="9"/>
  <c r="H98" i="9" s="1"/>
  <c r="G97" i="9"/>
  <c r="H97" i="9" s="1"/>
  <c r="G96" i="9"/>
  <c r="H96" i="9" s="1"/>
  <c r="G95" i="9"/>
  <c r="H95" i="9" s="1"/>
  <c r="G94" i="9"/>
  <c r="H94" i="9" s="1"/>
  <c r="G93" i="9"/>
  <c r="H93" i="9" s="1"/>
  <c r="G92" i="9"/>
  <c r="H92" i="9" s="1"/>
  <c r="G91" i="9"/>
  <c r="H91" i="9" s="1"/>
  <c r="G90" i="9"/>
  <c r="H90" i="9" s="1"/>
  <c r="G89" i="9"/>
  <c r="H89" i="9" s="1"/>
  <c r="G88" i="9"/>
  <c r="H88" i="9" s="1"/>
  <c r="G87" i="9"/>
  <c r="H87" i="9" s="1"/>
  <c r="G86" i="9"/>
  <c r="H86" i="9" s="1"/>
  <c r="G85" i="9"/>
  <c r="H85" i="9" s="1"/>
  <c r="G84" i="9"/>
  <c r="H84" i="9" s="1"/>
  <c r="G83" i="9"/>
  <c r="H83" i="9" s="1"/>
  <c r="G82" i="9"/>
  <c r="H82" i="9" s="1"/>
  <c r="G81" i="9"/>
  <c r="H81" i="9" s="1"/>
  <c r="G80" i="9"/>
  <c r="H80" i="9" s="1"/>
  <c r="G79" i="9"/>
  <c r="H79" i="9" s="1"/>
  <c r="G76" i="9"/>
  <c r="H76" i="9" s="1"/>
  <c r="G75" i="9"/>
  <c r="H75" i="9" s="1"/>
  <c r="G74" i="9"/>
  <c r="H74" i="9" s="1"/>
  <c r="G73" i="9"/>
  <c r="G72" i="9"/>
  <c r="H72" i="9" s="1"/>
  <c r="G71" i="9"/>
  <c r="H71" i="9" s="1"/>
  <c r="G70" i="9"/>
  <c r="H70" i="9" s="1"/>
  <c r="G69" i="9"/>
  <c r="H69" i="9" s="1"/>
  <c r="G68" i="9"/>
  <c r="H68" i="9" s="1"/>
  <c r="G67" i="9"/>
  <c r="H67" i="9" s="1"/>
  <c r="G66" i="9"/>
  <c r="H66" i="9" s="1"/>
  <c r="G65" i="9"/>
  <c r="H65" i="9" s="1"/>
  <c r="G64" i="9"/>
  <c r="G63" i="9"/>
  <c r="H63" i="9" s="1"/>
  <c r="G62" i="9"/>
  <c r="H62" i="9" s="1"/>
  <c r="G61" i="9"/>
  <c r="H61" i="9" s="1"/>
  <c r="G60" i="9"/>
  <c r="H60" i="9" s="1"/>
  <c r="G59" i="9"/>
  <c r="H59" i="9" s="1"/>
  <c r="G58" i="9"/>
  <c r="H58" i="9" s="1"/>
  <c r="G57" i="9"/>
  <c r="H57" i="9" s="1"/>
  <c r="G56" i="9"/>
  <c r="G55" i="9"/>
  <c r="H55" i="9" s="1"/>
  <c r="G54" i="9"/>
  <c r="H54" i="9" s="1"/>
  <c r="G53" i="9"/>
  <c r="H53" i="9" s="1"/>
  <c r="G52" i="9"/>
  <c r="H52" i="9" s="1"/>
  <c r="G51" i="9"/>
  <c r="H51" i="9" s="1"/>
  <c r="G50" i="9"/>
  <c r="H50" i="9" s="1"/>
  <c r="G49" i="9"/>
  <c r="H49" i="9" s="1"/>
  <c r="G48" i="9"/>
  <c r="H48" i="9" s="1"/>
  <c r="G47" i="9"/>
  <c r="H47" i="9" s="1"/>
  <c r="G46" i="9"/>
  <c r="H46" i="9" s="1"/>
  <c r="G45" i="9"/>
  <c r="H45" i="9" s="1"/>
  <c r="G44" i="9"/>
  <c r="G43" i="9"/>
  <c r="H43" i="9" s="1"/>
  <c r="G42" i="9"/>
  <c r="H42" i="9" s="1"/>
  <c r="G41" i="9"/>
  <c r="H41" i="9" s="1"/>
  <c r="G40" i="9"/>
  <c r="G39" i="9"/>
  <c r="H39" i="9" s="1"/>
  <c r="G38" i="9"/>
  <c r="H38" i="9" s="1"/>
  <c r="G37" i="9"/>
  <c r="H37" i="9" s="1"/>
  <c r="G36" i="9"/>
  <c r="H36" i="9" s="1"/>
  <c r="G35" i="9"/>
  <c r="H35" i="9" s="1"/>
  <c r="G34" i="9"/>
  <c r="H34" i="9" s="1"/>
  <c r="G33" i="9"/>
  <c r="H33" i="9" s="1"/>
  <c r="G32" i="9"/>
  <c r="H32" i="9" s="1"/>
  <c r="G31" i="9"/>
  <c r="H31" i="9" s="1"/>
  <c r="G30" i="9"/>
  <c r="H30" i="9" s="1"/>
  <c r="G29" i="9"/>
  <c r="H29" i="9" s="1"/>
  <c r="G28" i="9"/>
  <c r="H28" i="9" s="1"/>
  <c r="G27" i="9"/>
  <c r="H27" i="9" s="1"/>
  <c r="G26" i="9"/>
  <c r="H26" i="9" s="1"/>
  <c r="G25" i="9"/>
  <c r="H25" i="9" s="1"/>
  <c r="G24" i="9"/>
  <c r="H24" i="9" s="1"/>
  <c r="G23" i="9"/>
  <c r="H23" i="9" s="1"/>
  <c r="G22" i="9"/>
  <c r="H22" i="9" s="1"/>
  <c r="G21" i="9"/>
  <c r="H21" i="9" s="1"/>
  <c r="G20" i="9"/>
  <c r="H20" i="9" s="1"/>
  <c r="G19" i="9"/>
  <c r="H19" i="9" s="1"/>
  <c r="G18" i="9"/>
  <c r="H18" i="9" s="1"/>
  <c r="G17" i="9"/>
  <c r="H17" i="9" s="1"/>
  <c r="G16" i="9"/>
  <c r="H16" i="9" s="1"/>
  <c r="G15" i="9"/>
  <c r="H15" i="9" s="1"/>
  <c r="G14" i="9"/>
  <c r="H14" i="9" s="1"/>
  <c r="G13" i="9"/>
  <c r="H13" i="9" s="1"/>
  <c r="G12" i="9"/>
  <c r="H12" i="9" s="1"/>
  <c r="G164" i="9" l="1"/>
  <c r="G163" i="9" s="1"/>
  <c r="G78" i="9"/>
  <c r="F168" i="9" l="1"/>
  <c r="H164" i="9"/>
  <c r="H163" i="9" s="1"/>
  <c r="H78" i="9"/>
  <c r="H77" i="9" s="1"/>
  <c r="G77" i="9"/>
  <c r="F169" i="9"/>
  <c r="G10" i="9"/>
  <c r="H11" i="9"/>
  <c r="H10" i="9" s="1"/>
  <c r="H168" i="9" s="1"/>
  <c r="G168" i="9" l="1"/>
  <c r="H169" i="9"/>
  <c r="G169" i="9"/>
  <c r="E67" i="21" l="1"/>
  <c r="I232" i="3"/>
  <c r="I252" i="3"/>
  <c r="I196" i="3"/>
  <c r="I200" i="3" s="1"/>
  <c r="I179" i="3"/>
  <c r="I167" i="3"/>
  <c r="I150" i="3"/>
  <c r="I151" i="3" s="1"/>
  <c r="I131" i="3"/>
  <c r="I122" i="3"/>
  <c r="I86" i="3"/>
  <c r="N234" i="3"/>
  <c r="O234" i="3" s="1"/>
  <c r="N219" i="3"/>
  <c r="O219" i="3" s="1"/>
  <c r="G67" i="21" l="1"/>
  <c r="H67" i="21" s="1"/>
  <c r="F67" i="21"/>
  <c r="P234" i="3"/>
  <c r="Q234" i="3" s="1"/>
  <c r="P219" i="3"/>
  <c r="Q219" i="3" s="1"/>
  <c r="E66" i="21"/>
  <c r="E68" i="21"/>
  <c r="I254" i="3"/>
  <c r="I87" i="3"/>
  <c r="K126" i="3"/>
  <c r="M126" i="3"/>
  <c r="N126" i="3" s="1"/>
  <c r="O126" i="3" s="1"/>
  <c r="K138" i="3"/>
  <c r="M138" i="3"/>
  <c r="N138" i="3" s="1"/>
  <c r="O138" i="3" s="1"/>
  <c r="K146" i="3"/>
  <c r="M146" i="3"/>
  <c r="N146" i="3" s="1"/>
  <c r="O146" i="3" s="1"/>
  <c r="P146" i="3" s="1"/>
  <c r="K157" i="3"/>
  <c r="M157" i="3"/>
  <c r="N157" i="3" s="1"/>
  <c r="O157" i="3" s="1"/>
  <c r="P157" i="3" s="1"/>
  <c r="K165" i="3"/>
  <c r="M165" i="3"/>
  <c r="N165" i="3" s="1"/>
  <c r="O165" i="3" s="1"/>
  <c r="P165" i="3" s="1"/>
  <c r="K173" i="3"/>
  <c r="M173" i="3"/>
  <c r="N173" i="3" s="1"/>
  <c r="O173" i="3" s="1"/>
  <c r="K114" i="3"/>
  <c r="M114" i="3"/>
  <c r="N114" i="3" s="1"/>
  <c r="O114" i="3" s="1"/>
  <c r="K127" i="3"/>
  <c r="M127" i="3"/>
  <c r="N127" i="3" s="1"/>
  <c r="O127" i="3" s="1"/>
  <c r="K143" i="3"/>
  <c r="M143" i="3"/>
  <c r="N143" i="3" s="1"/>
  <c r="O143" i="3" s="1"/>
  <c r="K154" i="3"/>
  <c r="M154" i="3"/>
  <c r="N154" i="3" s="1"/>
  <c r="O154" i="3" s="1"/>
  <c r="K162" i="3"/>
  <c r="M162" i="3"/>
  <c r="N162" i="3" s="1"/>
  <c r="O162" i="3" s="1"/>
  <c r="P162" i="3" s="1"/>
  <c r="M170" i="3"/>
  <c r="N170" i="3" s="1"/>
  <c r="O170" i="3" s="1"/>
  <c r="K170" i="3"/>
  <c r="K174" i="3"/>
  <c r="M174" i="3"/>
  <c r="N174" i="3" s="1"/>
  <c r="O174" i="3" s="1"/>
  <c r="P174" i="3" s="1"/>
  <c r="K191" i="3"/>
  <c r="M191" i="3"/>
  <c r="N191" i="3" s="1"/>
  <c r="O191" i="3" s="1"/>
  <c r="K115" i="3"/>
  <c r="M115" i="3"/>
  <c r="N115" i="3" s="1"/>
  <c r="O115" i="3" s="1"/>
  <c r="P115" i="3" s="1"/>
  <c r="K124" i="3"/>
  <c r="M124" i="3"/>
  <c r="N124" i="3" s="1"/>
  <c r="O124" i="3" s="1"/>
  <c r="K128" i="3"/>
  <c r="M128" i="3"/>
  <c r="N128" i="3" s="1"/>
  <c r="O128" i="3" s="1"/>
  <c r="K136" i="3"/>
  <c r="M136" i="3"/>
  <c r="N136" i="3" s="1"/>
  <c r="O136" i="3" s="1"/>
  <c r="K144" i="3"/>
  <c r="M144" i="3"/>
  <c r="N144" i="3" s="1"/>
  <c r="O144" i="3" s="1"/>
  <c r="K148" i="3"/>
  <c r="M148" i="3"/>
  <c r="N148" i="3" s="1"/>
  <c r="O148" i="3" s="1"/>
  <c r="K155" i="3"/>
  <c r="M155" i="3"/>
  <c r="N155" i="3" s="1"/>
  <c r="O155" i="3" s="1"/>
  <c r="P155" i="3" s="1"/>
  <c r="K159" i="3"/>
  <c r="M159" i="3"/>
  <c r="N159" i="3" s="1"/>
  <c r="O159" i="3" s="1"/>
  <c r="K163" i="3"/>
  <c r="M163" i="3"/>
  <c r="N163" i="3" s="1"/>
  <c r="O163" i="3" s="1"/>
  <c r="P163" i="3" s="1"/>
  <c r="M171" i="3"/>
  <c r="N171" i="3" s="1"/>
  <c r="O171" i="3" s="1"/>
  <c r="P171" i="3" s="1"/>
  <c r="K171" i="3"/>
  <c r="K175" i="3"/>
  <c r="M175" i="3"/>
  <c r="N175" i="3" s="1"/>
  <c r="O175" i="3" s="1"/>
  <c r="K192" i="3"/>
  <c r="M192" i="3"/>
  <c r="N192" i="3" s="1"/>
  <c r="O192" i="3" s="1"/>
  <c r="K117" i="3"/>
  <c r="M117" i="3"/>
  <c r="N117" i="3" s="1"/>
  <c r="O117" i="3" s="1"/>
  <c r="P117" i="3" s="1"/>
  <c r="K161" i="3"/>
  <c r="M161" i="3"/>
  <c r="N161" i="3" s="1"/>
  <c r="O161" i="3" s="1"/>
  <c r="K169" i="3"/>
  <c r="M169" i="3"/>
  <c r="K177" i="3"/>
  <c r="M177" i="3"/>
  <c r="N177" i="3" s="1"/>
  <c r="O177" i="3" s="1"/>
  <c r="K183" i="3"/>
  <c r="M183" i="3"/>
  <c r="N183" i="3" s="1"/>
  <c r="O183" i="3" s="1"/>
  <c r="K194" i="3"/>
  <c r="M194" i="3"/>
  <c r="N194" i="3" s="1"/>
  <c r="O194" i="3" s="1"/>
  <c r="K135" i="3"/>
  <c r="M135" i="3"/>
  <c r="N135" i="3" s="1"/>
  <c r="O135" i="3" s="1"/>
  <c r="K147" i="3"/>
  <c r="M147" i="3"/>
  <c r="N147" i="3" s="1"/>
  <c r="O147" i="3" s="1"/>
  <c r="K158" i="3"/>
  <c r="M158" i="3"/>
  <c r="N158" i="3" s="1"/>
  <c r="O158" i="3" s="1"/>
  <c r="P158" i="3" s="1"/>
  <c r="K166" i="3"/>
  <c r="M166" i="3"/>
  <c r="N166" i="3" s="1"/>
  <c r="O166" i="3" s="1"/>
  <c r="P166" i="3" s="1"/>
  <c r="K178" i="3"/>
  <c r="M178" i="3"/>
  <c r="N178" i="3" s="1"/>
  <c r="O178" i="3" s="1"/>
  <c r="P178" i="3" s="1"/>
  <c r="K195" i="3"/>
  <c r="M195" i="3"/>
  <c r="N195" i="3" s="1"/>
  <c r="O195" i="3" s="1"/>
  <c r="K116" i="3"/>
  <c r="M116" i="3"/>
  <c r="N116" i="3" s="1"/>
  <c r="O116" i="3" s="1"/>
  <c r="K125" i="3"/>
  <c r="M125" i="3"/>
  <c r="N125" i="3" s="1"/>
  <c r="O125" i="3" s="1"/>
  <c r="P125" i="3" s="1"/>
  <c r="K129" i="3"/>
  <c r="M129" i="3"/>
  <c r="N129" i="3" s="1"/>
  <c r="O129" i="3" s="1"/>
  <c r="K137" i="3"/>
  <c r="M137" i="3"/>
  <c r="N137" i="3" s="1"/>
  <c r="O137" i="3" s="1"/>
  <c r="P137" i="3" s="1"/>
  <c r="K145" i="3"/>
  <c r="M145" i="3"/>
  <c r="N145" i="3" s="1"/>
  <c r="O145" i="3" s="1"/>
  <c r="K149" i="3"/>
  <c r="M149" i="3"/>
  <c r="N149" i="3" s="1"/>
  <c r="O149" i="3" s="1"/>
  <c r="K156" i="3"/>
  <c r="M156" i="3"/>
  <c r="N156" i="3" s="1"/>
  <c r="O156" i="3" s="1"/>
  <c r="P156" i="3" s="1"/>
  <c r="K160" i="3"/>
  <c r="M160" i="3"/>
  <c r="N160" i="3" s="1"/>
  <c r="O160" i="3" s="1"/>
  <c r="P160" i="3" s="1"/>
  <c r="K164" i="3"/>
  <c r="M164" i="3"/>
  <c r="N164" i="3" s="1"/>
  <c r="O164" i="3" s="1"/>
  <c r="P164" i="3" s="1"/>
  <c r="M172" i="3"/>
  <c r="N172" i="3" s="1"/>
  <c r="O172" i="3" s="1"/>
  <c r="K172" i="3"/>
  <c r="K176" i="3"/>
  <c r="M176" i="3"/>
  <c r="N176" i="3" s="1"/>
  <c r="O176" i="3" s="1"/>
  <c r="K193" i="3"/>
  <c r="M193" i="3"/>
  <c r="N193" i="3" s="1"/>
  <c r="O193" i="3" s="1"/>
  <c r="P193" i="3" s="1"/>
  <c r="I220" i="3"/>
  <c r="I253" i="3" s="1"/>
  <c r="I180" i="3"/>
  <c r="I132" i="3"/>
  <c r="B33" i="4"/>
  <c r="B30" i="4"/>
  <c r="B26" i="4"/>
  <c r="B22" i="4"/>
  <c r="B16" i="4"/>
  <c r="G68" i="21" l="1"/>
  <c r="H68" i="21" s="1"/>
  <c r="F68" i="21"/>
  <c r="F66" i="21"/>
  <c r="G66" i="21"/>
  <c r="H66" i="21" s="1"/>
  <c r="Q202" i="3"/>
  <c r="E61" i="21" s="1"/>
  <c r="P149" i="3"/>
  <c r="Q149" i="3" s="1"/>
  <c r="P195" i="3"/>
  <c r="Q195" i="3" s="1"/>
  <c r="P147" i="3"/>
  <c r="Q147" i="3" s="1"/>
  <c r="P194" i="3"/>
  <c r="Q194" i="3" s="1"/>
  <c r="P177" i="3"/>
  <c r="Q177" i="3" s="1"/>
  <c r="P161" i="3"/>
  <c r="Q161" i="3" s="1"/>
  <c r="P192" i="3"/>
  <c r="Q192" i="3" s="1"/>
  <c r="P159" i="3"/>
  <c r="Q159" i="3" s="1"/>
  <c r="P148" i="3"/>
  <c r="Q148" i="3" s="1"/>
  <c r="P136" i="3"/>
  <c r="Q136" i="3" s="1"/>
  <c r="P124" i="3"/>
  <c r="Q124" i="3" s="1"/>
  <c r="P191" i="3"/>
  <c r="Q191" i="3" s="1"/>
  <c r="P154" i="3"/>
  <c r="Q154" i="3" s="1"/>
  <c r="P127" i="3"/>
  <c r="Q127" i="3" s="1"/>
  <c r="P173" i="3"/>
  <c r="Q173" i="3" s="1"/>
  <c r="P138" i="3"/>
  <c r="Q138" i="3" s="1"/>
  <c r="P172" i="3"/>
  <c r="Q172" i="3" s="1"/>
  <c r="P170" i="3"/>
  <c r="Q170" i="3" s="1"/>
  <c r="P176" i="3"/>
  <c r="Q176" i="3" s="1"/>
  <c r="P145" i="3"/>
  <c r="Q145" i="3" s="1"/>
  <c r="P129" i="3"/>
  <c r="Q129" i="3" s="1"/>
  <c r="P116" i="3"/>
  <c r="Q116" i="3" s="1"/>
  <c r="P135" i="3"/>
  <c r="Q135" i="3" s="1"/>
  <c r="P183" i="3"/>
  <c r="Q183" i="3" s="1"/>
  <c r="P175" i="3"/>
  <c r="Q175" i="3" s="1"/>
  <c r="P144" i="3"/>
  <c r="Q144" i="3" s="1"/>
  <c r="P128" i="3"/>
  <c r="Q128" i="3" s="1"/>
  <c r="P143" i="3"/>
  <c r="Q143" i="3" s="1"/>
  <c r="P114" i="3"/>
  <c r="Q114" i="3" s="1"/>
  <c r="P126" i="3"/>
  <c r="Q126" i="3" s="1"/>
  <c r="N169" i="3"/>
  <c r="O169" i="3" s="1"/>
  <c r="E62" i="21"/>
  <c r="B34" i="4"/>
  <c r="I201" i="3"/>
  <c r="Q157" i="3"/>
  <c r="Q164" i="3"/>
  <c r="Q156" i="3"/>
  <c r="Q178" i="3"/>
  <c r="Q163" i="3"/>
  <c r="Q155" i="3"/>
  <c r="Q115" i="3"/>
  <c r="Q171" i="3"/>
  <c r="Q174" i="3"/>
  <c r="Q162" i="3"/>
  <c r="Q165" i="3"/>
  <c r="Q146" i="3"/>
  <c r="Q158" i="3"/>
  <c r="Q193" i="3"/>
  <c r="Q160" i="3"/>
  <c r="Q137" i="3"/>
  <c r="Q125" i="3"/>
  <c r="Q166" i="3"/>
  <c r="Q117" i="3"/>
  <c r="I241" i="3"/>
  <c r="I28" i="1"/>
  <c r="G62" i="21" l="1"/>
  <c r="H62" i="21" s="1"/>
  <c r="F62" i="21"/>
  <c r="G61" i="21"/>
  <c r="H61" i="21" s="1"/>
  <c r="F61" i="21"/>
  <c r="Q88" i="3"/>
  <c r="E59" i="21" s="1"/>
  <c r="P169" i="3"/>
  <c r="Q169" i="3" s="1"/>
  <c r="G87" i="2"/>
  <c r="G97" i="2"/>
  <c r="G96" i="2" s="1"/>
  <c r="G89" i="2"/>
  <c r="I49" i="1"/>
  <c r="I50" i="1" s="1"/>
  <c r="M48" i="1"/>
  <c r="N48" i="1" s="1"/>
  <c r="M46" i="1"/>
  <c r="I65" i="1"/>
  <c r="I81" i="1"/>
  <c r="I86" i="1"/>
  <c r="I235" i="1"/>
  <c r="I202" i="1"/>
  <c r="I193" i="1"/>
  <c r="G59" i="21" l="1"/>
  <c r="H59" i="21" s="1"/>
  <c r="F59" i="21"/>
  <c r="E60" i="21"/>
  <c r="E56" i="21"/>
  <c r="Q257" i="3"/>
  <c r="G47" i="2"/>
  <c r="G10" i="2" s="1"/>
  <c r="G92" i="2"/>
  <c r="G86" i="2" s="1"/>
  <c r="M148" i="1"/>
  <c r="N148" i="1" s="1"/>
  <c r="O148" i="1" s="1"/>
  <c r="K47" i="1"/>
  <c r="M47" i="1"/>
  <c r="N47" i="1" s="1"/>
  <c r="O47" i="1" s="1"/>
  <c r="K46" i="1"/>
  <c r="N46" i="1"/>
  <c r="O46" i="1" s="1"/>
  <c r="K48" i="1"/>
  <c r="O48" i="1"/>
  <c r="I87" i="1"/>
  <c r="I203" i="1"/>
  <c r="N101" i="1"/>
  <c r="O101" i="1" s="1"/>
  <c r="N100" i="1"/>
  <c r="O100" i="1" s="1"/>
  <c r="N96" i="1"/>
  <c r="O96" i="1" s="1"/>
  <c r="N92" i="1"/>
  <c r="O92" i="1" s="1"/>
  <c r="G60" i="21" l="1"/>
  <c r="H60" i="21" s="1"/>
  <c r="F60" i="21"/>
  <c r="E43" i="21"/>
  <c r="G56" i="21"/>
  <c r="H56" i="21" s="1"/>
  <c r="F56" i="21"/>
  <c r="P148" i="1"/>
  <c r="Q148" i="1" s="1"/>
  <c r="Q203" i="1" s="1"/>
  <c r="E39" i="21" s="1"/>
  <c r="P96" i="1"/>
  <c r="Q96" i="1" s="1"/>
  <c r="P46" i="1"/>
  <c r="Q46" i="1" s="1"/>
  <c r="P48" i="1"/>
  <c r="Q48" i="1" s="1"/>
  <c r="P47" i="1"/>
  <c r="Q47" i="1" s="1"/>
  <c r="P92" i="1"/>
  <c r="Q92" i="1" s="1"/>
  <c r="P100" i="1"/>
  <c r="Q100" i="1" s="1"/>
  <c r="P101" i="1"/>
  <c r="Q101" i="1" s="1"/>
  <c r="G101" i="2"/>
  <c r="I93" i="1"/>
  <c r="I98" i="1"/>
  <c r="I102" i="1"/>
  <c r="G39" i="21" l="1"/>
  <c r="H39" i="21" s="1"/>
  <c r="F39" i="21"/>
  <c r="Q103" i="1"/>
  <c r="F43" i="21"/>
  <c r="G43" i="21"/>
  <c r="H43" i="21" s="1"/>
  <c r="Q50" i="1"/>
  <c r="E33" i="21" s="1"/>
  <c r="E31" i="21"/>
  <c r="E40" i="21"/>
  <c r="I103" i="1"/>
  <c r="I29" i="1"/>
  <c r="G33" i="21" l="1"/>
  <c r="H33" i="21" s="1"/>
  <c r="F33" i="21"/>
  <c r="G40" i="21"/>
  <c r="H40" i="21" s="1"/>
  <c r="F40" i="21"/>
  <c r="F31" i="21"/>
  <c r="G31" i="21"/>
  <c r="H31" i="21" s="1"/>
  <c r="E29" i="21"/>
  <c r="Q104" i="1"/>
  <c r="E34" i="21"/>
  <c r="I257" i="3"/>
  <c r="G34" i="21" l="1"/>
  <c r="H34" i="21" s="1"/>
  <c r="F34" i="21"/>
  <c r="G29" i="21"/>
  <c r="H29" i="21" s="1"/>
  <c r="F29" i="21"/>
  <c r="E30" i="21"/>
  <c r="E13" i="21"/>
  <c r="E11" i="21" l="1"/>
  <c r="E10" i="21" s="1"/>
  <c r="F13" i="21"/>
  <c r="G13" i="21"/>
  <c r="H13" i="21" s="1"/>
  <c r="F30" i="21"/>
  <c r="G30" i="21"/>
  <c r="H30" i="21" s="1"/>
  <c r="E12" i="21"/>
  <c r="G11" i="21" l="1"/>
  <c r="H11" i="21" s="1"/>
  <c r="F11" i="21"/>
  <c r="G12" i="21"/>
  <c r="H12" i="21" s="1"/>
  <c r="F12" i="21"/>
  <c r="G10" i="21"/>
  <c r="H10" i="21" s="1"/>
  <c r="F10"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julijal</author>
    <author>agnesel</author>
  </authors>
  <commentList>
    <comment ref="A114" authorId="0" shapeId="0" xr:uid="{12BBD770-FA01-4C0C-8DC3-AEE0FD38926A}">
      <text>
        <r>
          <rPr>
            <b/>
            <sz val="9"/>
            <color indexed="81"/>
            <rFont val="Tahoma"/>
            <family val="2"/>
            <charset val="186"/>
          </rPr>
          <t>julijal:</t>
        </r>
        <r>
          <rPr>
            <sz val="9"/>
            <color indexed="81"/>
            <rFont val="Tahoma"/>
            <family val="2"/>
            <charset val="186"/>
          </rPr>
          <t xml:space="preserve">
1 amata vieta likvidēta, izveidojot vecākā referenta amatu                   </t>
        </r>
      </text>
    </comment>
    <comment ref="A129" authorId="1" shapeId="0" xr:uid="{6381DA18-F25C-4C9C-AEF5-8FE8ADAC65A4}">
      <text>
        <r>
          <rPr>
            <b/>
            <sz val="9"/>
            <color indexed="81"/>
            <rFont val="Tahoma"/>
            <family val="2"/>
            <charset val="186"/>
          </rPr>
          <t>julijal:</t>
        </r>
        <r>
          <rPr>
            <sz val="9"/>
            <color indexed="81"/>
            <rFont val="Tahoma"/>
            <family val="2"/>
            <charset val="186"/>
          </rPr>
          <t xml:space="preserve">
Amats pārdēvēts par Vides veselības analītiķi</t>
        </r>
      </text>
    </comment>
    <comment ref="G149" authorId="1" shapeId="0" xr:uid="{A933B8B2-AFC4-41E5-A348-E84470747B14}">
      <text>
        <r>
          <rPr>
            <b/>
            <sz val="9"/>
            <color indexed="81"/>
            <rFont val="Tahoma"/>
            <family val="2"/>
            <charset val="186"/>
          </rPr>
          <t>agnesel:</t>
        </r>
        <r>
          <rPr>
            <sz val="9"/>
            <color indexed="81"/>
            <rFont val="Tahoma"/>
            <family val="2"/>
            <charset val="186"/>
          </rPr>
          <t xml:space="preserve">
 jauns darbinieks - I kategorija</t>
        </r>
      </text>
    </comment>
    <comment ref="A166" authorId="1" shapeId="0" xr:uid="{9EE60509-8DA7-4E1F-82FB-CC95D4D1C7B0}">
      <text>
        <r>
          <rPr>
            <b/>
            <sz val="9"/>
            <color indexed="81"/>
            <rFont val="Tahoma"/>
            <family val="2"/>
            <charset val="186"/>
          </rPr>
          <t>agnesel:</t>
        </r>
        <r>
          <rPr>
            <sz val="9"/>
            <color indexed="81"/>
            <rFont val="Tahoma"/>
            <family val="2"/>
            <charset val="186"/>
          </rPr>
          <t xml:space="preserve">
izveidots jauns amats, likvidējot ārsta eksperta amatu </t>
        </r>
      </text>
    </comment>
    <comment ref="A185" authorId="1" shapeId="0" xr:uid="{9255D567-68A9-442D-AB33-785749B3ABF7}">
      <text>
        <r>
          <rPr>
            <b/>
            <sz val="9"/>
            <color indexed="81"/>
            <rFont val="Tahoma"/>
            <family val="2"/>
            <charset val="186"/>
          </rPr>
          <t>agnesel:</t>
        </r>
        <r>
          <rPr>
            <sz val="9"/>
            <color indexed="81"/>
            <rFont val="Tahoma"/>
            <family val="2"/>
            <charset val="186"/>
          </rPr>
          <t xml:space="preserve">
izveidots jauns amats, likvidējot ārsta eksperta palīga amatu </t>
        </r>
      </text>
    </comment>
    <comment ref="A190" authorId="1" shapeId="0" xr:uid="{4DAA2198-24FD-4386-8FDF-99098E413D05}">
      <text>
        <r>
          <rPr>
            <b/>
            <sz val="9"/>
            <color indexed="81"/>
            <rFont val="Tahoma"/>
            <family val="2"/>
            <charset val="186"/>
          </rPr>
          <t>agnesel:</t>
        </r>
        <r>
          <rPr>
            <sz val="9"/>
            <color indexed="81"/>
            <rFont val="Tahoma"/>
            <family val="2"/>
            <charset val="186"/>
          </rPr>
          <t xml:space="preserve">
Amats no higiēnas ārsta amata pārdēvēts par Vides veselības analītiķi</t>
        </r>
      </text>
    </comment>
    <comment ref="A200" authorId="1" shapeId="0" xr:uid="{EF2CAB2C-4686-496B-ADAF-5B7AAD97A314}">
      <text>
        <r>
          <rPr>
            <b/>
            <sz val="9"/>
            <color indexed="81"/>
            <rFont val="Tahoma"/>
            <family val="2"/>
            <charset val="186"/>
          </rPr>
          <t>agnesel:</t>
        </r>
        <r>
          <rPr>
            <sz val="9"/>
            <color indexed="81"/>
            <rFont val="Tahoma"/>
            <family val="2"/>
            <charset val="186"/>
          </rPr>
          <t xml:space="preserve">
amats likvidēts izveidojot Tehniskās uzraudzības inspektora amatu </t>
        </r>
      </text>
    </comment>
  </commentList>
</comments>
</file>

<file path=xl/sharedStrings.xml><?xml version="1.0" encoding="utf-8"?>
<sst xmlns="http://schemas.openxmlformats.org/spreadsheetml/2006/main" count="3140" uniqueCount="745">
  <si>
    <t>Informācija par ārstniecības personām</t>
  </si>
  <si>
    <t>Amata nosaukums</t>
  </si>
  <si>
    <t xml:space="preserve">Valsts kancelejā saskaņotā amata saime </t>
  </si>
  <si>
    <t>Līmenis</t>
  </si>
  <si>
    <t>Amatam atbilstošā mēneš-algu grupa</t>
  </si>
  <si>
    <t>Darbiniekam piešķirtā kategorija</t>
  </si>
  <si>
    <t>max pēc MK not. Nr.66 (2.piel.), EUR</t>
  </si>
  <si>
    <t>Faktiskā mēneš-algas likme par  1 slodzi</t>
  </si>
  <si>
    <t>Piemaksa</t>
  </si>
  <si>
    <t>Slodzes (normālā darba laika ietvaros)</t>
  </si>
  <si>
    <t>39.03.00 Specializētās veselības aprūpes nodrošināšana, Asins un asins komponentu nodrošināšana</t>
  </si>
  <si>
    <t>Ārsti un funkcionālie speciālisti</t>
  </si>
  <si>
    <t>Transfuzioloģiskā departamenta direktors</t>
  </si>
  <si>
    <t>V</t>
  </si>
  <si>
    <t>Laboratoriju departamenta direktors</t>
  </si>
  <si>
    <t>Nodaļas vadītājs (virsārsts)</t>
  </si>
  <si>
    <t>5.1.</t>
  </si>
  <si>
    <t>IVB</t>
  </si>
  <si>
    <t>Laboratorijas vadītājs</t>
  </si>
  <si>
    <t>IV</t>
  </si>
  <si>
    <t>Nodaļas vadītājs (virsārsts) - krājumu nodaļa</t>
  </si>
  <si>
    <t>IVA</t>
  </si>
  <si>
    <t>Galvenā medicīnas māsa</t>
  </si>
  <si>
    <t>5.2.</t>
  </si>
  <si>
    <t>Donoru nodaļas vadītājs</t>
  </si>
  <si>
    <t>Ārsts</t>
  </si>
  <si>
    <t>III</t>
  </si>
  <si>
    <t>Eksperts Asins dienestā</t>
  </si>
  <si>
    <t>Ārstniecības un pacientu aprūpes personas</t>
  </si>
  <si>
    <t>Vecākais biomedicīnas laborants</t>
  </si>
  <si>
    <t>IE</t>
  </si>
  <si>
    <t>Biomedicīnas laborants</t>
  </si>
  <si>
    <t>Medicīnas laborants</t>
  </si>
  <si>
    <t>Virsmāsa</t>
  </si>
  <si>
    <t>Izbraukumu projektu vadītājs (izbraukumu organizators)</t>
  </si>
  <si>
    <t>I</t>
  </si>
  <si>
    <t>Vecākais ārsta palīgs (feldšeris)</t>
  </si>
  <si>
    <t>IA</t>
  </si>
  <si>
    <t>Ārsta palīgs (feldšeris)</t>
  </si>
  <si>
    <t>Ārsta palīgs (feldšeris) - nesertificēts</t>
  </si>
  <si>
    <t>Medicīnas māsa</t>
  </si>
  <si>
    <t>Medicīnas māsa - nesertificēta</t>
  </si>
  <si>
    <t>II</t>
  </si>
  <si>
    <t>Medicīniskās noliktavas pārzinis</t>
  </si>
  <si>
    <t>Klientu apkalpošanas speciālists</t>
  </si>
  <si>
    <t>IIA</t>
  </si>
  <si>
    <t>Autobusa vadītājs - izbraukumos</t>
  </si>
  <si>
    <t>Ārstniecības un pacientu aprūpes atbalsta personas</t>
  </si>
  <si>
    <t>Māsas palīgs</t>
  </si>
  <si>
    <t>IB</t>
  </si>
  <si>
    <t>Klientu un pacientu reģistrators</t>
  </si>
  <si>
    <t>Sanitārs</t>
  </si>
  <si>
    <t>x</t>
  </si>
  <si>
    <t>Valsts Asinsdonoru centrs - slimnīcu Asins sagatavošanas nodaļās strādājošie</t>
  </si>
  <si>
    <t>39.03.00 Specializētās veselības aprūpes nodrošināšana, Asins un asins komponentu nodrošināšana, EKK 2800</t>
  </si>
  <si>
    <t>Kopā</t>
  </si>
  <si>
    <t>Valsts asinsdonoru centrs</t>
  </si>
  <si>
    <t>Kopā iestādei</t>
  </si>
  <si>
    <t>Veselības inspekcija</t>
  </si>
  <si>
    <t>Vecākais ārsts eksperts</t>
  </si>
  <si>
    <t>10.</t>
  </si>
  <si>
    <t>Ārsts eksperts</t>
  </si>
  <si>
    <t>Ārsts stažieris</t>
  </si>
  <si>
    <t>Vecākais higiēnas ārsts</t>
  </si>
  <si>
    <t>Higiēnas ārsts</t>
  </si>
  <si>
    <t>Nodaļas vadītājs</t>
  </si>
  <si>
    <t>26.3.</t>
  </si>
  <si>
    <t>Vecākais inspektors</t>
  </si>
  <si>
    <t>Vecākais inspektors veselības aprūpes jomā</t>
  </si>
  <si>
    <t>3</t>
  </si>
  <si>
    <t>Inspektors</t>
  </si>
  <si>
    <t>IIIB</t>
  </si>
  <si>
    <t>Inspektors veselības aprūpes jomā</t>
  </si>
  <si>
    <t>Vecākais referents</t>
  </si>
  <si>
    <t>35.</t>
  </si>
  <si>
    <t>10</t>
  </si>
  <si>
    <t>Pārvaldes vecākais referents</t>
  </si>
  <si>
    <t>Referents</t>
  </si>
  <si>
    <t>Departamenta vadītājs</t>
  </si>
  <si>
    <t>VIB</t>
  </si>
  <si>
    <t>14</t>
  </si>
  <si>
    <t xml:space="preserve">Inspekcijas vadītāja vietnieks </t>
  </si>
  <si>
    <t xml:space="preserve">Departamenta vadītāja vietnieks </t>
  </si>
  <si>
    <t>Sabiedrības veselības analītiķis</t>
  </si>
  <si>
    <t>35</t>
  </si>
  <si>
    <t>9</t>
  </si>
  <si>
    <t xml:space="preserve">Vecākais speciālists - vides veselības analītiķis </t>
  </si>
  <si>
    <t>Vecākais speciālists vides veselības jautājumos</t>
  </si>
  <si>
    <t xml:space="preserve"> Veselības aprūpes analītiķis </t>
  </si>
  <si>
    <t>Vecākais tehniskās uzraudzības inspektors</t>
  </si>
  <si>
    <t>Vides veselības analītiķis</t>
  </si>
  <si>
    <t>Vecākais inspektors sabiedrības veselības jomā</t>
  </si>
  <si>
    <t>11</t>
  </si>
  <si>
    <t>Inspektors sabiedrības veselības jomā</t>
  </si>
  <si>
    <t xml:space="preserve">Veselības aprūpes departamenta vadītājs </t>
  </si>
  <si>
    <t xml:space="preserve">Eksperta palīgs </t>
  </si>
  <si>
    <t>Higiēnas ārsta palīgs</t>
  </si>
  <si>
    <t>Infekcijas slimību riska analīzes un profilases departamenta direktors</t>
  </si>
  <si>
    <t>Infekcijas slimību uzraudzības un imunizācijas nodaļas vadītājs</t>
  </si>
  <si>
    <t>Vecākais epidemiologs (Rīga)</t>
  </si>
  <si>
    <t>Epidemiologs</t>
  </si>
  <si>
    <t>III A</t>
  </si>
  <si>
    <t>Sabiedrības veselības organizators</t>
  </si>
  <si>
    <t>Statistiķis</t>
  </si>
  <si>
    <t>Infekcijas slimību profilakses un pretepidēmijas pasākumu nodaļas vadītāja</t>
  </si>
  <si>
    <t>Vecākais epidemiologs (reģioni)</t>
  </si>
  <si>
    <t>Epidemiologs (reģioni)</t>
  </si>
  <si>
    <t>Vecākais sabiedrības veselības organizators (reģioni)</t>
  </si>
  <si>
    <t>Sabiedrības veselības organizators (reģioni)</t>
  </si>
  <si>
    <t>Slimību kontroles un profilakses centrs</t>
  </si>
  <si>
    <t>46.03.00 Slimību profilakses nodrošināšana</t>
  </si>
  <si>
    <t>46.01.00 Uzraudzība un kontrole</t>
  </si>
  <si>
    <t>Neatliekamās medicīniskās palīdzības dienests</t>
  </si>
  <si>
    <t>5.4</t>
  </si>
  <si>
    <t>VID</t>
  </si>
  <si>
    <t>15</t>
  </si>
  <si>
    <t>Direktora vietnieks attīstības un speciālo funkciju jautājumos</t>
  </si>
  <si>
    <t>Katastrofu medicīnas centra vadītājs</t>
  </si>
  <si>
    <t>5.1</t>
  </si>
  <si>
    <t>12</t>
  </si>
  <si>
    <t>VB</t>
  </si>
  <si>
    <t>13</t>
  </si>
  <si>
    <t>Zemgales reģionālā centra vadītājs</t>
  </si>
  <si>
    <t>VIC</t>
  </si>
  <si>
    <t>Vidzemes reģionālā centra vadītāja vietnieks</t>
  </si>
  <si>
    <t>VIA</t>
  </si>
  <si>
    <t>Rīgas reģionālā centra vadītājs</t>
  </si>
  <si>
    <t>Rīgas reģionālā centra vadītāja vietnieks</t>
  </si>
  <si>
    <t>Latgales reģionālā centra vadītājs</t>
  </si>
  <si>
    <t>Latgales reģionālā centra vadītāja vietnieks</t>
  </si>
  <si>
    <t>SMC vadītājs</t>
  </si>
  <si>
    <t>SMC vadītāja vietnieks</t>
  </si>
  <si>
    <t>OVC vadītājs</t>
  </si>
  <si>
    <t>OVC vadītāja vietnieks</t>
  </si>
  <si>
    <t>Pacientu drošības sistēmas vadītājs</t>
  </si>
  <si>
    <t>Vecākais speciālists medicīniskā nodrošinājuma jautājumos</t>
  </si>
  <si>
    <t>Kurzemes reģionālā centra vadītājs</t>
  </si>
  <si>
    <t>Kurzemes reģionālā centra vadītāja vietnieks</t>
  </si>
  <si>
    <t>Zemgales reģionālā centra vadītāja vietnieks</t>
  </si>
  <si>
    <t>Vidzemes reģionālā centra vadītājs</t>
  </si>
  <si>
    <t>5.3</t>
  </si>
  <si>
    <t>Medicīniskā nodrošinājuma  nodaļas vadītājs</t>
  </si>
  <si>
    <t>IIC</t>
  </si>
  <si>
    <t>Medicīnisko maksas pakalpojumu nodaļas vadītājs</t>
  </si>
  <si>
    <t>Ārkārtas situāciju gatavības nodrošināšanas nodaļas vadītājs</t>
  </si>
  <si>
    <t>Medicīnas asistents</t>
  </si>
  <si>
    <t>5.2</t>
  </si>
  <si>
    <t>5</t>
  </si>
  <si>
    <t>1</t>
  </si>
  <si>
    <t>2</t>
  </si>
  <si>
    <t>39.04.00 Neatliekamā medicīniskā palīdzība</t>
  </si>
  <si>
    <t>Ārstniecības personas amata kvalifikācijas kategorija</t>
  </si>
  <si>
    <t>Slodzes (strādājošo skaits normālā darba laika ietvaros)</t>
  </si>
  <si>
    <r>
      <t xml:space="preserve">Faktiskā mēnešalgas likme par           </t>
    </r>
    <r>
      <rPr>
        <u/>
        <sz val="9"/>
        <color indexed="8"/>
        <rFont val="Times New Roman"/>
        <family val="1"/>
      </rPr>
      <t>1 (vienu)</t>
    </r>
    <r>
      <rPr>
        <sz val="9"/>
        <color indexed="8"/>
        <rFont val="Times New Roman"/>
        <family val="1"/>
      </rPr>
      <t xml:space="preserve"> 
slodzi </t>
    </r>
  </si>
  <si>
    <t>Palielinājums par darba stāžu</t>
  </si>
  <si>
    <r>
      <t>Faktiskā darba samaksa</t>
    </r>
    <r>
      <rPr>
        <sz val="9"/>
        <color indexed="8"/>
        <rFont val="Times New Roman"/>
        <family val="1"/>
      </rPr>
      <t xml:space="preserve"> (atalgojums par slodzi) mēnesī</t>
    </r>
  </si>
  <si>
    <t>I. Sertificētu ārstniecības personu amati</t>
  </si>
  <si>
    <t>1.kategorija - Ārsts, zobārsts</t>
  </si>
  <si>
    <t>BAC vadītājs</t>
  </si>
  <si>
    <t>Vadības ārsts (operatīvais dežurants)</t>
  </si>
  <si>
    <t>Ārsta speciālista brigādes vadītājs  - NM ārsts, anesteziologs-reanimatologs</t>
  </si>
  <si>
    <t>Intensīvās terapijas brigādes vadītājs - NM ārsts</t>
  </si>
  <si>
    <t>Anesteziologs - reanimatologs</t>
  </si>
  <si>
    <t>Neonatologs</t>
  </si>
  <si>
    <t>Apdegumu traumatologs</t>
  </si>
  <si>
    <t>Asinsvadu ķirurgs</t>
  </si>
  <si>
    <t>Bērnu ķirurgs</t>
  </si>
  <si>
    <t>Bērnu neiroķirurgs</t>
  </si>
  <si>
    <t>Bronhologs</t>
  </si>
  <si>
    <t>Gastroenterologs - endoskopists</t>
  </si>
  <si>
    <t>Ginekologs un dzemdību speciālists</t>
  </si>
  <si>
    <t>Infektologs</t>
  </si>
  <si>
    <t>Kardiologs</t>
  </si>
  <si>
    <t>Kardiologs - koordinators</t>
  </si>
  <si>
    <t>Ķirurgs</t>
  </si>
  <si>
    <t>Neiroķirurgs</t>
  </si>
  <si>
    <t>Neirologs</t>
  </si>
  <si>
    <t>Otolaringologs</t>
  </si>
  <si>
    <t>Sejas, mutes, žokļu ķirurgs</t>
  </si>
  <si>
    <t>Torakālais ķirurgs</t>
  </si>
  <si>
    <t>Traumatologs - ortopēds</t>
  </si>
  <si>
    <t>Vertebrologs</t>
  </si>
  <si>
    <t>Galvenais dežūrārsts</t>
  </si>
  <si>
    <t>Ārsts konsultants</t>
  </si>
  <si>
    <t>Ārsts (sertificēts)  - praktisko treniņu vadītājs</t>
  </si>
  <si>
    <t>Ģimenes ārstu konsultatīvā tāruņa konsultants (ārsts)</t>
  </si>
  <si>
    <t>2.kategorija - Fizioterapeits, audiologopēds, uztura speciālists, ergoterapeits, tehniskais ortopēds, mākslas terapeits</t>
  </si>
  <si>
    <t>3.kategorija  - Māsa, ārsta palīgs (feldšeris), vecmāte, biomedicīnas laborants, radiologa asistents, radiogrāfers</t>
  </si>
  <si>
    <t>BAC galvenais ārsta palīgs</t>
  </si>
  <si>
    <t>BAC vecākais ārsta palīgs</t>
  </si>
  <si>
    <t>RC galvenais ārsta palīgs</t>
  </si>
  <si>
    <t>RC vecākais ārsta palīgs</t>
  </si>
  <si>
    <t>Brigādes (2AP) vadītājs - NM ārsta palīgs</t>
  </si>
  <si>
    <t>Brigādes vadītājs - NM ārsta palīgs</t>
  </si>
  <si>
    <t>Intensīvās terapijas brigādes otrā ārstniecības  persona - NM ārsta palīgs</t>
  </si>
  <si>
    <t>Reanimācijas brigādes otrā ārstniecības persona - NM ārsta palīgs</t>
  </si>
  <si>
    <t xml:space="preserve">Ārsta speciālista brigādes otrā ārstniecības persona (NM ārsta palīgs - OMT vadītājs) </t>
  </si>
  <si>
    <t>Galvenais dispečers</t>
  </si>
  <si>
    <t>Vadības dispečers</t>
  </si>
  <si>
    <t xml:space="preserve">Vecākais dispečers </t>
  </si>
  <si>
    <t>SMC vadības dispečers</t>
  </si>
  <si>
    <t>Medicīnas māsa bērnu IT brigādē</t>
  </si>
  <si>
    <t>Medicīnas māsa neonatologu brigādē</t>
  </si>
  <si>
    <t>SMC operāciju māsa</t>
  </si>
  <si>
    <t>Ārsta palīgs (sertificēts) - praktisko treniņu vadītājs</t>
  </si>
  <si>
    <t>4.kategorija  - Masieris, ergoterapeita asistents, fizioterapeita asistents, zobu higiēnists, zobārstniecības māsa, kosmētiķis, podologs, zobu tehniķis</t>
  </si>
  <si>
    <t>II. Reģistrētu ārstniecības personu amati</t>
  </si>
  <si>
    <t>Jaunākais dežūrārsts</t>
  </si>
  <si>
    <t>Brigādes vadītājs -ārsts, sagatavots NMP sniegšanai</t>
  </si>
  <si>
    <t>Brigādes otrā ārstniecības  persona - ārsta palīgs</t>
  </si>
  <si>
    <t>Brigādes otrā ārstniecības  persona - medicīnas māsa</t>
  </si>
  <si>
    <t>Brigādes (2AP) otrā ārstniecības persona - ārsta palīgs</t>
  </si>
  <si>
    <t>6.kategorija  - Zobārsta asistents, māsas palīgs, operatīvā medicīniskā transportlīdzekļa vadītājs</t>
  </si>
  <si>
    <t>III. Transportlīdzekļa vadītājs</t>
  </si>
  <si>
    <t>SMC OMT vadītājs</t>
  </si>
  <si>
    <t>X</t>
  </si>
  <si>
    <r>
      <rPr>
        <b/>
        <sz val="10"/>
        <color theme="1"/>
        <rFont val="Times New Roman"/>
        <family val="1"/>
        <charset val="186"/>
      </rPr>
      <t>1.kategorija</t>
    </r>
    <r>
      <rPr>
        <sz val="10"/>
        <color theme="1"/>
        <rFont val="Times New Roman"/>
        <family val="1"/>
      </rPr>
      <t xml:space="preserve"> - Ārsts, zobārsts</t>
    </r>
  </si>
  <si>
    <r>
      <rPr>
        <b/>
        <sz val="10"/>
        <rFont val="Times New Roman"/>
        <family val="1"/>
        <charset val="186"/>
      </rPr>
      <t>4.kategorija</t>
    </r>
    <r>
      <rPr>
        <sz val="10"/>
        <rFont val="Times New Roman"/>
        <family val="1"/>
      </rPr>
      <t xml:space="preserve">  - Masieris, ergoterapeita asistents, fizioterapeita asistents, zobu higiēnists, zobārstniecības māsa, kosmētiķis, podologs, zobu tehniķis</t>
    </r>
  </si>
  <si>
    <r>
      <rPr>
        <b/>
        <sz val="10"/>
        <rFont val="Times New Roman"/>
        <family val="1"/>
        <charset val="186"/>
      </rPr>
      <t>2.kategorija</t>
    </r>
    <r>
      <rPr>
        <sz val="10"/>
        <rFont val="Times New Roman"/>
        <family val="1"/>
      </rPr>
      <t xml:space="preserve"> - Ārsts, zobārsts, rezidents</t>
    </r>
  </si>
  <si>
    <r>
      <rPr>
        <b/>
        <sz val="10"/>
        <rFont val="Times New Roman"/>
        <family val="1"/>
        <charset val="186"/>
      </rPr>
      <t>3.kategorija</t>
    </r>
    <r>
      <rPr>
        <sz val="10"/>
        <rFont val="Times New Roman"/>
        <family val="1"/>
      </rPr>
      <t xml:space="preserve"> - Fizioterapeits, audiologopēds, uztura speciālists, ergoterapeits, tehniskais ortopēds, mākslas terapeits</t>
    </r>
  </si>
  <si>
    <r>
      <rPr>
        <b/>
        <sz val="10"/>
        <rFont val="Times New Roman"/>
        <family val="1"/>
        <charset val="186"/>
      </rPr>
      <t>4.kategorija</t>
    </r>
    <r>
      <rPr>
        <sz val="10"/>
        <rFont val="Times New Roman"/>
        <family val="1"/>
      </rPr>
      <t xml:space="preserve">  - Māsa, ārsta palīgs (feldšeris), vecmāte, biomedicīnas laborants, radiologa asistents, radiogrāfers</t>
    </r>
  </si>
  <si>
    <r>
      <rPr>
        <b/>
        <sz val="10"/>
        <rFont val="Times New Roman"/>
        <family val="1"/>
        <charset val="186"/>
      </rPr>
      <t>5.kategorija</t>
    </r>
    <r>
      <rPr>
        <sz val="10"/>
        <rFont val="Times New Roman"/>
        <family val="1"/>
      </rPr>
      <t xml:space="preserve">  - Masieris, ergoterapeita asistents, fizioterapeita asistents, zobu higiēnists, zobārstniecības māsa, kosmētiķis, podologs, zobu tehniķis</t>
    </r>
  </si>
  <si>
    <r>
      <rPr>
        <b/>
        <sz val="10"/>
        <rFont val="Times New Roman"/>
        <family val="1"/>
        <charset val="186"/>
      </rPr>
      <t>6.kategorija</t>
    </r>
    <r>
      <rPr>
        <sz val="10"/>
        <rFont val="Times New Roman"/>
        <family val="1"/>
      </rPr>
      <t xml:space="preserve">  - Zobārsta asistents, māsas palīgs, operatīvā medicīniskā transportlīdzekļa vadītājs</t>
    </r>
  </si>
  <si>
    <r>
      <rPr>
        <b/>
        <sz val="10"/>
        <rFont val="Times New Roman"/>
        <family val="1"/>
        <charset val="186"/>
      </rPr>
      <t>6.kategorija</t>
    </r>
    <r>
      <rPr>
        <sz val="10"/>
        <rFont val="Times New Roman"/>
        <family val="1"/>
      </rPr>
      <t xml:space="preserve">  - Transportlīdzekļa vadītājs</t>
    </r>
  </si>
  <si>
    <t>Vecākais ārsts</t>
  </si>
  <si>
    <t>Ārsta palīgs</t>
  </si>
  <si>
    <t>Vecākā medicīnas māsa</t>
  </si>
  <si>
    <t>Vecākā māsa</t>
  </si>
  <si>
    <t>IC</t>
  </si>
  <si>
    <t>Radiologa asistents</t>
  </si>
  <si>
    <t>22.10.00 Starptautisko operāciju un Nacionālo bruņoto spēku centralizētais atalgojums</t>
  </si>
  <si>
    <t>I.Sertificētu ārstniecības personu amati</t>
  </si>
  <si>
    <t>Virsārsts</t>
  </si>
  <si>
    <t>Daļas vadītājs</t>
  </si>
  <si>
    <t>Daļas vadītāja vietnieks</t>
  </si>
  <si>
    <t>Programma</t>
  </si>
  <si>
    <t>Māsa</t>
  </si>
  <si>
    <t>II.Reģistrētu ārstniecības personu amati</t>
  </si>
  <si>
    <r>
      <t xml:space="preserve">Faktiskā mēnešalgas likme par           </t>
    </r>
    <r>
      <rPr>
        <u/>
        <sz val="10"/>
        <color indexed="8"/>
        <rFont val="Times New Roman"/>
        <family val="1"/>
      </rPr>
      <t>1 (vienu)</t>
    </r>
    <r>
      <rPr>
        <sz val="10"/>
        <color indexed="8"/>
        <rFont val="Times New Roman"/>
        <family val="1"/>
      </rPr>
      <t xml:space="preserve"> 
slodzi </t>
    </r>
  </si>
  <si>
    <r>
      <t>Faktiskā darba samaksa</t>
    </r>
    <r>
      <rPr>
        <sz val="10"/>
        <color indexed="8"/>
        <rFont val="Times New Roman"/>
        <family val="1"/>
      </rPr>
      <t xml:space="preserve"> (atalgojums par slodzi) mēnesī</t>
    </r>
  </si>
  <si>
    <t>18. Labklājības ministrija</t>
  </si>
  <si>
    <t>04.05.00 "Valsts sociālās apdrošināšanas aģentūras speciālais budžets"</t>
  </si>
  <si>
    <t>vecākais ārsts eksperts</t>
  </si>
  <si>
    <t>ārsts eksperts</t>
  </si>
  <si>
    <t xml:space="preserve"> 04.05.00 Kopā</t>
  </si>
  <si>
    <t xml:space="preserve">05.03.00 "Aprūpe valsts sociālās aprūpes institūcijās" </t>
  </si>
  <si>
    <t>VSAC "Vidzeme"</t>
  </si>
  <si>
    <t>Psihiatrs</t>
  </si>
  <si>
    <t>Zobārsts</t>
  </si>
  <si>
    <t>Ginekologs</t>
  </si>
  <si>
    <t>Fizioterapeits</t>
  </si>
  <si>
    <t>IIB</t>
  </si>
  <si>
    <t>8</t>
  </si>
  <si>
    <t>Garīgās veselības aprūpes māsa</t>
  </si>
  <si>
    <t>7</t>
  </si>
  <si>
    <t>Internās aprūpes māsa</t>
  </si>
  <si>
    <t>6</t>
  </si>
  <si>
    <t>Dezinfektors</t>
  </si>
  <si>
    <t>Veselības aprūpes sektora vadītājs</t>
  </si>
  <si>
    <t>Kopā VSAC "Vidzeme"</t>
  </si>
  <si>
    <t>VSAC "Latgale"</t>
  </si>
  <si>
    <t>Fizioterapeits (nesertificēts)</t>
  </si>
  <si>
    <t xml:space="preserve">5.1 </t>
  </si>
  <si>
    <t>Pediatrs</t>
  </si>
  <si>
    <t xml:space="preserve">III </t>
  </si>
  <si>
    <t>Mākslas terapeits</t>
  </si>
  <si>
    <t>Medicīnas māsa (nesertificēta)</t>
  </si>
  <si>
    <t>Fizikālās terapijas māsa</t>
  </si>
  <si>
    <t>Diētas māsa</t>
  </si>
  <si>
    <t>Masieris</t>
  </si>
  <si>
    <t>Kopā VSAC "Latgale"</t>
  </si>
  <si>
    <t>VSAC "Kurzeme"</t>
  </si>
  <si>
    <t>Ergoterapeits</t>
  </si>
  <si>
    <t>Bērnu aprūpes māsa</t>
  </si>
  <si>
    <t>Psihiatrijas māsa</t>
  </si>
  <si>
    <t>Kopā VSAC "Kurzeme"</t>
  </si>
  <si>
    <t>VSAC "Rīga"</t>
  </si>
  <si>
    <t>ārsts</t>
  </si>
  <si>
    <t>Veselības aprūpes sektora vadītājs līdz 50 darbiniekiem</t>
  </si>
  <si>
    <t>Kopā VSAC "Rīga"</t>
  </si>
  <si>
    <t>VSAC "Zemgale"</t>
  </si>
  <si>
    <t>Medicīnas māsa/NESERTIFICĒTA</t>
  </si>
  <si>
    <t>Medicīnas māsa/SERTIFICĒTA</t>
  </si>
  <si>
    <t>Veselības aprūpes sektora vadītājs - vecākā medicīnas māsa</t>
  </si>
  <si>
    <t>39</t>
  </si>
  <si>
    <t>IIIA</t>
  </si>
  <si>
    <t>Kopā VSAC "Zemgale"</t>
  </si>
  <si>
    <t>05.03.00 Kopā</t>
  </si>
  <si>
    <t>05.37.00 "Sociālās integrācijas valsts aģentūras administrēšana un profesionālās un sociālās rehabilitācijas pakalpojumu nodrošināšana"</t>
  </si>
  <si>
    <t>Ārsts -psihiatrs</t>
  </si>
  <si>
    <t xml:space="preserve">Dežūrārsts </t>
  </si>
  <si>
    <t>Vecākais fizioterapeits</t>
  </si>
  <si>
    <t>Vecākais ergoterapeits</t>
  </si>
  <si>
    <t>Ergoterapeits (nesertificēts)</t>
  </si>
  <si>
    <t>Vecākais psihologs</t>
  </si>
  <si>
    <t>Psihologs</t>
  </si>
  <si>
    <t>Uztura speciālists</t>
  </si>
  <si>
    <t>Medicīnas māsa (dežūrmāsa)</t>
  </si>
  <si>
    <t>Biomedicīnas laborants (nesertificēts)</t>
  </si>
  <si>
    <t>ID</t>
  </si>
  <si>
    <t>Trenažieru zāles instruktors</t>
  </si>
  <si>
    <t>Masieris (nesertificēts)</t>
  </si>
  <si>
    <t>Aprūpētājs</t>
  </si>
  <si>
    <t>Sociālais aprūpētājs</t>
  </si>
  <si>
    <t xml:space="preserve">Sociālais rehabilitētājs </t>
  </si>
  <si>
    <t>05.37.00 Kopā</t>
  </si>
  <si>
    <t>05.62.00 "Invaliditātes ekspertīžu nodrošināšana"( Veselības un darbspēju ekspertīzes ārstu valsts komisija)</t>
  </si>
  <si>
    <t>Vadītāja vietnieks</t>
  </si>
  <si>
    <t>05.62.00 Kopā</t>
  </si>
  <si>
    <t>Ārstniecības personas Labklājības ministrijas līgumorganizācijās, kuras sociālos pakalpojumus sniedz uz līguma par Valsts pārvaldes deleģēto funkciju izpildi vai publiskā iepirkuma līguma pamata 05.01.00 "Sociālās rehabilitācijas valsts programmas"</t>
  </si>
  <si>
    <t>KOPĀ  LM</t>
  </si>
  <si>
    <t>10.Aizsardzības ministrija (Nacionālie bruņotie spēki)</t>
  </si>
  <si>
    <t>max pēc MK not. Nr.66 (2.piel.)</t>
  </si>
  <si>
    <t>14. Iekšlietu ministrija</t>
  </si>
  <si>
    <t>06.01.00 "Valsts policija"</t>
  </si>
  <si>
    <t>10.00.00 "Valsts robežsardzes darbība"</t>
  </si>
  <si>
    <t>speciālists</t>
  </si>
  <si>
    <t>38.05.00 "Veselības aprūpe un fiziskā sagatavotība" (Iekšlietu ministrijas veselības un sporta centrs)</t>
  </si>
  <si>
    <t>Ārsts-eksperts</t>
  </si>
  <si>
    <t>Laboratorijas speciālists</t>
  </si>
  <si>
    <t>Sanitāre</t>
  </si>
  <si>
    <t>Sterilizācijas tehniskais darbinieks</t>
  </si>
  <si>
    <t>Piemaksas</t>
  </si>
  <si>
    <t>Kopā ar 
sociālo nodokli 24,09%, 
EUR</t>
  </si>
  <si>
    <t>18. Labklājības ministrija  05.01.00 "Sociālās rehabilitācijas valsts programmas"</t>
  </si>
  <si>
    <t>Sociālo pakalpojumu centrs "Pīlādzis" (29.01.2019. līgums Nr.LM2019/24-1-06/10 par ilgstošas sociālās aprūpes un sociālās rehabilitācijas pakalpojumu sniegšanu pilngadīgām personām ar smagiem garīga rakstura traucējumiem (personām ar I un II grupas invaliditāti))</t>
  </si>
  <si>
    <t>Kopā iestāde</t>
  </si>
  <si>
    <t>VSIA "Rīgas psihiatrijas un narkoloģijas centrs" (15.01.2019. līgums Nr.2019/24-1-04/03   par ilgstošas sociālās aprūpes un sociālās rehabilitācijas pakalpojumu sniegšanu pilngadīgām personām ar smagiem garīga rakstura traucējumiem (personām ar I un II grupas invaliditāti))</t>
  </si>
  <si>
    <t>Ārsts - internists</t>
  </si>
  <si>
    <t>Podologs</t>
  </si>
  <si>
    <t>Narkologs</t>
  </si>
  <si>
    <t xml:space="preserve"> VSIA "Slimnīca "Ģintermuiža"" (14.01.2019. līgums Nr.2019/24-1-06/02  par ilgstošas sociālās aprūpes un sociālās rehabilitācijas pakalpojumu sniegšanu pilngadīgām personām ar smagiem garīga rakstura traucējumiem (personām ar I un II grupas invaliditāti))</t>
  </si>
  <si>
    <t>Mākslas terapeits (Deju un kustību terapeits, Mūzikas terapeits)</t>
  </si>
  <si>
    <t>Ārsts otolaringologs</t>
  </si>
  <si>
    <t>Protēžu meistars</t>
  </si>
  <si>
    <t xml:space="preserve">Ārsts konsultants </t>
  </si>
  <si>
    <t>Vecākais ergoterapeits (nesertificēts)</t>
  </si>
  <si>
    <t>Vecākais fizioterapeits (sertificēts)</t>
  </si>
  <si>
    <t>Fizioterapeits (sertificēts)</t>
  </si>
  <si>
    <t>Vecākais tehniskais ortopēds (sertificēts)</t>
  </si>
  <si>
    <t>Tehniskais ortopēds (sertificēts)</t>
  </si>
  <si>
    <t>Audiologopēds</t>
  </si>
  <si>
    <t>15. Izglītības un zinātnes ministrija</t>
  </si>
  <si>
    <t>02.01.00. "Profesionālās izglītības programmu īstenošana"</t>
  </si>
  <si>
    <t>I A</t>
  </si>
  <si>
    <t>Fizioterapeita asistents</t>
  </si>
  <si>
    <t>I C</t>
  </si>
  <si>
    <t>01.03.00. "Sociālās korekcijas izglītības iestāde"</t>
  </si>
  <si>
    <t>09.10.00. "Murjāņu sporta ģimnāzija"</t>
  </si>
  <si>
    <t xml:space="preserve">Pašvaldību speciālajās pirmsskolas izglītības iestādēs, internātskolās, Izglītības iestāžu reģistrā reģistrētajos attīstības un rehabilitācijas centros un speciālajās internātskolās bērniem ar fiziskās un garīgās attīstības traucējumiem nodarbināto ārstniecības personu faktiskā darba samaksa par slodzi 2019.gadā </t>
  </si>
  <si>
    <t>Kopā atalgojums visām slodzēm mēnesī</t>
  </si>
  <si>
    <t>62. “Mērķdotācijas pašvaldībām”</t>
  </si>
  <si>
    <t>01.00.00. "Mērķdotācijas izglītības pasākumiem"</t>
  </si>
  <si>
    <t>Alergologs</t>
  </si>
  <si>
    <t>Optometrists</t>
  </si>
  <si>
    <t>Dietologs</t>
  </si>
  <si>
    <t>Rehabilitologs</t>
  </si>
  <si>
    <t>Medicīnas māsas palīgs</t>
  </si>
  <si>
    <t>Valsts tiesu medicīnas ekspertīzes centrs</t>
  </si>
  <si>
    <t>Direktors</t>
  </si>
  <si>
    <t xml:space="preserve">Direktora vietnieks, Ekspertīzes un izpētes departamenta vadītājs </t>
  </si>
  <si>
    <t>Ekspertīzes un izpētes departamenta vadītāja vietnieks</t>
  </si>
  <si>
    <t>Nodaļas vadītājs, vecākais tiesu medicīnas eksperts</t>
  </si>
  <si>
    <t>Laboratorijas vadītājs, vecākais tiesu medicīnas eksperts</t>
  </si>
  <si>
    <t>Laboratorijas vadītājs, vecākais speciālists - tiesu medicīnas eksperts</t>
  </si>
  <si>
    <t>Reģionālās nodaļas vadītājs, vecākais tiesu medicīnas eksperts</t>
  </si>
  <si>
    <t xml:space="preserve">Nodaļas vadītāja vietnieks, vecākais tiesu medicīnas eksperts </t>
  </si>
  <si>
    <t xml:space="preserve">Vecākais tiesu medicīnas eksperts </t>
  </si>
  <si>
    <t xml:space="preserve">Vecākais speciālists - tiesu medicīnas eksperts </t>
  </si>
  <si>
    <t>Ārsts patologs</t>
  </si>
  <si>
    <t>Tiesu medicīnas eksperts</t>
  </si>
  <si>
    <t xml:space="preserve">Speciālists - tiesu medicīnas eksperts </t>
  </si>
  <si>
    <t>Galvenā  māsa</t>
  </si>
  <si>
    <t>Eksperta palīgs</t>
  </si>
  <si>
    <t xml:space="preserve">Sanitārs </t>
  </si>
  <si>
    <t>Reģistrators</t>
  </si>
  <si>
    <t>23</t>
  </si>
  <si>
    <t>Fotogrāfs</t>
  </si>
  <si>
    <t>33</t>
  </si>
  <si>
    <t>39.06.00 Tiesu medicīniskā ekspertīze</t>
  </si>
  <si>
    <t>A</t>
  </si>
  <si>
    <t>B</t>
  </si>
  <si>
    <t>D</t>
  </si>
  <si>
    <t>E</t>
  </si>
  <si>
    <t>F</t>
  </si>
  <si>
    <t>G</t>
  </si>
  <si>
    <t>Ministrija vai cita centrālā valsts iestāde:</t>
  </si>
  <si>
    <t>Veselības ministrija</t>
  </si>
  <si>
    <t xml:space="preserve">Prioritārā pasākuma nosaukums: </t>
  </si>
  <si>
    <t>Ārstniecības personu darba samaksas pieauguma nodrošināšana</t>
  </si>
  <si>
    <t xml:space="preserve">Kods: </t>
  </si>
  <si>
    <t>29_01_H</t>
  </si>
  <si>
    <t>2021.gads</t>
  </si>
  <si>
    <t>Turpmāk katru gadu (ja pasākums nav terminēts)</t>
  </si>
  <si>
    <t xml:space="preserve">Izdevumi kopā, euro </t>
  </si>
  <si>
    <t>Papildus nepieciešamais valsts budžeta finansējums, t.sk.:</t>
  </si>
  <si>
    <t>tai skaitā atlīdzība</t>
  </si>
  <si>
    <t>Veselības ministrijai:</t>
  </si>
  <si>
    <t>t.sk. 33.00.00 Veselības aprūpes nodrošināšana</t>
  </si>
  <si>
    <t>t.sk. 02.04.00 Rezidentu apmācība</t>
  </si>
  <si>
    <r>
      <t xml:space="preserve">Pagarinātā normālā darba laika atcelšanai   </t>
    </r>
    <r>
      <rPr>
        <b/>
        <i/>
        <u/>
        <sz val="10"/>
        <rFont val="Times New Roman"/>
        <family val="1"/>
        <charset val="186"/>
      </rPr>
      <t>(aprēķins sheetā "PNDL" un papildus failā)</t>
    </r>
  </si>
  <si>
    <t>t.sk. 39.04.00 Neatliekamā medicīniskā palīdzība</t>
  </si>
  <si>
    <t>t.sk. 39.03.00 Asins un asins komponentu nodrošināšana</t>
  </si>
  <si>
    <t>t.sk. 39.06.00 Tiesu medicīniskā ekspertīze</t>
  </si>
  <si>
    <t>t.sk. 46.01.00 Uzraudzība un kontrole</t>
  </si>
  <si>
    <t>t.sk. 46.03.00 Slimību profilakses nodrošināšana</t>
  </si>
  <si>
    <t>Izglītības ministrija t.sk. (62.resors "Mērķotācijas pašvaldībām"):</t>
  </si>
  <si>
    <t>01.03.00 "Sociālās korekcijas izglītības iestāde" ("Naukšēni")</t>
  </si>
  <si>
    <t>02.01.00 "Profesionālās izglītības programmu īstenošana"</t>
  </si>
  <si>
    <t>Labklājības ministrijai:</t>
  </si>
  <si>
    <t>05.62.00 "Invaliditātes ekspertīžu nodrošināšana" (Veselības un darbspēju ekspertīzes ārstu valsts komisija)</t>
  </si>
  <si>
    <t>Labklājības ministrijas līgumorganizācijas 05.01.00 "Sociālās rehabilitācijas valsts programmas"</t>
  </si>
  <si>
    <t>Tieslietu ministrijai:</t>
  </si>
  <si>
    <t xml:space="preserve"> 04.01.00 "Ieslodzījuma vietas"</t>
  </si>
  <si>
    <t>Iekšlietu ministrijai:</t>
  </si>
  <si>
    <t>06.01.00"Valsts policija"</t>
  </si>
  <si>
    <t>38.05.00 "Veselības aprūpe un fiziskā sagatavošana"</t>
  </si>
  <si>
    <t>2022.gads</t>
  </si>
  <si>
    <t>1.</t>
  </si>
  <si>
    <t>2.</t>
  </si>
  <si>
    <t>62.resors "Mērķotācijas pašvaldībām"</t>
  </si>
  <si>
    <t>Darba samaksa pieaugums (%)</t>
  </si>
  <si>
    <t>Aizsardzības ministrijai:</t>
  </si>
  <si>
    <t>Nacionālais veselības dienests</t>
  </si>
  <si>
    <t>45.01.00 Veselības aprūpes finansējuma administrēšana un ekonomiskā novērtēšana</t>
  </si>
  <si>
    <t>Kontroles un uzraudzības departamenta direktors</t>
  </si>
  <si>
    <t xml:space="preserve">Līgumu uzraudzības nodaļas vadītājs </t>
  </si>
  <si>
    <t>Līgumu uzraudzības nodaļas vecākais eksperts</t>
  </si>
  <si>
    <t>Kontroles un uzraudzības departamenta direktora vietnieks/Uzraudzības plānošanas un analīzes nodaļas vadītājs</t>
  </si>
  <si>
    <t>Uzraudzības plānošanas un analīzes nodaļas vecākais eksperts</t>
  </si>
  <si>
    <t>t.sk. 45.01.00 Veselības aprūpes finansējuma administrēšana un ekonomiskā novērtēšana</t>
  </si>
  <si>
    <t>Nr.p.k.</t>
  </si>
  <si>
    <t>Augstskolas izdevumi</t>
  </si>
  <si>
    <t>Ārstniecības iestādes izdevumi</t>
  </si>
  <si>
    <t>2.1.</t>
  </si>
  <si>
    <t>Rezidenta atlīdzība</t>
  </si>
  <si>
    <t>2.1.1.</t>
  </si>
  <si>
    <t>Atalgojums</t>
  </si>
  <si>
    <t>2.1.1.1.</t>
  </si>
  <si>
    <t>t.sk. amatalga</t>
  </si>
  <si>
    <t>2.1.1.2.</t>
  </si>
  <si>
    <t>t.sk. pārējie izdevumi rezidentu atlīdzībai - samaksa par dežūru stundām virs normālā darba laika (24 h mēnesī), piemaksas par nakts dežūrām, svētku dienām, mājas dežūrām un darba samaksas mainīgajai daļai</t>
  </si>
  <si>
    <t>2.1.2.</t>
  </si>
  <si>
    <t>VSAOI</t>
  </si>
  <si>
    <t>2.2.</t>
  </si>
  <si>
    <t>Rezidentu teorētisko un praktisko apmācību saistīto izdevumu apmaksai ārstniecības iestādē</t>
  </si>
  <si>
    <t>2.2.1.</t>
  </si>
  <si>
    <t xml:space="preserve">Ārstu un cita mācību personāla atlīdzībai </t>
  </si>
  <si>
    <t>2.2.1.1.</t>
  </si>
  <si>
    <t xml:space="preserve">Ārstu un cita mācību personāla atlīdzībai par rezidentu teorētisko un praktisko apmācību </t>
  </si>
  <si>
    <t>2.2.1.1.1.</t>
  </si>
  <si>
    <t>t.sk. atalgojums</t>
  </si>
  <si>
    <t>2.2.1.1.2.</t>
  </si>
  <si>
    <t>t.sk. VSAOI</t>
  </si>
  <si>
    <t>2.2.1.2.</t>
  </si>
  <si>
    <t>Ārstu atlīdzībai, kas atbildīgi par rezidentūras organizāciju (atalgojums un VSAOI)</t>
  </si>
  <si>
    <t>2.2.1.2.1.</t>
  </si>
  <si>
    <t>2.2.1.2.2.</t>
  </si>
  <si>
    <t>2.2.2.</t>
  </si>
  <si>
    <t xml:space="preserve">Ar rezidentūras organizēšanu  saistīto izdevumu segšanai </t>
  </si>
  <si>
    <t>2.2.2.1.</t>
  </si>
  <si>
    <t>t.sk.ar rezidenta pašizglītību saistītie izdevumi (izdevumi  medicīniskās literatūras, datu bāžu, grāmatu, u.c. iegādei bibliotēkai, aprīkojuma, datoru iegādei, u.tml., kas paliek ārstniecības iestādes īpašumā)</t>
  </si>
  <si>
    <t>2.2.2.2.</t>
  </si>
  <si>
    <t>t.sk.ar rezidentūras organizēšanu  saistīto izdevumu segšanai saimniecisko, komunālo un ārstniecības iestādes citu kārtējo izdevumu segšanai, kas attiecas uz rezidentūras organizēšanu ārstniecības iestādē, t.sk. rezidentu telpu iekārtošanas, identifikācijas  karšu iegādes, vienotas e-adreses nodrošināšanai, zīmogu izgatavošanas izdevumi u.tml.))</t>
  </si>
  <si>
    <t>33.14.00</t>
  </si>
  <si>
    <t>33.15.00</t>
  </si>
  <si>
    <t>33.16.00</t>
  </si>
  <si>
    <t>33.17.00</t>
  </si>
  <si>
    <t>33.18.00</t>
  </si>
  <si>
    <t>Amatalga pēc izmaiņām</t>
  </si>
  <si>
    <t>Starpība, EUR</t>
  </si>
  <si>
    <t>Darba samaksa atbilstoši slodzēm</t>
  </si>
  <si>
    <t>Kopā ar Sociālo nodokli</t>
  </si>
  <si>
    <t>1 (6)</t>
  </si>
  <si>
    <t>2 (7)</t>
  </si>
  <si>
    <t>3 (8)</t>
  </si>
  <si>
    <t>4 (9)</t>
  </si>
  <si>
    <t>5 (11)</t>
  </si>
  <si>
    <t>6 (13)</t>
  </si>
  <si>
    <t>KOPĀ Ārstniecības personas</t>
  </si>
  <si>
    <t xml:space="preserve">Pārējam personālam </t>
  </si>
  <si>
    <t>tai skaitā EKK 1000 atlīdzība</t>
  </si>
  <si>
    <t>Zemākā mēnešalgas likme par slodzi (atbilstoši MK not. Nr.851)</t>
  </si>
  <si>
    <t>pieaugums regulārai piemaksai</t>
  </si>
  <si>
    <t>regulārā piemaksa 
ar pieau-gumu</t>
  </si>
  <si>
    <t>kopā pieaugums uz vienu slodzi (ievērojot MK not.)</t>
  </si>
  <si>
    <t>kopā pieaugums uz visām slodzēm mēnesī</t>
  </si>
  <si>
    <t>papildus līdzekļi atalgojumam  
(1100 kods) gadā</t>
  </si>
  <si>
    <t>papildus līdzekļi atlīdzībai (1000 kods) 
gadā</t>
  </si>
  <si>
    <t>EUR</t>
  </si>
  <si>
    <t xml:space="preserve">Ārstniecības personu darba samaksas pieaugums 14.Iekšlietu ministrijas kapitālsabiedrībai VSIA "Iekšlietu ministrijas poliklīnika" </t>
  </si>
  <si>
    <t xml:space="preserve">Ārstniecības personu darba samaksas pieaugums 18.Labklājības ministrijas līgumorganizācijas, kuras sociālos pakalpojumus sniedz uz līguma par Valsts pārvaldes deleģēto funkciju izpildi vai publiskā iepirkuma līguma pamata. </t>
  </si>
  <si>
    <t>19.Tieslietu ministrija</t>
  </si>
  <si>
    <t xml:space="preserve">Ārstniecības personu darba samaksas pieaugums 19.Tieslietu ministrijai </t>
  </si>
  <si>
    <t>Ārstniecības personu darba samaksas pieaugums 10.Aizsardzības ministrijai, 14.Iekšlietu ministrijai, 15.Izglītības un zinātnes ministrijai, 18.Labklājības ministrijai un 62.Mērķdotācijas pašvaldībām</t>
  </si>
  <si>
    <t>Neatliekamās medicīniskās palīdzības dienesta ārstniecības personu faktiskā darba samaksas pieaugums (MK noteikumi Nr.851)</t>
  </si>
  <si>
    <t>Tehniskās uzraudzības inspektors</t>
  </si>
  <si>
    <t>Darba samaksas palielināšanai ārstniecības personām, kas sniedz valsts apmaksātos veselības aprūpes pakalpojumus</t>
  </si>
  <si>
    <t xml:space="preserve">Rezidentu darba samaksas palielināšanai </t>
  </si>
  <si>
    <t xml:space="preserve">Veselības ministrijas padotības iestāžu ārstniecības personu darba samaksas palielināšanai </t>
  </si>
  <si>
    <t>Pieaugums (%)</t>
  </si>
  <si>
    <t>Darba samaksas pieaugums
MK 851 1.-2.kategorija un 6.kategorija
MK 555 1. un 3.kategorija</t>
  </si>
  <si>
    <t>Darba samaksas pieaugums
MK 851 3.-5.kategorija
MK 555 2.kategorija</t>
  </si>
  <si>
    <t>PĀRĒJĀS ĀRSTNIECĪBAS PERSONAS</t>
  </si>
  <si>
    <t>Šos darba samaksas pieauguma procentus šeit var mainīt/modelēt, bet tie koriģēsies TIKAI padotības iestādēm un citām ministrijām!!!
Mainot pieauguma % rezidentiem un tarifiem, viss jāpārrēķina manuāli.</t>
  </si>
  <si>
    <t>ĀRSTNIECĪBAS UN PACIENTU APRŪPES PERSONAS, TAI SKAITĀ MĀSAS</t>
  </si>
  <si>
    <t>2023.gads</t>
  </si>
  <si>
    <t>vecākais ārsts</t>
  </si>
  <si>
    <t>sertificēts ārsts</t>
  </si>
  <si>
    <t>vecākā māsa</t>
  </si>
  <si>
    <t>ārsta palīgs (feldšeris)</t>
  </si>
  <si>
    <t>ārsta palīgs</t>
  </si>
  <si>
    <t>sertificēta māsa</t>
  </si>
  <si>
    <t>farmaceits</t>
  </si>
  <si>
    <t>biomedicīnas laborants</t>
  </si>
  <si>
    <t>radiologa asistents</t>
  </si>
  <si>
    <t>māsas palīgs-sanitārs</t>
  </si>
  <si>
    <t>2021.gada jaunā amatalga ar pieaugumu (neievērojot MK not. Nr.66 max)</t>
  </si>
  <si>
    <t>Nacionālo bruņoto spēku militārā ārstniecības personāla faktiskā darba samaksa atbilstoši MK 26.08.2014. noteikumiem  Nr. 509</t>
  </si>
  <si>
    <t>Budžeta programma 22.00.00 "Nacionālie bruņotie spēki", apakšprogramma 22.10.00 "Starptautisko operāciju un Nacionālo bruņoto spēku centralizētais atalgojums"</t>
  </si>
  <si>
    <t>galvenais ārsts</t>
  </si>
  <si>
    <t>galvenais vadības ārsts</t>
  </si>
  <si>
    <t>virsārsts</t>
  </si>
  <si>
    <t>vecākais eksperts (MEDICAL OPS AND PLANS)</t>
  </si>
  <si>
    <t>vadības farmaceits</t>
  </si>
  <si>
    <t>farmaceita asistents</t>
  </si>
  <si>
    <t>vecākā medicīnas māsa</t>
  </si>
  <si>
    <t>medicīnas māsa</t>
  </si>
  <si>
    <t>galvenā medicīnas māsa</t>
  </si>
  <si>
    <t>virsmāsa</t>
  </si>
  <si>
    <t>vecākais ārsta palīgs</t>
  </si>
  <si>
    <t>vecākais pasniedzējs instruktors (medicīnas māsa)</t>
  </si>
  <si>
    <t>pasniedzējs instruktors (medicīnas māsa)</t>
  </si>
  <si>
    <t>jaunākais pasniedzējs instruktors (medicīnas māsa)</t>
  </si>
  <si>
    <t>jaunākais pasniedzējs instruktors (ārsta palīgs)</t>
  </si>
  <si>
    <t>jaunākais pasniedzējs instruktors (aprūpes speciālists)</t>
  </si>
  <si>
    <t>jaunākais instruktors (neatliekamās aprūpes māsa)</t>
  </si>
  <si>
    <t>jaunākais instruktors (ārsta palīgs)</t>
  </si>
  <si>
    <t>jaunākais instruktors (medicīnas māsa)</t>
  </si>
  <si>
    <t>2.kategorija - Ārsts, zobārsts, rezidents</t>
  </si>
  <si>
    <t>3.kategorija - Fizioterapeits, audiologopēds, uztura speciālists, ergoterapeits, tehniskais ortopēds, mākslas terapeits</t>
  </si>
  <si>
    <t>4.kategorija  - Māsa, ārsta palīgs (feldšeris), vecmāte, biomedicīnas laborants, radiologa asistents, radiogrāfers</t>
  </si>
  <si>
    <t>5.kategorija  - Masieris, ergoterapeita asistents, fizioterapeita asistents, zobu higiēnists, zobārstniecības māsa, kosmētiķis, podologs, zobu tehniķis</t>
  </si>
  <si>
    <t>Aizsardzības ministrija</t>
  </si>
  <si>
    <t>Ārsta palīgs -veselības aprūpes sektora vadītājs</t>
  </si>
  <si>
    <t>Vecākais eksperts - veselības aprūpes jautājumos</t>
  </si>
  <si>
    <t xml:space="preserve"> IIIB</t>
  </si>
  <si>
    <t>Psihiatri</t>
  </si>
  <si>
    <t>Internisti</t>
  </si>
  <si>
    <t>Oftalmologs</t>
  </si>
  <si>
    <t>Pediatri</t>
  </si>
  <si>
    <t>Fizioterapeiti</t>
  </si>
  <si>
    <t>Uztura speciālisti</t>
  </si>
  <si>
    <t>Ergoterapeiti</t>
  </si>
  <si>
    <t>Mākslas terapeits (mūzikas terapeits)</t>
  </si>
  <si>
    <t>Mākslas terapeits (deju un kustības terapeits)</t>
  </si>
  <si>
    <t>Medicīnas māsas</t>
  </si>
  <si>
    <t>Medicīnas māsas  (nesertificētas)</t>
  </si>
  <si>
    <t>Vecākās medicīnas māsas</t>
  </si>
  <si>
    <t>Fizikālās terapijas māsas</t>
  </si>
  <si>
    <t>Diētas māsas</t>
  </si>
  <si>
    <t>Masieri</t>
  </si>
  <si>
    <t>Ergoterapeita asistenti</t>
  </si>
  <si>
    <t>Fizioterapeita asistenti</t>
  </si>
  <si>
    <t xml:space="preserve">Logopēds </t>
  </si>
  <si>
    <t>Ārsts (nesertificēts)</t>
  </si>
  <si>
    <t>Sociālā darba organizators</t>
  </si>
  <si>
    <t>Vecākais ārsts eksperts - nodaļas vadītājs</t>
  </si>
  <si>
    <t>Nodaļas vadītāja vietnieks</t>
  </si>
  <si>
    <t>Ārsts eksperts - centra vadītājs</t>
  </si>
  <si>
    <t xml:space="preserve">Medicīnas māsa </t>
  </si>
  <si>
    <t>Pacientu reģistrators</t>
  </si>
  <si>
    <t>18.3.</t>
  </si>
  <si>
    <t>VSIA Iekšlietu ministrijas poliklīnika</t>
  </si>
  <si>
    <t>38.05.00. Veselības aprūpe un fiziskā sagatavotība</t>
  </si>
  <si>
    <t>Medicīnas  māsa</t>
  </si>
  <si>
    <r>
      <rPr>
        <b/>
        <sz val="10"/>
        <color theme="1"/>
        <rFont val="Times New Roman"/>
        <family val="1"/>
      </rPr>
      <t>2.kategorija</t>
    </r>
    <r>
      <rPr>
        <sz val="10"/>
        <color theme="1"/>
        <rFont val="Times New Roman"/>
        <family val="1"/>
      </rPr>
      <t xml:space="preserve"> - Fizioterapeits, audiologopēds, uztura speciālists, ergoterapeits, tehniskais ortopēds, mākslas terapeits</t>
    </r>
  </si>
  <si>
    <r>
      <rPr>
        <b/>
        <sz val="10"/>
        <color theme="1"/>
        <rFont val="Times New Roman"/>
        <family val="1"/>
      </rPr>
      <t>3.kategorija</t>
    </r>
    <r>
      <rPr>
        <sz val="10"/>
        <color theme="1"/>
        <rFont val="Times New Roman"/>
        <family val="1"/>
      </rPr>
      <t xml:space="preserve">  - Māsa, ārsta palīgs (feldšeris), vecmāte, biomedicīnas laborants, radiologa asistents, radiogrāfers</t>
    </r>
  </si>
  <si>
    <t>VSIA "Daugavpils psihoneiroloģiskā slimnīcas" (15.01.2019. līgums Nr.2019/24-1-04/04  par ilgstošas sociālās aprūpes un sociālās rehabilitācijas pakalpojumu sniegšanu pilngadīgām personām ar smagiem garīga rakstura traucējumiem (personām ar I un II grupas invaliditāti))</t>
  </si>
  <si>
    <t xml:space="preserve">Mākslas terapeits </t>
  </si>
  <si>
    <t xml:space="preserve">Ārsta palīgs </t>
  </si>
  <si>
    <t>Vecākā medicīnas māsa (ar GVAM sertifikātu)</t>
  </si>
  <si>
    <t xml:space="preserve">Masieris </t>
  </si>
  <si>
    <t xml:space="preserve">Audiologopēds  </t>
  </si>
  <si>
    <t>SIA "Veselības centrs "Ilūkste"" (29.01.2019. līgums Nr.2019/24-1-06/08   par ilgstošas sociālās aprūpes un sociālās rehabilitācijas pakalpojumu sniegšanu pilngadīgām personām ar smagiem garīga rakstura traucējumiem (personām ar I un II grupas invaliditāti))</t>
  </si>
  <si>
    <t>VSIA "Slimnīca "Ģintermuiža"" (07.02.2019. līgums Nr.2019/24-1-06/12  par sociālās rehabilitācijas pakalpojumu sniegšanu no psihoaktīvām vielām atkarīgām nepilngadīgām personām)</t>
  </si>
  <si>
    <t>VSIA "Slimnīca "Ģintermuiža"" (04.01.2019. līgums Nr.2019/24-1-06/01  par sociālās rehabilitācijas pakalpojumu sniegšanu no psihoaktīvām vielām atkarīgām pilngadīgām personām)</t>
  </si>
  <si>
    <t>Biedrības "Latvijas Sarkanais Krusts" sociālās aprūpes centrs "Stūrīši" (29.01.2019. līgums Nr.2019/24-1-06/06   par ilgstošas sociālās aprūpes un sociālās rehabilitācijas pakalpojumu sniegšanu pilngadīgām personām ar smagiem garīga rakstura traucējumiem (personām ar I un II grupas invaliditāti))</t>
  </si>
  <si>
    <t>SIA "Atsaucība" (29.01.2019. līgums Nr.2019/24-1-06/09   par ilgstošas sociālās aprūpes un sociālās rehabilitācijas pakalpojumu sniegšanu pilngadīgām personām ar smagiem garīga rakstura traucējumiem (personām ar I un II grupas invaliditāti))</t>
  </si>
  <si>
    <t>Latvijas Nedzirdīgo savienība (12.02.2020. līgums Nr.2020/24-1-04/2e  par personu ar dzirdes invaliditāti nodrošināšanu ar tehniskajiem palīglīdzekļiem - surdotehniku)</t>
  </si>
  <si>
    <t>Nodibinājums "Latvijas Bērnu fonds" (09.01.2020. līgums Nr.2020/24-1-04/01  par sociālās rehabilitācijas pakalpojumu sniegšanu bērniem, kuri cietuši no vardarbības)</t>
  </si>
  <si>
    <t>Nodibinājums "Bērnu slimnīcas fonds" (07.01.2020. līgums Nr.LM 2020/24-1-06/01  par ambulatora psihosociāla rehabilitācijas pakalpojuma sniegšanu no vielām un procesiem atkarīgiem bērniem)</t>
  </si>
  <si>
    <t>uztura speciālists</t>
  </si>
  <si>
    <t>psihiatrs</t>
  </si>
  <si>
    <t>narkalogs</t>
  </si>
  <si>
    <t>fizioterapeits</t>
  </si>
  <si>
    <t>Kopā 05.01.00</t>
  </si>
  <si>
    <t xml:space="preserve">18. Labklājības ministrija  </t>
  </si>
  <si>
    <t>05.01.00 "Sociālās rehabilitācijas valsts programmas"</t>
  </si>
  <si>
    <t>VSIA "Nacionālais rehabilitācijas centrs "Vaivari" (28.01.2020. līgums Nr.LM2020/24-1-04/1e  par personu nodrošināšanu ar tehniskajiem palīglīdzekļiem)</t>
  </si>
  <si>
    <t>IV A</t>
  </si>
  <si>
    <t>Galvenais ergoterapeits (sertificēts)</t>
  </si>
  <si>
    <t>Ergoterapeits (sertificēts)</t>
  </si>
  <si>
    <t>II B</t>
  </si>
  <si>
    <t>Vecākais fizioterapeits (nesertificēts)</t>
  </si>
  <si>
    <t>Audiologopēds (sertificēts)</t>
  </si>
  <si>
    <t>PSIA "Veselības un sociālās aprūpes centrs - Sloka" (29.01.2019. līgums Nr.2019/24-1-06/07   par ilgstošas sociālās aprūpes un sociālās rehabilitācijas pakalpojumu sniegšanu pilngadīgām personām ar smagiem garīga rakstura traucējumiem (personām ar I un II grupas invaliditāti))</t>
  </si>
  <si>
    <t>Medicīnas māsa (setificēta)</t>
  </si>
  <si>
    <t>Māsu palīgs</t>
  </si>
  <si>
    <t>1B</t>
  </si>
  <si>
    <t>820</t>
  </si>
  <si>
    <t xml:space="preserve"> 05.01.00 Kopā</t>
  </si>
  <si>
    <t>Direktora vietnieks neatliekamās medicīniskās palīdzības jautājumos</t>
  </si>
  <si>
    <t>Medicīniskās kvalitātes sistēmas vadītājs</t>
  </si>
  <si>
    <t>Medicīniskās kvalitātes  un kvalifikācijas vadības centra vadītājs</t>
  </si>
  <si>
    <t>MKKVC ārsts eksperts (sūdzību izskatīšanas jautājumos)</t>
  </si>
  <si>
    <t>MKKVC ārsts eksperts (kvalitātes jautājumos)</t>
  </si>
  <si>
    <t>MKKVC ārsts eksperts (kvalifikācijas jautājumos)</t>
  </si>
  <si>
    <t>Medicīniskās kvalifikācijas sistēmas vadītājs</t>
  </si>
  <si>
    <t>Reanimācijas brigādes vadītājs - NM ārsts, anesteziologs-reanimatologs</t>
  </si>
  <si>
    <t>Bērnu IT brigādes ārsts</t>
  </si>
  <si>
    <t>Vecākais dežūrārsts</t>
  </si>
  <si>
    <t>Ārsts - eksperts</t>
  </si>
  <si>
    <t>Brigādes (2SP) vadītājs - NM ārsta palīgs</t>
  </si>
  <si>
    <t>Brigādes vadītājs - vecākais NM ārsta palīgs</t>
  </si>
  <si>
    <t>Galvenais ārsta palīgs</t>
  </si>
  <si>
    <t>Vecākais ārsta palīgs medicīniskā nodrošinājuma jautājumos</t>
  </si>
  <si>
    <t>Galvenais speciālists medicīniskās evakuācijas jautājumos</t>
  </si>
  <si>
    <t>Ārsta palīgs medicīniskā nodrošinājuma jautājumos</t>
  </si>
  <si>
    <t>Izsaukumu pieņemšanas dispečers  (NM ārsta palīgs)</t>
  </si>
  <si>
    <t>Izsaukumu pieņemšanas dispečers  (ārsta palīgs/medicīnas māsa)</t>
  </si>
  <si>
    <t>Ģimenes ārstu konsultatīvā tāruņa konsultants (ārsta palīgs - sertificēts)</t>
  </si>
  <si>
    <t>BAC dispečers - NM ārsta palīgs</t>
  </si>
  <si>
    <t>NM ārsta palīgs/ārsta palīgs NMP brigāžu medicīniskā nodrošinājuma jautājumos</t>
  </si>
  <si>
    <t>Dispečers - NM ārsta palīgs</t>
  </si>
  <si>
    <t xml:space="preserve">Dispečers - ārsta palīgs </t>
  </si>
  <si>
    <t xml:space="preserve">NMP punkta vecākais ārsta palīgs
</t>
  </si>
  <si>
    <t>Galvenais speciālists ārstniecības kvalitātes jautājumos</t>
  </si>
  <si>
    <t xml:space="preserve">Brigādes vadītājs - ārsts, sagatavots NMP sniegšanai (anestezioloģijas, reanimatoloģijas vai neatliekamās medicīnas ārsta specialitātes 4./5.gada rezidents, ārsts kardiologs, ārsts internists vai ģimenes ārsts) </t>
  </si>
  <si>
    <t>Vecākais OMT vadītājs</t>
  </si>
  <si>
    <t>OMT vadītājs</t>
  </si>
  <si>
    <t>klientu un pacientu reģistrators</t>
  </si>
  <si>
    <t>4</t>
  </si>
  <si>
    <t>sanitārs</t>
  </si>
  <si>
    <t>Galvenais speciālists antimikrobās rezistences jautājumos</t>
  </si>
  <si>
    <t>Līgumu uzraudzības nodaļas eksperts</t>
  </si>
  <si>
    <t>Oftalmoloģijas māsa</t>
  </si>
  <si>
    <t>Pirmskolas iestāžu un skolu māsa</t>
  </si>
  <si>
    <t>2021.gada jaunā amatalga ar  pieaugumu (neievērojot MK not. Nr.66 max)</t>
  </si>
  <si>
    <t>36</t>
  </si>
  <si>
    <t>Operatīvā darba organizēšanas nodaļas vadītājs</t>
  </si>
  <si>
    <t>MKKVC Ārsta eksperta palīgs</t>
  </si>
  <si>
    <t xml:space="preserve">Ārkārtas situāciju gatavības nodrošināšanas nodaļas galvenais speciālists </t>
  </si>
  <si>
    <t>OVC galvenais speciālists ārstniecības kvalitātes jautājumos</t>
  </si>
  <si>
    <t>Medicīniskā nodrošinājuma  nodaļas galvenais speciālists medicīniskā nodrošinājuma jautājumos</t>
  </si>
  <si>
    <t>Medicīnisko maksas pakalpojumu nodaļas galvenais speciālists</t>
  </si>
  <si>
    <t>Ārstniecības personu zemāko mēnešalgu izmaiņas no 2021.gada</t>
  </si>
  <si>
    <r>
      <t xml:space="preserve">10% darba samaksas pieaugums </t>
    </r>
    <r>
      <rPr>
        <sz val="11"/>
        <rFont val="Times New Roman"/>
        <family val="1"/>
        <charset val="186"/>
      </rPr>
      <t>(finansējums, kas nepieciešams saistībā ar pagarinātā normālā darba laika atcelšanu no 2019.gada 14 395 958 euro apmērā budžeta programmai 33.00.00 "Veselības aprūpes nodrošināšana" x 10% darba samaksas pieaugums)</t>
    </r>
  </si>
  <si>
    <t>Kopā nepieciešamais finansējums ārstniecības personu darba samaksas izmaiņām</t>
  </si>
  <si>
    <t>Pārējā personāla zemāko mēnešalgu izmaiņas no 2021.gada</t>
  </si>
  <si>
    <t>Kopā nepieciešamais finansējums ārstniecības personu un pārējo darbinieku darba samaksas izmaiņām</t>
  </si>
  <si>
    <t xml:space="preserve">citu ministriju t.sk. 62.resora  ārstniecības personu darba samaksas palielināšanai </t>
  </si>
  <si>
    <t>-</t>
  </si>
  <si>
    <t>2020.gads - finanšu līdzekļu apmērs viena rezidenta apmācībai pirmajā un otrajā rezidentūras gadā pamatspecialitātē</t>
  </si>
  <si>
    <t>2020.gads - finanšu līdzekļu apmērs viena rezidenta apmācībai no trešā rezidentūras gada pamatspecialitātē un no pirmā rezidentūras gada papildspecialitātē un apakšspecialitātē</t>
  </si>
  <si>
    <t xml:space="preserve">Pārējās ārstniecības iestādēs 
(t.sk. budžeta iestādēs) </t>
  </si>
  <si>
    <t xml:space="preserve">Reģionālajā daudzprofilu slimnīcā vai ģimenes (vispārējās prakses) ārsta praksē ārpus Rīgas </t>
  </si>
  <si>
    <t>Plānotais rezidentu skaits janv-sept</t>
  </si>
  <si>
    <t>Plānotais rezidentūras absolventu skaits 2020.gadā</t>
  </si>
  <si>
    <t>Plānotais uzņemamo rezidentu skaits</t>
  </si>
  <si>
    <t>Plānotais rezidentu skaits okt-dec</t>
  </si>
  <si>
    <t>Plānotais vidējais rezidentu skaits 2020.gadā</t>
  </si>
  <si>
    <t>5=2-3+4</t>
  </si>
  <si>
    <t>kopā, t.sk.</t>
  </si>
  <si>
    <t>Reģionālajā daudzprofilu slimnīcā vai ģimenes (vispārējās prakses) ārsta praksē ārpus Rīgas</t>
  </si>
  <si>
    <t>t.sk. no 3.gada pamatspecialitātē un papildspecialitātē un apakšspecialitātē no 1.gada, t.sk.</t>
  </si>
  <si>
    <t>t.sk. atlikušie, t.sk.</t>
  </si>
  <si>
    <t>VSAOI jaunais nodoklis</t>
  </si>
  <si>
    <t>darba devēja VSAOI 
23,59%
(1200 kods)
gadā</t>
  </si>
  <si>
    <t>Darba samaksas pieaugums 2021.gadam, t.sk. 23.59%</t>
  </si>
  <si>
    <t>darba devēja VSAOI 
23.59%
(1200 kods)
gadā</t>
  </si>
  <si>
    <t>20% darba samaksas pieaugums 2021.gadam, t.sk. 23.59%</t>
  </si>
  <si>
    <t>darba samaksas pieaugums 2021.gadam, t.sk. 23.59%</t>
  </si>
  <si>
    <r>
      <t xml:space="preserve">Pamatojoties uz Ministru kabineta 2020.gada 22.septembra sēdē izskatīto un atbalstīto informatīvo ziņojumu “Par priekšlikumiem valsts budžeta ieņēmumiem un izdevumiem 2021.gadam un ietvaram 2021.–2023.gadam” un protokollēmuma 34.punktu paredzētā finansējuma 2021.-2023.gadam ik gadu 183 005 047 euro apmērā sadalījums pa ministrijām  un programmām/apakšprogrammām, </t>
    </r>
    <r>
      <rPr>
        <i/>
        <sz val="12"/>
        <color theme="1"/>
        <rFont val="Times New Roman"/>
        <family val="1"/>
        <charset val="186"/>
      </rPr>
      <t>euro</t>
    </r>
  </si>
  <si>
    <t>Resori/budžeta programmas (apakšprogrammas)</t>
  </si>
  <si>
    <t>Nepieciešamas papildus finansējums kopā</t>
  </si>
  <si>
    <t>Finanasējums darba samaksas pieaugumam, lai saglabātu 2020.gada līmenī</t>
  </si>
  <si>
    <t>02.04.00 "Rezidentu apmācība"</t>
  </si>
  <si>
    <t>EKK 7470</t>
  </si>
  <si>
    <t>33.14.00 "Primārās ambulatorās veselības aprūpes nodrošināšana"</t>
  </si>
  <si>
    <t>EKK 3000</t>
  </si>
  <si>
    <t>33.15.00 "Laboratorisko izmeklējumu nodrošināšana ambulatorajā aprūpē"</t>
  </si>
  <si>
    <t>33.16.00 "Pārējo ambulatoro veselības aprūpes pakalpojumu nodrošināšana"</t>
  </si>
  <si>
    <t>33.17.00 "Neatliekamās medicīniskās palīdzības nodrošināšana stacionārās ārstniecības iestādēs"</t>
  </si>
  <si>
    <t>33.18.00 "Plānveida stacionāro veselības aprūpes pakalpojumu nodrošināšana"</t>
  </si>
  <si>
    <t>39.03.00 "Asins un asins komponentu nodrošināšana"</t>
  </si>
  <si>
    <t>EKK 1000</t>
  </si>
  <si>
    <t>EKK 2000</t>
  </si>
  <si>
    <t>39.04.00 "Neatliekamā medicīniskā palīdzība"</t>
  </si>
  <si>
    <t>39.06.00 "Tiesu medicīniskā ekspertīze"</t>
  </si>
  <si>
    <t>45.01.00 "Veselības aprūpes finansējuma administrēšana un ekonomiskā novērtēšana"</t>
  </si>
  <si>
    <t>46.01.00 "Uzraudzība un kontrole"</t>
  </si>
  <si>
    <t>46.03.00 "Slimību profilakses nodrošināšana"</t>
  </si>
  <si>
    <t>97.00.00 "Nozares vadība un politikas plānošana"</t>
  </si>
  <si>
    <t>06.02.00 "Medicīnas vēstures muzejs"</t>
  </si>
  <si>
    <t>citas ministrijas t.sk. 62.resors</t>
  </si>
  <si>
    <t>22.10.00 "Starptautisko operāciju un Nacionālo bruņoto spēku centralizētais atalgojums"</t>
  </si>
  <si>
    <t>Izglītības ministrija</t>
  </si>
  <si>
    <t xml:space="preserve">EKK 7460 </t>
  </si>
  <si>
    <t>Labklājības ministrija</t>
  </si>
  <si>
    <t xml:space="preserve">EKK 3000 </t>
  </si>
  <si>
    <t>Tieslietu ministrija</t>
  </si>
  <si>
    <t>Iekšlietu ministrija</t>
  </si>
  <si>
    <t xml:space="preserve">EKK 2000 </t>
  </si>
  <si>
    <r>
      <t xml:space="preserve">Finanasējums darba samaksas pieaugumam </t>
    </r>
    <r>
      <rPr>
        <b/>
        <sz val="11"/>
        <color theme="1"/>
        <rFont val="Times New Roman"/>
        <family val="1"/>
      </rPr>
      <t>25,39% apmērā</t>
    </r>
    <r>
      <rPr>
        <sz val="11"/>
        <color theme="1"/>
        <rFont val="Times New Roman"/>
        <family val="1"/>
        <charset val="186"/>
      </rPr>
      <t xml:space="preserve"> no 2021.gada 1.janvāra </t>
    </r>
  </si>
  <si>
    <t>Plus 52% piemaksām</t>
  </si>
  <si>
    <t>Pielikums Nr.1.</t>
  </si>
  <si>
    <t>Pielikums Nr.2</t>
  </si>
  <si>
    <t>Pielikums Nr.3</t>
  </si>
  <si>
    <t>Pielikums Nr.4</t>
  </si>
  <si>
    <t>Veselības ministrijas padotības iestādēs strādājošo, uz kuriem ir attiecināms Valsts un pašvaldību institūciju amatpersonu un darbinieku atlīdzības likumā noteiktās mēnešalgu grupu maksimālās mēnešalgas,  darba samaksas palielinājums</t>
  </si>
  <si>
    <t>Pielikums Nr.5</t>
  </si>
  <si>
    <t>Pielikums Nr.6</t>
  </si>
  <si>
    <t>Pielikums Nr.7</t>
  </si>
  <si>
    <t>Pielikums Nr.8</t>
  </si>
  <si>
    <t>Pielikums Nr.9</t>
  </si>
  <si>
    <r>
      <t xml:space="preserve">Nepieciešamais papildus finansējums rezidentiem, </t>
    </r>
    <r>
      <rPr>
        <b/>
        <i/>
        <sz val="9"/>
        <rFont val="Times New Roman"/>
        <family val="1"/>
      </rPr>
      <t>euro</t>
    </r>
  </si>
  <si>
    <r>
      <t xml:space="preserve">2021.gads - finanšu līdzekļu apmērs viena rezidenta apmācībai pirmajā un otrajā rezidentūras gadā pamatspecialitātē - ar </t>
    </r>
    <r>
      <rPr>
        <b/>
        <u/>
        <sz val="9"/>
        <rFont val="Times New Roman"/>
        <family val="1"/>
      </rPr>
      <t>pieaugumu 25,39% apmērā</t>
    </r>
  </si>
  <si>
    <r>
      <t xml:space="preserve">2021.gads - finanšu līdzekļu apmērs viena rezidenta apmācībai no trešā rezidentūras gada pamatspecialitātē un no pirmā rezidentūras gada papildspecialitātē un apakšspecialitātē - </t>
    </r>
    <r>
      <rPr>
        <b/>
        <u/>
        <sz val="9"/>
        <rFont val="Times New Roman"/>
        <family val="1"/>
      </rPr>
      <t>ar pieaugumu 25,39% apmērā</t>
    </r>
  </si>
  <si>
    <t>Rezidenta apmācībai pirmajā un otrajā rezidentūras gadā pamatspecialitātē</t>
  </si>
  <si>
    <t>Rezidenta apmācībai pirmajā un otrajā rezidentūras gadā pamatspecialitātē, ja rezidentūra notiek reģionālajā daudzprofilu slimnīcā vai ģimenes (vispārējās prakses) ārsta praksē ārpus Rīgas</t>
  </si>
  <si>
    <t>Rezidenta apmācībai no trešā rezidentūras gada pamatspecialitātē un no pirmā rezidentūras gada papildspecialitātē un apakšspecialitātē</t>
  </si>
  <si>
    <r>
      <t xml:space="preserve">Rezidenta apmācībai no trešā rezidentūras gada pamatspecialitātē un no pirmā rezidentūras gada papildspecialitātē un apakšspecialitātē, </t>
    </r>
    <r>
      <rPr>
        <sz val="10"/>
        <color rgb="FF000000"/>
        <rFont val="Times New Roman"/>
        <family val="1"/>
      </rPr>
      <t>ja rezidentūra notiek reģionālajā daudzprofilu slimnīcā vai ģimenes (vispārējās prakses) ārsta praksē ārpus Rīgas</t>
    </r>
  </si>
  <si>
    <t xml:space="preserve"> Finanšu līdzekļu apmērs mēnesim viena rezidenta apmācībai 2020.gadā</t>
  </si>
  <si>
    <t xml:space="preserve"> Finanšu līdzekļu apmērs mēnesim viena rezidenta apmācībai 2021.gadā - ar pieaugumu 25.39% apmērā, euro</t>
  </si>
  <si>
    <t xml:space="preserve"> Finanšu līdzekļu apmēra palielinājums mēnesim viena rezidenta apmācībai 2021.gadā, euro</t>
  </si>
  <si>
    <t xml:space="preserve"> Finanšu līdzekļu apmēra palielinājums apmācībai 2021.gadam atbilstoši plānotam rezidentu skaitam , euro</t>
  </si>
  <si>
    <t>KOPĀ:</t>
  </si>
  <si>
    <t>Pielikums Nr.10</t>
  </si>
  <si>
    <r>
      <t xml:space="preserve">* Tai skaitā finansējums integrēšanai tarifos 115 527 876 </t>
    </r>
    <r>
      <rPr>
        <i/>
        <sz val="12"/>
        <rFont val="Times New Roman"/>
        <family val="1"/>
      </rPr>
      <t>euro</t>
    </r>
    <r>
      <rPr>
        <sz val="12"/>
        <rFont val="Times New Roman"/>
        <family val="1"/>
      </rPr>
      <t xml:space="preserve">, reģistru uzturēšanā un metodiski organizatoriska darbā iesaistītām ārstniecības personām  86 103 </t>
    </r>
    <r>
      <rPr>
        <i/>
        <sz val="12"/>
        <rFont val="Times New Roman"/>
        <family val="1"/>
      </rPr>
      <t xml:space="preserve">euro </t>
    </r>
  </si>
  <si>
    <t>115 613 979 *</t>
  </si>
  <si>
    <t>** Finansējums 23 594 470 euro apmērā integrēts tarifos atbilstoši Ministru kabineta noteikumu “Grozījumi Ministru kabineta 2018.gada 28.augusta noteikumos Nr.555 „Veselības aprūpes pakalpojumu organizēšanas un samaksas kārtība”” projekta anotācijā</t>
  </si>
  <si>
    <t>23 594 470 **</t>
  </si>
  <si>
    <t>Pielikums Nr.11</t>
  </si>
  <si>
    <t>kopā 25,39% pieaugums pret 2020.gadu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</si>
</sst>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
    <numFmt numFmtId="166" formatCode="0.000"/>
    <numFmt numFmtId="167" formatCode="#,##0.000"/>
    <numFmt numFmtId="168" formatCode="0.0%"/>
    <numFmt numFmtId="169" formatCode="0.000%"/>
    <numFmt numFmtId="170" formatCode="#,##0.00000"/>
    <numFmt numFmtId="171" formatCode="#,##0.0000"/>
  </numFmts>
  <fonts count="126">
    <font>
      <sz val="11"/>
      <color theme="1"/>
      <name val="Calibri"/>
      <family val="2"/>
      <charset val="186"/>
      <scheme val="minor"/>
    </font>
    <font>
      <b/>
      <sz val="11"/>
      <color theme="1"/>
      <name val="Calibri"/>
      <family val="2"/>
      <charset val="186"/>
      <scheme val="minor"/>
    </font>
    <font>
      <b/>
      <sz val="11"/>
      <color theme="1"/>
      <name val="Times New Roman"/>
      <family val="1"/>
    </font>
    <font>
      <sz val="10"/>
      <color indexed="8"/>
      <name val="Times New Roman"/>
      <family val="1"/>
    </font>
    <font>
      <sz val="10"/>
      <color theme="1"/>
      <name val="Times New Roman"/>
      <family val="1"/>
    </font>
    <font>
      <sz val="10"/>
      <color rgb="FF0000CC"/>
      <name val="Times New Roman"/>
      <family val="1"/>
    </font>
    <font>
      <b/>
      <sz val="10"/>
      <color theme="1"/>
      <name val="Times New Roman"/>
      <family val="1"/>
    </font>
    <font>
      <b/>
      <i/>
      <sz val="10"/>
      <color theme="1"/>
      <name val="Times New Roman"/>
      <family val="1"/>
    </font>
    <font>
      <b/>
      <sz val="10"/>
      <color rgb="FF0000CC"/>
      <name val="Times New Roman"/>
      <family val="1"/>
    </font>
    <font>
      <b/>
      <sz val="10"/>
      <color theme="1"/>
      <name val="Times New Roman"/>
      <family val="1"/>
      <charset val="186"/>
    </font>
    <font>
      <sz val="11"/>
      <color indexed="8"/>
      <name val="Calibri"/>
      <family val="2"/>
      <charset val="186"/>
    </font>
    <font>
      <sz val="10"/>
      <name val="Times New Roman"/>
      <family val="1"/>
      <charset val="186"/>
    </font>
    <font>
      <sz val="10"/>
      <name val="Times New Roman"/>
      <family val="1"/>
    </font>
    <font>
      <sz val="10"/>
      <color indexed="8"/>
      <name val="MS Sans Serif"/>
      <family val="2"/>
      <charset val="186"/>
    </font>
    <font>
      <sz val="10"/>
      <color rgb="FFFF0000"/>
      <name val="Times New Roman"/>
      <family val="1"/>
    </font>
    <font>
      <sz val="10"/>
      <color rgb="FFFF0000"/>
      <name val="Times New Roman"/>
      <family val="1"/>
      <charset val="186"/>
    </font>
    <font>
      <b/>
      <sz val="12"/>
      <name val="Times New Roman"/>
      <family val="1"/>
    </font>
    <font>
      <sz val="9"/>
      <color theme="1"/>
      <name val="Times New Roman"/>
      <family val="1"/>
    </font>
    <font>
      <u/>
      <sz val="9"/>
      <color indexed="8"/>
      <name val="Times New Roman"/>
      <family val="1"/>
    </font>
    <font>
      <sz val="9"/>
      <color indexed="8"/>
      <name val="Times New Roman"/>
      <family val="1"/>
    </font>
    <font>
      <b/>
      <sz val="10"/>
      <name val="Times New Roman"/>
      <family val="1"/>
      <charset val="186"/>
    </font>
    <font>
      <b/>
      <sz val="10"/>
      <name val="Times New Roman"/>
      <family val="1"/>
    </font>
    <font>
      <sz val="11"/>
      <color theme="1"/>
      <name val="Times New Roman"/>
      <family val="1"/>
    </font>
    <font>
      <sz val="10"/>
      <color theme="1"/>
      <name val="Times New Roman"/>
      <family val="1"/>
      <charset val="186"/>
    </font>
    <font>
      <b/>
      <sz val="12"/>
      <color theme="1"/>
      <name val="Calibri"/>
      <family val="2"/>
      <charset val="186"/>
      <scheme val="minor"/>
    </font>
    <font>
      <sz val="12"/>
      <color theme="1"/>
      <name val="Times New Roman"/>
      <family val="1"/>
    </font>
    <font>
      <b/>
      <sz val="10"/>
      <color indexed="8"/>
      <name val="Times New Roman"/>
      <family val="1"/>
    </font>
    <font>
      <b/>
      <sz val="10"/>
      <color indexed="12"/>
      <name val="Times New Roman"/>
      <family val="1"/>
    </font>
    <font>
      <sz val="10"/>
      <color theme="1"/>
      <name val="Calibri"/>
      <family val="2"/>
      <charset val="186"/>
      <scheme val="minor"/>
    </font>
    <font>
      <u/>
      <sz val="10"/>
      <color indexed="8"/>
      <name val="Times New Roman"/>
      <family val="1"/>
    </font>
    <font>
      <sz val="11"/>
      <color theme="1"/>
      <name val="Calibri"/>
      <family val="2"/>
      <charset val="186"/>
      <scheme val="minor"/>
    </font>
    <font>
      <b/>
      <i/>
      <sz val="10"/>
      <name val="Times New Roman"/>
      <family val="1"/>
    </font>
    <font>
      <b/>
      <i/>
      <sz val="10"/>
      <name val="Times New Roman"/>
      <family val="1"/>
      <charset val="186"/>
    </font>
    <font>
      <sz val="10"/>
      <name val="Arial"/>
      <family val="2"/>
    </font>
    <font>
      <sz val="9"/>
      <color theme="1"/>
      <name val="Times New Roman"/>
      <family val="1"/>
      <charset val="186"/>
    </font>
    <font>
      <sz val="11"/>
      <color rgb="FFFF0000"/>
      <name val="Calibri"/>
      <family val="2"/>
      <charset val="186"/>
      <scheme val="minor"/>
    </font>
    <font>
      <sz val="11"/>
      <name val="Times New Roman"/>
      <family val="1"/>
    </font>
    <font>
      <b/>
      <sz val="14"/>
      <name val="Times New Roman"/>
      <family val="1"/>
    </font>
    <font>
      <sz val="12"/>
      <name val="Times New Roman"/>
      <family val="1"/>
    </font>
    <font>
      <sz val="9"/>
      <name val="Times New Roman"/>
      <family val="1"/>
    </font>
    <font>
      <b/>
      <sz val="11"/>
      <name val="Times New Roman"/>
      <family val="1"/>
    </font>
    <font>
      <b/>
      <sz val="14"/>
      <color theme="1"/>
      <name val="Times New Roman"/>
      <family val="1"/>
    </font>
    <font>
      <sz val="10"/>
      <name val="Arial"/>
      <family val="2"/>
      <charset val="186"/>
    </font>
    <font>
      <sz val="11"/>
      <name val="Times New Roman"/>
      <family val="1"/>
      <charset val="186"/>
    </font>
    <font>
      <b/>
      <sz val="11"/>
      <name val="Times New Roman"/>
      <family val="1"/>
      <charset val="186"/>
    </font>
    <font>
      <sz val="11"/>
      <color theme="1"/>
      <name val="Times New Roman"/>
      <family val="1"/>
      <charset val="186"/>
    </font>
    <font>
      <b/>
      <sz val="11"/>
      <color theme="1"/>
      <name val="Times New Roman"/>
      <family val="1"/>
      <charset val="186"/>
    </font>
    <font>
      <sz val="5"/>
      <name val="Arial"/>
      <family val="2"/>
      <charset val="186"/>
    </font>
    <font>
      <b/>
      <sz val="12"/>
      <name val="Times New Roman"/>
      <family val="1"/>
      <charset val="186"/>
    </font>
    <font>
      <b/>
      <sz val="9"/>
      <name val="Times New Roman"/>
      <family val="1"/>
      <charset val="186"/>
    </font>
    <font>
      <sz val="9"/>
      <name val="Times New Roman"/>
      <family val="1"/>
      <charset val="186"/>
    </font>
    <font>
      <b/>
      <sz val="8"/>
      <name val="Times New Roman"/>
      <family val="1"/>
      <charset val="186"/>
    </font>
    <font>
      <b/>
      <i/>
      <sz val="10"/>
      <name val="Arial"/>
      <family val="2"/>
      <charset val="186"/>
    </font>
    <font>
      <b/>
      <i/>
      <sz val="10"/>
      <color rgb="FF7030A0"/>
      <name val="Times New Roman"/>
      <family val="1"/>
      <charset val="186"/>
    </font>
    <font>
      <b/>
      <i/>
      <sz val="10"/>
      <color rgb="FF7030A0"/>
      <name val="Arial"/>
      <family val="2"/>
      <charset val="186"/>
    </font>
    <font>
      <b/>
      <i/>
      <u/>
      <sz val="10"/>
      <name val="Times New Roman"/>
      <family val="1"/>
      <charset val="186"/>
    </font>
    <font>
      <b/>
      <i/>
      <sz val="10"/>
      <color rgb="FFFF0000"/>
      <name val="Times New Roman"/>
      <family val="1"/>
      <charset val="186"/>
    </font>
    <font>
      <i/>
      <sz val="9"/>
      <name val="Times New Roman"/>
      <family val="1"/>
      <charset val="186"/>
    </font>
    <font>
      <i/>
      <sz val="10"/>
      <name val="Times New Roman"/>
      <family val="1"/>
      <charset val="186"/>
    </font>
    <font>
      <i/>
      <sz val="10"/>
      <name val="Arial"/>
      <family val="2"/>
      <charset val="186"/>
    </font>
    <font>
      <i/>
      <sz val="9"/>
      <color rgb="FF7030A0"/>
      <name val="Times New Roman"/>
      <family val="1"/>
      <charset val="186"/>
    </font>
    <font>
      <i/>
      <sz val="9"/>
      <name val="Arial"/>
      <family val="2"/>
      <charset val="186"/>
    </font>
    <font>
      <i/>
      <sz val="9"/>
      <color rgb="FF7030A0"/>
      <name val="Arial"/>
      <family val="2"/>
      <charset val="186"/>
    </font>
    <font>
      <i/>
      <sz val="10"/>
      <color rgb="FFFF0000"/>
      <name val="Times New Roman"/>
      <family val="1"/>
      <charset val="186"/>
    </font>
    <font>
      <b/>
      <u/>
      <sz val="10"/>
      <name val="Times New Roman"/>
      <family val="1"/>
      <charset val="186"/>
    </font>
    <font>
      <b/>
      <sz val="10"/>
      <color rgb="FFFF0000"/>
      <name val="Times New Roman"/>
      <family val="1"/>
      <charset val="186"/>
    </font>
    <font>
      <b/>
      <sz val="10"/>
      <name val="Arial"/>
      <family val="2"/>
      <charset val="186"/>
    </font>
    <font>
      <sz val="10"/>
      <color rgb="FF7030A0"/>
      <name val="Times New Roman"/>
      <family val="1"/>
      <charset val="186"/>
    </font>
    <font>
      <b/>
      <sz val="11"/>
      <color rgb="FFFF0000"/>
      <name val="Calibri"/>
      <family val="2"/>
      <charset val="186"/>
      <scheme val="minor"/>
    </font>
    <font>
      <b/>
      <sz val="11"/>
      <color rgb="FFFF0000"/>
      <name val="Times New Roman"/>
      <family val="1"/>
      <charset val="186"/>
    </font>
    <font>
      <b/>
      <sz val="10"/>
      <color theme="1"/>
      <name val="Calibri"/>
      <family val="2"/>
      <charset val="186"/>
      <scheme val="minor"/>
    </font>
    <font>
      <b/>
      <sz val="10"/>
      <color rgb="FFFF0000"/>
      <name val="Calibri"/>
      <family val="2"/>
      <charset val="186"/>
      <scheme val="minor"/>
    </font>
    <font>
      <sz val="11"/>
      <color rgb="FFFF0000"/>
      <name val="Times New Roman"/>
      <family val="1"/>
      <charset val="186"/>
    </font>
    <font>
      <sz val="12"/>
      <name val="Arial"/>
      <family val="2"/>
      <charset val="186"/>
    </font>
    <font>
      <b/>
      <sz val="9"/>
      <color rgb="FFFF0000"/>
      <name val="Times New Roman"/>
      <family val="1"/>
      <charset val="186"/>
    </font>
    <font>
      <b/>
      <sz val="7"/>
      <color rgb="FFFF0000"/>
      <name val="Times New Roman"/>
      <family val="1"/>
      <charset val="186"/>
    </font>
    <font>
      <b/>
      <sz val="12"/>
      <color rgb="FFFF0000"/>
      <name val="Times New Roman"/>
      <family val="1"/>
      <charset val="186"/>
    </font>
    <font>
      <b/>
      <sz val="7"/>
      <name val="Times New Roman"/>
      <family val="1"/>
      <charset val="186"/>
    </font>
    <font>
      <strike/>
      <sz val="11"/>
      <name val="Calibri"/>
      <family val="2"/>
      <charset val="186"/>
      <scheme val="minor"/>
    </font>
    <font>
      <sz val="11"/>
      <name val="Calibri"/>
      <family val="2"/>
      <charset val="186"/>
      <scheme val="minor"/>
    </font>
    <font>
      <sz val="9"/>
      <color theme="1"/>
      <name val="Calibri"/>
      <family val="2"/>
      <charset val="186"/>
      <scheme val="minor"/>
    </font>
    <font>
      <sz val="10"/>
      <name val="Arial Baltic"/>
      <charset val="186"/>
    </font>
    <font>
      <b/>
      <sz val="9"/>
      <color theme="1"/>
      <name val="Times New Roman"/>
      <family val="1"/>
    </font>
    <font>
      <b/>
      <sz val="11"/>
      <color theme="1"/>
      <name val="Calibri"/>
      <family val="2"/>
      <scheme val="minor"/>
    </font>
    <font>
      <b/>
      <sz val="10"/>
      <name val="Arial"/>
      <family val="2"/>
    </font>
    <font>
      <b/>
      <sz val="10"/>
      <color rgb="FFFF0000"/>
      <name val="Arial"/>
      <family val="2"/>
    </font>
    <font>
      <b/>
      <sz val="12"/>
      <color rgb="FFFF0000"/>
      <name val="Arial"/>
      <family val="2"/>
    </font>
    <font>
      <b/>
      <i/>
      <sz val="11"/>
      <name val="Times New Roman"/>
      <family val="1"/>
      <charset val="186"/>
    </font>
    <font>
      <i/>
      <sz val="10"/>
      <name val="Times New Roman"/>
      <family val="1"/>
    </font>
    <font>
      <b/>
      <i/>
      <sz val="10"/>
      <name val="Arial"/>
      <family val="2"/>
    </font>
    <font>
      <b/>
      <i/>
      <sz val="10"/>
      <color rgb="FFFF0000"/>
      <name val="Arial"/>
      <family val="2"/>
    </font>
    <font>
      <i/>
      <sz val="10"/>
      <color rgb="FF7030A0"/>
      <name val="Arial"/>
      <family val="2"/>
    </font>
    <font>
      <i/>
      <sz val="10"/>
      <color rgb="FF7030A0"/>
      <name val="Arial"/>
      <family val="2"/>
      <charset val="186"/>
    </font>
    <font>
      <i/>
      <sz val="8"/>
      <name val="Times New Roman"/>
      <family val="1"/>
    </font>
    <font>
      <b/>
      <sz val="9"/>
      <color indexed="81"/>
      <name val="Tahoma"/>
      <family val="2"/>
      <charset val="186"/>
    </font>
    <font>
      <sz val="9"/>
      <color indexed="81"/>
      <name val="Tahoma"/>
      <family val="2"/>
      <charset val="186"/>
    </font>
    <font>
      <b/>
      <i/>
      <sz val="9"/>
      <color rgb="FF7030A0"/>
      <name val="Times New Roman"/>
      <family val="1"/>
    </font>
    <font>
      <i/>
      <sz val="9"/>
      <color rgb="FF7030A0"/>
      <name val="Times New Roman"/>
      <family val="1"/>
    </font>
    <font>
      <sz val="9"/>
      <color rgb="FF7030A0"/>
      <name val="Times New Roman"/>
      <family val="1"/>
    </font>
    <font>
      <sz val="10"/>
      <color rgb="FF7030A0"/>
      <name val="Times New Roman"/>
      <family val="1"/>
    </font>
    <font>
      <i/>
      <sz val="10"/>
      <color rgb="FF7030A0"/>
      <name val="Times New Roman"/>
      <family val="1"/>
    </font>
    <font>
      <b/>
      <sz val="9"/>
      <color rgb="FF7030A0"/>
      <name val="Times New Roman"/>
      <family val="1"/>
    </font>
    <font>
      <b/>
      <sz val="11"/>
      <color rgb="FF00B050"/>
      <name val="Times New Roman"/>
      <family val="1"/>
      <charset val="186"/>
    </font>
    <font>
      <b/>
      <sz val="12"/>
      <color rgb="FF00B050"/>
      <name val="Times New Roman"/>
      <family val="1"/>
      <charset val="186"/>
    </font>
    <font>
      <sz val="8"/>
      <name val="Calibri"/>
      <family val="2"/>
      <charset val="186"/>
      <scheme val="minor"/>
    </font>
    <font>
      <b/>
      <i/>
      <sz val="12"/>
      <name val="Times New Roman"/>
      <family val="1"/>
      <charset val="186"/>
    </font>
    <font>
      <b/>
      <i/>
      <sz val="12"/>
      <name val="Arial"/>
      <family val="2"/>
      <charset val="186"/>
    </font>
    <font>
      <sz val="11"/>
      <color theme="1"/>
      <name val="Calibri"/>
      <family val="2"/>
      <charset val="186"/>
    </font>
    <font>
      <sz val="10"/>
      <color rgb="FF7030A0"/>
      <name val="Arial"/>
      <family val="2"/>
      <charset val="186"/>
    </font>
    <font>
      <sz val="11"/>
      <color rgb="FF7030A0"/>
      <name val="Calibri"/>
      <family val="2"/>
      <charset val="186"/>
      <scheme val="minor"/>
    </font>
    <font>
      <sz val="12"/>
      <color theme="1"/>
      <name val="Times New Roman"/>
      <family val="1"/>
      <charset val="186"/>
    </font>
    <font>
      <i/>
      <sz val="12"/>
      <color theme="1"/>
      <name val="Times New Roman"/>
      <family val="1"/>
      <charset val="186"/>
    </font>
    <font>
      <i/>
      <sz val="9"/>
      <color theme="1"/>
      <name val="Times New Roman"/>
      <family val="1"/>
      <charset val="186"/>
    </font>
    <font>
      <i/>
      <sz val="11"/>
      <color theme="1"/>
      <name val="Times New Roman"/>
      <family val="1"/>
      <charset val="186"/>
    </font>
    <font>
      <i/>
      <sz val="9"/>
      <color rgb="FFF010C0"/>
      <name val="Times New Roman"/>
      <family val="1"/>
      <charset val="186"/>
    </font>
    <font>
      <b/>
      <sz val="12"/>
      <name val="Arial"/>
      <family val="2"/>
    </font>
    <font>
      <b/>
      <sz val="9"/>
      <name val="Times New Roman"/>
      <family val="1"/>
    </font>
    <font>
      <b/>
      <i/>
      <sz val="9"/>
      <name val="Times New Roman"/>
      <family val="1"/>
    </font>
    <font>
      <sz val="9"/>
      <color rgb="FFFF0000"/>
      <name val="Times New Roman"/>
      <family val="1"/>
    </font>
    <font>
      <b/>
      <u/>
      <sz val="9"/>
      <name val="Times New Roman"/>
      <family val="1"/>
    </font>
    <font>
      <sz val="9"/>
      <color rgb="FF0070C0"/>
      <name val="Times New Roman"/>
      <family val="1"/>
    </font>
    <font>
      <sz val="10"/>
      <color rgb="FF000000"/>
      <name val="Times New Roman"/>
      <family val="1"/>
    </font>
    <font>
      <b/>
      <sz val="12"/>
      <color theme="1"/>
      <name val="Times New Roman"/>
      <family val="1"/>
    </font>
    <font>
      <sz val="9"/>
      <color rgb="FFFF0000"/>
      <name val="Times New Roman"/>
      <family val="1"/>
      <charset val="186"/>
    </font>
    <font>
      <b/>
      <sz val="14"/>
      <color rgb="FFFF0000"/>
      <name val="Times New Roman"/>
      <family val="1"/>
      <charset val="186"/>
    </font>
    <font>
      <i/>
      <sz val="12"/>
      <name val="Times New Roman"/>
      <family val="1"/>
    </font>
  </fonts>
  <fills count="32">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00B0F0"/>
        <bgColor indexed="64"/>
      </patternFill>
    </fill>
    <fill>
      <patternFill patternType="solid">
        <fgColor theme="8" tint="0.39997558519241921"/>
        <bgColor indexed="64"/>
      </patternFill>
    </fill>
    <fill>
      <patternFill patternType="solid">
        <fgColor indexed="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4" tint="0.79998168889431442"/>
        <bgColor indexed="26"/>
      </patternFill>
    </fill>
    <fill>
      <patternFill patternType="solid">
        <fgColor rgb="FFFFFF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tint="-0.499984740745262"/>
        <bgColor indexed="64"/>
      </patternFill>
    </fill>
    <fill>
      <patternFill patternType="solid">
        <fgColor rgb="FF92D050"/>
        <bgColor indexed="64"/>
      </patternFill>
    </fill>
    <fill>
      <patternFill patternType="solid">
        <fgColor theme="4" tint="0.39997558519241921"/>
        <bgColor indexed="64"/>
      </patternFill>
    </fill>
    <fill>
      <patternFill patternType="solid">
        <fgColor theme="2" tint="-0.499984740745262"/>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theme="2" tint="-0.249977111117893"/>
        <bgColor indexed="64"/>
      </patternFill>
    </fill>
  </fills>
  <borders count="6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style="thin">
        <color indexed="8"/>
      </left>
      <right/>
      <top style="thin">
        <color indexed="8"/>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medium">
        <color indexed="64"/>
      </top>
      <bottom/>
      <diagonal/>
    </border>
    <border>
      <left style="thin">
        <color indexed="64"/>
      </left>
      <right style="medium">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medium">
        <color indexed="64"/>
      </right>
      <top style="thin">
        <color indexed="8"/>
      </top>
      <bottom style="thin">
        <color indexed="64"/>
      </bottom>
      <diagonal/>
    </border>
    <border>
      <left/>
      <right style="thin">
        <color auto="1"/>
      </right>
      <top/>
      <bottom/>
      <diagonal/>
    </border>
  </borders>
  <cellStyleXfs count="20">
    <xf numFmtId="0" fontId="0" fillId="0" borderId="0"/>
    <xf numFmtId="0" fontId="10" fillId="0" borderId="0"/>
    <xf numFmtId="0" fontId="13" fillId="0" borderId="0"/>
    <xf numFmtId="9" fontId="30" fillId="0" borderId="0" applyFont="0" applyFill="0" applyBorder="0" applyAlignment="0" applyProtection="0"/>
    <xf numFmtId="0" fontId="33" fillId="0" borderId="0"/>
    <xf numFmtId="0" fontId="42" fillId="0" borderId="0" applyBorder="0"/>
    <xf numFmtId="0" fontId="42" fillId="0" borderId="0"/>
    <xf numFmtId="0" fontId="42" fillId="0" borderId="0"/>
    <xf numFmtId="0" fontId="73" fillId="0" borderId="0"/>
    <xf numFmtId="0" fontId="81" fillId="0" borderId="0"/>
    <xf numFmtId="0" fontId="42" fillId="0" borderId="0"/>
    <xf numFmtId="0" fontId="30" fillId="0" borderId="0"/>
    <xf numFmtId="0" fontId="107" fillId="0" borderId="0"/>
    <xf numFmtId="0" fontId="30" fillId="0" borderId="0"/>
    <xf numFmtId="0" fontId="42" fillId="0" borderId="0"/>
    <xf numFmtId="0" fontId="30" fillId="0" borderId="0"/>
    <xf numFmtId="0" fontId="30" fillId="0" borderId="0"/>
    <xf numFmtId="0" fontId="30" fillId="0" borderId="0"/>
    <xf numFmtId="0" fontId="30" fillId="0" borderId="0"/>
    <xf numFmtId="0" fontId="30" fillId="0" borderId="0"/>
  </cellStyleXfs>
  <cellXfs count="1267">
    <xf numFmtId="0" fontId="0" fillId="0" borderId="0" xfId="0"/>
    <xf numFmtId="0" fontId="4" fillId="0" borderId="12" xfId="0" applyFont="1" applyBorder="1" applyAlignment="1">
      <alignment wrapText="1"/>
    </xf>
    <xf numFmtId="0" fontId="4" fillId="0" borderId="13" xfId="0" quotePrefix="1" applyNumberFormat="1" applyFont="1" applyBorder="1" applyAlignment="1">
      <alignment horizontal="center"/>
    </xf>
    <xf numFmtId="0" fontId="4" fillId="0" borderId="13" xfId="0" applyFont="1" applyBorder="1" applyAlignment="1">
      <alignment horizontal="center"/>
    </xf>
    <xf numFmtId="0" fontId="4" fillId="3" borderId="13" xfId="0" applyFont="1" applyFill="1" applyBorder="1" applyAlignment="1">
      <alignment horizontal="center"/>
    </xf>
    <xf numFmtId="0" fontId="4" fillId="0" borderId="12" xfId="0" applyFont="1" applyBorder="1"/>
    <xf numFmtId="0" fontId="4" fillId="0" borderId="13" xfId="0" applyNumberFormat="1" applyFont="1" applyBorder="1" applyAlignment="1">
      <alignment horizontal="center"/>
    </xf>
    <xf numFmtId="0" fontId="4" fillId="0" borderId="13" xfId="0" quotePrefix="1" applyFont="1" applyBorder="1" applyAlignment="1">
      <alignment horizontal="center"/>
    </xf>
    <xf numFmtId="0" fontId="4" fillId="6" borderId="13" xfId="0" quotePrefix="1" applyNumberFormat="1" applyFont="1" applyFill="1" applyBorder="1" applyAlignment="1">
      <alignment horizontal="center"/>
    </xf>
    <xf numFmtId="0" fontId="4" fillId="6" borderId="13" xfId="0" applyNumberFormat="1" applyFont="1" applyFill="1" applyBorder="1" applyAlignment="1">
      <alignment horizontal="center"/>
    </xf>
    <xf numFmtId="0" fontId="4" fillId="6" borderId="13" xfId="0" applyFont="1" applyFill="1" applyBorder="1" applyAlignment="1">
      <alignment horizontal="center"/>
    </xf>
    <xf numFmtId="0" fontId="9" fillId="6" borderId="12" xfId="0" applyFont="1" applyFill="1" applyBorder="1" applyAlignment="1">
      <alignment horizontal="right"/>
    </xf>
    <xf numFmtId="0" fontId="6" fillId="0" borderId="0" xfId="0" applyFont="1" applyBorder="1" applyAlignment="1">
      <alignment horizontal="center" vertical="center"/>
    </xf>
    <xf numFmtId="0" fontId="8" fillId="0" borderId="0" xfId="0" applyFont="1" applyBorder="1" applyAlignment="1">
      <alignment horizontal="center" vertical="center"/>
    </xf>
    <xf numFmtId="0" fontId="9" fillId="6" borderId="4" xfId="0" applyFont="1" applyFill="1" applyBorder="1" applyAlignment="1">
      <alignment horizontal="right"/>
    </xf>
    <xf numFmtId="0" fontId="4" fillId="6" borderId="5" xfId="0" quotePrefix="1" applyNumberFormat="1" applyFont="1" applyFill="1" applyBorder="1" applyAlignment="1">
      <alignment horizontal="center"/>
    </xf>
    <xf numFmtId="0" fontId="4" fillId="6" borderId="5" xfId="0" applyNumberFormat="1" applyFont="1" applyFill="1" applyBorder="1" applyAlignment="1">
      <alignment horizontal="center"/>
    </xf>
    <xf numFmtId="0" fontId="4" fillId="6" borderId="5" xfId="0" applyFont="1" applyFill="1" applyBorder="1" applyAlignment="1">
      <alignment horizontal="center"/>
    </xf>
    <xf numFmtId="0" fontId="6" fillId="8" borderId="4" xfId="0" applyFont="1" applyFill="1" applyBorder="1" applyAlignment="1">
      <alignment horizontal="right" vertical="center"/>
    </xf>
    <xf numFmtId="0" fontId="4" fillId="8" borderId="5" xfId="0" applyFont="1" applyFill="1" applyBorder="1"/>
    <xf numFmtId="0" fontId="12" fillId="4" borderId="12" xfId="0" applyFont="1" applyFill="1" applyBorder="1" applyAlignment="1">
      <alignment horizontal="left" vertical="center" wrapText="1"/>
    </xf>
    <xf numFmtId="0" fontId="12" fillId="4" borderId="13"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9" borderId="12" xfId="0" applyFont="1" applyFill="1" applyBorder="1" applyAlignment="1">
      <alignment horizontal="left" vertical="center" wrapText="1"/>
    </xf>
    <xf numFmtId="49" fontId="12" fillId="4" borderId="13" xfId="1" applyNumberFormat="1" applyFont="1" applyFill="1" applyBorder="1" applyAlignment="1">
      <alignment horizontal="center" vertical="center" wrapText="1"/>
    </xf>
    <xf numFmtId="0" fontId="12" fillId="0" borderId="12" xfId="1" applyFont="1" applyFill="1" applyBorder="1" applyAlignment="1">
      <alignment vertical="center" wrapText="1"/>
    </xf>
    <xf numFmtId="49" fontId="12" fillId="0" borderId="13" xfId="1" applyNumberFormat="1" applyFont="1" applyBorder="1" applyAlignment="1">
      <alignment horizontal="center" vertical="center" wrapText="1"/>
    </xf>
    <xf numFmtId="49" fontId="12" fillId="0" borderId="13" xfId="1" applyNumberFormat="1" applyFont="1" applyBorder="1" applyAlignment="1">
      <alignment horizontal="center" wrapText="1"/>
    </xf>
    <xf numFmtId="0" fontId="6" fillId="6" borderId="12" xfId="0" applyFont="1" applyFill="1" applyBorder="1" applyAlignment="1">
      <alignment horizontal="right"/>
    </xf>
    <xf numFmtId="3" fontId="6" fillId="5" borderId="13" xfId="0" applyNumberFormat="1" applyFont="1" applyFill="1" applyBorder="1" applyAlignment="1">
      <alignment horizontal="center" wrapText="1"/>
    </xf>
    <xf numFmtId="0" fontId="4" fillId="0" borderId="0" xfId="0" applyFont="1"/>
    <xf numFmtId="0" fontId="12" fillId="0" borderId="12" xfId="0" applyFont="1" applyFill="1" applyBorder="1" applyAlignment="1">
      <alignment vertical="center" wrapText="1"/>
    </xf>
    <xf numFmtId="0" fontId="12" fillId="0" borderId="13"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wrapText="1"/>
    </xf>
    <xf numFmtId="0" fontId="12" fillId="0" borderId="13" xfId="1" applyNumberFormat="1" applyFont="1" applyFill="1" applyBorder="1" applyAlignment="1">
      <alignment horizontal="center" vertical="center"/>
    </xf>
    <xf numFmtId="2" fontId="11" fillId="0" borderId="13" xfId="0" applyNumberFormat="1" applyFont="1" applyFill="1" applyBorder="1" applyAlignment="1">
      <alignment horizontal="center" vertical="center"/>
    </xf>
    <xf numFmtId="49" fontId="12" fillId="4" borderId="13" xfId="0" quotePrefix="1" applyNumberFormat="1" applyFont="1" applyFill="1" applyBorder="1" applyAlignment="1">
      <alignment horizontal="center" vertical="center"/>
    </xf>
    <xf numFmtId="2" fontId="11" fillId="4" borderId="13" xfId="0" applyNumberFormat="1" applyFont="1" applyFill="1" applyBorder="1" applyAlignment="1">
      <alignment horizontal="center" vertical="center"/>
    </xf>
    <xf numFmtId="0" fontId="12" fillId="0" borderId="12" xfId="0" applyFont="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1" fillId="0" borderId="28" xfId="1" applyFont="1" applyBorder="1" applyAlignment="1">
      <alignment vertical="center" wrapText="1"/>
    </xf>
    <xf numFmtId="0" fontId="12" fillId="0" borderId="28" xfId="1" applyFont="1" applyBorder="1" applyAlignment="1">
      <alignment vertical="center" wrapText="1"/>
    </xf>
    <xf numFmtId="49" fontId="12" fillId="4" borderId="12" xfId="0" applyNumberFormat="1" applyFont="1" applyFill="1" applyBorder="1" applyAlignment="1">
      <alignment horizontal="left" wrapText="1"/>
    </xf>
    <xf numFmtId="49" fontId="12" fillId="4" borderId="15" xfId="0" applyNumberFormat="1" applyFont="1" applyFill="1" applyBorder="1" applyAlignment="1">
      <alignment horizontal="left" wrapText="1"/>
    </xf>
    <xf numFmtId="0" fontId="22" fillId="0" borderId="0" xfId="0" applyFont="1"/>
    <xf numFmtId="164" fontId="22" fillId="0" borderId="0" xfId="0" applyNumberFormat="1" applyFont="1"/>
    <xf numFmtId="0" fontId="2" fillId="0" borderId="0" xfId="0" applyFont="1"/>
    <xf numFmtId="0" fontId="4" fillId="10" borderId="12" xfId="0" applyFont="1" applyFill="1" applyBorder="1" applyAlignment="1">
      <alignment horizontal="left" vertical="center" wrapText="1"/>
    </xf>
    <xf numFmtId="164" fontId="4" fillId="10" borderId="13" xfId="0" quotePrefix="1" applyNumberFormat="1" applyFont="1" applyFill="1" applyBorder="1" applyAlignment="1">
      <alignment horizontal="center"/>
    </xf>
    <xf numFmtId="3" fontId="12" fillId="10" borderId="13" xfId="0" applyNumberFormat="1" applyFont="1" applyFill="1" applyBorder="1" applyAlignment="1">
      <alignment horizontal="center"/>
    </xf>
    <xf numFmtId="0" fontId="23" fillId="10" borderId="12" xfId="0" applyFont="1" applyFill="1" applyBorder="1" applyAlignment="1">
      <alignment horizontal="left" vertical="center" wrapText="1"/>
    </xf>
    <xf numFmtId="3" fontId="12" fillId="10" borderId="13" xfId="0" applyNumberFormat="1" applyFont="1" applyFill="1" applyBorder="1" applyAlignment="1">
      <alignment horizontal="center" vertical="center"/>
    </xf>
    <xf numFmtId="164" fontId="12" fillId="10" borderId="13" xfId="0" quotePrefix="1" applyNumberFormat="1" applyFont="1" applyFill="1" applyBorder="1" applyAlignment="1">
      <alignment horizontal="center"/>
    </xf>
    <xf numFmtId="3" fontId="12" fillId="10" borderId="14" xfId="0" applyNumberFormat="1" applyFont="1" applyFill="1" applyBorder="1" applyAlignment="1">
      <alignment horizontal="center"/>
    </xf>
    <xf numFmtId="0" fontId="11" fillId="10" borderId="12" xfId="0" applyFont="1" applyFill="1" applyBorder="1" applyAlignment="1">
      <alignment horizontal="left" vertical="center" wrapText="1"/>
    </xf>
    <xf numFmtId="0" fontId="6" fillId="11" borderId="12" xfId="0" applyFont="1" applyFill="1" applyBorder="1" applyAlignment="1">
      <alignment horizontal="left" wrapText="1"/>
    </xf>
    <xf numFmtId="164" fontId="6" fillId="11" borderId="11" xfId="0" applyNumberFormat="1" applyFont="1" applyFill="1" applyBorder="1" applyAlignment="1">
      <alignment horizontal="center" vertical="center" wrapText="1"/>
    </xf>
    <xf numFmtId="3" fontId="6" fillId="11" borderId="13" xfId="0" applyNumberFormat="1" applyFont="1" applyFill="1" applyBorder="1" applyAlignment="1">
      <alignment horizontal="center" vertical="center" wrapText="1"/>
    </xf>
    <xf numFmtId="164" fontId="21" fillId="11" borderId="11" xfId="0" applyNumberFormat="1" applyFont="1" applyFill="1" applyBorder="1" applyAlignment="1">
      <alignment horizontal="center" vertical="center" wrapText="1"/>
    </xf>
    <xf numFmtId="3" fontId="21" fillId="11" borderId="13" xfId="0" applyNumberFormat="1" applyFont="1" applyFill="1" applyBorder="1" applyAlignment="1">
      <alignment horizontal="center" vertical="center" wrapText="1"/>
    </xf>
    <xf numFmtId="164" fontId="4" fillId="10" borderId="13" xfId="0" quotePrefix="1" applyNumberFormat="1" applyFont="1" applyFill="1" applyBorder="1" applyAlignment="1">
      <alignment horizontal="center" vertical="center"/>
    </xf>
    <xf numFmtId="164" fontId="12" fillId="10" borderId="13" xfId="0" quotePrefix="1" applyNumberFormat="1" applyFont="1" applyFill="1" applyBorder="1" applyAlignment="1">
      <alignment horizontal="center" vertical="center"/>
    </xf>
    <xf numFmtId="0" fontId="21" fillId="11" borderId="12" xfId="0" applyFont="1" applyFill="1" applyBorder="1" applyAlignment="1">
      <alignment horizontal="left" wrapText="1"/>
    </xf>
    <xf numFmtId="0" fontId="25" fillId="0" borderId="0" xfId="0" applyFont="1" applyAlignment="1">
      <alignment horizontal="center"/>
    </xf>
    <xf numFmtId="0" fontId="12" fillId="0" borderId="13" xfId="0" quotePrefix="1" applyNumberFormat="1" applyFont="1" applyBorder="1" applyAlignment="1">
      <alignment horizontal="center"/>
    </xf>
    <xf numFmtId="0" fontId="12" fillId="4" borderId="13" xfId="0" quotePrefix="1" applyNumberFormat="1" applyFont="1" applyFill="1" applyBorder="1" applyAlignment="1">
      <alignment horizontal="center"/>
    </xf>
    <xf numFmtId="0" fontId="4" fillId="4" borderId="13" xfId="0" applyFont="1" applyFill="1" applyBorder="1" applyAlignment="1">
      <alignment horizontal="center"/>
    </xf>
    <xf numFmtId="0" fontId="26" fillId="0" borderId="0" xfId="1" applyFont="1" applyAlignment="1">
      <alignment vertical="center"/>
    </xf>
    <xf numFmtId="0" fontId="26" fillId="0" borderId="0" xfId="1" applyFont="1" applyAlignment="1">
      <alignment horizontal="center" vertical="center"/>
    </xf>
    <xf numFmtId="1" fontId="26" fillId="0" borderId="0" xfId="1" applyNumberFormat="1" applyFont="1" applyAlignment="1">
      <alignment horizontal="center" vertical="center"/>
    </xf>
    <xf numFmtId="0" fontId="6" fillId="0" borderId="0" xfId="0" applyFont="1" applyAlignment="1">
      <alignment horizontal="center" vertical="center"/>
    </xf>
    <xf numFmtId="2" fontId="27" fillId="0" borderId="0" xfId="1" applyNumberFormat="1" applyFont="1" applyAlignment="1">
      <alignment horizontal="center" vertical="center"/>
    </xf>
    <xf numFmtId="0" fontId="2" fillId="0" borderId="0"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6" fillId="12" borderId="4" xfId="0" applyFont="1" applyFill="1" applyBorder="1" applyAlignment="1">
      <alignment horizontal="right" vertical="center"/>
    </xf>
    <xf numFmtId="0" fontId="6" fillId="12" borderId="5" xfId="0" applyFont="1" applyFill="1" applyBorder="1" applyAlignment="1">
      <alignment horizontal="center" vertical="center"/>
    </xf>
    <xf numFmtId="0" fontId="12" fillId="13" borderId="13" xfId="0" quotePrefix="1" applyNumberFormat="1" applyFont="1" applyFill="1" applyBorder="1" applyAlignment="1">
      <alignment horizontal="center"/>
    </xf>
    <xf numFmtId="0" fontId="4" fillId="13" borderId="13" xfId="0" applyFont="1" applyFill="1" applyBorder="1" applyAlignment="1">
      <alignment horizontal="center"/>
    </xf>
    <xf numFmtId="0" fontId="4" fillId="13" borderId="13" xfId="0" applyNumberFormat="1" applyFont="1" applyFill="1" applyBorder="1" applyAlignment="1">
      <alignment horizontal="center"/>
    </xf>
    <xf numFmtId="0" fontId="12" fillId="13" borderId="13" xfId="0" quotePrefix="1" applyNumberFormat="1" applyFont="1" applyFill="1" applyBorder="1" applyAlignment="1">
      <alignment horizontal="center" vertical="center"/>
    </xf>
    <xf numFmtId="0" fontId="4" fillId="13" borderId="13" xfId="0" applyFont="1" applyFill="1" applyBorder="1" applyAlignment="1">
      <alignment horizontal="center" vertical="center"/>
    </xf>
    <xf numFmtId="0" fontId="4" fillId="13" borderId="13" xfId="0" applyNumberFormat="1" applyFont="1" applyFill="1" applyBorder="1" applyAlignment="1">
      <alignment horizontal="center" vertical="center"/>
    </xf>
    <xf numFmtId="2" fontId="6" fillId="12" borderId="5" xfId="0" applyNumberFormat="1" applyFont="1" applyFill="1" applyBorder="1" applyAlignment="1">
      <alignment horizontal="center" vertical="center"/>
    </xf>
    <xf numFmtId="2" fontId="4" fillId="6" borderId="13" xfId="0" quotePrefix="1" applyNumberFormat="1" applyFont="1" applyFill="1" applyBorder="1" applyAlignment="1">
      <alignment horizontal="center"/>
    </xf>
    <xf numFmtId="2" fontId="12" fillId="0" borderId="13" xfId="0" quotePrefix="1" applyNumberFormat="1" applyFont="1" applyBorder="1" applyAlignment="1">
      <alignment horizontal="center"/>
    </xf>
    <xf numFmtId="4" fontId="4" fillId="0" borderId="13" xfId="0" applyNumberFormat="1" applyFont="1" applyBorder="1" applyAlignment="1">
      <alignment horizontal="center"/>
    </xf>
    <xf numFmtId="0" fontId="12" fillId="13" borderId="12" xfId="0" applyFont="1" applyFill="1" applyBorder="1"/>
    <xf numFmtId="0" fontId="12" fillId="0" borderId="12" xfId="0" applyFont="1" applyBorder="1"/>
    <xf numFmtId="0" fontId="12" fillId="13" borderId="12" xfId="0" applyFont="1" applyFill="1" applyBorder="1" applyAlignment="1">
      <alignment wrapText="1"/>
    </xf>
    <xf numFmtId="0" fontId="28" fillId="0" borderId="0" xfId="0" applyFont="1"/>
    <xf numFmtId="0" fontId="28" fillId="0" borderId="12" xfId="0" applyFont="1" applyBorder="1"/>
    <xf numFmtId="0" fontId="28" fillId="0" borderId="13" xfId="0" applyFont="1" applyBorder="1"/>
    <xf numFmtId="0" fontId="11" fillId="0" borderId="12" xfId="0" applyFont="1" applyBorder="1"/>
    <xf numFmtId="4" fontId="12" fillId="0" borderId="20" xfId="0" applyNumberFormat="1" applyFont="1" applyBorder="1" applyAlignment="1">
      <alignment horizontal="center"/>
    </xf>
    <xf numFmtId="0" fontId="6" fillId="15" borderId="13" xfId="0" applyFont="1" applyFill="1" applyBorder="1" applyAlignment="1">
      <alignment vertical="center"/>
    </xf>
    <xf numFmtId="0" fontId="12" fillId="0" borderId="12" xfId="0" applyFont="1" applyBorder="1" applyAlignment="1">
      <alignment vertical="center"/>
    </xf>
    <xf numFmtId="0" fontId="12" fillId="0" borderId="13" xfId="0" quotePrefix="1" applyFont="1" applyBorder="1" applyAlignment="1">
      <alignment horizontal="center" vertical="center"/>
    </xf>
    <xf numFmtId="4" fontId="3" fillId="0" borderId="13" xfId="0" applyNumberFormat="1" applyFont="1" applyBorder="1" applyAlignment="1">
      <alignment horizontal="center"/>
    </xf>
    <xf numFmtId="0" fontId="12" fillId="0" borderId="12" xfId="0" applyFont="1" applyBorder="1" applyAlignment="1">
      <alignment vertical="center" wrapText="1"/>
    </xf>
    <xf numFmtId="0" fontId="11" fillId="0" borderId="12" xfId="1" applyFont="1" applyFill="1" applyBorder="1" applyAlignment="1">
      <alignment horizontal="left" vertical="center" wrapText="1"/>
    </xf>
    <xf numFmtId="49" fontId="11" fillId="0" borderId="13" xfId="1" applyNumberFormat="1" applyFont="1" applyFill="1" applyBorder="1" applyAlignment="1">
      <alignment horizontal="center" vertical="center"/>
    </xf>
    <xf numFmtId="0" fontId="12" fillId="4" borderId="12" xfId="0" applyFont="1" applyFill="1" applyBorder="1" applyAlignment="1" applyProtection="1">
      <alignment vertical="center"/>
      <protection locked="0"/>
    </xf>
    <xf numFmtId="0" fontId="12" fillId="4" borderId="13" xfId="0" applyFont="1" applyFill="1" applyBorder="1" applyAlignment="1">
      <alignment horizontal="center" vertical="center"/>
    </xf>
    <xf numFmtId="49" fontId="12" fillId="0" borderId="13" xfId="0" applyNumberFormat="1" applyFont="1" applyFill="1" applyBorder="1" applyAlignment="1" applyProtection="1">
      <alignment horizontal="center" vertical="center"/>
      <protection locked="0"/>
    </xf>
    <xf numFmtId="49" fontId="12" fillId="4" borderId="13" xfId="0" applyNumberFormat="1" applyFont="1" applyFill="1" applyBorder="1" applyAlignment="1" applyProtection="1">
      <alignment horizontal="center" vertical="center"/>
      <protection locked="0"/>
    </xf>
    <xf numFmtId="4" fontId="12" fillId="0" borderId="13" xfId="0" applyNumberFormat="1" applyFont="1" applyBorder="1" applyAlignment="1">
      <alignment horizontal="center" vertical="center"/>
    </xf>
    <xf numFmtId="4" fontId="12" fillId="4" borderId="13" xfId="0" applyNumberFormat="1" applyFont="1" applyFill="1" applyBorder="1" applyAlignment="1">
      <alignment horizontal="center" vertical="center"/>
    </xf>
    <xf numFmtId="4" fontId="4" fillId="4" borderId="13" xfId="0" applyNumberFormat="1" applyFont="1" applyFill="1" applyBorder="1" applyAlignment="1">
      <alignment horizontal="center"/>
    </xf>
    <xf numFmtId="0" fontId="23" fillId="0" borderId="12" xfId="0" applyFont="1" applyBorder="1" applyAlignment="1">
      <alignment horizontal="left"/>
    </xf>
    <xf numFmtId="16" fontId="4" fillId="0" borderId="13" xfId="0" quotePrefix="1" applyNumberFormat="1" applyFont="1" applyBorder="1" applyAlignment="1">
      <alignment horizontal="center"/>
    </xf>
    <xf numFmtId="4" fontId="4" fillId="0" borderId="13" xfId="0" applyNumberFormat="1" applyFont="1" applyFill="1" applyBorder="1" applyAlignment="1">
      <alignment horizontal="center"/>
    </xf>
    <xf numFmtId="4" fontId="12" fillId="0" borderId="20" xfId="0" applyNumberFormat="1" applyFont="1" applyFill="1" applyBorder="1" applyAlignment="1">
      <alignment horizontal="center"/>
    </xf>
    <xf numFmtId="0" fontId="23" fillId="0" borderId="12" xfId="0" applyFont="1" applyFill="1" applyBorder="1" applyAlignment="1">
      <alignment horizontal="left"/>
    </xf>
    <xf numFmtId="49" fontId="4" fillId="0" borderId="13" xfId="0" quotePrefix="1" applyNumberFormat="1" applyFont="1" applyBorder="1" applyAlignment="1">
      <alignment horizontal="center"/>
    </xf>
    <xf numFmtId="0" fontId="11" fillId="0" borderId="12" xfId="0" applyFont="1" applyBorder="1" applyAlignment="1">
      <alignment horizontal="left" vertical="center" wrapText="1"/>
    </xf>
    <xf numFmtId="4" fontId="20" fillId="15" borderId="13" xfId="0" applyNumberFormat="1" applyFont="1" applyFill="1" applyBorder="1" applyAlignment="1">
      <alignment horizont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2" xfId="0" applyFont="1" applyBorder="1" applyAlignment="1">
      <alignment vertical="center" wrapText="1"/>
    </xf>
    <xf numFmtId="0" fontId="4" fillId="0" borderId="12" xfId="0" applyFont="1" applyBorder="1" applyAlignment="1">
      <alignment vertical="center"/>
    </xf>
    <xf numFmtId="1" fontId="4" fillId="0" borderId="13" xfId="0" quotePrefix="1" applyNumberFormat="1" applyFont="1" applyBorder="1" applyAlignment="1">
      <alignment horizontal="center"/>
    </xf>
    <xf numFmtId="49" fontId="21" fillId="14" borderId="13" xfId="1" applyNumberFormat="1" applyFont="1" applyFill="1" applyBorder="1" applyAlignment="1">
      <alignment horizontal="center" vertical="center"/>
    </xf>
    <xf numFmtId="1" fontId="21" fillId="16" borderId="13" xfId="1" applyNumberFormat="1" applyFont="1" applyFill="1" applyBorder="1" applyAlignment="1">
      <alignment horizontal="center" vertical="center"/>
    </xf>
    <xf numFmtId="2" fontId="21" fillId="16" borderId="13" xfId="1" applyNumberFormat="1" applyFont="1" applyFill="1" applyBorder="1" applyAlignment="1">
      <alignment horizontal="center" vertical="center"/>
    </xf>
    <xf numFmtId="2" fontId="21" fillId="14" borderId="13" xfId="0" applyNumberFormat="1" applyFont="1" applyFill="1" applyBorder="1" applyAlignment="1">
      <alignment horizontal="center" vertical="center"/>
    </xf>
    <xf numFmtId="0" fontId="21" fillId="10" borderId="4" xfId="0" applyFont="1" applyFill="1" applyBorder="1" applyAlignment="1">
      <alignment horizontal="center" vertical="center"/>
    </xf>
    <xf numFmtId="0" fontId="21" fillId="10" borderId="5" xfId="0" applyFont="1" applyFill="1" applyBorder="1" applyAlignment="1">
      <alignment horizontal="center" vertical="center"/>
    </xf>
    <xf numFmtId="1" fontId="21" fillId="10" borderId="5" xfId="0" applyNumberFormat="1" applyFont="1" applyFill="1" applyBorder="1" applyAlignment="1">
      <alignment horizontal="center" vertical="center"/>
    </xf>
    <xf numFmtId="2" fontId="21" fillId="10" borderId="5" xfId="0" applyNumberFormat="1" applyFont="1" applyFill="1" applyBorder="1" applyAlignment="1">
      <alignment horizontal="center" vertical="center"/>
    </xf>
    <xf numFmtId="0" fontId="6" fillId="12" borderId="13" xfId="0" applyFont="1" applyFill="1" applyBorder="1" applyAlignment="1">
      <alignment horizontal="center" vertical="center"/>
    </xf>
    <xf numFmtId="0" fontId="23" fillId="12" borderId="13" xfId="0" applyFont="1" applyFill="1" applyBorder="1" applyAlignment="1">
      <alignment horizontal="center" vertical="center"/>
    </xf>
    <xf numFmtId="4" fontId="20" fillId="15" borderId="11" xfId="0" applyNumberFormat="1" applyFont="1" applyFill="1" applyBorder="1" applyAlignment="1">
      <alignment horizontal="center"/>
    </xf>
    <xf numFmtId="0" fontId="6" fillId="12" borderId="12" xfId="0" applyFont="1" applyFill="1" applyBorder="1" applyAlignment="1">
      <alignment horizontal="right" vertical="center"/>
    </xf>
    <xf numFmtId="0" fontId="11" fillId="0" borderId="12" xfId="0" applyFont="1" applyFill="1" applyBorder="1" applyAlignment="1">
      <alignment horizontal="left" vertical="center" wrapText="1"/>
    </xf>
    <xf numFmtId="0" fontId="32" fillId="15" borderId="12" xfId="0" applyFont="1" applyFill="1" applyBorder="1" applyAlignment="1">
      <alignment horizontal="right"/>
    </xf>
    <xf numFmtId="0" fontId="32" fillId="15" borderId="13" xfId="0" applyFont="1" applyFill="1" applyBorder="1" applyAlignment="1">
      <alignment horizontal="right"/>
    </xf>
    <xf numFmtId="0" fontId="32" fillId="15" borderId="11" xfId="0" applyFont="1" applyFill="1" applyBorder="1" applyAlignment="1"/>
    <xf numFmtId="0" fontId="32" fillId="15" borderId="31" xfId="0" applyFont="1" applyFill="1" applyBorder="1" applyAlignment="1">
      <alignment horizontal="right"/>
    </xf>
    <xf numFmtId="0" fontId="31" fillId="15" borderId="13" xfId="0" applyFont="1" applyFill="1" applyBorder="1" applyAlignment="1"/>
    <xf numFmtId="0" fontId="31" fillId="15" borderId="12" xfId="0" applyFont="1" applyFill="1" applyBorder="1" applyAlignment="1">
      <alignment horizontal="right"/>
    </xf>
    <xf numFmtId="4" fontId="0" fillId="0" borderId="0" xfId="0" applyNumberFormat="1"/>
    <xf numFmtId="10" fontId="0" fillId="0" borderId="0" xfId="3" applyNumberFormat="1" applyFont="1"/>
    <xf numFmtId="0" fontId="0" fillId="0" borderId="0" xfId="0" applyFill="1"/>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4" fontId="23" fillId="0" borderId="13" xfId="0" applyNumberFormat="1" applyFont="1" applyFill="1" applyBorder="1"/>
    <xf numFmtId="0" fontId="0" fillId="0" borderId="0" xfId="0" applyFill="1" applyBorder="1"/>
    <xf numFmtId="4" fontId="0" fillId="0" borderId="0" xfId="3" applyNumberFormat="1" applyFont="1" applyFill="1" applyBorder="1" applyAlignment="1">
      <alignment horizontal="right"/>
    </xf>
    <xf numFmtId="0" fontId="4" fillId="4" borderId="11" xfId="0" applyFont="1" applyFill="1" applyBorder="1" applyAlignment="1">
      <alignment horizontal="center" vertical="center" wrapText="1"/>
    </xf>
    <xf numFmtId="0" fontId="4" fillId="0" borderId="16" xfId="0" applyFont="1" applyBorder="1" applyAlignment="1">
      <alignment horizont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4" fillId="12" borderId="13" xfId="0" applyFont="1" applyFill="1" applyBorder="1" applyAlignment="1">
      <alignment horizontal="center" vertical="center"/>
    </xf>
    <xf numFmtId="0" fontId="12" fillId="4" borderId="12" xfId="4" applyFont="1" applyFill="1" applyBorder="1" applyProtection="1">
      <protection locked="0"/>
    </xf>
    <xf numFmtId="49" fontId="12" fillId="4" borderId="13" xfId="4" applyNumberFormat="1" applyFont="1" applyFill="1" applyBorder="1" applyAlignment="1" applyProtection="1">
      <alignment horizontal="center"/>
      <protection locked="0"/>
    </xf>
    <xf numFmtId="4" fontId="12" fillId="4" borderId="13" xfId="4" applyNumberFormat="1" applyFont="1" applyFill="1" applyBorder="1" applyAlignment="1" applyProtection="1">
      <alignment horizontal="center"/>
      <protection locked="0"/>
    </xf>
    <xf numFmtId="4" fontId="21" fillId="15" borderId="13" xfId="0" applyNumberFormat="1" applyFont="1" applyFill="1" applyBorder="1" applyAlignment="1">
      <alignment horizontal="center"/>
    </xf>
    <xf numFmtId="4" fontId="1" fillId="0" borderId="0" xfId="0" applyNumberFormat="1" applyFont="1"/>
    <xf numFmtId="4" fontId="28" fillId="0" borderId="0" xfId="3" applyNumberFormat="1" applyFont="1" applyFill="1" applyBorder="1" applyAlignment="1">
      <alignment horizontal="right"/>
    </xf>
    <xf numFmtId="0" fontId="0" fillId="0" borderId="12" xfId="0" applyBorder="1"/>
    <xf numFmtId="0" fontId="0" fillId="0" borderId="20" xfId="0" applyBorder="1"/>
    <xf numFmtId="0" fontId="36" fillId="0" borderId="0" xfId="0" applyFont="1" applyFill="1"/>
    <xf numFmtId="0" fontId="37" fillId="0" borderId="0" xfId="0" applyFont="1" applyAlignment="1">
      <alignment wrapText="1"/>
    </xf>
    <xf numFmtId="0" fontId="36" fillId="0" borderId="0" xfId="0" applyFont="1"/>
    <xf numFmtId="0" fontId="38" fillId="0" borderId="0" xfId="0" applyFont="1" applyBorder="1"/>
    <xf numFmtId="0" fontId="36" fillId="0" borderId="0" xfId="0" applyFont="1" applyFill="1" applyBorder="1"/>
    <xf numFmtId="0" fontId="39" fillId="0" borderId="0" xfId="0" applyFont="1" applyAlignment="1">
      <alignment horizontal="center" vertical="center"/>
    </xf>
    <xf numFmtId="0" fontId="12" fillId="0" borderId="0" xfId="0" applyFont="1" applyAlignment="1">
      <alignment horizontal="center" vertical="center"/>
    </xf>
    <xf numFmtId="165" fontId="36" fillId="0" borderId="0" xfId="0" applyNumberFormat="1" applyFont="1"/>
    <xf numFmtId="0" fontId="40" fillId="0" borderId="0" xfId="0" applyFont="1"/>
    <xf numFmtId="0" fontId="0" fillId="0" borderId="13" xfId="0" applyBorder="1"/>
    <xf numFmtId="10" fontId="28" fillId="0" borderId="0" xfId="3" applyNumberFormat="1" applyFont="1" applyFill="1" applyBorder="1"/>
    <xf numFmtId="10" fontId="28" fillId="0" borderId="0" xfId="3" applyNumberFormat="1" applyFont="1" applyFill="1" applyBorder="1" applyAlignment="1">
      <alignment horizontal="right"/>
    </xf>
    <xf numFmtId="10" fontId="23" fillId="0" borderId="0" xfId="3" applyNumberFormat="1" applyFont="1" applyFill="1" applyBorder="1"/>
    <xf numFmtId="16" fontId="4" fillId="5" borderId="13" xfId="0" quotePrefix="1" applyNumberFormat="1" applyFont="1" applyFill="1" applyBorder="1" applyAlignment="1">
      <alignment horizontal="center"/>
    </xf>
    <xf numFmtId="0" fontId="4" fillId="5" borderId="13" xfId="0" applyFont="1" applyFill="1" applyBorder="1" applyAlignment="1">
      <alignment horizontal="center"/>
    </xf>
    <xf numFmtId="0" fontId="4" fillId="5" borderId="12" xfId="0" applyFont="1" applyFill="1" applyBorder="1" applyAlignment="1">
      <alignment horizontal="center" vertical="center" wrapText="1"/>
    </xf>
    <xf numFmtId="2" fontId="4" fillId="0" borderId="13" xfId="0" applyNumberFormat="1" applyFont="1" applyBorder="1" applyAlignment="1">
      <alignment horizontal="center"/>
    </xf>
    <xf numFmtId="0" fontId="4" fillId="0" borderId="5" xfId="0" quotePrefix="1" applyFont="1" applyBorder="1" applyAlignment="1">
      <alignment horizontal="center"/>
    </xf>
    <xf numFmtId="0" fontId="4" fillId="0" borderId="5" xfId="0" applyFont="1" applyBorder="1" applyAlignment="1">
      <alignment horizontal="center"/>
    </xf>
    <xf numFmtId="0" fontId="4" fillId="3" borderId="5" xfId="0" applyFont="1" applyFill="1" applyBorder="1" applyAlignment="1">
      <alignment horizontal="center"/>
    </xf>
    <xf numFmtId="2" fontId="4" fillId="0" borderId="5" xfId="0" applyNumberFormat="1" applyFont="1" applyBorder="1" applyAlignment="1">
      <alignment horizontal="center"/>
    </xf>
    <xf numFmtId="0" fontId="23" fillId="0" borderId="12" xfId="0" applyFont="1" applyFill="1" applyBorder="1"/>
    <xf numFmtId="16" fontId="4" fillId="0" borderId="5" xfId="0" quotePrefix="1" applyNumberFormat="1" applyFont="1" applyBorder="1" applyAlignment="1">
      <alignment horizontal="center"/>
    </xf>
    <xf numFmtId="0" fontId="41" fillId="0" borderId="0" xfId="0" applyFont="1" applyAlignment="1">
      <alignment wrapText="1"/>
    </xf>
    <xf numFmtId="0" fontId="38" fillId="0" borderId="0" xfId="0" applyFont="1" applyFill="1" applyBorder="1"/>
    <xf numFmtId="0" fontId="16" fillId="0" borderId="0" xfId="0" applyFont="1" applyFill="1" applyBorder="1" applyAlignment="1">
      <alignment horizontal="center"/>
    </xf>
    <xf numFmtId="0" fontId="17" fillId="0" borderId="0" xfId="0" applyFont="1" applyAlignment="1">
      <alignment horizontal="center" vertical="center"/>
    </xf>
    <xf numFmtId="0" fontId="4" fillId="0" borderId="0" xfId="0" applyFont="1" applyAlignment="1">
      <alignment horizontal="center" vertical="center"/>
    </xf>
    <xf numFmtId="0" fontId="4" fillId="5" borderId="12" xfId="0" applyFont="1" applyFill="1" applyBorder="1" applyAlignment="1">
      <alignment horizontal="center"/>
    </xf>
    <xf numFmtId="4" fontId="12" fillId="5" borderId="23" xfId="0" applyNumberFormat="1" applyFont="1" applyFill="1" applyBorder="1" applyAlignment="1">
      <alignment horizontal="center"/>
    </xf>
    <xf numFmtId="4" fontId="12" fillId="5" borderId="20" xfId="0" applyNumberFormat="1" applyFont="1" applyFill="1" applyBorder="1" applyAlignment="1">
      <alignment horizontal="center"/>
    </xf>
    <xf numFmtId="0" fontId="23" fillId="0" borderId="12" xfId="0" applyFont="1" applyBorder="1"/>
    <xf numFmtId="4" fontId="12" fillId="0" borderId="12" xfId="0" applyNumberFormat="1" applyFont="1" applyBorder="1" applyAlignment="1">
      <alignment horizontal="center"/>
    </xf>
    <xf numFmtId="4" fontId="12" fillId="0" borderId="12" xfId="0" applyNumberFormat="1" applyFont="1" applyFill="1" applyBorder="1" applyAlignment="1">
      <alignment horizontal="center"/>
    </xf>
    <xf numFmtId="0" fontId="22" fillId="0" borderId="0" xfId="0" applyFont="1" applyFill="1"/>
    <xf numFmtId="4" fontId="23" fillId="0" borderId="13" xfId="0" applyNumberFormat="1" applyFont="1" applyBorder="1" applyAlignment="1">
      <alignment horizontal="center"/>
    </xf>
    <xf numFmtId="167" fontId="5" fillId="5" borderId="13" xfId="0" applyNumberFormat="1" applyFont="1" applyFill="1" applyBorder="1" applyAlignment="1">
      <alignment horizontal="center"/>
    </xf>
    <xf numFmtId="4" fontId="4" fillId="5" borderId="13" xfId="0" applyNumberFormat="1" applyFont="1" applyFill="1" applyBorder="1" applyAlignment="1">
      <alignment horizontal="center"/>
    </xf>
    <xf numFmtId="4" fontId="12" fillId="5" borderId="12" xfId="0" applyNumberFormat="1" applyFont="1" applyFill="1" applyBorder="1" applyAlignment="1">
      <alignment horizontal="center"/>
    </xf>
    <xf numFmtId="0" fontId="17" fillId="0" borderId="0" xfId="0" applyFont="1" applyFill="1" applyAlignment="1">
      <alignment horizontal="center" vertical="center"/>
    </xf>
    <xf numFmtId="0" fontId="22" fillId="0" borderId="15" xfId="0" applyFont="1" applyBorder="1" applyAlignment="1">
      <alignment horizontal="center" vertical="center"/>
    </xf>
    <xf numFmtId="4" fontId="22" fillId="0" borderId="16" xfId="0" applyNumberFormat="1" applyFont="1" applyBorder="1" applyAlignment="1">
      <alignment horizontal="center"/>
    </xf>
    <xf numFmtId="4" fontId="8" fillId="0" borderId="36" xfId="0" applyNumberFormat="1" applyFont="1" applyBorder="1" applyAlignment="1">
      <alignment horizontal="center" vertical="center"/>
    </xf>
    <xf numFmtId="4" fontId="2" fillId="0" borderId="0" xfId="0" applyNumberFormat="1" applyFont="1"/>
    <xf numFmtId="4" fontId="22" fillId="0" borderId="0" xfId="0" applyNumberFormat="1" applyFont="1"/>
    <xf numFmtId="166" fontId="22" fillId="0" borderId="0" xfId="0" applyNumberFormat="1" applyFont="1"/>
    <xf numFmtId="0" fontId="0" fillId="0" borderId="0" xfId="0" applyBorder="1"/>
    <xf numFmtId="0" fontId="51" fillId="2" borderId="13" xfId="0" applyFont="1" applyFill="1" applyBorder="1" applyAlignment="1">
      <alignment horizontal="center" vertical="center" wrapText="1"/>
    </xf>
    <xf numFmtId="0" fontId="0" fillId="0" borderId="31" xfId="0" applyBorder="1"/>
    <xf numFmtId="0" fontId="0" fillId="0" borderId="32" xfId="0" applyBorder="1"/>
    <xf numFmtId="0" fontId="0" fillId="0" borderId="0" xfId="0" applyFill="1" applyBorder="1" applyAlignment="1"/>
    <xf numFmtId="0" fontId="28" fillId="0" borderId="0" xfId="0" applyFont="1" applyFill="1" applyBorder="1"/>
    <xf numFmtId="2" fontId="28" fillId="0" borderId="0" xfId="0" applyNumberFormat="1" applyFont="1"/>
    <xf numFmtId="2" fontId="70" fillId="0" borderId="0" xfId="0" applyNumberFormat="1" applyFont="1"/>
    <xf numFmtId="10" fontId="70" fillId="0" borderId="0" xfId="3" applyNumberFormat="1" applyFont="1"/>
    <xf numFmtId="3" fontId="32" fillId="5" borderId="13" xfId="0" applyNumberFormat="1" applyFont="1" applyFill="1" applyBorder="1" applyAlignment="1">
      <alignment horizontal="right" vertical="center" wrapText="1"/>
    </xf>
    <xf numFmtId="3" fontId="57" fillId="5" borderId="13" xfId="0" applyNumberFormat="1" applyFont="1" applyFill="1" applyBorder="1" applyAlignment="1">
      <alignment horizontal="right" vertical="center" wrapText="1"/>
    </xf>
    <xf numFmtId="3" fontId="60" fillId="5" borderId="13" xfId="0" applyNumberFormat="1" applyFont="1" applyFill="1" applyBorder="1" applyAlignment="1">
      <alignment horizontal="right" vertical="center" wrapText="1"/>
    </xf>
    <xf numFmtId="3" fontId="11" fillId="5" borderId="13" xfId="0" applyNumberFormat="1" applyFont="1" applyFill="1" applyBorder="1" applyAlignment="1">
      <alignment horizontal="right" vertical="center" wrapText="1"/>
    </xf>
    <xf numFmtId="0" fontId="11" fillId="0" borderId="13" xfId="7" applyFont="1" applyFill="1" applyBorder="1" applyAlignment="1">
      <alignment horizontal="center" vertical="center" wrapText="1"/>
    </xf>
    <xf numFmtId="0" fontId="1" fillId="0" borderId="0" xfId="0" applyFont="1" applyFill="1"/>
    <xf numFmtId="4" fontId="1" fillId="0" borderId="0" xfId="0" applyNumberFormat="1" applyFont="1" applyFill="1"/>
    <xf numFmtId="0" fontId="11" fillId="0" borderId="13" xfId="0" applyFont="1" applyBorder="1" applyAlignment="1">
      <alignment horizontal="center" vertical="center" wrapText="1"/>
    </xf>
    <xf numFmtId="0" fontId="44" fillId="0" borderId="0" xfId="0" applyFont="1"/>
    <xf numFmtId="3" fontId="69" fillId="4" borderId="13" xfId="0" applyNumberFormat="1" applyFont="1" applyFill="1" applyBorder="1" applyAlignment="1">
      <alignment horizontal="center" vertical="center" wrapText="1"/>
    </xf>
    <xf numFmtId="3" fontId="76" fillId="22" borderId="13" xfId="0" applyNumberFormat="1" applyFont="1" applyFill="1" applyBorder="1" applyAlignment="1">
      <alignment horizontal="center" vertical="center"/>
    </xf>
    <xf numFmtId="3" fontId="43" fillId="0" borderId="0" xfId="0" applyNumberFormat="1" applyFont="1"/>
    <xf numFmtId="14" fontId="43" fillId="0" borderId="0" xfId="0" quotePrefix="1" applyNumberFormat="1" applyFont="1"/>
    <xf numFmtId="0" fontId="43" fillId="0" borderId="0" xfId="0" applyFont="1" applyAlignment="1">
      <alignment horizontal="center"/>
    </xf>
    <xf numFmtId="0" fontId="69" fillId="5" borderId="13" xfId="0" applyFont="1" applyFill="1" applyBorder="1" applyAlignment="1">
      <alignment vertical="center" wrapText="1"/>
    </xf>
    <xf numFmtId="3" fontId="69" fillId="5" borderId="13" xfId="0" applyNumberFormat="1" applyFont="1" applyFill="1" applyBorder="1" applyAlignment="1">
      <alignment horizontal="center" vertical="center" wrapText="1"/>
    </xf>
    <xf numFmtId="0" fontId="50" fillId="0" borderId="0" xfId="0" applyFont="1" applyAlignment="1">
      <alignment horizontal="center" vertical="center"/>
    </xf>
    <xf numFmtId="1" fontId="77" fillId="0" borderId="0" xfId="0" applyNumberFormat="1" applyFont="1" applyAlignment="1">
      <alignment horizontal="center" vertical="center"/>
    </xf>
    <xf numFmtId="1" fontId="43" fillId="0" borderId="0" xfId="0" applyNumberFormat="1" applyFont="1" applyAlignment="1">
      <alignment horizontal="center" vertical="center"/>
    </xf>
    <xf numFmtId="1" fontId="50" fillId="0" borderId="0" xfId="0" applyNumberFormat="1" applyFont="1" applyAlignment="1">
      <alignment horizontal="center" vertical="center"/>
    </xf>
    <xf numFmtId="0" fontId="44" fillId="4" borderId="0" xfId="0" applyFont="1" applyFill="1"/>
    <xf numFmtId="0" fontId="43" fillId="4" borderId="0" xfId="0" applyFont="1" applyFill="1"/>
    <xf numFmtId="0" fontId="48" fillId="0" borderId="0" xfId="0" applyFont="1"/>
    <xf numFmtId="0" fontId="48" fillId="4" borderId="0" xfId="0" applyFont="1" applyFill="1"/>
    <xf numFmtId="0" fontId="78" fillId="0" borderId="0" xfId="0" applyFont="1"/>
    <xf numFmtId="0" fontId="79" fillId="0" borderId="0" xfId="0" applyFont="1"/>
    <xf numFmtId="3" fontId="69" fillId="0" borderId="0" xfId="0" applyNumberFormat="1" applyFont="1" applyAlignment="1">
      <alignment horizontal="center"/>
    </xf>
    <xf numFmtId="1" fontId="44" fillId="0" borderId="0" xfId="0" applyNumberFormat="1" applyFont="1" applyAlignment="1">
      <alignment horizontal="center" vertical="center"/>
    </xf>
    <xf numFmtId="3" fontId="11" fillId="20" borderId="13" xfId="0" applyNumberFormat="1" applyFont="1" applyFill="1" applyBorder="1" applyAlignment="1">
      <alignment horizontal="center" vertical="center" wrapText="1"/>
    </xf>
    <xf numFmtId="3" fontId="60" fillId="2" borderId="13" xfId="0" applyNumberFormat="1" applyFont="1" applyFill="1" applyBorder="1" applyAlignment="1">
      <alignment horizontal="right" vertical="center" wrapText="1"/>
    </xf>
    <xf numFmtId="3" fontId="20" fillId="2" borderId="13" xfId="0" applyNumberFormat="1" applyFont="1" applyFill="1" applyBorder="1" applyAlignment="1">
      <alignment horizontal="right" vertical="center" wrapText="1"/>
    </xf>
    <xf numFmtId="3" fontId="67" fillId="2" borderId="13" xfId="0" applyNumberFormat="1" applyFont="1" applyFill="1" applyBorder="1" applyAlignment="1">
      <alignment horizontal="right" vertical="center" wrapText="1"/>
    </xf>
    <xf numFmtId="3" fontId="32" fillId="2" borderId="13" xfId="0" applyNumberFormat="1" applyFont="1" applyFill="1" applyBorder="1" applyAlignment="1">
      <alignment horizontal="right" vertical="center" wrapText="1"/>
    </xf>
    <xf numFmtId="3" fontId="53" fillId="2" borderId="13" xfId="0" applyNumberFormat="1" applyFont="1" applyFill="1" applyBorder="1" applyAlignment="1">
      <alignment horizontal="right" vertical="center" wrapText="1"/>
    </xf>
    <xf numFmtId="0" fontId="51" fillId="17" borderId="13" xfId="0" applyFont="1" applyFill="1" applyBorder="1" applyAlignment="1">
      <alignment horizontal="center" vertical="center" wrapText="1"/>
    </xf>
    <xf numFmtId="0" fontId="4" fillId="0" borderId="13" xfId="0" applyNumberFormat="1" applyFont="1" applyFill="1" applyBorder="1" applyAlignment="1">
      <alignment horizontal="center"/>
    </xf>
    <xf numFmtId="0" fontId="4" fillId="0" borderId="13" xfId="0" applyFont="1" applyFill="1" applyBorder="1" applyAlignment="1">
      <alignment horizontal="center"/>
    </xf>
    <xf numFmtId="0" fontId="12" fillId="0" borderId="13" xfId="0" applyFont="1" applyFill="1" applyBorder="1" applyAlignment="1">
      <alignment horizontal="center" vertical="center"/>
    </xf>
    <xf numFmtId="49" fontId="12" fillId="0" borderId="13" xfId="4" applyNumberFormat="1" applyFont="1" applyFill="1" applyBorder="1" applyAlignment="1" applyProtection="1">
      <alignment horizontal="center"/>
      <protection locked="0"/>
    </xf>
    <xf numFmtId="49" fontId="4" fillId="0" borderId="13" xfId="0" applyNumberFormat="1" applyFont="1" applyFill="1" applyBorder="1" applyAlignment="1">
      <alignment horizontal="center" vertical="center"/>
    </xf>
    <xf numFmtId="0" fontId="12" fillId="0" borderId="13" xfId="0" applyFont="1" applyFill="1" applyBorder="1" applyAlignment="1">
      <alignment horizontal="center"/>
    </xf>
    <xf numFmtId="4" fontId="4" fillId="3" borderId="13" xfId="0" applyNumberFormat="1" applyFont="1" applyFill="1" applyBorder="1" applyAlignment="1">
      <alignment horizontal="center"/>
    </xf>
    <xf numFmtId="4" fontId="12" fillId="3" borderId="13" xfId="0" applyNumberFormat="1" applyFont="1" applyFill="1" applyBorder="1" applyAlignment="1">
      <alignment horizontal="center" vertical="center"/>
    </xf>
    <xf numFmtId="4" fontId="12" fillId="3" borderId="13" xfId="0" applyNumberFormat="1" applyFont="1" applyFill="1" applyBorder="1" applyAlignment="1">
      <alignment horizontal="center"/>
    </xf>
    <xf numFmtId="0" fontId="12" fillId="3" borderId="13" xfId="0" applyFont="1" applyFill="1" applyBorder="1" applyAlignment="1">
      <alignment horizontal="center"/>
    </xf>
    <xf numFmtId="49" fontId="12" fillId="0" borderId="13" xfId="0" quotePrefix="1" applyNumberFormat="1" applyFont="1" applyFill="1" applyBorder="1" applyAlignment="1">
      <alignment horizontal="center" vertical="center"/>
    </xf>
    <xf numFmtId="0" fontId="11" fillId="0" borderId="12" xfId="2" applyFont="1" applyFill="1" applyBorder="1" applyAlignment="1">
      <alignment horizontal="left" vertical="center" wrapText="1"/>
    </xf>
    <xf numFmtId="49" fontId="11" fillId="0" borderId="13" xfId="0" applyNumberFormat="1" applyFont="1" applyFill="1" applyBorder="1" applyAlignment="1">
      <alignment horizontal="center" vertical="center"/>
    </xf>
    <xf numFmtId="2" fontId="11" fillId="0" borderId="13" xfId="0" quotePrefix="1" applyNumberFormat="1" applyFont="1" applyFill="1" applyBorder="1" applyAlignment="1">
      <alignment horizontal="center" vertical="center"/>
    </xf>
    <xf numFmtId="49" fontId="11" fillId="0" borderId="13" xfId="0" applyNumberFormat="1" applyFont="1" applyFill="1" applyBorder="1" applyAlignment="1">
      <alignment horizontal="center" vertical="center" wrapText="1"/>
    </xf>
    <xf numFmtId="2" fontId="12" fillId="0" borderId="13" xfId="0" quotePrefix="1" applyNumberFormat="1" applyFont="1" applyFill="1" applyBorder="1" applyAlignment="1">
      <alignment horizontal="center" vertical="center"/>
    </xf>
    <xf numFmtId="2" fontId="12" fillId="4" borderId="14" xfId="0" applyNumberFormat="1" applyFont="1" applyFill="1" applyBorder="1" applyAlignment="1">
      <alignment horizontal="center" vertical="center"/>
    </xf>
    <xf numFmtId="2" fontId="12" fillId="0" borderId="14" xfId="0" applyNumberFormat="1" applyFont="1" applyBorder="1" applyAlignment="1">
      <alignment horizontal="center" vertical="center"/>
    </xf>
    <xf numFmtId="2" fontId="11" fillId="0" borderId="29" xfId="1" applyNumberFormat="1" applyFont="1" applyBorder="1" applyAlignment="1">
      <alignment horizontal="center" vertical="center"/>
    </xf>
    <xf numFmtId="2" fontId="11" fillId="4" borderId="29" xfId="1" applyNumberFormat="1" applyFont="1" applyFill="1" applyBorder="1" applyAlignment="1">
      <alignment horizontal="center" vertical="center"/>
    </xf>
    <xf numFmtId="2" fontId="12" fillId="0" borderId="29" xfId="1" applyNumberFormat="1" applyFont="1" applyBorder="1" applyAlignment="1">
      <alignment horizontal="center" vertical="center"/>
    </xf>
    <xf numFmtId="2" fontId="12" fillId="4" borderId="29" xfId="1" applyNumberFormat="1" applyFont="1" applyFill="1" applyBorder="1" applyAlignment="1">
      <alignment horizontal="center" vertical="center"/>
    </xf>
    <xf numFmtId="2" fontId="12" fillId="0" borderId="13" xfId="0" quotePrefix="1" applyNumberFormat="1" applyFont="1" applyBorder="1" applyAlignment="1">
      <alignment horizontal="center" vertical="center"/>
    </xf>
    <xf numFmtId="2" fontId="12" fillId="4" borderId="17" xfId="0" applyNumberFormat="1" applyFont="1" applyFill="1" applyBorder="1" applyAlignment="1">
      <alignment horizontal="center" vertical="center"/>
    </xf>
    <xf numFmtId="0" fontId="2" fillId="11" borderId="6" xfId="0" applyFont="1" applyFill="1" applyBorder="1" applyAlignment="1">
      <alignment horizontal="center" vertical="center"/>
    </xf>
    <xf numFmtId="0" fontId="22" fillId="11" borderId="7" xfId="0" applyFont="1" applyFill="1" applyBorder="1" applyAlignment="1">
      <alignment horizontal="center" vertical="center"/>
    </xf>
    <xf numFmtId="4" fontId="21" fillId="0" borderId="21" xfId="0" applyNumberFormat="1" applyFont="1" applyBorder="1" applyAlignment="1">
      <alignment horizontal="center" vertical="center"/>
    </xf>
    <xf numFmtId="2" fontId="23" fillId="0" borderId="13" xfId="0" quotePrefix="1" applyNumberFormat="1" applyFont="1" applyBorder="1" applyAlignment="1">
      <alignment horizontal="center"/>
    </xf>
    <xf numFmtId="2" fontId="23" fillId="0" borderId="13" xfId="0" quotePrefix="1" applyNumberFormat="1" applyFont="1" applyFill="1" applyBorder="1" applyAlignment="1">
      <alignment horizontal="center"/>
    </xf>
    <xf numFmtId="166" fontId="23" fillId="0" borderId="13" xfId="0" quotePrefix="1" applyNumberFormat="1" applyFont="1" applyBorder="1" applyAlignment="1">
      <alignment horizontal="center"/>
    </xf>
    <xf numFmtId="2" fontId="12" fillId="3" borderId="13" xfId="0" applyNumberFormat="1" applyFont="1" applyFill="1" applyBorder="1" applyAlignment="1">
      <alignment horizontal="center" vertical="center" wrapText="1"/>
    </xf>
    <xf numFmtId="2" fontId="12" fillId="3" borderId="13" xfId="0" applyNumberFormat="1" applyFont="1" applyFill="1" applyBorder="1" applyAlignment="1">
      <alignment horizontal="center" vertical="center"/>
    </xf>
    <xf numFmtId="2" fontId="4" fillId="3" borderId="13" xfId="0" applyNumberFormat="1" applyFont="1" applyFill="1" applyBorder="1" applyAlignment="1">
      <alignment horizontal="center"/>
    </xf>
    <xf numFmtId="4" fontId="12" fillId="3" borderId="13" xfId="0" applyNumberFormat="1" applyFont="1" applyFill="1" applyBorder="1" applyAlignment="1">
      <alignment horizontal="center" vertical="center" wrapText="1"/>
    </xf>
    <xf numFmtId="4" fontId="12" fillId="3" borderId="13" xfId="1" applyNumberFormat="1" applyFont="1" applyFill="1" applyBorder="1" applyAlignment="1">
      <alignment horizontal="center" vertical="center" wrapText="1"/>
    </xf>
    <xf numFmtId="2" fontId="12" fillId="3" borderId="13" xfId="1" applyNumberFormat="1" applyFont="1" applyFill="1" applyBorder="1" applyAlignment="1">
      <alignment horizontal="center" vertical="center"/>
    </xf>
    <xf numFmtId="4" fontId="11" fillId="0" borderId="13" xfId="0" applyNumberFormat="1" applyFont="1" applyBorder="1" applyAlignment="1">
      <alignment horizontal="center" vertical="center"/>
    </xf>
    <xf numFmtId="4" fontId="12" fillId="0" borderId="13" xfId="0" applyNumberFormat="1" applyFont="1" applyBorder="1"/>
    <xf numFmtId="4" fontId="12" fillId="0" borderId="13" xfId="0" applyNumberFormat="1" applyFont="1" applyBorder="1" applyAlignment="1">
      <alignment horizontal="center"/>
    </xf>
    <xf numFmtId="2" fontId="36" fillId="0" borderId="0" xfId="0" applyNumberFormat="1" applyFont="1"/>
    <xf numFmtId="2" fontId="4" fillId="4" borderId="13" xfId="0" applyNumberFormat="1" applyFont="1" applyFill="1" applyBorder="1" applyAlignment="1">
      <alignment horizontal="center"/>
    </xf>
    <xf numFmtId="0" fontId="28" fillId="0" borderId="14" xfId="0" applyFont="1" applyBorder="1"/>
    <xf numFmtId="0" fontId="4" fillId="13" borderId="14" xfId="0" applyFont="1" applyFill="1" applyBorder="1" applyAlignment="1">
      <alignment horizontal="center"/>
    </xf>
    <xf numFmtId="4" fontId="4" fillId="0" borderId="14" xfId="0" applyNumberFormat="1" applyFont="1" applyBorder="1" applyAlignment="1">
      <alignment horizontal="center"/>
    </xf>
    <xf numFmtId="0" fontId="4" fillId="6" borderId="14" xfId="0" applyFont="1" applyFill="1" applyBorder="1" applyAlignment="1">
      <alignment horizontal="center"/>
    </xf>
    <xf numFmtId="0" fontId="6" fillId="12" borderId="51" xfId="0" applyFont="1" applyFill="1" applyBorder="1" applyAlignment="1">
      <alignment horizontal="center" vertical="center"/>
    </xf>
    <xf numFmtId="0" fontId="4" fillId="0" borderId="43" xfId="0" applyFont="1" applyBorder="1"/>
    <xf numFmtId="4" fontId="4" fillId="0" borderId="43" xfId="0" applyNumberFormat="1" applyFont="1" applyBorder="1"/>
    <xf numFmtId="0" fontId="4" fillId="6" borderId="43" xfId="0" applyFont="1" applyFill="1" applyBorder="1" applyAlignment="1">
      <alignment horizontal="center"/>
    </xf>
    <xf numFmtId="0" fontId="4" fillId="13" borderId="43" xfId="0" applyFont="1" applyFill="1" applyBorder="1"/>
    <xf numFmtId="0" fontId="4" fillId="5" borderId="43" xfId="0" applyFont="1" applyFill="1" applyBorder="1"/>
    <xf numFmtId="0" fontId="4" fillId="7" borderId="43" xfId="0" applyFont="1" applyFill="1" applyBorder="1"/>
    <xf numFmtId="4" fontId="6" fillId="12" borderId="54" xfId="0" applyNumberFormat="1" applyFont="1" applyFill="1" applyBorder="1"/>
    <xf numFmtId="2" fontId="12" fillId="0" borderId="13" xfId="0" applyNumberFormat="1" applyFont="1" applyBorder="1" applyAlignment="1">
      <alignment horizontal="center"/>
    </xf>
    <xf numFmtId="0" fontId="12" fillId="2" borderId="49" xfId="0" applyFont="1" applyFill="1" applyBorder="1" applyAlignment="1">
      <alignment horizontal="center" vertical="center" wrapText="1"/>
    </xf>
    <xf numFmtId="2" fontId="12" fillId="0" borderId="14" xfId="0" applyNumberFormat="1" applyFont="1" applyBorder="1" applyAlignment="1">
      <alignment horizontal="center"/>
    </xf>
    <xf numFmtId="2" fontId="21" fillId="6" borderId="14" xfId="0" applyNumberFormat="1" applyFont="1" applyFill="1" applyBorder="1" applyAlignment="1">
      <alignment horizontal="center"/>
    </xf>
    <xf numFmtId="2" fontId="12" fillId="4" borderId="14" xfId="0" applyNumberFormat="1" applyFont="1" applyFill="1" applyBorder="1" applyAlignment="1">
      <alignment horizontal="center"/>
    </xf>
    <xf numFmtId="2" fontId="21" fillId="12" borderId="51" xfId="0" applyNumberFormat="1" applyFont="1" applyFill="1" applyBorder="1" applyAlignment="1">
      <alignment horizontal="center" vertical="center"/>
    </xf>
    <xf numFmtId="0" fontId="0" fillId="0" borderId="43" xfId="0" applyBorder="1"/>
    <xf numFmtId="0" fontId="6" fillId="7" borderId="12" xfId="0" applyFont="1" applyFill="1" applyBorder="1" applyAlignment="1">
      <alignment vertical="center"/>
    </xf>
    <xf numFmtId="0" fontId="6" fillId="7" borderId="13" xfId="0" applyFont="1" applyFill="1" applyBorder="1" applyAlignment="1">
      <alignment vertical="center"/>
    </xf>
    <xf numFmtId="0" fontId="0" fillId="0" borderId="0" xfId="0" applyBorder="1" applyAlignment="1"/>
    <xf numFmtId="0" fontId="0" fillId="0" borderId="0" xfId="0" applyFill="1" applyAlignment="1">
      <alignment horizontal="center"/>
    </xf>
    <xf numFmtId="10" fontId="1" fillId="0" borderId="0" xfId="3" applyNumberFormat="1" applyFont="1" applyFill="1"/>
    <xf numFmtId="0" fontId="14" fillId="0" borderId="0" xfId="0" applyFont="1" applyFill="1" applyBorder="1" applyAlignment="1">
      <alignment horizontal="center" vertical="center" wrapText="1"/>
    </xf>
    <xf numFmtId="0" fontId="0" fillId="0" borderId="0" xfId="0" applyFill="1" applyBorder="1" applyAlignment="1">
      <alignment horizontal="center"/>
    </xf>
    <xf numFmtId="0" fontId="1" fillId="0" borderId="0" xfId="0" applyFont="1" applyFill="1" applyBorder="1"/>
    <xf numFmtId="4" fontId="1" fillId="0" borderId="0" xfId="0" applyNumberFormat="1" applyFont="1" applyFill="1" applyBorder="1"/>
    <xf numFmtId="10" fontId="1" fillId="0" borderId="0" xfId="3" applyNumberFormat="1" applyFont="1" applyFill="1" applyBorder="1"/>
    <xf numFmtId="10" fontId="0" fillId="0" borderId="0" xfId="3" applyNumberFormat="1" applyFont="1" applyFill="1"/>
    <xf numFmtId="4" fontId="0" fillId="0" borderId="0" xfId="0" applyNumberFormat="1" applyFill="1" applyBorder="1"/>
    <xf numFmtId="10" fontId="0" fillId="0" borderId="0" xfId="3" applyNumberFormat="1" applyFont="1" applyFill="1" applyBorder="1"/>
    <xf numFmtId="0" fontId="0" fillId="0" borderId="0" xfId="0" applyFill="1" applyBorder="1" applyAlignment="1">
      <alignment vertical="center" wrapText="1"/>
    </xf>
    <xf numFmtId="2" fontId="21" fillId="0" borderId="38" xfId="0" applyNumberFormat="1" applyFont="1" applyBorder="1" applyAlignment="1">
      <alignment horizontal="center" vertical="center"/>
    </xf>
    <xf numFmtId="0" fontId="0" fillId="0" borderId="0" xfId="0" quotePrefix="1" applyFill="1" applyBorder="1"/>
    <xf numFmtId="0" fontId="0" fillId="0" borderId="0" xfId="0"/>
    <xf numFmtId="0" fontId="4" fillId="0" borderId="13" xfId="0" applyFont="1" applyBorder="1" applyAlignment="1">
      <alignment horizontal="center"/>
    </xf>
    <xf numFmtId="2" fontId="11" fillId="0" borderId="13" xfId="0" applyNumberFormat="1" applyFont="1" applyFill="1" applyBorder="1" applyAlignment="1">
      <alignment horizontal="center" vertical="center"/>
    </xf>
    <xf numFmtId="2" fontId="12" fillId="0" borderId="13" xfId="0" applyNumberFormat="1" applyFont="1" applyFill="1" applyBorder="1" applyAlignment="1">
      <alignment horizontal="center" vertical="center"/>
    </xf>
    <xf numFmtId="4" fontId="11" fillId="0" borderId="13" xfId="1" applyNumberFormat="1" applyFont="1" applyFill="1" applyBorder="1" applyAlignment="1">
      <alignment horizontal="center" vertical="center"/>
    </xf>
    <xf numFmtId="0" fontId="4" fillId="0" borderId="12" xfId="0" applyFont="1" applyBorder="1"/>
    <xf numFmtId="0" fontId="36" fillId="0" borderId="0" xfId="0" applyFont="1"/>
    <xf numFmtId="0" fontId="11" fillId="0" borderId="13" xfId="0" applyFont="1" applyFill="1" applyBorder="1" applyAlignment="1">
      <alignment horizontal="center" vertical="center" wrapText="1"/>
    </xf>
    <xf numFmtId="2" fontId="11" fillId="0" borderId="13" xfId="0" applyNumberFormat="1" applyFont="1" applyBorder="1" applyAlignment="1">
      <alignment horizontal="center" vertical="center"/>
    </xf>
    <xf numFmtId="0" fontId="43" fillId="0" borderId="0" xfId="0" applyFont="1"/>
    <xf numFmtId="16" fontId="4" fillId="0" borderId="13" xfId="0" quotePrefix="1" applyNumberFormat="1" applyFont="1" applyBorder="1" applyAlignment="1">
      <alignment horizontal="center"/>
    </xf>
    <xf numFmtId="2" fontId="12" fillId="0" borderId="14" xfId="0" applyNumberFormat="1" applyFont="1" applyBorder="1" applyAlignment="1">
      <alignment horizontal="center"/>
    </xf>
    <xf numFmtId="2" fontId="4" fillId="0" borderId="13" xfId="0" applyNumberFormat="1" applyFont="1" applyBorder="1" applyAlignment="1">
      <alignment horizontal="center"/>
    </xf>
    <xf numFmtId="0" fontId="12" fillId="0" borderId="12" xfId="0" applyFont="1" applyFill="1" applyBorder="1" applyAlignment="1">
      <alignment vertical="center" wrapText="1"/>
    </xf>
    <xf numFmtId="2" fontId="4" fillId="3" borderId="13" xfId="0" applyNumberFormat="1" applyFont="1" applyFill="1" applyBorder="1" applyAlignment="1">
      <alignment horizontal="center"/>
    </xf>
    <xf numFmtId="0" fontId="12" fillId="4" borderId="12" xfId="0" applyFont="1" applyFill="1" applyBorder="1" applyAlignment="1">
      <alignment vertical="center" wrapText="1"/>
    </xf>
    <xf numFmtId="49" fontId="12" fillId="4" borderId="13" xfId="0" applyNumberFormat="1" applyFont="1" applyFill="1" applyBorder="1" applyAlignment="1">
      <alignment horizontal="center" vertical="center"/>
    </xf>
    <xf numFmtId="49" fontId="12" fillId="4" borderId="13" xfId="0" applyNumberFormat="1" applyFont="1" applyFill="1" applyBorder="1" applyAlignment="1">
      <alignment horizontal="center" vertical="center" wrapText="1"/>
    </xf>
    <xf numFmtId="2" fontId="12" fillId="0" borderId="13" xfId="0" applyNumberFormat="1" applyFont="1" applyFill="1" applyBorder="1" applyAlignment="1">
      <alignment horizontal="center" vertical="center" wrapText="1"/>
    </xf>
    <xf numFmtId="0" fontId="12" fillId="0" borderId="12" xfId="0" applyFont="1" applyFill="1" applyBorder="1" applyAlignment="1">
      <alignment horizontal="left" vertical="center" wrapText="1"/>
    </xf>
    <xf numFmtId="49" fontId="12" fillId="0" borderId="13" xfId="0" quotePrefix="1" applyNumberFormat="1" applyFont="1" applyBorder="1" applyAlignment="1">
      <alignment horizontal="center" vertical="center"/>
    </xf>
    <xf numFmtId="4" fontId="12" fillId="0" borderId="14" xfId="0" applyNumberFormat="1" applyFont="1" applyBorder="1" applyAlignment="1">
      <alignment horizontal="center" vertical="center"/>
    </xf>
    <xf numFmtId="0" fontId="0" fillId="0" borderId="0" xfId="0" applyFill="1" applyAlignment="1">
      <alignment wrapText="1"/>
    </xf>
    <xf numFmtId="0" fontId="0" fillId="0" borderId="0" xfId="0" applyFill="1" applyAlignment="1"/>
    <xf numFmtId="0" fontId="0" fillId="0" borderId="0" xfId="0" applyFill="1" applyBorder="1" applyAlignment="1">
      <alignment wrapText="1"/>
    </xf>
    <xf numFmtId="0" fontId="0" fillId="0" borderId="0" xfId="0" applyFill="1" applyAlignment="1">
      <alignment vertical="center" wrapText="1"/>
    </xf>
    <xf numFmtId="4" fontId="12" fillId="0" borderId="14" xfId="0" applyNumberFormat="1" applyFont="1" applyBorder="1" applyAlignment="1">
      <alignment horizontal="center"/>
    </xf>
    <xf numFmtId="4" fontId="21" fillId="6" borderId="14" xfId="0" applyNumberFormat="1" applyFont="1" applyFill="1" applyBorder="1" applyAlignment="1">
      <alignment horizontal="center"/>
    </xf>
    <xf numFmtId="4" fontId="21" fillId="15" borderId="14" xfId="0" applyNumberFormat="1" applyFont="1" applyFill="1" applyBorder="1" applyAlignment="1">
      <alignment horizontal="center" vertical="center"/>
    </xf>
    <xf numFmtId="4" fontId="21" fillId="12" borderId="14" xfId="0" applyNumberFormat="1" applyFont="1" applyFill="1" applyBorder="1" applyAlignment="1">
      <alignment horizontal="center" vertical="center"/>
    </xf>
    <xf numFmtId="4" fontId="12" fillId="4" borderId="14" xfId="0" applyNumberFormat="1" applyFont="1" applyFill="1" applyBorder="1" applyAlignment="1">
      <alignment horizontal="center" vertical="center"/>
    </xf>
    <xf numFmtId="4" fontId="12" fillId="0" borderId="14" xfId="0" applyNumberFormat="1" applyFont="1" applyFill="1" applyBorder="1" applyAlignment="1">
      <alignment horizontal="center"/>
    </xf>
    <xf numFmtId="4" fontId="12" fillId="4" borderId="14" xfId="0" applyNumberFormat="1" applyFont="1" applyFill="1" applyBorder="1" applyAlignment="1">
      <alignment horizontal="center"/>
    </xf>
    <xf numFmtId="4" fontId="21" fillId="15" borderId="14" xfId="0" applyNumberFormat="1" applyFont="1" applyFill="1" applyBorder="1" applyAlignment="1">
      <alignment horizontal="center"/>
    </xf>
    <xf numFmtId="0" fontId="28" fillId="0" borderId="13" xfId="0" applyFont="1" applyFill="1" applyBorder="1"/>
    <xf numFmtId="4" fontId="21" fillId="6" borderId="51" xfId="0" applyNumberFormat="1" applyFont="1" applyFill="1" applyBorder="1" applyAlignment="1">
      <alignment horizontal="center"/>
    </xf>
    <xf numFmtId="4" fontId="21" fillId="15" borderId="50" xfId="0" applyNumberFormat="1" applyFont="1" applyFill="1" applyBorder="1" applyAlignment="1">
      <alignment horizontal="center"/>
    </xf>
    <xf numFmtId="2" fontId="21" fillId="14" borderId="14" xfId="1" applyNumberFormat="1" applyFont="1" applyFill="1" applyBorder="1" applyAlignment="1">
      <alignment horizontal="center" vertical="center"/>
    </xf>
    <xf numFmtId="2" fontId="21" fillId="10" borderId="51" xfId="0" applyNumberFormat="1" applyFont="1" applyFill="1" applyBorder="1" applyAlignment="1">
      <alignment horizontal="center" vertical="center"/>
    </xf>
    <xf numFmtId="2" fontId="12" fillId="0" borderId="51" xfId="0" applyNumberFormat="1" applyFont="1" applyBorder="1" applyAlignment="1">
      <alignment horizontal="center"/>
    </xf>
    <xf numFmtId="0" fontId="21"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3" fontId="12" fillId="2" borderId="2" xfId="0" applyNumberFormat="1" applyFont="1" applyFill="1" applyBorder="1" applyAlignment="1">
      <alignment horizontal="center" vertical="center" wrapText="1"/>
    </xf>
    <xf numFmtId="3" fontId="12" fillId="2" borderId="3" xfId="0" applyNumberFormat="1" applyFont="1" applyFill="1" applyBorder="1" applyAlignment="1">
      <alignment horizontal="center" vertical="center" wrapText="1"/>
    </xf>
    <xf numFmtId="0" fontId="28" fillId="0" borderId="12" xfId="0" applyFont="1" applyFill="1" applyBorder="1"/>
    <xf numFmtId="0" fontId="28" fillId="0" borderId="20" xfId="0" applyFont="1" applyFill="1" applyBorder="1"/>
    <xf numFmtId="4" fontId="23" fillId="0" borderId="12" xfId="0" applyNumberFormat="1" applyFont="1" applyFill="1" applyBorder="1"/>
    <xf numFmtId="4" fontId="23" fillId="0" borderId="20" xfId="0" applyNumberFormat="1" applyFont="1" applyFill="1" applyBorder="1"/>
    <xf numFmtId="4" fontId="0" fillId="0" borderId="20" xfId="0" applyNumberFormat="1" applyBorder="1"/>
    <xf numFmtId="0" fontId="0" fillId="20" borderId="13" xfId="0" applyFill="1" applyBorder="1"/>
    <xf numFmtId="0" fontId="0" fillId="5" borderId="13" xfId="0" applyFill="1" applyBorder="1"/>
    <xf numFmtId="0" fontId="0" fillId="20" borderId="12" xfId="0" applyFill="1" applyBorder="1"/>
    <xf numFmtId="0" fontId="0" fillId="5" borderId="12" xfId="0" applyFill="1" applyBorder="1"/>
    <xf numFmtId="0" fontId="0" fillId="5" borderId="20" xfId="0" applyFill="1" applyBorder="1"/>
    <xf numFmtId="4" fontId="23" fillId="0" borderId="16" xfId="0" applyNumberFormat="1" applyFont="1" applyFill="1" applyBorder="1"/>
    <xf numFmtId="4" fontId="23" fillId="0" borderId="21" xfId="0" applyNumberFormat="1" applyFont="1" applyFill="1" applyBorder="1"/>
    <xf numFmtId="0" fontId="0" fillId="0" borderId="6" xfId="0" applyBorder="1"/>
    <xf numFmtId="0" fontId="0" fillId="0" borderId="7" xfId="0" applyBorder="1"/>
    <xf numFmtId="4" fontId="1" fillId="5" borderId="20" xfId="0" applyNumberFormat="1" applyFont="1" applyFill="1" applyBorder="1"/>
    <xf numFmtId="0" fontId="0" fillId="5" borderId="15" xfId="0" applyFill="1" applyBorder="1"/>
    <xf numFmtId="0" fontId="0" fillId="5" borderId="16" xfId="0" applyFill="1" applyBorder="1"/>
    <xf numFmtId="0" fontId="0" fillId="0" borderId="31" xfId="0" applyFill="1" applyBorder="1"/>
    <xf numFmtId="0" fontId="0" fillId="0" borderId="11" xfId="0" applyFill="1" applyBorder="1"/>
    <xf numFmtId="0" fontId="0" fillId="0" borderId="32" xfId="0" applyFill="1" applyBorder="1"/>
    <xf numFmtId="0" fontId="0" fillId="0" borderId="6" xfId="0" applyFill="1" applyBorder="1"/>
    <xf numFmtId="0" fontId="0" fillId="0" borderId="7" xfId="0" applyFill="1" applyBorder="1"/>
    <xf numFmtId="0" fontId="0" fillId="7" borderId="12" xfId="0" applyFill="1" applyBorder="1" applyAlignment="1">
      <alignment horizontal="center"/>
    </xf>
    <xf numFmtId="0" fontId="0" fillId="7" borderId="13" xfId="0" applyFill="1" applyBorder="1" applyAlignment="1">
      <alignment horizontal="center"/>
    </xf>
    <xf numFmtId="0" fontId="0" fillId="7" borderId="20" xfId="0" applyFill="1" applyBorder="1" applyAlignment="1">
      <alignment horizontal="center"/>
    </xf>
    <xf numFmtId="0" fontId="28" fillId="5" borderId="12" xfId="0" applyFont="1" applyFill="1" applyBorder="1"/>
    <xf numFmtId="0" fontId="28" fillId="5" borderId="13" xfId="0" applyFont="1" applyFill="1" applyBorder="1"/>
    <xf numFmtId="0" fontId="0" fillId="6" borderId="12" xfId="0" applyFill="1" applyBorder="1"/>
    <xf numFmtId="0" fontId="0" fillId="6" borderId="13" xfId="0" applyFill="1" applyBorder="1"/>
    <xf numFmtId="0" fontId="0" fillId="6" borderId="20" xfId="0" applyFill="1" applyBorder="1"/>
    <xf numFmtId="0" fontId="0" fillId="12" borderId="12" xfId="0" applyFill="1" applyBorder="1"/>
    <xf numFmtId="0" fontId="0" fillId="12" borderId="13" xfId="0" applyFill="1" applyBorder="1"/>
    <xf numFmtId="0" fontId="0" fillId="7" borderId="12" xfId="0" applyFill="1" applyBorder="1"/>
    <xf numFmtId="0" fontId="0" fillId="7" borderId="13" xfId="0" applyFill="1" applyBorder="1"/>
    <xf numFmtId="0" fontId="0" fillId="7" borderId="20" xfId="0" applyFill="1" applyBorder="1"/>
    <xf numFmtId="4" fontId="0" fillId="6" borderId="20" xfId="0" applyNumberFormat="1" applyFill="1" applyBorder="1"/>
    <xf numFmtId="0" fontId="0" fillId="15" borderId="12" xfId="0" applyFill="1" applyBorder="1"/>
    <xf numFmtId="0" fontId="0" fillId="15" borderId="13" xfId="0" applyFill="1" applyBorder="1"/>
    <xf numFmtId="0" fontId="0" fillId="15" borderId="20" xfId="0" applyFill="1" applyBorder="1"/>
    <xf numFmtId="0" fontId="0" fillId="12" borderId="20" xfId="0" applyFill="1" applyBorder="1"/>
    <xf numFmtId="4" fontId="1" fillId="15" borderId="20" xfId="0" applyNumberFormat="1" applyFont="1" applyFill="1" applyBorder="1"/>
    <xf numFmtId="0" fontId="0" fillId="0" borderId="11" xfId="0" applyBorder="1"/>
    <xf numFmtId="4" fontId="6" fillId="0" borderId="8" xfId="0" applyNumberFormat="1" applyFont="1" applyFill="1" applyBorder="1"/>
    <xf numFmtId="0" fontId="0" fillId="6" borderId="15" xfId="0" applyFill="1" applyBorder="1"/>
    <xf numFmtId="0" fontId="0" fillId="6" borderId="16" xfId="0" applyFill="1" applyBorder="1"/>
    <xf numFmtId="0" fontId="0" fillId="6" borderId="21" xfId="0" applyFill="1" applyBorder="1"/>
    <xf numFmtId="0" fontId="1" fillId="0" borderId="32" xfId="0" applyFont="1" applyFill="1" applyBorder="1"/>
    <xf numFmtId="0" fontId="0" fillId="12" borderId="6" xfId="0" applyFill="1" applyBorder="1"/>
    <xf numFmtId="0" fontId="0" fillId="12" borderId="7" xfId="0" applyFill="1" applyBorder="1"/>
    <xf numFmtId="0" fontId="1" fillId="12" borderId="7" xfId="0" applyFont="1" applyFill="1" applyBorder="1"/>
    <xf numFmtId="4" fontId="6" fillId="12" borderId="8" xfId="0" applyNumberFormat="1" applyFont="1" applyFill="1" applyBorder="1"/>
    <xf numFmtId="0" fontId="2" fillId="0" borderId="0" xfId="0" applyFont="1" applyFill="1" applyBorder="1" applyAlignment="1">
      <alignment vertical="center" wrapText="1"/>
    </xf>
    <xf numFmtId="4" fontId="0" fillId="0" borderId="0" xfId="0" applyNumberFormat="1" applyFill="1" applyAlignment="1"/>
    <xf numFmtId="4" fontId="0" fillId="0" borderId="0" xfId="0" applyNumberFormat="1" applyFill="1" applyBorder="1" applyAlignment="1"/>
    <xf numFmtId="10" fontId="0" fillId="0" borderId="0" xfId="3" applyNumberFormat="1" applyFont="1" applyFill="1" applyBorder="1" applyAlignment="1">
      <alignment horizontal="right"/>
    </xf>
    <xf numFmtId="2" fontId="21" fillId="6" borderId="51" xfId="0" applyNumberFormat="1" applyFont="1" applyFill="1" applyBorder="1" applyAlignment="1">
      <alignment horizontal="center"/>
    </xf>
    <xf numFmtId="2" fontId="21" fillId="8" borderId="51" xfId="0" applyNumberFormat="1" applyFont="1" applyFill="1" applyBorder="1" applyAlignment="1">
      <alignment horizontal="center"/>
    </xf>
    <xf numFmtId="0" fontId="0" fillId="7" borderId="1" xfId="0" applyFill="1" applyBorder="1"/>
    <xf numFmtId="0" fontId="0" fillId="7" borderId="2" xfId="0" applyFill="1" applyBorder="1"/>
    <xf numFmtId="0" fontId="0" fillId="7" borderId="3" xfId="0" applyFill="1" applyBorder="1"/>
    <xf numFmtId="0" fontId="35" fillId="6" borderId="16" xfId="0" applyFont="1" applyFill="1" applyBorder="1" applyAlignment="1"/>
    <xf numFmtId="0" fontId="35" fillId="6" borderId="21" xfId="0" applyFont="1" applyFill="1" applyBorder="1" applyAlignment="1"/>
    <xf numFmtId="0" fontId="79" fillId="8" borderId="6" xfId="0" applyFont="1" applyFill="1" applyBorder="1"/>
    <xf numFmtId="0" fontId="79" fillId="8" borderId="7" xfId="0" applyFont="1" applyFill="1" applyBorder="1"/>
    <xf numFmtId="0" fontId="79" fillId="8" borderId="7" xfId="0" applyFont="1" applyFill="1" applyBorder="1" applyAlignment="1"/>
    <xf numFmtId="4" fontId="6" fillId="12" borderId="40" xfId="0" applyNumberFormat="1" applyFont="1" applyFill="1" applyBorder="1"/>
    <xf numFmtId="0" fontId="79" fillId="8" borderId="38" xfId="0" applyFont="1" applyFill="1" applyBorder="1" applyAlignment="1"/>
    <xf numFmtId="0" fontId="0" fillId="12" borderId="38" xfId="0" applyFill="1" applyBorder="1"/>
    <xf numFmtId="2" fontId="12" fillId="0" borderId="14" xfId="0" applyNumberFormat="1" applyFont="1" applyFill="1" applyBorder="1" applyAlignment="1">
      <alignment horizontal="center" vertical="center" wrapText="1"/>
    </xf>
    <xf numFmtId="164" fontId="8" fillId="5" borderId="14" xfId="0" applyNumberFormat="1" applyFont="1" applyFill="1" applyBorder="1" applyAlignment="1">
      <alignment horizontal="center" wrapText="1"/>
    </xf>
    <xf numFmtId="4" fontId="6" fillId="12" borderId="55" xfId="0" applyNumberFormat="1" applyFont="1" applyFill="1" applyBorder="1"/>
    <xf numFmtId="0" fontId="80" fillId="0" borderId="13" xfId="0" applyFont="1" applyBorder="1"/>
    <xf numFmtId="0" fontId="80" fillId="5" borderId="13" xfId="0" applyFont="1" applyFill="1" applyBorder="1"/>
    <xf numFmtId="0" fontId="80" fillId="7" borderId="2" xfId="0" applyFont="1" applyFill="1" applyBorder="1"/>
    <xf numFmtId="4" fontId="0" fillId="7" borderId="3" xfId="0" applyNumberFormat="1" applyFill="1" applyBorder="1"/>
    <xf numFmtId="4" fontId="0" fillId="5" borderId="20" xfId="0" applyNumberFormat="1" applyFill="1" applyBorder="1"/>
    <xf numFmtId="0" fontId="4" fillId="6" borderId="12" xfId="0" applyFont="1" applyFill="1" applyBorder="1"/>
    <xf numFmtId="0" fontId="4" fillId="5" borderId="12" xfId="0" applyFont="1" applyFill="1" applyBorder="1"/>
    <xf numFmtId="0" fontId="4" fillId="6" borderId="15" xfId="0" applyFont="1" applyFill="1" applyBorder="1"/>
    <xf numFmtId="0" fontId="4" fillId="8" borderId="6" xfId="0" applyFont="1" applyFill="1" applyBorder="1"/>
    <xf numFmtId="0" fontId="0" fillId="8" borderId="7" xfId="0" applyFill="1" applyBorder="1"/>
    <xf numFmtId="4" fontId="6" fillId="8" borderId="8" xfId="0" applyNumberFormat="1" applyFont="1" applyFill="1" applyBorder="1"/>
    <xf numFmtId="0" fontId="4" fillId="0" borderId="0" xfId="0" applyFont="1" applyFill="1" applyBorder="1" applyAlignment="1">
      <alignment vertical="center" wrapText="1"/>
    </xf>
    <xf numFmtId="0" fontId="4" fillId="0" borderId="0" xfId="0" applyFont="1" applyFill="1" applyBorder="1" applyAlignment="1">
      <alignment wrapText="1"/>
    </xf>
    <xf numFmtId="0" fontId="6" fillId="0" borderId="0" xfId="0" applyFont="1" applyFill="1" applyBorder="1" applyAlignment="1">
      <alignment horizontal="right"/>
    </xf>
    <xf numFmtId="0" fontId="4" fillId="0" borderId="0" xfId="0" quotePrefix="1"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Font="1" applyFill="1" applyBorder="1" applyAlignment="1">
      <alignment horizontal="center"/>
    </xf>
    <xf numFmtId="2" fontId="21" fillId="0" borderId="0" xfId="0" applyNumberFormat="1" applyFont="1" applyFill="1" applyBorder="1" applyAlignment="1">
      <alignment horizontal="center"/>
    </xf>
    <xf numFmtId="0" fontId="6" fillId="6" borderId="6" xfId="0" applyFont="1" applyFill="1" applyBorder="1" applyAlignment="1">
      <alignment horizontal="right"/>
    </xf>
    <xf numFmtId="0" fontId="4" fillId="6" borderId="7" xfId="0" quotePrefix="1" applyNumberFormat="1" applyFont="1" applyFill="1" applyBorder="1" applyAlignment="1">
      <alignment horizontal="center"/>
    </xf>
    <xf numFmtId="0" fontId="4" fillId="6" borderId="7" xfId="0" applyNumberFormat="1" applyFont="1" applyFill="1" applyBorder="1" applyAlignment="1">
      <alignment horizontal="center"/>
    </xf>
    <xf numFmtId="0" fontId="4" fillId="6" borderId="7" xfId="0" applyFont="1" applyFill="1" applyBorder="1" applyAlignment="1">
      <alignment horizontal="center"/>
    </xf>
    <xf numFmtId="0" fontId="4" fillId="0" borderId="0" xfId="0" applyFont="1" applyFill="1" applyBorder="1"/>
    <xf numFmtId="2" fontId="12" fillId="0" borderId="14" xfId="0" applyNumberFormat="1" applyFont="1" applyFill="1" applyBorder="1" applyAlignment="1">
      <alignment horizontal="center"/>
    </xf>
    <xf numFmtId="2" fontId="21" fillId="6" borderId="38" xfId="0" applyNumberFormat="1" applyFont="1" applyFill="1" applyBorder="1" applyAlignment="1">
      <alignment horizontal="center"/>
    </xf>
    <xf numFmtId="2" fontId="0" fillId="0" borderId="20" xfId="0" applyNumberFormat="1" applyBorder="1"/>
    <xf numFmtId="4" fontId="6" fillId="0" borderId="8" xfId="0" applyNumberFormat="1" applyFont="1" applyBorder="1"/>
    <xf numFmtId="0" fontId="0" fillId="6" borderId="6" xfId="0" applyFill="1" applyBorder="1"/>
    <xf numFmtId="0" fontId="0" fillId="6" borderId="7" xfId="0" applyFill="1" applyBorder="1"/>
    <xf numFmtId="4" fontId="6" fillId="6" borderId="8" xfId="0" applyNumberFormat="1" applyFont="1" applyFill="1" applyBorder="1"/>
    <xf numFmtId="0" fontId="4" fillId="7" borderId="1" xfId="0" applyFont="1" applyFill="1" applyBorder="1"/>
    <xf numFmtId="0" fontId="6" fillId="6" borderId="4" xfId="0" applyFont="1" applyFill="1" applyBorder="1" applyAlignment="1">
      <alignment horizontal="right"/>
    </xf>
    <xf numFmtId="2" fontId="12" fillId="0" borderId="14"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0" xfId="0" applyFont="1" applyFill="1" applyBorder="1" applyAlignment="1">
      <alignment horizontal="right" vertical="center"/>
    </xf>
    <xf numFmtId="2" fontId="8" fillId="0" borderId="0" xfId="0" applyNumberFormat="1" applyFont="1" applyFill="1" applyBorder="1" applyAlignment="1">
      <alignment horizontal="center"/>
    </xf>
    <xf numFmtId="0" fontId="34" fillId="0" borderId="0" xfId="0" applyFont="1" applyFill="1" applyBorder="1" applyAlignment="1">
      <alignment horizontal="center" vertical="top" wrapText="1"/>
    </xf>
    <xf numFmtId="0" fontId="68" fillId="0" borderId="0" xfId="0" applyFont="1" applyBorder="1" applyAlignment="1"/>
    <xf numFmtId="0" fontId="6" fillId="7" borderId="34" xfId="0" applyFont="1" applyFill="1" applyBorder="1" applyAlignment="1">
      <alignment vertical="center"/>
    </xf>
    <xf numFmtId="0" fontId="6" fillId="7" borderId="35" xfId="0" applyFont="1" applyFill="1" applyBorder="1" applyAlignment="1">
      <alignment vertical="center"/>
    </xf>
    <xf numFmtId="16" fontId="9" fillId="5" borderId="23" xfId="0" quotePrefix="1" applyNumberFormat="1" applyFont="1" applyFill="1" applyBorder="1" applyAlignment="1"/>
    <xf numFmtId="16" fontId="9" fillId="5" borderId="24" xfId="0" quotePrefix="1" applyNumberFormat="1" applyFont="1" applyFill="1" applyBorder="1" applyAlignment="1"/>
    <xf numFmtId="0" fontId="0" fillId="0" borderId="0" xfId="0" applyAlignment="1"/>
    <xf numFmtId="0" fontId="12" fillId="2" borderId="38" xfId="0" applyFont="1" applyFill="1" applyBorder="1" applyAlignment="1">
      <alignment horizontal="center" vertical="center" wrapText="1"/>
    </xf>
    <xf numFmtId="2" fontId="20" fillId="6" borderId="14" xfId="0" applyNumberFormat="1" applyFont="1" applyFill="1" applyBorder="1" applyAlignment="1">
      <alignment horizontal="center"/>
    </xf>
    <xf numFmtId="0" fontId="7" fillId="4" borderId="13" xfId="0" applyFont="1" applyFill="1" applyBorder="1" applyAlignment="1">
      <alignment vertical="center" wrapText="1"/>
    </xf>
    <xf numFmtId="16" fontId="9" fillId="5" borderId="13" xfId="0" quotePrefix="1" applyNumberFormat="1" applyFont="1" applyFill="1" applyBorder="1" applyAlignment="1"/>
    <xf numFmtId="0" fontId="6" fillId="7" borderId="20" xfId="0" applyFont="1" applyFill="1" applyBorder="1" applyAlignment="1">
      <alignment vertical="center"/>
    </xf>
    <xf numFmtId="0" fontId="7" fillId="4" borderId="12" xfId="0" applyFont="1" applyFill="1" applyBorder="1" applyAlignment="1">
      <alignment vertical="center" wrapText="1"/>
    </xf>
    <xf numFmtId="0" fontId="7" fillId="4" borderId="20" xfId="0" applyFont="1" applyFill="1" applyBorder="1" applyAlignment="1">
      <alignment vertical="center" wrapText="1"/>
    </xf>
    <xf numFmtId="16" fontId="9" fillId="5" borderId="12" xfId="0" quotePrefix="1" applyNumberFormat="1" applyFont="1" applyFill="1" applyBorder="1" applyAlignment="1"/>
    <xf numFmtId="16" fontId="9" fillId="5" borderId="20" xfId="0" quotePrefix="1" applyNumberFormat="1" applyFont="1" applyFill="1" applyBorder="1" applyAlignment="1"/>
    <xf numFmtId="4" fontId="0" fillId="6" borderId="13" xfId="0" applyNumberFormat="1" applyFill="1" applyBorder="1"/>
    <xf numFmtId="0" fontId="23" fillId="6" borderId="20" xfId="0" applyFont="1" applyFill="1" applyBorder="1"/>
    <xf numFmtId="0" fontId="0" fillId="8" borderId="6" xfId="0" applyFill="1" applyBorder="1"/>
    <xf numFmtId="0" fontId="0" fillId="8" borderId="38" xfId="0" applyFill="1" applyBorder="1"/>
    <xf numFmtId="4" fontId="6" fillId="8" borderId="40" xfId="0" applyNumberFormat="1" applyFont="1" applyFill="1" applyBorder="1"/>
    <xf numFmtId="0" fontId="2" fillId="0" borderId="0" xfId="0" applyFont="1" applyFill="1" applyBorder="1" applyAlignment="1">
      <alignment horizontal="right" vertical="center" wrapText="1"/>
    </xf>
    <xf numFmtId="0" fontId="6" fillId="0" borderId="0" xfId="0" applyFont="1" applyAlignment="1">
      <alignment horizontal="right"/>
    </xf>
    <xf numFmtId="0" fontId="6" fillId="0" borderId="0" xfId="0" applyFont="1" applyBorder="1" applyAlignment="1">
      <alignment horizontal="right"/>
    </xf>
    <xf numFmtId="4" fontId="6" fillId="11" borderId="14" xfId="0" applyNumberFormat="1" applyFont="1" applyFill="1" applyBorder="1" applyAlignment="1">
      <alignment horizontal="center" vertical="center" wrapText="1"/>
    </xf>
    <xf numFmtId="4" fontId="12" fillId="10" borderId="14" xfId="0" applyNumberFormat="1" applyFont="1" applyFill="1" applyBorder="1" applyAlignment="1">
      <alignment horizontal="center"/>
    </xf>
    <xf numFmtId="3" fontId="12" fillId="10" borderId="14" xfId="0" applyNumberFormat="1" applyFont="1" applyFill="1" applyBorder="1" applyAlignment="1">
      <alignment horizontal="center" vertical="center"/>
    </xf>
    <xf numFmtId="3" fontId="21" fillId="11" borderId="14" xfId="0" applyNumberFormat="1" applyFont="1" applyFill="1" applyBorder="1" applyAlignment="1">
      <alignment horizontal="center" vertical="center" wrapText="1"/>
    </xf>
    <xf numFmtId="3" fontId="21" fillId="10" borderId="14" xfId="0" applyNumberFormat="1" applyFont="1" applyFill="1" applyBorder="1" applyAlignment="1">
      <alignment horizontal="center"/>
    </xf>
    <xf numFmtId="3" fontId="12" fillId="10" borderId="24" xfId="0" applyNumberFormat="1" applyFont="1" applyFill="1" applyBorder="1" applyAlignment="1">
      <alignment horizontal="center"/>
    </xf>
    <xf numFmtId="3" fontId="2" fillId="11" borderId="38" xfId="0" applyNumberFormat="1" applyFont="1" applyFill="1" applyBorder="1" applyAlignment="1">
      <alignment horizontal="center" vertical="center"/>
    </xf>
    <xf numFmtId="0" fontId="0" fillId="7" borderId="43" xfId="0" applyFill="1" applyBorder="1"/>
    <xf numFmtId="0" fontId="0" fillId="11" borderId="43" xfId="0" applyFill="1" applyBorder="1"/>
    <xf numFmtId="0" fontId="0" fillId="10" borderId="43" xfId="0" applyFill="1" applyBorder="1"/>
    <xf numFmtId="0" fontId="22" fillId="0" borderId="0" xfId="0" applyFont="1" applyFill="1" applyAlignment="1">
      <alignment vertical="top" wrapText="1"/>
    </xf>
    <xf numFmtId="4" fontId="12" fillId="5" borderId="14" xfId="0" applyNumberFormat="1" applyFont="1" applyFill="1" applyBorder="1" applyAlignment="1">
      <alignment horizontal="center"/>
    </xf>
    <xf numFmtId="4" fontId="8" fillId="0" borderId="17" xfId="0" applyNumberFormat="1" applyFont="1" applyBorder="1" applyAlignment="1">
      <alignment horizontal="center" vertical="center"/>
    </xf>
    <xf numFmtId="0" fontId="16" fillId="0" borderId="52" xfId="0" applyFont="1" applyFill="1" applyBorder="1" applyAlignment="1">
      <alignment horizontal="center"/>
    </xf>
    <xf numFmtId="4" fontId="12" fillId="0" borderId="43" xfId="0" applyNumberFormat="1" applyFont="1" applyFill="1" applyBorder="1" applyAlignment="1">
      <alignment horizontal="center"/>
    </xf>
    <xf numFmtId="0" fontId="2" fillId="15" borderId="6" xfId="0" applyFont="1" applyFill="1" applyBorder="1" applyAlignment="1">
      <alignment horizontal="center" vertical="center"/>
    </xf>
    <xf numFmtId="166" fontId="2" fillId="15" borderId="7" xfId="0" applyNumberFormat="1" applyFont="1" applyFill="1" applyBorder="1" applyAlignment="1">
      <alignment horizontal="center" vertical="center"/>
    </xf>
    <xf numFmtId="4" fontId="22" fillId="15" borderId="7" xfId="0" applyNumberFormat="1" applyFont="1" applyFill="1" applyBorder="1" applyAlignment="1">
      <alignment horizontal="center" vertical="center"/>
    </xf>
    <xf numFmtId="4" fontId="2" fillId="15" borderId="8" xfId="0" applyNumberFormat="1" applyFont="1" applyFill="1" applyBorder="1" applyAlignment="1">
      <alignment horizontal="center" vertical="center"/>
    </xf>
    <xf numFmtId="4" fontId="2" fillId="15" borderId="18" xfId="0" applyNumberFormat="1" applyFont="1" applyFill="1" applyBorder="1" applyAlignment="1">
      <alignment horizontal="center" vertical="center"/>
    </xf>
    <xf numFmtId="4" fontId="2" fillId="15" borderId="38" xfId="0" applyNumberFormat="1" applyFont="1" applyFill="1" applyBorder="1" applyAlignment="1">
      <alignment horizontal="center" vertical="center"/>
    </xf>
    <xf numFmtId="0" fontId="17" fillId="0" borderId="53" xfId="0" applyFont="1" applyFill="1" applyBorder="1" applyAlignment="1">
      <alignment horizontal="center" vertical="center"/>
    </xf>
    <xf numFmtId="0" fontId="12" fillId="5" borderId="43" xfId="0" applyFont="1" applyFill="1" applyBorder="1" applyAlignment="1">
      <alignment horizontal="center"/>
    </xf>
    <xf numFmtId="0" fontId="4" fillId="5" borderId="43" xfId="0" applyFont="1" applyFill="1" applyBorder="1" applyAlignment="1">
      <alignment horizontal="center" vertical="center" wrapText="1"/>
    </xf>
    <xf numFmtId="0" fontId="21" fillId="0" borderId="0" xfId="0" applyFont="1" applyFill="1" applyBorder="1" applyAlignment="1">
      <alignment horizontal="right"/>
    </xf>
    <xf numFmtId="0" fontId="4" fillId="20" borderId="43" xfId="0" applyFont="1" applyFill="1" applyBorder="1" applyAlignment="1">
      <alignment horizontal="center" vertical="center" wrapText="1"/>
    </xf>
    <xf numFmtId="10" fontId="22" fillId="0" borderId="0" xfId="3" applyNumberFormat="1" applyFont="1" applyFill="1"/>
    <xf numFmtId="4" fontId="2" fillId="0" borderId="0" xfId="0" applyNumberFormat="1" applyFont="1" applyFill="1"/>
    <xf numFmtId="0" fontId="2" fillId="0" borderId="0" xfId="0" applyFont="1" applyFill="1"/>
    <xf numFmtId="0" fontId="0" fillId="14" borderId="12" xfId="0" applyFill="1" applyBorder="1"/>
    <xf numFmtId="0" fontId="0" fillId="14" borderId="13" xfId="0" applyFill="1" applyBorder="1"/>
    <xf numFmtId="0" fontId="1" fillId="14" borderId="20" xfId="0" applyFont="1" applyFill="1" applyBorder="1"/>
    <xf numFmtId="0" fontId="0" fillId="14" borderId="20" xfId="0" applyFill="1" applyBorder="1"/>
    <xf numFmtId="0" fontId="0" fillId="14" borderId="15" xfId="0" applyFill="1" applyBorder="1"/>
    <xf numFmtId="0" fontId="0" fillId="14" borderId="16" xfId="0" applyFill="1" applyBorder="1"/>
    <xf numFmtId="0" fontId="0" fillId="14" borderId="21" xfId="0" applyFill="1" applyBorder="1"/>
    <xf numFmtId="0" fontId="0" fillId="10" borderId="6" xfId="0" applyFill="1" applyBorder="1"/>
    <xf numFmtId="0" fontId="0" fillId="10" borderId="7" xfId="0" applyFill="1" applyBorder="1"/>
    <xf numFmtId="4" fontId="6" fillId="10" borderId="8" xfId="0" applyNumberFormat="1" applyFont="1" applyFill="1" applyBorder="1"/>
    <xf numFmtId="0" fontId="0" fillId="5" borderId="0" xfId="0" applyFill="1"/>
    <xf numFmtId="4" fontId="83" fillId="20" borderId="20" xfId="0" applyNumberFormat="1" applyFont="1" applyFill="1" applyBorder="1"/>
    <xf numFmtId="4" fontId="1" fillId="20" borderId="21" xfId="0" applyNumberFormat="1" applyFont="1" applyFill="1" applyBorder="1"/>
    <xf numFmtId="0" fontId="12" fillId="0" borderId="12" xfId="0" applyFont="1" applyFill="1" applyBorder="1"/>
    <xf numFmtId="3" fontId="2" fillId="15" borderId="40" xfId="0" applyNumberFormat="1" applyFont="1" applyFill="1" applyBorder="1" applyAlignment="1">
      <alignment horizontal="center" vertical="center"/>
    </xf>
    <xf numFmtId="0" fontId="21" fillId="23" borderId="1" xfId="0" applyFont="1" applyFill="1" applyBorder="1" applyAlignment="1">
      <alignment horizontal="center" vertical="center" wrapText="1"/>
    </xf>
    <xf numFmtId="0" fontId="12" fillId="23" borderId="2" xfId="0" applyFont="1" applyFill="1" applyBorder="1" applyAlignment="1">
      <alignment horizontal="center" vertical="center" wrapText="1"/>
    </xf>
    <xf numFmtId="4" fontId="4" fillId="0" borderId="43" xfId="0" applyNumberFormat="1" applyFont="1" applyFill="1" applyBorder="1"/>
    <xf numFmtId="3" fontId="32" fillId="19" borderId="13" xfId="0" applyNumberFormat="1" applyFont="1" applyFill="1" applyBorder="1" applyAlignment="1">
      <alignment horizontal="right" vertical="center" wrapText="1"/>
    </xf>
    <xf numFmtId="0" fontId="43" fillId="0" borderId="0" xfId="0" quotePrefix="1" applyFont="1"/>
    <xf numFmtId="0" fontId="11" fillId="0" borderId="12" xfId="0" applyFont="1" applyFill="1" applyBorder="1" applyAlignment="1">
      <alignment horizontal="left"/>
    </xf>
    <xf numFmtId="0" fontId="93" fillId="0" borderId="0" xfId="4" applyFont="1" applyAlignment="1">
      <alignment horizontal="right"/>
    </xf>
    <xf numFmtId="0" fontId="16" fillId="0" borderId="0" xfId="4" applyFont="1" applyAlignment="1">
      <alignment horizontal="center"/>
    </xf>
    <xf numFmtId="0" fontId="7" fillId="4" borderId="31" xfId="0" applyFont="1" applyFill="1" applyBorder="1" applyAlignment="1">
      <alignment horizontal="center" vertical="center" wrapText="1"/>
    </xf>
    <xf numFmtId="0" fontId="4" fillId="4" borderId="11" xfId="4" applyFont="1" applyFill="1" applyBorder="1" applyAlignment="1">
      <alignment horizontal="center" vertical="center" wrapText="1"/>
    </xf>
    <xf numFmtId="0" fontId="6" fillId="24" borderId="12" xfId="4" applyFont="1" applyFill="1" applyBorder="1" applyAlignment="1">
      <alignment horizontal="center" wrapText="1"/>
    </xf>
    <xf numFmtId="0" fontId="6" fillId="24" borderId="11" xfId="4" applyFont="1" applyFill="1" applyBorder="1" applyAlignment="1">
      <alignment horizontal="center" vertical="center" wrapText="1"/>
    </xf>
    <xf numFmtId="2" fontId="6" fillId="24" borderId="13" xfId="4" applyNumberFormat="1" applyFont="1" applyFill="1" applyBorder="1" applyAlignment="1">
      <alignment horizontal="center" vertical="center" wrapText="1"/>
    </xf>
    <xf numFmtId="0" fontId="4" fillId="5" borderId="12" xfId="4" applyFont="1" applyFill="1" applyBorder="1" applyAlignment="1">
      <alignment horizontal="left" vertical="center" wrapText="1"/>
    </xf>
    <xf numFmtId="16" fontId="4" fillId="5" borderId="13" xfId="4" quotePrefix="1" applyNumberFormat="1" applyFont="1" applyFill="1" applyBorder="1" applyAlignment="1">
      <alignment horizontal="center"/>
    </xf>
    <xf numFmtId="2" fontId="12" fillId="5" borderId="13" xfId="4" applyNumberFormat="1" applyFont="1" applyFill="1" applyBorder="1" applyAlignment="1">
      <alignment horizontal="center"/>
    </xf>
    <xf numFmtId="0" fontId="4" fillId="0" borderId="12" xfId="4" applyFont="1" applyBorder="1" applyAlignment="1">
      <alignment horizontal="left"/>
    </xf>
    <xf numFmtId="0" fontId="12" fillId="0" borderId="13" xfId="0" applyFont="1" applyBorder="1" applyAlignment="1">
      <alignment horizontal="center"/>
    </xf>
    <xf numFmtId="0" fontId="4" fillId="0" borderId="13" xfId="4" applyFont="1" applyBorder="1" applyAlignment="1">
      <alignment horizontal="center"/>
    </xf>
    <xf numFmtId="0" fontId="5" fillId="0" borderId="20" xfId="4" applyFont="1" applyBorder="1" applyAlignment="1">
      <alignment horizontal="center"/>
    </xf>
    <xf numFmtId="0" fontId="4" fillId="0" borderId="12" xfId="4" applyFont="1" applyBorder="1"/>
    <xf numFmtId="0" fontId="4" fillId="0" borderId="13" xfId="4" quotePrefix="1" applyFont="1" applyBorder="1" applyAlignment="1">
      <alignment horizontal="center"/>
    </xf>
    <xf numFmtId="0" fontId="12" fillId="0" borderId="12" xfId="4" applyFont="1" applyBorder="1"/>
    <xf numFmtId="0" fontId="22" fillId="0" borderId="15" xfId="4" applyFont="1" applyBorder="1" applyAlignment="1">
      <alignment horizontal="center" vertical="center"/>
    </xf>
    <xf numFmtId="4" fontId="22" fillId="0" borderId="16" xfId="4" applyNumberFormat="1" applyFont="1" applyBorder="1" applyAlignment="1">
      <alignment horizontal="center"/>
    </xf>
    <xf numFmtId="0" fontId="5" fillId="0" borderId="21" xfId="4" applyFont="1" applyBorder="1" applyAlignment="1">
      <alignment horizontal="center"/>
    </xf>
    <xf numFmtId="16" fontId="4" fillId="0" borderId="13" xfId="4" quotePrefix="1" applyNumberFormat="1" applyFont="1" applyBorder="1" applyAlignment="1">
      <alignment horizontal="center"/>
    </xf>
    <xf numFmtId="2" fontId="4" fillId="0" borderId="33" xfId="4" applyNumberFormat="1" applyFont="1" applyBorder="1" applyAlignment="1">
      <alignment horizontal="center"/>
    </xf>
    <xf numFmtId="2" fontId="4" fillId="0" borderId="13" xfId="4" applyNumberFormat="1" applyFont="1" applyBorder="1" applyAlignment="1">
      <alignment horizontal="center"/>
    </xf>
    <xf numFmtId="0" fontId="83" fillId="0" borderId="0" xfId="0" applyFont="1"/>
    <xf numFmtId="0" fontId="4" fillId="4" borderId="50" xfId="4" applyFont="1" applyFill="1" applyBorder="1" applyAlignment="1">
      <alignment horizontal="center" vertical="center" wrapText="1"/>
    </xf>
    <xf numFmtId="2" fontId="12" fillId="5" borderId="14" xfId="4" applyNumberFormat="1" applyFont="1" applyFill="1" applyBorder="1" applyAlignment="1">
      <alignment horizontal="center"/>
    </xf>
    <xf numFmtId="2" fontId="5" fillId="0" borderId="14" xfId="4" applyNumberFormat="1" applyFont="1" applyBorder="1" applyAlignment="1">
      <alignment horizontal="center"/>
    </xf>
    <xf numFmtId="0" fontId="5" fillId="0" borderId="14" xfId="4" applyFont="1" applyBorder="1" applyAlignment="1">
      <alignment horizontal="center"/>
    </xf>
    <xf numFmtId="0" fontId="5" fillId="0" borderId="17" xfId="4" applyFont="1" applyBorder="1" applyAlignment="1">
      <alignment horizontal="center"/>
    </xf>
    <xf numFmtId="164" fontId="4" fillId="5" borderId="13" xfId="4" quotePrefix="1" applyNumberFormat="1" applyFont="1" applyFill="1" applyBorder="1" applyAlignment="1">
      <alignment horizontal="center"/>
    </xf>
    <xf numFmtId="0" fontId="0" fillId="0" borderId="16" xfId="0" applyBorder="1"/>
    <xf numFmtId="0" fontId="2" fillId="12" borderId="6" xfId="4" applyFont="1" applyFill="1" applyBorder="1" applyAlignment="1">
      <alignment horizontal="center" vertical="center"/>
    </xf>
    <xf numFmtId="2" fontId="2" fillId="12" borderId="7" xfId="4" applyNumberFormat="1" applyFont="1" applyFill="1" applyBorder="1" applyAlignment="1">
      <alignment horizontal="center" vertical="center"/>
    </xf>
    <xf numFmtId="0" fontId="22" fillId="12" borderId="7" xfId="4" applyFont="1" applyFill="1" applyBorder="1" applyAlignment="1">
      <alignment horizontal="center" vertical="center"/>
    </xf>
    <xf numFmtId="0" fontId="22" fillId="12" borderId="38" xfId="4" applyFont="1" applyFill="1" applyBorder="1" applyAlignment="1">
      <alignment horizontal="center" vertical="center"/>
    </xf>
    <xf numFmtId="165" fontId="83" fillId="12" borderId="40" xfId="0" applyNumberFormat="1" applyFont="1" applyFill="1" applyBorder="1"/>
    <xf numFmtId="0" fontId="4" fillId="0" borderId="12" xfId="0" applyFont="1" applyFill="1" applyBorder="1"/>
    <xf numFmtId="0" fontId="12" fillId="0" borderId="12" xfId="0" applyFont="1" applyFill="1" applyBorder="1" applyAlignment="1" applyProtection="1">
      <alignment vertical="center"/>
      <protection locked="0"/>
    </xf>
    <xf numFmtId="0" fontId="12" fillId="0" borderId="12" xfId="0" applyFont="1" applyFill="1" applyBorder="1" applyAlignment="1" applyProtection="1">
      <alignment vertical="center" wrapText="1"/>
      <protection locked="0"/>
    </xf>
    <xf numFmtId="0" fontId="4" fillId="0" borderId="12" xfId="0" applyFont="1" applyFill="1" applyBorder="1" applyAlignment="1">
      <alignment horizontal="left"/>
    </xf>
    <xf numFmtId="0" fontId="4" fillId="0" borderId="12" xfId="0" applyFont="1" applyFill="1" applyBorder="1" applyAlignment="1">
      <alignment horizontal="left" wrapText="1"/>
    </xf>
    <xf numFmtId="0" fontId="12" fillId="0" borderId="12" xfId="4" applyFont="1" applyFill="1" applyBorder="1" applyProtection="1">
      <protection locked="0"/>
    </xf>
    <xf numFmtId="0" fontId="12" fillId="0" borderId="12" xfId="4" applyFont="1" applyFill="1" applyBorder="1" applyAlignment="1" applyProtection="1">
      <alignment wrapText="1"/>
      <protection locked="0"/>
    </xf>
    <xf numFmtId="0" fontId="4" fillId="0" borderId="12" xfId="0" applyFont="1" applyFill="1" applyBorder="1" applyAlignment="1">
      <alignment vertical="center" wrapText="1"/>
    </xf>
    <xf numFmtId="0" fontId="4" fillId="0" borderId="15" xfId="0" applyFont="1" applyBorder="1" applyAlignment="1">
      <alignment wrapText="1"/>
    </xf>
    <xf numFmtId="1" fontId="4" fillId="0" borderId="16" xfId="0" quotePrefix="1" applyNumberFormat="1" applyFont="1" applyBorder="1" applyAlignment="1">
      <alignment horizontal="center"/>
    </xf>
    <xf numFmtId="0" fontId="4" fillId="0" borderId="16" xfId="0" applyFont="1" applyFill="1" applyBorder="1" applyAlignment="1">
      <alignment horizontal="center"/>
    </xf>
    <xf numFmtId="4" fontId="4" fillId="3" borderId="16" xfId="0" applyNumberFormat="1" applyFont="1" applyFill="1" applyBorder="1" applyAlignment="1">
      <alignment horizontal="center"/>
    </xf>
    <xf numFmtId="4" fontId="4" fillId="0" borderId="16" xfId="0" applyNumberFormat="1" applyFont="1" applyBorder="1" applyAlignment="1">
      <alignment horizontal="center"/>
    </xf>
    <xf numFmtId="4" fontId="12" fillId="0" borderId="17" xfId="0" applyNumberFormat="1" applyFont="1" applyBorder="1" applyAlignment="1">
      <alignment horizontal="center"/>
    </xf>
    <xf numFmtId="0" fontId="4" fillId="0" borderId="12" xfId="0" applyFont="1" applyBorder="1" applyAlignment="1">
      <alignment horizontal="left" vertical="center"/>
    </xf>
    <xf numFmtId="0" fontId="4" fillId="0" borderId="12" xfId="0" applyFont="1" applyFill="1" applyBorder="1" applyAlignment="1">
      <alignment horizontal="left" vertical="center"/>
    </xf>
    <xf numFmtId="0" fontId="4" fillId="0" borderId="12" xfId="0" applyFont="1" applyBorder="1" applyAlignment="1">
      <alignment horizontal="left"/>
    </xf>
    <xf numFmtId="0" fontId="11" fillId="0" borderId="28" xfId="1" applyFont="1" applyFill="1" applyBorder="1" applyAlignment="1">
      <alignment vertical="center" wrapText="1"/>
    </xf>
    <xf numFmtId="0" fontId="12" fillId="0" borderId="28" xfId="1" applyFont="1" applyFill="1" applyBorder="1" applyAlignment="1">
      <alignment vertical="center" wrapText="1"/>
    </xf>
    <xf numFmtId="2" fontId="2" fillId="11" borderId="7" xfId="0" applyNumberFormat="1" applyFont="1" applyFill="1" applyBorder="1" applyAlignment="1">
      <alignment horizontal="center" vertical="center"/>
    </xf>
    <xf numFmtId="4" fontId="83" fillId="11" borderId="40" xfId="0" applyNumberFormat="1" applyFont="1" applyFill="1" applyBorder="1"/>
    <xf numFmtId="0" fontId="83" fillId="0" borderId="0" xfId="0" applyFont="1" applyAlignment="1"/>
    <xf numFmtId="0" fontId="11" fillId="0" borderId="12" xfId="11" applyFont="1" applyBorder="1" applyAlignment="1">
      <alignment vertical="top" wrapText="1"/>
    </xf>
    <xf numFmtId="0" fontId="11" fillId="4" borderId="12" xfId="11" applyFont="1" applyFill="1" applyBorder="1" applyAlignment="1">
      <alignment horizontal="left" vertical="center"/>
    </xf>
    <xf numFmtId="0" fontId="4" fillId="0" borderId="12" xfId="0" applyFont="1" applyFill="1" applyBorder="1" applyAlignment="1">
      <alignment horizontal="left" vertical="center" wrapText="1"/>
    </xf>
    <xf numFmtId="164" fontId="4" fillId="0" borderId="13" xfId="0" quotePrefix="1" applyNumberFormat="1" applyFont="1" applyFill="1" applyBorder="1" applyAlignment="1">
      <alignment horizontal="center" vertical="center"/>
    </xf>
    <xf numFmtId="3" fontId="12" fillId="0" borderId="13" xfId="0" applyNumberFormat="1" applyFont="1" applyFill="1" applyBorder="1" applyAlignment="1">
      <alignment horizontal="center" vertical="center"/>
    </xf>
    <xf numFmtId="3" fontId="12" fillId="0" borderId="14" xfId="0" applyNumberFormat="1" applyFont="1" applyFill="1" applyBorder="1" applyAlignment="1">
      <alignment horizontal="center" vertical="center"/>
    </xf>
    <xf numFmtId="0" fontId="12" fillId="0" borderId="22" xfId="1" applyFont="1" applyFill="1" applyBorder="1" applyAlignment="1">
      <alignment vertical="center" wrapText="1"/>
    </xf>
    <xf numFmtId="0" fontId="7" fillId="26" borderId="6" xfId="0" applyFont="1" applyFill="1" applyBorder="1" applyAlignment="1">
      <alignment horizontal="center" vertical="center"/>
    </xf>
    <xf numFmtId="2" fontId="21" fillId="26" borderId="7" xfId="0" applyNumberFormat="1" applyFont="1" applyFill="1" applyBorder="1" applyAlignment="1">
      <alignment horizontal="center" vertical="center"/>
    </xf>
    <xf numFmtId="0" fontId="6" fillId="26" borderId="7" xfId="0" applyFont="1" applyFill="1" applyBorder="1" applyAlignment="1">
      <alignment horizontal="center" vertical="center"/>
    </xf>
    <xf numFmtId="0" fontId="6" fillId="26" borderId="8" xfId="0" applyFont="1" applyFill="1" applyBorder="1" applyAlignment="1">
      <alignment horizontal="center" vertical="center"/>
    </xf>
    <xf numFmtId="4" fontId="12" fillId="0" borderId="0" xfId="0" applyNumberFormat="1" applyFont="1" applyBorder="1" applyAlignment="1">
      <alignment horizontal="center" vertical="center"/>
    </xf>
    <xf numFmtId="0" fontId="11" fillId="4" borderId="12" xfId="11" applyFont="1" applyFill="1" applyBorder="1" applyAlignment="1">
      <alignment horizontal="left" vertical="center" wrapText="1"/>
    </xf>
    <xf numFmtId="0" fontId="36" fillId="0" borderId="13" xfId="0" applyFont="1" applyBorder="1" applyAlignment="1">
      <alignment horizontal="center"/>
    </xf>
    <xf numFmtId="0" fontId="11" fillId="4" borderId="12" xfId="0" applyFont="1" applyFill="1" applyBorder="1" applyAlignment="1">
      <alignment horizontal="left" vertical="center" wrapText="1"/>
    </xf>
    <xf numFmtId="164" fontId="12" fillId="4" borderId="13" xfId="0" quotePrefix="1" applyNumberFormat="1" applyFont="1" applyFill="1" applyBorder="1" applyAlignment="1">
      <alignment horizontal="center" vertical="center"/>
    </xf>
    <xf numFmtId="3" fontId="12" fillId="4" borderId="13" xfId="0" applyNumberFormat="1" applyFont="1" applyFill="1" applyBorder="1" applyAlignment="1">
      <alignment horizontal="center" vertical="center"/>
    </xf>
    <xf numFmtId="3" fontId="12" fillId="4" borderId="14" xfId="0" applyNumberFormat="1" applyFont="1" applyFill="1" applyBorder="1" applyAlignment="1">
      <alignment horizontal="center" vertical="center"/>
    </xf>
    <xf numFmtId="2" fontId="12" fillId="0" borderId="59" xfId="1" applyNumberFormat="1" applyFont="1" applyBorder="1" applyAlignment="1">
      <alignment horizontal="center" vertical="center"/>
    </xf>
    <xf numFmtId="4" fontId="12" fillId="0" borderId="16" xfId="0" applyNumberFormat="1" applyFont="1" applyBorder="1" applyAlignment="1">
      <alignment horizontal="center" vertical="center"/>
    </xf>
    <xf numFmtId="4" fontId="12" fillId="0" borderId="17" xfId="0" applyNumberFormat="1" applyFont="1" applyBorder="1" applyAlignment="1">
      <alignment horizontal="center" vertical="center"/>
    </xf>
    <xf numFmtId="0" fontId="36" fillId="0" borderId="13" xfId="0" applyFont="1" applyBorder="1" applyAlignment="1">
      <alignment horizontal="center" vertical="center"/>
    </xf>
    <xf numFmtId="4" fontId="12" fillId="0" borderId="13" xfId="0" applyNumberFormat="1" applyFont="1" applyFill="1" applyBorder="1" applyAlignment="1">
      <alignment horizontal="center" vertical="center"/>
    </xf>
    <xf numFmtId="2" fontId="36" fillId="0" borderId="13" xfId="0" applyNumberFormat="1" applyFont="1" applyBorder="1" applyAlignment="1">
      <alignment horizontal="center" vertical="center"/>
    </xf>
    <xf numFmtId="2" fontId="11" fillId="0" borderId="0" xfId="1" applyNumberFormat="1" applyFont="1" applyBorder="1" applyAlignment="1">
      <alignment horizontal="center" vertical="center"/>
    </xf>
    <xf numFmtId="0" fontId="11" fillId="0" borderId="44" xfId="11" applyFont="1" applyBorder="1" applyAlignment="1">
      <alignment vertical="top" wrapText="1"/>
    </xf>
    <xf numFmtId="164" fontId="4" fillId="0" borderId="45" xfId="0" quotePrefix="1" applyNumberFormat="1" applyFont="1" applyFill="1" applyBorder="1" applyAlignment="1">
      <alignment horizontal="center" vertical="center"/>
    </xf>
    <xf numFmtId="3" fontId="12" fillId="0" borderId="45" xfId="0" applyNumberFormat="1" applyFont="1" applyFill="1" applyBorder="1" applyAlignment="1">
      <alignment horizontal="center" vertical="center"/>
    </xf>
    <xf numFmtId="3" fontId="12" fillId="0" borderId="46" xfId="0" applyNumberFormat="1" applyFont="1" applyFill="1" applyBorder="1" applyAlignment="1">
      <alignment horizontal="center" vertical="center"/>
    </xf>
    <xf numFmtId="2" fontId="11" fillId="0" borderId="13" xfId="1" applyNumberFormat="1" applyFont="1" applyBorder="1" applyAlignment="1">
      <alignment horizontal="center" vertical="center"/>
    </xf>
    <xf numFmtId="0" fontId="4" fillId="0" borderId="4" xfId="0" applyFont="1" applyBorder="1" applyAlignment="1">
      <alignment vertical="top" wrapText="1"/>
    </xf>
    <xf numFmtId="0" fontId="6" fillId="26" borderId="48" xfId="0" applyFont="1" applyFill="1" applyBorder="1" applyAlignment="1">
      <alignment horizontal="center" vertical="center"/>
    </xf>
    <xf numFmtId="16" fontId="23" fillId="4" borderId="12" xfId="0" quotePrefix="1" applyNumberFormat="1" applyFont="1" applyFill="1" applyBorder="1" applyAlignment="1">
      <alignment horizontal="left" wrapText="1"/>
    </xf>
    <xf numFmtId="4" fontId="4" fillId="0" borderId="53" xfId="0" applyNumberFormat="1" applyFont="1" applyFill="1" applyBorder="1"/>
    <xf numFmtId="4" fontId="6" fillId="26" borderId="40" xfId="0" applyNumberFormat="1" applyFont="1" applyFill="1" applyBorder="1" applyAlignment="1">
      <alignment horizontal="center"/>
    </xf>
    <xf numFmtId="4" fontId="4" fillId="0" borderId="53" xfId="0" applyNumberFormat="1" applyFont="1" applyBorder="1"/>
    <xf numFmtId="0" fontId="7" fillId="26" borderId="56" xfId="0" applyFont="1" applyFill="1" applyBorder="1" applyAlignment="1">
      <alignment horizontal="center" vertical="center"/>
    </xf>
    <xf numFmtId="2" fontId="21" fillId="26" borderId="61" xfId="0" applyNumberFormat="1" applyFont="1" applyFill="1" applyBorder="1" applyAlignment="1">
      <alignment horizontal="center" vertical="center"/>
    </xf>
    <xf numFmtId="0" fontId="6" fillId="26" borderId="61" xfId="0" applyFont="1" applyFill="1" applyBorder="1" applyAlignment="1">
      <alignment horizontal="center" vertical="center"/>
    </xf>
    <xf numFmtId="0" fontId="6" fillId="26" borderId="62" xfId="0" applyFont="1" applyFill="1" applyBorder="1" applyAlignment="1">
      <alignment horizontal="center" vertical="center"/>
    </xf>
    <xf numFmtId="4" fontId="6" fillId="26" borderId="55" xfId="0" applyNumberFormat="1" applyFont="1" applyFill="1" applyBorder="1" applyAlignment="1">
      <alignment horizontal="center"/>
    </xf>
    <xf numFmtId="0" fontId="37" fillId="25" borderId="60" xfId="0" applyFont="1" applyFill="1" applyBorder="1"/>
    <xf numFmtId="0" fontId="37" fillId="25" borderId="60" xfId="0" applyFont="1" applyFill="1" applyBorder="1" applyAlignment="1">
      <alignment horizontal="center" vertical="center"/>
    </xf>
    <xf numFmtId="165" fontId="37" fillId="25" borderId="60" xfId="0" applyNumberFormat="1" applyFont="1" applyFill="1" applyBorder="1" applyAlignment="1">
      <alignment horizontal="center" vertical="center"/>
    </xf>
    <xf numFmtId="2" fontId="37" fillId="25" borderId="60" xfId="0" applyNumberFormat="1" applyFont="1" applyFill="1" applyBorder="1" applyAlignment="1">
      <alignment horizontal="center"/>
    </xf>
    <xf numFmtId="4" fontId="37" fillId="25" borderId="60" xfId="0" applyNumberFormat="1" applyFont="1" applyFill="1" applyBorder="1" applyAlignment="1">
      <alignment horizontal="center"/>
    </xf>
    <xf numFmtId="0" fontId="0" fillId="11" borderId="12" xfId="0" applyFill="1" applyBorder="1"/>
    <xf numFmtId="0" fontId="0" fillId="11" borderId="13" xfId="0" applyFill="1" applyBorder="1"/>
    <xf numFmtId="4" fontId="83" fillId="11" borderId="20" xfId="0" applyNumberFormat="1" applyFont="1" applyFill="1" applyBorder="1"/>
    <xf numFmtId="0" fontId="11" fillId="0" borderId="12" xfId="2" applyFont="1" applyFill="1" applyBorder="1" applyAlignment="1">
      <alignment horizontal="left" vertical="center"/>
    </xf>
    <xf numFmtId="0" fontId="11" fillId="0" borderId="12" xfId="0" applyFont="1" applyFill="1" applyBorder="1" applyAlignment="1">
      <alignment vertical="center" wrapText="1"/>
    </xf>
    <xf numFmtId="0" fontId="12" fillId="0" borderId="28" xfId="1" applyFont="1" applyFill="1" applyBorder="1" applyAlignment="1">
      <alignment vertical="center"/>
    </xf>
    <xf numFmtId="0" fontId="12" fillId="0" borderId="30" xfId="1" applyFont="1" applyFill="1" applyBorder="1" applyAlignment="1">
      <alignment vertical="center" wrapText="1"/>
    </xf>
    <xf numFmtId="0" fontId="12" fillId="0" borderId="12" xfId="2" applyFont="1" applyFill="1" applyBorder="1" applyAlignment="1">
      <alignment horizontal="left"/>
    </xf>
    <xf numFmtId="4" fontId="4" fillId="0" borderId="43" xfId="0" applyNumberFormat="1" applyFont="1" applyFill="1" applyBorder="1" applyAlignment="1">
      <alignment horizontal="right" vertical="center"/>
    </xf>
    <xf numFmtId="4" fontId="83" fillId="11" borderId="43" xfId="0" applyNumberFormat="1" applyFont="1" applyFill="1" applyBorder="1"/>
    <xf numFmtId="4" fontId="83" fillId="10" borderId="43" xfId="0" applyNumberFormat="1" applyFont="1" applyFill="1" applyBorder="1"/>
    <xf numFmtId="0" fontId="4" fillId="0" borderId="12" xfId="0" applyFont="1" applyFill="1" applyBorder="1" applyAlignment="1">
      <alignment wrapText="1"/>
    </xf>
    <xf numFmtId="0" fontId="36" fillId="0" borderId="14" xfId="0" applyFont="1" applyBorder="1" applyAlignment="1">
      <alignment horizontal="center" vertical="center"/>
    </xf>
    <xf numFmtId="3" fontId="12" fillId="10" borderId="52" xfId="0" applyNumberFormat="1" applyFont="1" applyFill="1" applyBorder="1" applyAlignment="1">
      <alignment horizontal="center" vertical="center"/>
    </xf>
    <xf numFmtId="4" fontId="4" fillId="0" borderId="54" xfId="0" applyNumberFormat="1" applyFont="1" applyFill="1" applyBorder="1" applyAlignment="1">
      <alignment horizontal="right" vertical="center"/>
    </xf>
    <xf numFmtId="0" fontId="36" fillId="0" borderId="14" xfId="0" applyFont="1" applyBorder="1" applyAlignment="1">
      <alignment horizontal="center"/>
    </xf>
    <xf numFmtId="0" fontId="0" fillId="10" borderId="52" xfId="0" applyFill="1" applyBorder="1"/>
    <xf numFmtId="164" fontId="12" fillId="10" borderId="43" xfId="0" quotePrefix="1" applyNumberFormat="1" applyFont="1" applyFill="1" applyBorder="1" applyAlignment="1">
      <alignment horizontal="center" vertical="center"/>
    </xf>
    <xf numFmtId="4" fontId="4" fillId="0" borderId="54" xfId="0" applyNumberFormat="1" applyFont="1" applyBorder="1"/>
    <xf numFmtId="3" fontId="12" fillId="10" borderId="43" xfId="0" applyNumberFormat="1" applyFont="1" applyFill="1" applyBorder="1" applyAlignment="1">
      <alignment horizontal="center" vertical="center"/>
    </xf>
    <xf numFmtId="0" fontId="11" fillId="4" borderId="63" xfId="11" applyFont="1" applyFill="1" applyBorder="1" applyAlignment="1">
      <alignment horizontal="left" vertical="center"/>
    </xf>
    <xf numFmtId="4" fontId="4" fillId="0" borderId="52" xfId="0" applyNumberFormat="1" applyFont="1" applyBorder="1"/>
    <xf numFmtId="3" fontId="50" fillId="20" borderId="13" xfId="0" applyNumberFormat="1" applyFont="1" applyFill="1" applyBorder="1" applyAlignment="1">
      <alignment horizontal="center" vertical="center" wrapText="1"/>
    </xf>
    <xf numFmtId="0" fontId="4" fillId="0" borderId="4" xfId="0" applyFont="1" applyFill="1" applyBorder="1"/>
    <xf numFmtId="0" fontId="23" fillId="0" borderId="4" xfId="0" applyFont="1" applyFill="1" applyBorder="1"/>
    <xf numFmtId="0" fontId="23" fillId="0" borderId="15" xfId="0" applyFont="1" applyFill="1" applyBorder="1"/>
    <xf numFmtId="2" fontId="23" fillId="0" borderId="16" xfId="0" quotePrefix="1" applyNumberFormat="1" applyFont="1" applyBorder="1" applyAlignment="1">
      <alignment horizontal="center"/>
    </xf>
    <xf numFmtId="4" fontId="23" fillId="0" borderId="16" xfId="0" applyNumberFormat="1" applyFont="1" applyBorder="1" applyAlignment="1">
      <alignment horizontal="center"/>
    </xf>
    <xf numFmtId="4" fontId="12" fillId="0" borderId="21" xfId="0" applyNumberFormat="1" applyFont="1" applyBorder="1" applyAlignment="1">
      <alignment horizontal="center"/>
    </xf>
    <xf numFmtId="0" fontId="12" fillId="0" borderId="12" xfId="1" applyFont="1" applyBorder="1" applyAlignment="1">
      <alignment vertical="center" wrapText="1"/>
    </xf>
    <xf numFmtId="2" fontId="11" fillId="0" borderId="64" xfId="0" applyNumberFormat="1" applyFont="1" applyBorder="1" applyAlignment="1">
      <alignment horizontal="center" vertical="center"/>
    </xf>
    <xf numFmtId="4" fontId="11" fillId="0" borderId="65" xfId="1" applyNumberFormat="1" applyFont="1" applyBorder="1" applyAlignment="1">
      <alignment horizontal="center" vertical="center"/>
    </xf>
    <xf numFmtId="2" fontId="12" fillId="4" borderId="66" xfId="0" applyNumberFormat="1" applyFont="1" applyFill="1" applyBorder="1" applyAlignment="1">
      <alignment horizontal="center" wrapText="1"/>
    </xf>
    <xf numFmtId="0" fontId="12" fillId="0" borderId="13" xfId="0" applyFont="1" applyBorder="1" applyAlignment="1">
      <alignment horizontal="center" vertical="center" wrapText="1"/>
    </xf>
    <xf numFmtId="2" fontId="12" fillId="0" borderId="20" xfId="0" applyNumberFormat="1" applyFont="1" applyBorder="1" applyAlignment="1">
      <alignment horizontal="center" vertical="center" wrapText="1"/>
    </xf>
    <xf numFmtId="2" fontId="11" fillId="0" borderId="24" xfId="0" applyNumberFormat="1" applyFont="1" applyBorder="1" applyAlignment="1">
      <alignment horizontal="center" vertical="center"/>
    </xf>
    <xf numFmtId="2" fontId="11" fillId="0" borderId="33" xfId="0" applyNumberFormat="1" applyFont="1" applyBorder="1" applyAlignment="1">
      <alignment horizontal="center" vertical="center"/>
    </xf>
    <xf numFmtId="2" fontId="12" fillId="0" borderId="20" xfId="0" applyNumberFormat="1" applyFont="1" applyBorder="1" applyAlignment="1">
      <alignment horizontal="center" wrapText="1"/>
    </xf>
    <xf numFmtId="2" fontId="12" fillId="4" borderId="20" xfId="0" applyNumberFormat="1" applyFont="1" applyFill="1" applyBorder="1" applyAlignment="1">
      <alignment horizontal="center" vertical="center" wrapText="1"/>
    </xf>
    <xf numFmtId="2" fontId="11" fillId="4" borderId="33" xfId="0" applyNumberFormat="1" applyFont="1" applyFill="1" applyBorder="1" applyAlignment="1">
      <alignment horizontal="center" vertical="center"/>
    </xf>
    <xf numFmtId="4" fontId="11" fillId="4" borderId="65" xfId="1" applyNumberFormat="1" applyFont="1" applyFill="1" applyBorder="1" applyAlignment="1">
      <alignment horizontal="center" vertical="center"/>
    </xf>
    <xf numFmtId="2" fontId="11" fillId="0" borderId="20" xfId="0" applyNumberFormat="1" applyFont="1" applyBorder="1" applyAlignment="1">
      <alignment horizontal="center" vertical="center" wrapText="1"/>
    </xf>
    <xf numFmtId="0" fontId="11" fillId="4" borderId="13" xfId="0" applyFont="1" applyFill="1" applyBorder="1" applyAlignment="1">
      <alignment horizontal="center" vertical="center" wrapText="1"/>
    </xf>
    <xf numFmtId="49" fontId="11" fillId="0" borderId="13" xfId="1" applyNumberFormat="1" applyFont="1" applyBorder="1" applyAlignment="1">
      <alignment horizontal="center" wrapText="1"/>
    </xf>
    <xf numFmtId="4" fontId="12" fillId="3" borderId="14" xfId="0" applyNumberFormat="1" applyFont="1" applyFill="1" applyBorder="1" applyAlignment="1">
      <alignment horizontal="center" wrapText="1"/>
    </xf>
    <xf numFmtId="4" fontId="12" fillId="3" borderId="14" xfId="0" applyNumberFormat="1" applyFont="1" applyFill="1" applyBorder="1" applyAlignment="1">
      <alignment horizontal="center" vertical="center" wrapText="1"/>
    </xf>
    <xf numFmtId="4" fontId="11" fillId="3" borderId="13" xfId="0" applyNumberFormat="1" applyFont="1" applyFill="1" applyBorder="1" applyAlignment="1">
      <alignment horizontal="center" vertical="center" wrapText="1"/>
    </xf>
    <xf numFmtId="0" fontId="47" fillId="0" borderId="0" xfId="0" applyFont="1" applyAlignment="1">
      <alignment wrapText="1"/>
    </xf>
    <xf numFmtId="0" fontId="42" fillId="0" borderId="0" xfId="0" applyFont="1" applyAlignment="1">
      <alignment wrapText="1"/>
    </xf>
    <xf numFmtId="0" fontId="42" fillId="0" borderId="0" xfId="5" applyAlignment="1">
      <alignment wrapText="1"/>
    </xf>
    <xf numFmtId="0" fontId="20" fillId="0" borderId="0" xfId="5" applyFont="1" applyAlignment="1">
      <alignment vertical="center" wrapText="1"/>
    </xf>
    <xf numFmtId="3" fontId="42" fillId="0" borderId="0" xfId="0" applyNumberFormat="1" applyFont="1" applyAlignment="1">
      <alignment wrapText="1"/>
    </xf>
    <xf numFmtId="0" fontId="20" fillId="2" borderId="0" xfId="0" applyFont="1" applyFill="1" applyAlignment="1">
      <alignment vertical="top" wrapText="1"/>
    </xf>
    <xf numFmtId="0" fontId="49" fillId="17" borderId="0" xfId="0" applyFont="1" applyFill="1" applyAlignment="1">
      <alignment vertical="top" wrapText="1"/>
    </xf>
    <xf numFmtId="0" fontId="50" fillId="0" borderId="0" xfId="0" applyFont="1" applyAlignment="1">
      <alignment vertical="top" wrapText="1"/>
    </xf>
    <xf numFmtId="3" fontId="50" fillId="0" borderId="0" xfId="0" applyNumberFormat="1" applyFont="1" applyAlignment="1">
      <alignment vertical="top" wrapText="1"/>
    </xf>
    <xf numFmtId="0" fontId="51" fillId="0" borderId="0" xfId="0" applyFont="1" applyAlignment="1">
      <alignment horizontal="center" vertical="center" wrapText="1"/>
    </xf>
    <xf numFmtId="0" fontId="84" fillId="0" borderId="0" xfId="0" applyFont="1" applyAlignment="1">
      <alignment horizontal="center" wrapText="1"/>
    </xf>
    <xf numFmtId="3" fontId="50" fillId="0" borderId="0" xfId="0" applyNumberFormat="1" applyFont="1" applyAlignment="1">
      <alignment wrapText="1"/>
    </xf>
    <xf numFmtId="168" fontId="86" fillId="0" borderId="0" xfId="3" applyNumberFormat="1" applyFont="1" applyAlignment="1">
      <alignment vertical="center" wrapText="1"/>
    </xf>
    <xf numFmtId="0" fontId="32" fillId="0" borderId="0" xfId="0" applyFont="1" applyAlignment="1">
      <alignment wrapText="1"/>
    </xf>
    <xf numFmtId="0" fontId="52" fillId="0" borderId="0" xfId="0" applyFont="1" applyAlignment="1">
      <alignment wrapText="1"/>
    </xf>
    <xf numFmtId="0" fontId="54" fillId="0" borderId="0" xfId="0" applyFont="1" applyAlignment="1">
      <alignment wrapText="1"/>
    </xf>
    <xf numFmtId="0" fontId="11" fillId="0" borderId="0" xfId="0" applyFont="1" applyAlignment="1">
      <alignment wrapText="1"/>
    </xf>
    <xf numFmtId="0" fontId="58" fillId="0" borderId="0" xfId="0" applyFont="1" applyAlignment="1">
      <alignment wrapText="1"/>
    </xf>
    <xf numFmtId="0" fontId="59" fillId="0" borderId="0" xfId="0" applyFont="1" applyAlignment="1">
      <alignment wrapText="1"/>
    </xf>
    <xf numFmtId="3" fontId="57" fillId="0" borderId="0" xfId="0" applyNumberFormat="1" applyFont="1" applyAlignment="1">
      <alignment horizontal="right" vertical="center" wrapText="1"/>
    </xf>
    <xf numFmtId="3" fontId="11" fillId="0" borderId="0" xfId="0" applyNumberFormat="1" applyFont="1" applyAlignment="1">
      <alignment horizontal="right" vertical="center" wrapText="1"/>
    </xf>
    <xf numFmtId="3" fontId="11" fillId="0" borderId="0" xfId="0" applyNumberFormat="1" applyFont="1" applyAlignment="1">
      <alignment horizontal="center" vertical="center" wrapText="1"/>
    </xf>
    <xf numFmtId="0" fontId="60" fillId="0" borderId="0" xfId="0" applyFont="1" applyAlignment="1">
      <alignment wrapText="1"/>
    </xf>
    <xf numFmtId="0" fontId="61" fillId="0" borderId="0" xfId="0" applyFont="1" applyAlignment="1">
      <alignment wrapText="1"/>
    </xf>
    <xf numFmtId="0" fontId="62" fillId="0" borderId="0" xfId="0" applyFont="1" applyAlignment="1">
      <alignment wrapText="1"/>
    </xf>
    <xf numFmtId="0" fontId="65" fillId="0" borderId="0" xfId="0" applyFont="1" applyAlignment="1">
      <alignment wrapText="1"/>
    </xf>
    <xf numFmtId="0" fontId="63" fillId="0" borderId="0" xfId="0" applyFont="1" applyAlignment="1">
      <alignment wrapText="1"/>
    </xf>
    <xf numFmtId="0" fontId="66" fillId="0" borderId="0" xfId="0" applyFont="1" applyAlignment="1">
      <alignment wrapText="1"/>
    </xf>
    <xf numFmtId="0" fontId="15" fillId="0" borderId="0" xfId="0" applyFont="1" applyAlignment="1">
      <alignment wrapText="1"/>
    </xf>
    <xf numFmtId="0" fontId="20" fillId="0" borderId="0" xfId="0" applyFont="1" applyAlignment="1">
      <alignment wrapText="1"/>
    </xf>
    <xf numFmtId="49" fontId="49" fillId="0" borderId="0" xfId="0" applyNumberFormat="1" applyFont="1" applyAlignment="1">
      <alignment horizontal="left" vertical="top" wrapText="1"/>
    </xf>
    <xf numFmtId="0" fontId="11" fillId="0" borderId="22" xfId="1" applyFont="1" applyBorder="1" applyAlignment="1">
      <alignment vertical="center" wrapText="1"/>
    </xf>
    <xf numFmtId="2" fontId="22" fillId="0" borderId="0" xfId="0" applyNumberFormat="1" applyFont="1" applyFill="1" applyAlignment="1">
      <alignment vertical="top" wrapText="1"/>
    </xf>
    <xf numFmtId="2" fontId="0" fillId="0" borderId="0" xfId="0" applyNumberFormat="1"/>
    <xf numFmtId="0" fontId="72" fillId="0" borderId="0" xfId="0" applyFont="1"/>
    <xf numFmtId="0" fontId="69" fillId="0" borderId="0" xfId="0" applyFont="1" applyAlignment="1">
      <alignment horizontal="center" wrapText="1"/>
    </xf>
    <xf numFmtId="1" fontId="43" fillId="5" borderId="13" xfId="0" applyNumberFormat="1" applyFont="1" applyFill="1" applyBorder="1" applyAlignment="1">
      <alignment horizontal="center" vertical="center"/>
    </xf>
    <xf numFmtId="0" fontId="44" fillId="5" borderId="13" xfId="0" applyFont="1" applyFill="1" applyBorder="1" applyAlignment="1">
      <alignment vertical="center" wrapText="1"/>
    </xf>
    <xf numFmtId="1" fontId="102" fillId="0" borderId="0" xfId="0" applyNumberFormat="1" applyFont="1" applyAlignment="1">
      <alignment horizontal="center" vertical="center"/>
    </xf>
    <xf numFmtId="0" fontId="102" fillId="0" borderId="0" xfId="0" applyFont="1"/>
    <xf numFmtId="4" fontId="20" fillId="5" borderId="13" xfId="0" applyNumberFormat="1" applyFont="1" applyFill="1" applyBorder="1" applyAlignment="1">
      <alignment horizontal="center" vertical="center"/>
    </xf>
    <xf numFmtId="3" fontId="44" fillId="5" borderId="13" xfId="0" applyNumberFormat="1" applyFont="1" applyFill="1" applyBorder="1" applyAlignment="1">
      <alignment horizontal="center" vertical="center" wrapText="1"/>
    </xf>
    <xf numFmtId="4" fontId="102" fillId="0" borderId="0" xfId="0" applyNumberFormat="1" applyFont="1"/>
    <xf numFmtId="4" fontId="20" fillId="4" borderId="13" xfId="0" applyNumberFormat="1" applyFont="1" applyFill="1" applyBorder="1" applyAlignment="1">
      <alignment horizontal="center" vertical="center"/>
    </xf>
    <xf numFmtId="0" fontId="44" fillId="4" borderId="13" xfId="0" applyFont="1" applyFill="1" applyBorder="1" applyAlignment="1">
      <alignment horizontal="center" vertical="center"/>
    </xf>
    <xf numFmtId="3" fontId="44" fillId="0" borderId="13" xfId="0" applyNumberFormat="1" applyFont="1" applyBorder="1" applyAlignment="1">
      <alignment horizontal="center" vertical="center" wrapText="1"/>
    </xf>
    <xf numFmtId="3" fontId="44" fillId="4" borderId="13" xfId="0" applyNumberFormat="1" applyFont="1" applyFill="1" applyBorder="1" applyAlignment="1">
      <alignment horizontal="center" vertical="center" wrapText="1"/>
    </xf>
    <xf numFmtId="3" fontId="69" fillId="0" borderId="13" xfId="0" applyNumberFormat="1" applyFont="1" applyBorder="1" applyAlignment="1">
      <alignment horizontal="center" vertical="center" wrapText="1"/>
    </xf>
    <xf numFmtId="0" fontId="44" fillId="4" borderId="13" xfId="0" applyFont="1" applyFill="1" applyBorder="1" applyAlignment="1">
      <alignment horizontal="center" vertical="center" wrapText="1"/>
    </xf>
    <xf numFmtId="0" fontId="102" fillId="4" borderId="0" xfId="0" applyFont="1" applyFill="1"/>
    <xf numFmtId="4" fontId="44" fillId="5" borderId="13" xfId="0" applyNumberFormat="1" applyFont="1" applyFill="1" applyBorder="1" applyAlignment="1">
      <alignment horizontal="center" vertical="center"/>
    </xf>
    <xf numFmtId="0" fontId="44" fillId="5" borderId="13" xfId="0" applyFont="1" applyFill="1" applyBorder="1" applyAlignment="1">
      <alignment horizontal="center" vertical="center" wrapText="1"/>
    </xf>
    <xf numFmtId="0" fontId="103" fillId="4" borderId="0" xfId="0" applyFont="1" applyFill="1"/>
    <xf numFmtId="0" fontId="103" fillId="0" borderId="0" xfId="0" applyFont="1"/>
    <xf numFmtId="4" fontId="48" fillId="22" borderId="13" xfId="0" applyNumberFormat="1" applyFont="1" applyFill="1" applyBorder="1" applyAlignment="1">
      <alignment horizontal="center" vertical="center"/>
    </xf>
    <xf numFmtId="0" fontId="48" fillId="22" borderId="13" xfId="0" applyFont="1" applyFill="1" applyBorder="1" applyAlignment="1">
      <alignment horizontal="center" vertical="center"/>
    </xf>
    <xf numFmtId="3" fontId="48" fillId="22" borderId="13" xfId="0" applyNumberFormat="1" applyFont="1" applyFill="1" applyBorder="1" applyAlignment="1">
      <alignment horizontal="center" vertical="center"/>
    </xf>
    <xf numFmtId="3" fontId="44" fillId="4" borderId="0" xfId="0" applyNumberFormat="1" applyFont="1" applyFill="1" applyAlignment="1">
      <alignment horizontal="center" vertical="center" wrapText="1"/>
    </xf>
    <xf numFmtId="3" fontId="44" fillId="0" borderId="0" xfId="0" applyNumberFormat="1" applyFont="1" applyAlignment="1">
      <alignment horizontal="center"/>
    </xf>
    <xf numFmtId="0" fontId="44" fillId="0" borderId="0" xfId="0" applyFont="1" applyAlignment="1">
      <alignment horizontal="center"/>
    </xf>
    <xf numFmtId="14" fontId="72" fillId="0" borderId="0" xfId="0" quotePrefix="1" applyNumberFormat="1" applyFont="1" applyAlignment="1">
      <alignment wrapText="1"/>
    </xf>
    <xf numFmtId="3" fontId="48" fillId="0" borderId="0" xfId="0" applyNumberFormat="1" applyFont="1" applyAlignment="1">
      <alignment horizontal="center" vertical="center"/>
    </xf>
    <xf numFmtId="3" fontId="43" fillId="0" borderId="0" xfId="0" applyNumberFormat="1" applyFont="1" applyAlignment="1">
      <alignment horizontal="center"/>
    </xf>
    <xf numFmtId="3" fontId="79" fillId="0" borderId="0" xfId="0" applyNumberFormat="1" applyFont="1"/>
    <xf numFmtId="0" fontId="44" fillId="0" borderId="0" xfId="0" applyFont="1" applyAlignment="1">
      <alignment horizontal="left" wrapText="1" readingOrder="1"/>
    </xf>
    <xf numFmtId="4" fontId="44" fillId="0" borderId="0" xfId="0" applyNumberFormat="1" applyFont="1" applyAlignment="1">
      <alignment horizontal="center" vertical="center" wrapText="1"/>
    </xf>
    <xf numFmtId="0" fontId="44" fillId="0" borderId="0" xfId="0" applyFont="1" applyAlignment="1">
      <alignment horizontal="center" vertical="center" wrapText="1"/>
    </xf>
    <xf numFmtId="164" fontId="44" fillId="0" borderId="0" xfId="0" applyNumberFormat="1" applyFont="1" applyAlignment="1">
      <alignment horizontal="center" vertical="center" wrapText="1"/>
    </xf>
    <xf numFmtId="3" fontId="44" fillId="0" borderId="0" xfId="0" applyNumberFormat="1" applyFont="1" applyAlignment="1">
      <alignment horizontal="right" vertical="center" wrapText="1" indent="1" readingOrder="1"/>
    </xf>
    <xf numFmtId="3" fontId="44" fillId="0" borderId="0" xfId="0" applyNumberFormat="1" applyFont="1" applyAlignment="1">
      <alignment horizontal="center" vertical="center" wrapText="1" readingOrder="1"/>
    </xf>
    <xf numFmtId="0" fontId="43" fillId="0" borderId="0" xfId="0" applyFont="1" applyAlignment="1">
      <alignment horizontal="center" wrapText="1" readingOrder="1"/>
    </xf>
    <xf numFmtId="2" fontId="43" fillId="0" borderId="0" xfId="0" applyNumberFormat="1" applyFont="1" applyAlignment="1">
      <alignment horizontal="center" vertical="center" wrapText="1"/>
    </xf>
    <xf numFmtId="0" fontId="43" fillId="0" borderId="0" xfId="0" applyFont="1" applyAlignment="1">
      <alignment horizontal="center" vertical="center" wrapText="1"/>
    </xf>
    <xf numFmtId="3" fontId="43" fillId="0" borderId="0" xfId="0" applyNumberFormat="1" applyFont="1" applyAlignment="1">
      <alignment horizontal="right" vertical="center" wrapText="1" indent="1" readingOrder="1"/>
    </xf>
    <xf numFmtId="3" fontId="43" fillId="0" borderId="0" xfId="0" applyNumberFormat="1" applyFont="1" applyAlignment="1">
      <alignment horizontal="center" vertical="center" wrapText="1" readingOrder="1"/>
    </xf>
    <xf numFmtId="3" fontId="69" fillId="0" borderId="0" xfId="0" applyNumberFormat="1" applyFont="1" applyAlignment="1">
      <alignment horizontal="left" vertical="center" wrapText="1" readingOrder="1"/>
    </xf>
    <xf numFmtId="0" fontId="43" fillId="0" borderId="0" xfId="0" applyFont="1" applyAlignment="1">
      <alignment horizontal="left" wrapText="1"/>
    </xf>
    <xf numFmtId="3" fontId="43" fillId="0" borderId="0" xfId="0" applyNumberFormat="1" applyFont="1" applyAlignment="1">
      <alignment horizontal="right" vertical="center" wrapText="1" readingOrder="1"/>
    </xf>
    <xf numFmtId="0" fontId="44" fillId="0" borderId="0" xfId="0" applyFont="1" applyAlignment="1">
      <alignment horizontal="left" wrapText="1"/>
    </xf>
    <xf numFmtId="3" fontId="48" fillId="0" borderId="0" xfId="0" applyNumberFormat="1" applyFont="1" applyAlignment="1">
      <alignment horizontal="center" vertical="center" wrapText="1" readingOrder="1"/>
    </xf>
    <xf numFmtId="3" fontId="43" fillId="0" borderId="0" xfId="0" applyNumberFormat="1" applyFont="1" applyAlignment="1">
      <alignment horizontal="left" wrapText="1"/>
    </xf>
    <xf numFmtId="0" fontId="69" fillId="0" borderId="0" xfId="0" applyFont="1"/>
    <xf numFmtId="4" fontId="43" fillId="0" borderId="0" xfId="0" applyNumberFormat="1" applyFont="1" applyAlignment="1">
      <alignment horizontal="center"/>
    </xf>
    <xf numFmtId="0" fontId="40" fillId="0" borderId="0" xfId="0" applyFont="1" applyAlignment="1">
      <alignment vertical="center" wrapText="1"/>
    </xf>
    <xf numFmtId="167" fontId="43" fillId="0" borderId="0" xfId="0" applyNumberFormat="1" applyFont="1"/>
    <xf numFmtId="3" fontId="69" fillId="0" borderId="0" xfId="0" applyNumberFormat="1" applyFont="1" applyAlignment="1">
      <alignment horizontal="center" vertical="center" wrapText="1"/>
    </xf>
    <xf numFmtId="3" fontId="43" fillId="0" borderId="0" xfId="0" applyNumberFormat="1" applyFont="1" applyAlignment="1">
      <alignment horizontal="center" vertical="center" wrapText="1"/>
    </xf>
    <xf numFmtId="3" fontId="57" fillId="29" borderId="13" xfId="0" applyNumberFormat="1" applyFont="1" applyFill="1" applyBorder="1" applyAlignment="1">
      <alignment horizontal="right" vertical="center" wrapText="1"/>
    </xf>
    <xf numFmtId="3" fontId="11" fillId="29" borderId="13" xfId="0" applyNumberFormat="1" applyFont="1" applyFill="1" applyBorder="1" applyAlignment="1">
      <alignment horizontal="right" vertical="center" wrapText="1"/>
    </xf>
    <xf numFmtId="0" fontId="71" fillId="0" borderId="0" xfId="0" applyFont="1" applyAlignment="1">
      <alignment horizontal="right"/>
    </xf>
    <xf numFmtId="0" fontId="68" fillId="0" borderId="0" xfId="0" applyFont="1" applyAlignment="1">
      <alignment horizontal="right"/>
    </xf>
    <xf numFmtId="4" fontId="68" fillId="0" borderId="0" xfId="0" applyNumberFormat="1" applyFont="1" applyAlignment="1">
      <alignment horizontal="right"/>
    </xf>
    <xf numFmtId="0" fontId="69" fillId="0" borderId="0" xfId="0" applyFont="1" applyAlignment="1">
      <alignment horizontal="right"/>
    </xf>
    <xf numFmtId="10" fontId="71" fillId="0" borderId="0" xfId="3" applyNumberFormat="1" applyFont="1" applyFill="1" applyBorder="1" applyAlignment="1">
      <alignment horizontal="right"/>
    </xf>
    <xf numFmtId="4" fontId="28" fillId="0" borderId="0" xfId="0" applyNumberFormat="1" applyFont="1"/>
    <xf numFmtId="165" fontId="0" fillId="0" borderId="0" xfId="0" applyNumberFormat="1"/>
    <xf numFmtId="4" fontId="0" fillId="0" borderId="0" xfId="0" applyNumberFormat="1" applyFill="1"/>
    <xf numFmtId="3" fontId="22" fillId="0" borderId="0" xfId="0" applyNumberFormat="1" applyFont="1" applyFill="1"/>
    <xf numFmtId="0" fontId="57" fillId="0" borderId="0" xfId="0" applyFont="1" applyAlignment="1">
      <alignment wrapText="1"/>
    </xf>
    <xf numFmtId="0" fontId="39" fillId="0" borderId="13" xfId="0" applyFont="1" applyBorder="1" applyAlignment="1">
      <alignment horizontal="center" vertical="center" wrapText="1"/>
    </xf>
    <xf numFmtId="3" fontId="45" fillId="0" borderId="0" xfId="0" applyNumberFormat="1" applyFont="1" applyAlignment="1">
      <alignment horizontal="center" vertical="center" wrapText="1"/>
    </xf>
    <xf numFmtId="169" fontId="86" fillId="0" borderId="0" xfId="3" applyNumberFormat="1" applyFont="1" applyAlignment="1">
      <alignment vertical="center" wrapText="1"/>
    </xf>
    <xf numFmtId="169" fontId="42" fillId="0" borderId="0" xfId="0" applyNumberFormat="1" applyFont="1" applyAlignment="1">
      <alignment wrapText="1"/>
    </xf>
    <xf numFmtId="10" fontId="106" fillId="25" borderId="0" xfId="0" applyNumberFormat="1" applyFont="1" applyFill="1" applyAlignment="1">
      <alignment wrapText="1"/>
    </xf>
    <xf numFmtId="0" fontId="0" fillId="0" borderId="0" xfId="3" applyNumberFormat="1" applyFont="1" applyFill="1" applyBorder="1"/>
    <xf numFmtId="4" fontId="23" fillId="6" borderId="13" xfId="0" applyNumberFormat="1" applyFont="1" applyFill="1" applyBorder="1"/>
    <xf numFmtId="4" fontId="23" fillId="31" borderId="13" xfId="0" applyNumberFormat="1" applyFont="1" applyFill="1" applyBorder="1"/>
    <xf numFmtId="4" fontId="12" fillId="31" borderId="43" xfId="0" applyNumberFormat="1" applyFont="1" applyFill="1" applyBorder="1" applyAlignment="1">
      <alignment horizontal="center"/>
    </xf>
    <xf numFmtId="3" fontId="20" fillId="0" borderId="0" xfId="5" applyNumberFormat="1" applyFont="1" applyAlignment="1">
      <alignment vertical="center" wrapText="1"/>
    </xf>
    <xf numFmtId="3" fontId="11" fillId="0" borderId="0" xfId="5" applyNumberFormat="1" applyFont="1" applyAlignment="1">
      <alignment vertical="center" wrapText="1"/>
    </xf>
    <xf numFmtId="0" fontId="67" fillId="0" borderId="0" xfId="5" applyFont="1" applyAlignment="1">
      <alignment vertical="center" wrapText="1"/>
    </xf>
    <xf numFmtId="3" fontId="67" fillId="0" borderId="0" xfId="5" applyNumberFormat="1" applyFont="1" applyAlignment="1">
      <alignment vertical="center" wrapText="1"/>
    </xf>
    <xf numFmtId="0" fontId="108" fillId="0" borderId="0" xfId="0" applyFont="1" applyAlignment="1">
      <alignment wrapText="1"/>
    </xf>
    <xf numFmtId="0" fontId="109" fillId="0" borderId="0" xfId="0" applyFont="1" applyAlignment="1">
      <alignment wrapText="1"/>
    </xf>
    <xf numFmtId="3" fontId="109" fillId="0" borderId="0" xfId="0" applyNumberFormat="1" applyFont="1" applyAlignment="1">
      <alignment wrapText="1"/>
    </xf>
    <xf numFmtId="171" fontId="42" fillId="0" borderId="0" xfId="0" applyNumberFormat="1" applyFont="1" applyAlignment="1">
      <alignment wrapText="1"/>
    </xf>
    <xf numFmtId="4" fontId="45" fillId="0" borderId="0" xfId="0" applyNumberFormat="1" applyFont="1" applyAlignment="1">
      <alignment horizontal="center" vertical="center" wrapText="1"/>
    </xf>
    <xf numFmtId="3" fontId="45" fillId="0" borderId="0" xfId="0" applyNumberFormat="1" applyFont="1" applyAlignment="1">
      <alignment horizontal="right" vertical="center" wrapText="1"/>
    </xf>
    <xf numFmtId="4" fontId="45" fillId="0" borderId="13" xfId="0" applyNumberFormat="1" applyFont="1" applyBorder="1" applyAlignment="1">
      <alignment horizontal="center" vertical="center" wrapText="1"/>
    </xf>
    <xf numFmtId="3" fontId="45" fillId="0" borderId="13" xfId="0" applyNumberFormat="1" applyFont="1" applyBorder="1" applyAlignment="1">
      <alignment horizontal="center" vertical="center" wrapText="1"/>
    </xf>
    <xf numFmtId="4" fontId="46" fillId="8" borderId="13" xfId="0" applyNumberFormat="1" applyFont="1" applyFill="1" applyBorder="1" applyAlignment="1">
      <alignment horizontal="left" vertical="center" wrapText="1"/>
    </xf>
    <xf numFmtId="3" fontId="46" fillId="8" borderId="13" xfId="0" applyNumberFormat="1" applyFont="1" applyFill="1" applyBorder="1" applyAlignment="1">
      <alignment horizontal="center" vertical="center" wrapText="1"/>
    </xf>
    <xf numFmtId="4" fontId="46" fillId="8" borderId="0" xfId="0" applyNumberFormat="1" applyFont="1" applyFill="1" applyAlignment="1">
      <alignment horizontal="center" vertical="center" wrapText="1"/>
    </xf>
    <xf numFmtId="4" fontId="46" fillId="12" borderId="13" xfId="0" applyNumberFormat="1" applyFont="1" applyFill="1" applyBorder="1" applyAlignment="1">
      <alignment horizontal="left" vertical="center" wrapText="1"/>
    </xf>
    <xf numFmtId="3" fontId="46" fillId="12" borderId="13" xfId="0" applyNumberFormat="1" applyFont="1" applyFill="1" applyBorder="1" applyAlignment="1">
      <alignment horizontal="center" vertical="center" wrapText="1"/>
    </xf>
    <xf numFmtId="3" fontId="44" fillId="12" borderId="13" xfId="0" applyNumberFormat="1" applyFont="1" applyFill="1" applyBorder="1" applyAlignment="1">
      <alignment horizontal="center" vertical="center" wrapText="1"/>
    </xf>
    <xf numFmtId="4" fontId="46" fillId="12" borderId="0" xfId="0" applyNumberFormat="1" applyFont="1" applyFill="1" applyAlignment="1">
      <alignment horizontal="center" vertical="center" wrapText="1"/>
    </xf>
    <xf numFmtId="4" fontId="112" fillId="0" borderId="13" xfId="0" applyNumberFormat="1" applyFont="1" applyBorder="1" applyAlignment="1">
      <alignment horizontal="right" vertical="center" wrapText="1"/>
    </xf>
    <xf numFmtId="3" fontId="113" fillId="0" borderId="13" xfId="0" applyNumberFormat="1" applyFont="1" applyBorder="1" applyAlignment="1">
      <alignment horizontal="center" vertical="center" wrapText="1"/>
    </xf>
    <xf numFmtId="4" fontId="113" fillId="0" borderId="0" xfId="0" applyNumberFormat="1" applyFont="1" applyAlignment="1">
      <alignment horizontal="center" vertical="center" wrapText="1"/>
    </xf>
    <xf numFmtId="3" fontId="112" fillId="0" borderId="13" xfId="0" applyNumberFormat="1" applyFont="1" applyBorder="1" applyAlignment="1">
      <alignment horizontal="center" vertical="center" wrapText="1"/>
    </xf>
    <xf numFmtId="4" fontId="112" fillId="0" borderId="0" xfId="0" applyNumberFormat="1" applyFont="1" applyAlignment="1">
      <alignment horizontal="center" vertical="center" wrapText="1"/>
    </xf>
    <xf numFmtId="3" fontId="57" fillId="0" borderId="13" xfId="0" applyNumberFormat="1" applyFont="1" applyBorder="1" applyAlignment="1">
      <alignment horizontal="center" vertical="center" wrapText="1"/>
    </xf>
    <xf numFmtId="4" fontId="57" fillId="0" borderId="13" xfId="0" applyNumberFormat="1" applyFont="1" applyBorder="1" applyAlignment="1">
      <alignment horizontal="right" vertical="center" wrapText="1"/>
    </xf>
    <xf numFmtId="4" fontId="114" fillId="0" borderId="0" xfId="0" applyNumberFormat="1" applyFont="1" applyAlignment="1">
      <alignment horizontal="center" vertical="center" wrapText="1"/>
    </xf>
    <xf numFmtId="4" fontId="43" fillId="0" borderId="13" xfId="0" applyNumberFormat="1" applyFont="1" applyBorder="1" applyAlignment="1">
      <alignment horizontal="center" vertical="center" wrapText="1"/>
    </xf>
    <xf numFmtId="3" fontId="43" fillId="0" borderId="13" xfId="0" applyNumberFormat="1" applyFont="1" applyBorder="1" applyAlignment="1">
      <alignment horizontal="center" vertical="center" wrapText="1"/>
    </xf>
    <xf numFmtId="4" fontId="43" fillId="0" borderId="13" xfId="0" quotePrefix="1" applyNumberFormat="1" applyFont="1" applyBorder="1" applyAlignment="1">
      <alignment horizontal="center" vertical="center" wrapText="1"/>
    </xf>
    <xf numFmtId="4" fontId="46" fillId="20" borderId="13" xfId="0" applyNumberFormat="1" applyFont="1" applyFill="1" applyBorder="1" applyAlignment="1">
      <alignment horizontal="left" vertical="center" wrapText="1"/>
    </xf>
    <xf numFmtId="3" fontId="46" fillId="20" borderId="13" xfId="0" applyNumberFormat="1" applyFont="1" applyFill="1" applyBorder="1" applyAlignment="1">
      <alignment horizontal="center" vertical="center" wrapText="1"/>
    </xf>
    <xf numFmtId="4" fontId="46" fillId="20" borderId="0" xfId="0" applyNumberFormat="1" applyFont="1" applyFill="1" applyAlignment="1">
      <alignment horizontal="center" vertical="center" wrapText="1"/>
    </xf>
    <xf numFmtId="3" fontId="34" fillId="0" borderId="13" xfId="0" applyNumberFormat="1" applyFont="1" applyBorder="1" applyAlignment="1">
      <alignment horizontal="center" vertical="center" wrapText="1"/>
    </xf>
    <xf numFmtId="4" fontId="34" fillId="0" borderId="0" xfId="0" applyNumberFormat="1" applyFont="1" applyAlignment="1">
      <alignment horizontal="center" vertical="center" wrapText="1"/>
    </xf>
    <xf numFmtId="3" fontId="72" fillId="0" borderId="0" xfId="0" applyNumberFormat="1" applyFont="1" applyAlignment="1">
      <alignment horizontal="center" vertical="center" wrapText="1"/>
    </xf>
    <xf numFmtId="3" fontId="58" fillId="0" borderId="0" xfId="0" applyNumberFormat="1" applyFont="1" applyAlignment="1">
      <alignment wrapText="1"/>
    </xf>
    <xf numFmtId="0" fontId="44" fillId="0" borderId="13" xfId="0" applyFont="1" applyBorder="1" applyAlignment="1">
      <alignment horizontal="center" vertical="center" wrapText="1"/>
    </xf>
    <xf numFmtId="165" fontId="83" fillId="20" borderId="20" xfId="0" applyNumberFormat="1" applyFont="1" applyFill="1" applyBorder="1"/>
    <xf numFmtId="3" fontId="50" fillId="0" borderId="0" xfId="0" applyNumberFormat="1" applyFont="1" applyFill="1" applyAlignment="1">
      <alignment vertical="top" wrapText="1"/>
    </xf>
    <xf numFmtId="0" fontId="58" fillId="0" borderId="0" xfId="0" applyFont="1" applyFill="1" applyBorder="1" applyAlignment="1">
      <alignment wrapText="1"/>
    </xf>
    <xf numFmtId="3" fontId="57"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0" fontId="59" fillId="0" borderId="0" xfId="0" applyFont="1" applyFill="1" applyBorder="1" applyAlignment="1">
      <alignment wrapText="1"/>
    </xf>
    <xf numFmtId="0" fontId="88" fillId="0" borderId="0" xfId="0" applyFont="1" applyFill="1" applyBorder="1" applyAlignment="1">
      <alignment horizontal="center" vertical="center" wrapText="1"/>
    </xf>
    <xf numFmtId="9" fontId="88" fillId="0" borderId="0" xfId="0" applyNumberFormat="1" applyFont="1" applyFill="1" applyBorder="1" applyAlignment="1">
      <alignment horizontal="center" vertical="center" wrapText="1"/>
    </xf>
    <xf numFmtId="3" fontId="84" fillId="0" borderId="0" xfId="0" applyNumberFormat="1" applyFont="1" applyFill="1" applyBorder="1" applyAlignment="1">
      <alignment vertical="center" wrapText="1"/>
    </xf>
    <xf numFmtId="3" fontId="91" fillId="0" borderId="0" xfId="0" applyNumberFormat="1" applyFont="1" applyFill="1" applyBorder="1" applyAlignment="1">
      <alignment wrapText="1"/>
    </xf>
    <xf numFmtId="0" fontId="52" fillId="0" borderId="0" xfId="0" applyFont="1" applyFill="1" applyBorder="1" applyAlignment="1">
      <alignment wrapText="1"/>
    </xf>
    <xf numFmtId="3" fontId="52" fillId="0" borderId="0" xfId="0" applyNumberFormat="1" applyFont="1" applyFill="1" applyBorder="1" applyAlignment="1">
      <alignment wrapText="1"/>
    </xf>
    <xf numFmtId="0" fontId="60" fillId="0" borderId="0" xfId="0" applyFont="1" applyFill="1" applyBorder="1" applyAlignment="1">
      <alignment wrapText="1"/>
    </xf>
    <xf numFmtId="0" fontId="61" fillId="0" borderId="0" xfId="0" applyFont="1" applyFill="1" applyBorder="1" applyAlignment="1">
      <alignment wrapText="1"/>
    </xf>
    <xf numFmtId="0" fontId="62" fillId="0" borderId="0" xfId="0" applyFont="1" applyFill="1" applyBorder="1" applyAlignment="1">
      <alignment wrapText="1"/>
    </xf>
    <xf numFmtId="0" fontId="56" fillId="0" borderId="0" xfId="0" applyFont="1" applyFill="1" applyBorder="1" applyAlignment="1">
      <alignment wrapText="1"/>
    </xf>
    <xf numFmtId="3" fontId="32" fillId="0" borderId="0" xfId="0" applyNumberFormat="1" applyFont="1" applyFill="1" applyBorder="1" applyAlignment="1">
      <alignment horizontal="right" vertical="center" wrapText="1"/>
    </xf>
    <xf numFmtId="0" fontId="63" fillId="0" borderId="0" xfId="0" applyFont="1" applyFill="1" applyBorder="1" applyAlignment="1">
      <alignment wrapText="1"/>
    </xf>
    <xf numFmtId="3" fontId="52" fillId="0" borderId="0" xfId="0" applyNumberFormat="1" applyFont="1" applyFill="1" applyBorder="1" applyAlignment="1">
      <alignment vertical="center" wrapText="1"/>
    </xf>
    <xf numFmtId="3" fontId="60" fillId="0" borderId="0" xfId="0" applyNumberFormat="1" applyFont="1" applyFill="1" applyBorder="1" applyAlignment="1">
      <alignment horizontal="right" vertical="center" wrapText="1"/>
    </xf>
    <xf numFmtId="3" fontId="89" fillId="0" borderId="0" xfId="0" applyNumberFormat="1" applyFont="1" applyFill="1" applyBorder="1" applyAlignment="1">
      <alignment wrapText="1"/>
    </xf>
    <xf numFmtId="3" fontId="92" fillId="0" borderId="0" xfId="0" applyNumberFormat="1" applyFont="1" applyFill="1" applyBorder="1" applyAlignment="1">
      <alignment wrapText="1"/>
    </xf>
    <xf numFmtId="3" fontId="50" fillId="0" borderId="0"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59" fillId="0" borderId="0" xfId="0" applyNumberFormat="1" applyFont="1" applyFill="1" applyBorder="1" applyAlignment="1">
      <alignment wrapText="1"/>
    </xf>
    <xf numFmtId="3" fontId="101" fillId="0" borderId="0" xfId="0" applyNumberFormat="1" applyFont="1" applyFill="1" applyBorder="1" applyAlignment="1">
      <alignment horizontal="left" vertical="center" wrapText="1"/>
    </xf>
    <xf numFmtId="3" fontId="97" fillId="0" borderId="0" xfId="0" applyNumberFormat="1" applyFont="1" applyFill="1" applyBorder="1" applyAlignment="1">
      <alignment horizontal="right" vertical="center" wrapText="1"/>
    </xf>
    <xf numFmtId="4" fontId="98" fillId="0" borderId="0" xfId="0" applyNumberFormat="1" applyFont="1" applyFill="1" applyBorder="1" applyAlignment="1">
      <alignment horizontal="right" vertical="center" wrapText="1"/>
    </xf>
    <xf numFmtId="0" fontId="92" fillId="0" borderId="0" xfId="0" applyFont="1" applyFill="1" applyBorder="1" applyAlignment="1">
      <alignment horizontal="right" wrapText="1"/>
    </xf>
    <xf numFmtId="4" fontId="97" fillId="0" borderId="0" xfId="0" applyNumberFormat="1" applyFont="1" applyFill="1" applyBorder="1" applyAlignment="1">
      <alignment horizontal="right" vertical="center" wrapText="1"/>
    </xf>
    <xf numFmtId="0" fontId="67" fillId="0" borderId="0" xfId="0" applyNumberFormat="1" applyFont="1" applyFill="1" applyBorder="1" applyAlignment="1">
      <alignment horizontal="right" vertical="center" wrapText="1"/>
    </xf>
    <xf numFmtId="3" fontId="100" fillId="0" borderId="0" xfId="0" applyNumberFormat="1" applyFont="1" applyFill="1" applyBorder="1" applyAlignment="1">
      <alignment horizontal="right" vertical="center" wrapText="1"/>
    </xf>
    <xf numFmtId="4" fontId="99" fillId="0" borderId="0" xfId="0" applyNumberFormat="1" applyFont="1" applyFill="1" applyBorder="1" applyAlignment="1">
      <alignment horizontal="right" vertical="center" wrapText="1"/>
    </xf>
    <xf numFmtId="4" fontId="67" fillId="0" borderId="0" xfId="0" applyNumberFormat="1" applyFont="1" applyFill="1" applyBorder="1" applyAlignment="1">
      <alignment horizontal="right" vertical="center" wrapText="1"/>
    </xf>
    <xf numFmtId="4" fontId="60" fillId="0" borderId="0" xfId="0" applyNumberFormat="1" applyFont="1" applyFill="1" applyBorder="1" applyAlignment="1">
      <alignment horizontal="right" vertical="center" wrapText="1"/>
    </xf>
    <xf numFmtId="3" fontId="20" fillId="0" borderId="0" xfId="0" applyNumberFormat="1" applyFont="1" applyFill="1" applyBorder="1" applyAlignment="1">
      <alignment horizontal="right" vertical="center" wrapText="1"/>
    </xf>
    <xf numFmtId="0" fontId="42" fillId="0" borderId="0" xfId="0" applyFont="1" applyFill="1" applyBorder="1" applyAlignment="1">
      <alignment wrapText="1"/>
    </xf>
    <xf numFmtId="0" fontId="66" fillId="0" borderId="0" xfId="0" applyFont="1" applyFill="1" applyBorder="1" applyAlignment="1">
      <alignment wrapText="1"/>
    </xf>
    <xf numFmtId="3" fontId="61" fillId="0" borderId="0" xfId="0" applyNumberFormat="1" applyFont="1" applyFill="1" applyBorder="1" applyAlignment="1">
      <alignment wrapText="1"/>
    </xf>
    <xf numFmtId="3" fontId="20" fillId="0" borderId="0" xfId="0" applyNumberFormat="1" applyFont="1" applyFill="1" applyBorder="1" applyAlignment="1">
      <alignment horizontal="center" vertical="center" wrapText="1"/>
    </xf>
    <xf numFmtId="14" fontId="72" fillId="0" borderId="0" xfId="0" quotePrefix="1" applyNumberFormat="1" applyFont="1" applyFill="1" applyBorder="1" applyAlignment="1">
      <alignment wrapText="1"/>
    </xf>
    <xf numFmtId="3" fontId="48" fillId="0" borderId="0" xfId="0" applyNumberFormat="1" applyFont="1" applyFill="1" applyBorder="1" applyAlignment="1">
      <alignment horizontal="center" vertical="center"/>
    </xf>
    <xf numFmtId="0" fontId="43" fillId="0" borderId="0" xfId="0" applyFont="1" applyFill="1" applyBorder="1"/>
    <xf numFmtId="3" fontId="44" fillId="0" borderId="0" xfId="0" applyNumberFormat="1" applyFont="1" applyFill="1" applyBorder="1" applyAlignment="1">
      <alignment horizontal="center"/>
    </xf>
    <xf numFmtId="3" fontId="43" fillId="0" borderId="0" xfId="0" applyNumberFormat="1" applyFont="1" applyFill="1" applyBorder="1"/>
    <xf numFmtId="4" fontId="44" fillId="4" borderId="13" xfId="0" applyNumberFormat="1" applyFont="1" applyFill="1" applyBorder="1" applyAlignment="1">
      <alignment horizontal="center"/>
    </xf>
    <xf numFmtId="4" fontId="44" fillId="0" borderId="13" xfId="0" applyNumberFormat="1" applyFont="1" applyFill="1" applyBorder="1" applyAlignment="1">
      <alignment horizontal="center"/>
    </xf>
    <xf numFmtId="4" fontId="44" fillId="0" borderId="13" xfId="0" applyNumberFormat="1" applyFont="1" applyBorder="1" applyAlignment="1">
      <alignment horizontal="center"/>
    </xf>
    <xf numFmtId="14" fontId="43" fillId="0" borderId="0" xfId="0" quotePrefix="1" applyNumberFormat="1" applyFont="1" applyAlignment="1">
      <alignment wrapText="1"/>
    </xf>
    <xf numFmtId="4" fontId="44" fillId="0" borderId="0" xfId="0" applyNumberFormat="1" applyFont="1" applyBorder="1" applyAlignment="1">
      <alignment horizontal="center" vertical="center" wrapText="1"/>
    </xf>
    <xf numFmtId="0" fontId="44" fillId="0" borderId="0" xfId="0" applyFont="1" applyBorder="1" applyAlignment="1">
      <alignment horizontal="center" vertical="center" wrapText="1"/>
    </xf>
    <xf numFmtId="164" fontId="44" fillId="0" borderId="0" xfId="0" applyNumberFormat="1" applyFont="1" applyBorder="1" applyAlignment="1">
      <alignment horizontal="center" vertical="center" wrapText="1"/>
    </xf>
    <xf numFmtId="3" fontId="44" fillId="0" borderId="0" xfId="0" applyNumberFormat="1" applyFont="1" applyBorder="1" applyAlignment="1">
      <alignment horizontal="right" vertical="center" wrapText="1" indent="1" readingOrder="1"/>
    </xf>
    <xf numFmtId="3" fontId="44" fillId="0" borderId="0" xfId="0" applyNumberFormat="1" applyFont="1" applyBorder="1" applyAlignment="1">
      <alignment horizontal="center" vertical="center" wrapText="1" readingOrder="1"/>
    </xf>
    <xf numFmtId="3" fontId="43" fillId="4" borderId="0" xfId="0" applyNumberFormat="1" applyFont="1" applyFill="1" applyBorder="1" applyAlignment="1">
      <alignment horizontal="center" vertical="center" wrapText="1"/>
    </xf>
    <xf numFmtId="1" fontId="77" fillId="0" borderId="13" xfId="0" applyNumberFormat="1" applyFont="1" applyBorder="1" applyAlignment="1">
      <alignment horizontal="center" vertical="center"/>
    </xf>
    <xf numFmtId="0" fontId="48" fillId="22" borderId="13" xfId="0" applyFont="1" applyFill="1" applyBorder="1" applyAlignment="1">
      <alignment horizontal="center" vertical="center" wrapText="1"/>
    </xf>
    <xf numFmtId="3" fontId="44" fillId="22" borderId="13" xfId="0" applyNumberFormat="1" applyFont="1" applyFill="1" applyBorder="1" applyAlignment="1">
      <alignment horizontal="center" vertical="center" wrapText="1" readingOrder="1"/>
    </xf>
    <xf numFmtId="3" fontId="69" fillId="22" borderId="13" xfId="0" applyNumberFormat="1" applyFont="1" applyFill="1" applyBorder="1" applyAlignment="1">
      <alignment horizontal="center" vertical="center" wrapText="1" readingOrder="1"/>
    </xf>
    <xf numFmtId="1" fontId="75" fillId="0" borderId="13" xfId="0" applyNumberFormat="1" applyFont="1" applyBorder="1" applyAlignment="1">
      <alignment horizontal="center" vertical="center"/>
    </xf>
    <xf numFmtId="4" fontId="49" fillId="0" borderId="13" xfId="0" applyNumberFormat="1" applyFont="1" applyBorder="1" applyAlignment="1">
      <alignment horizontal="center" vertical="center" wrapText="1"/>
    </xf>
    <xf numFmtId="0" fontId="44" fillId="0" borderId="13" xfId="0" applyFont="1" applyBorder="1" applyAlignment="1">
      <alignment horizontal="left" wrapText="1" readingOrder="1"/>
    </xf>
    <xf numFmtId="4" fontId="44" fillId="0" borderId="13" xfId="0" applyNumberFormat="1" applyFont="1" applyBorder="1" applyAlignment="1">
      <alignment horizontal="center" vertical="center" wrapText="1"/>
    </xf>
    <xf numFmtId="164" fontId="44" fillId="0" borderId="13" xfId="0" applyNumberFormat="1" applyFont="1" applyBorder="1" applyAlignment="1">
      <alignment horizontal="center" vertical="center" wrapText="1"/>
    </xf>
    <xf numFmtId="3" fontId="44" fillId="0" borderId="13" xfId="0" applyNumberFormat="1" applyFont="1" applyBorder="1" applyAlignment="1">
      <alignment horizontal="right" vertical="center" wrapText="1" indent="1" readingOrder="1"/>
    </xf>
    <xf numFmtId="3" fontId="69" fillId="28" borderId="13" xfId="0" applyNumberFormat="1" applyFont="1" applyFill="1" applyBorder="1" applyAlignment="1">
      <alignment horizontal="center" vertical="center" wrapText="1" readingOrder="1"/>
    </xf>
    <xf numFmtId="0" fontId="43" fillId="0" borderId="0" xfId="0" applyFont="1" applyBorder="1" applyAlignment="1">
      <alignment horizontal="center" wrapText="1" readingOrder="1"/>
    </xf>
    <xf numFmtId="2" fontId="43" fillId="4" borderId="0" xfId="0" applyNumberFormat="1" applyFont="1" applyFill="1" applyBorder="1" applyAlignment="1">
      <alignment horizontal="center" vertical="center" wrapText="1"/>
    </xf>
    <xf numFmtId="2" fontId="44" fillId="4" borderId="0"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2" fontId="43" fillId="0" borderId="0" xfId="0" applyNumberFormat="1" applyFont="1" applyBorder="1" applyAlignment="1">
      <alignment horizontal="center" vertical="center" wrapText="1"/>
    </xf>
    <xf numFmtId="3" fontId="43" fillId="0" borderId="0" xfId="0" applyNumberFormat="1" applyFont="1" applyBorder="1" applyAlignment="1">
      <alignment horizontal="right" vertical="center" wrapText="1" indent="1" readingOrder="1"/>
    </xf>
    <xf numFmtId="3" fontId="69" fillId="22" borderId="16" xfId="0" applyNumberFormat="1" applyFont="1" applyFill="1" applyBorder="1" applyAlignment="1">
      <alignment horizontal="center" vertical="center" wrapText="1" readingOrder="1"/>
    </xf>
    <xf numFmtId="10" fontId="51" fillId="17" borderId="13" xfId="0" applyNumberFormat="1" applyFont="1" applyFill="1" applyBorder="1" applyAlignment="1">
      <alignment horizontal="center" vertical="center" wrapText="1"/>
    </xf>
    <xf numFmtId="10" fontId="51" fillId="0" borderId="0" xfId="0" applyNumberFormat="1" applyFont="1" applyAlignment="1">
      <alignment horizontal="center" vertical="center" wrapText="1"/>
    </xf>
    <xf numFmtId="169" fontId="115" fillId="0" borderId="0" xfId="3" applyNumberFormat="1" applyFont="1" applyAlignment="1">
      <alignment vertical="center" wrapText="1"/>
    </xf>
    <xf numFmtId="3" fontId="57" fillId="0" borderId="13" xfId="0" applyNumberFormat="1" applyFont="1" applyFill="1" applyBorder="1" applyAlignment="1">
      <alignment horizontal="center" vertical="center" wrapText="1"/>
    </xf>
    <xf numFmtId="3" fontId="69" fillId="17" borderId="13" xfId="0" applyNumberFormat="1" applyFont="1" applyFill="1" applyBorder="1" applyAlignment="1">
      <alignment horizontal="center" vertical="center" wrapText="1" readingOrder="1"/>
    </xf>
    <xf numFmtId="3" fontId="45" fillId="0" borderId="0" xfId="0" applyNumberFormat="1" applyFont="1" applyFill="1" applyAlignment="1">
      <alignment horizontal="center" vertical="center" wrapText="1"/>
    </xf>
    <xf numFmtId="4" fontId="45" fillId="0" borderId="0" xfId="0" applyNumberFormat="1" applyFont="1" applyFill="1" applyAlignment="1">
      <alignment horizontal="center" vertical="center" wrapText="1"/>
    </xf>
    <xf numFmtId="3" fontId="46" fillId="0" borderId="0" xfId="0" applyNumberFormat="1" applyFont="1" applyFill="1" applyAlignment="1">
      <alignment horizontal="center" vertical="center" wrapText="1"/>
    </xf>
    <xf numFmtId="4" fontId="46" fillId="0" borderId="0" xfId="0" applyNumberFormat="1" applyFont="1" applyFill="1" applyAlignment="1">
      <alignment horizontal="center" vertical="center" wrapText="1"/>
    </xf>
    <xf numFmtId="3" fontId="113" fillId="0" borderId="0" xfId="0" applyNumberFormat="1" applyFont="1" applyFill="1" applyAlignment="1">
      <alignment horizontal="center" vertical="center" wrapText="1"/>
    </xf>
    <xf numFmtId="4" fontId="113" fillId="0" borderId="0" xfId="0" applyNumberFormat="1" applyFont="1" applyFill="1" applyAlignment="1">
      <alignment horizontal="center" vertical="center" wrapText="1"/>
    </xf>
    <xf numFmtId="3" fontId="112" fillId="0" borderId="0" xfId="0" applyNumberFormat="1" applyFont="1" applyFill="1" applyAlignment="1">
      <alignment horizontal="center" vertical="center" wrapText="1"/>
    </xf>
    <xf numFmtId="3" fontId="4" fillId="0" borderId="0" xfId="0" applyNumberFormat="1" applyFont="1" applyFill="1" applyAlignment="1">
      <alignment horizontal="right" vertical="center" wrapText="1"/>
    </xf>
    <xf numFmtId="3" fontId="4" fillId="0" borderId="0" xfId="0" applyNumberFormat="1" applyFont="1" applyFill="1" applyAlignment="1">
      <alignment horizontal="center" vertical="center" wrapText="1"/>
    </xf>
    <xf numFmtId="4" fontId="112" fillId="0" borderId="0" xfId="0" applyNumberFormat="1" applyFont="1" applyFill="1" applyAlignment="1">
      <alignment horizontal="center" vertical="center" wrapText="1"/>
    </xf>
    <xf numFmtId="3" fontId="4" fillId="0" borderId="0" xfId="0" quotePrefix="1" applyNumberFormat="1" applyFont="1" applyFill="1" applyAlignment="1">
      <alignment horizontal="right" vertical="center" wrapText="1"/>
    </xf>
    <xf numFmtId="3" fontId="114" fillId="0" borderId="0" xfId="0" applyNumberFormat="1" applyFont="1" applyFill="1" applyAlignment="1">
      <alignment horizontal="center" vertical="center" wrapText="1"/>
    </xf>
    <xf numFmtId="4" fontId="114" fillId="0" borderId="0" xfId="0" applyNumberFormat="1" applyFont="1" applyFill="1" applyAlignment="1">
      <alignment horizontal="center" vertical="center" wrapText="1"/>
    </xf>
    <xf numFmtId="3" fontId="34" fillId="0" borderId="0" xfId="0" applyNumberFormat="1" applyFont="1" applyFill="1" applyAlignment="1">
      <alignment horizontal="center" vertical="center" wrapText="1"/>
    </xf>
    <xf numFmtId="4" fontId="34" fillId="0" borderId="0" xfId="0" applyNumberFormat="1" applyFont="1" applyFill="1" applyAlignment="1">
      <alignment horizontal="center" vertical="center" wrapText="1"/>
    </xf>
    <xf numFmtId="0" fontId="25" fillId="0" borderId="0" xfId="0" applyFont="1" applyAlignment="1"/>
    <xf numFmtId="14" fontId="39" fillId="0" borderId="0" xfId="0" applyNumberFormat="1" applyFont="1"/>
    <xf numFmtId="0" fontId="116" fillId="0" borderId="0" xfId="0" applyFont="1" applyAlignment="1">
      <alignment horizontal="center"/>
    </xf>
    <xf numFmtId="0" fontId="116" fillId="0" borderId="0" xfId="0" applyFont="1"/>
    <xf numFmtId="0" fontId="39" fillId="0" borderId="0" xfId="0" applyFont="1"/>
    <xf numFmtId="0" fontId="118" fillId="0" borderId="0" xfId="0" applyFont="1"/>
    <xf numFmtId="0" fontId="98" fillId="0" borderId="0" xfId="0" applyFont="1"/>
    <xf numFmtId="0" fontId="116" fillId="0" borderId="0" xfId="0" applyFont="1" applyAlignment="1">
      <alignment vertical="top" wrapText="1"/>
    </xf>
    <xf numFmtId="0" fontId="101" fillId="0" borderId="0" xfId="0" applyFont="1" applyAlignment="1">
      <alignment vertical="top" wrapText="1"/>
    </xf>
    <xf numFmtId="0" fontId="116" fillId="0" borderId="67" xfId="0" applyFont="1" applyBorder="1" applyAlignment="1">
      <alignment horizontal="center" vertical="top" wrapText="1"/>
    </xf>
    <xf numFmtId="0" fontId="39" fillId="0" borderId="0" xfId="0" applyFont="1" applyAlignment="1">
      <alignment horizontal="center" vertical="center" wrapText="1"/>
    </xf>
    <xf numFmtId="0" fontId="39" fillId="0" borderId="13" xfId="0" applyFont="1" applyBorder="1" applyAlignment="1">
      <alignment horizontal="center" vertical="center"/>
    </xf>
    <xf numFmtId="0" fontId="116" fillId="0" borderId="13" xfId="0" applyFont="1" applyBorder="1" applyAlignment="1">
      <alignment horizontal="center" vertical="center" wrapText="1"/>
    </xf>
    <xf numFmtId="0" fontId="116" fillId="25" borderId="13" xfId="0" applyFont="1" applyFill="1" applyBorder="1" applyAlignment="1">
      <alignment horizontal="center" vertical="center" wrapText="1"/>
    </xf>
    <xf numFmtId="0" fontId="116" fillId="0" borderId="67" xfId="0" applyFont="1" applyBorder="1" applyAlignment="1">
      <alignment horizontal="center" vertical="center" wrapText="1"/>
    </xf>
    <xf numFmtId="0" fontId="116" fillId="21" borderId="13" xfId="0" applyFont="1" applyFill="1" applyBorder="1"/>
    <xf numFmtId="0" fontId="116" fillId="21" borderId="13" xfId="0" applyFont="1" applyFill="1" applyBorder="1" applyAlignment="1">
      <alignment vertical="center" wrapText="1"/>
    </xf>
    <xf numFmtId="2" fontId="116" fillId="21" borderId="13" xfId="0" applyNumberFormat="1" applyFont="1" applyFill="1" applyBorder="1" applyAlignment="1">
      <alignment horizontal="center" vertical="center"/>
    </xf>
    <xf numFmtId="2" fontId="116" fillId="0" borderId="67" xfId="0" applyNumberFormat="1" applyFont="1" applyBorder="1" applyAlignment="1">
      <alignment horizontal="center" vertical="center"/>
    </xf>
    <xf numFmtId="3" fontId="116" fillId="0" borderId="13" xfId="0" applyNumberFormat="1" applyFont="1" applyBorder="1" applyAlignment="1">
      <alignment horizontal="center" vertical="center" wrapText="1"/>
    </xf>
    <xf numFmtId="0" fontId="116" fillId="30" borderId="13" xfId="0" applyFont="1" applyFill="1" applyBorder="1" applyAlignment="1">
      <alignment horizontal="center" vertical="center" wrapText="1"/>
    </xf>
    <xf numFmtId="0" fontId="116" fillId="0" borderId="0" xfId="0" applyFont="1" applyAlignment="1">
      <alignment horizontal="center" vertical="center" wrapText="1"/>
    </xf>
    <xf numFmtId="0" fontId="116" fillId="14" borderId="13" xfId="0" applyFont="1" applyFill="1" applyBorder="1" applyAlignment="1">
      <alignment horizontal="center" vertical="center"/>
    </xf>
    <xf numFmtId="0" fontId="116" fillId="14" borderId="13" xfId="0" applyFont="1" applyFill="1" applyBorder="1" applyAlignment="1">
      <alignment vertical="center" wrapText="1"/>
    </xf>
    <xf numFmtId="0" fontId="116" fillId="0" borderId="67" xfId="0" applyFont="1" applyBorder="1" applyAlignment="1">
      <alignment horizontal="center" vertical="center"/>
    </xf>
    <xf numFmtId="0" fontId="39" fillId="0" borderId="13" xfId="0" applyFont="1" applyBorder="1" applyAlignment="1">
      <alignment horizontal="right" vertical="center" wrapText="1"/>
    </xf>
    <xf numFmtId="3" fontId="39" fillId="0" borderId="13" xfId="0" applyNumberFormat="1" applyFont="1" applyBorder="1" applyAlignment="1">
      <alignment horizontal="right" vertical="center" wrapText="1"/>
    </xf>
    <xf numFmtId="0" fontId="39" fillId="30" borderId="13" xfId="0" applyFont="1" applyFill="1" applyBorder="1" applyAlignment="1">
      <alignment horizontal="right" vertical="center" wrapText="1"/>
    </xf>
    <xf numFmtId="0" fontId="116" fillId="0" borderId="0" xfId="0" applyFont="1" applyAlignment="1">
      <alignment horizontal="right" vertical="center" wrapText="1"/>
    </xf>
    <xf numFmtId="2" fontId="116" fillId="14" borderId="13" xfId="0" applyNumberFormat="1" applyFont="1" applyFill="1" applyBorder="1" applyAlignment="1">
      <alignment horizontal="center" vertical="center"/>
    </xf>
    <xf numFmtId="0" fontId="116" fillId="0" borderId="13" xfId="0" applyFont="1" applyBorder="1" applyAlignment="1">
      <alignment horizontal="center" vertical="center"/>
    </xf>
    <xf numFmtId="0" fontId="116" fillId="0" borderId="13" xfId="0" applyFont="1" applyBorder="1" applyAlignment="1">
      <alignment vertical="center" wrapText="1"/>
    </xf>
    <xf numFmtId="2" fontId="116" fillId="0" borderId="13" xfId="0" applyNumberFormat="1" applyFont="1" applyBorder="1" applyAlignment="1">
      <alignment horizontal="center" vertical="center"/>
    </xf>
    <xf numFmtId="3" fontId="82" fillId="0" borderId="13" xfId="0" applyNumberFormat="1" applyFont="1" applyBorder="1" applyAlignment="1">
      <alignment horizontal="center" vertical="center" wrapText="1"/>
    </xf>
    <xf numFmtId="3" fontId="82" fillId="30" borderId="13" xfId="0" applyNumberFormat="1" applyFont="1" applyFill="1" applyBorder="1" applyAlignment="1">
      <alignment horizontal="center" vertical="center" wrapText="1"/>
    </xf>
    <xf numFmtId="3" fontId="82" fillId="0" borderId="0" xfId="0" applyNumberFormat="1" applyFont="1" applyAlignment="1">
      <alignment horizontal="center" vertical="center" wrapText="1"/>
    </xf>
    <xf numFmtId="0" fontId="117" fillId="0" borderId="13" xfId="0" applyFont="1" applyBorder="1" applyAlignment="1">
      <alignment horizontal="center" vertical="center"/>
    </xf>
    <xf numFmtId="0" fontId="117" fillId="0" borderId="13" xfId="0" applyFont="1" applyBorder="1" applyAlignment="1">
      <alignment vertical="center" wrapText="1"/>
    </xf>
    <xf numFmtId="2" fontId="117" fillId="0" borderId="13" xfId="0" applyNumberFormat="1" applyFont="1" applyBorder="1" applyAlignment="1">
      <alignment horizontal="center" vertical="center"/>
    </xf>
    <xf numFmtId="2" fontId="117" fillId="0" borderId="67" xfId="0" applyNumberFormat="1" applyFont="1" applyBorder="1" applyAlignment="1">
      <alignment horizontal="center" vertical="center"/>
    </xf>
    <xf numFmtId="3" fontId="17" fillId="0" borderId="13" xfId="0" applyNumberFormat="1" applyFont="1" applyBorder="1" applyAlignment="1">
      <alignment horizontal="right" vertical="center" wrapText="1"/>
    </xf>
    <xf numFmtId="3" fontId="17" fillId="30" borderId="13" xfId="0" applyNumberFormat="1" applyFont="1" applyFill="1" applyBorder="1" applyAlignment="1">
      <alignment horizontal="right" vertical="center" wrapText="1"/>
    </xf>
    <xf numFmtId="3" fontId="82" fillId="0" borderId="0" xfId="0" applyNumberFormat="1" applyFont="1" applyAlignment="1">
      <alignment horizontal="right" vertical="center" wrapText="1"/>
    </xf>
    <xf numFmtId="0" fontId="39" fillId="0" borderId="13" xfId="0" applyFont="1" applyBorder="1" applyAlignment="1">
      <alignment vertical="center" wrapText="1"/>
    </xf>
    <xf numFmtId="0" fontId="118" fillId="0" borderId="67" xfId="0" applyFont="1" applyBorder="1" applyAlignment="1">
      <alignment horizontal="center" vertical="center" wrapText="1"/>
    </xf>
    <xf numFmtId="0" fontId="39" fillId="0" borderId="67" xfId="0" applyFont="1" applyBorder="1" applyAlignment="1">
      <alignment horizontal="center" vertical="center" wrapText="1"/>
    </xf>
    <xf numFmtId="0" fontId="120" fillId="0" borderId="0" xfId="0" applyFont="1" applyAlignment="1">
      <alignment horizontal="center" vertical="center" wrapText="1"/>
    </xf>
    <xf numFmtId="3" fontId="120" fillId="0" borderId="0" xfId="0" applyNumberFormat="1" applyFont="1" applyAlignment="1">
      <alignment horizontal="center" vertical="center" wrapText="1"/>
    </xf>
    <xf numFmtId="2" fontId="39" fillId="0" borderId="13" xfId="0" applyNumberFormat="1" applyFont="1" applyBorder="1" applyAlignment="1">
      <alignment horizontal="center" vertical="center"/>
    </xf>
    <xf numFmtId="2" fontId="39" fillId="0" borderId="67" xfId="0" applyNumberFormat="1" applyFont="1" applyBorder="1" applyAlignment="1">
      <alignment horizontal="center" vertical="center"/>
    </xf>
    <xf numFmtId="0" fontId="120" fillId="0" borderId="0" xfId="0" applyFont="1" applyAlignment="1">
      <alignment horizontal="right" vertical="center" wrapText="1"/>
    </xf>
    <xf numFmtId="0" fontId="39" fillId="0" borderId="67" xfId="0" applyFont="1" applyBorder="1" applyAlignment="1">
      <alignment horizontal="center" vertical="center"/>
    </xf>
    <xf numFmtId="3" fontId="120" fillId="0" borderId="0" xfId="0" applyNumberFormat="1" applyFont="1" applyAlignment="1">
      <alignment horizontal="right" vertical="center" wrapText="1"/>
    </xf>
    <xf numFmtId="0" fontId="39" fillId="0" borderId="0" xfId="0" applyFont="1" applyAlignment="1">
      <alignment vertical="center" wrapText="1"/>
    </xf>
    <xf numFmtId="0" fontId="39" fillId="0" borderId="13" xfId="0" applyFont="1" applyBorder="1"/>
    <xf numFmtId="0" fontId="39" fillId="2" borderId="13" xfId="0" applyFont="1" applyFill="1" applyBorder="1" applyAlignment="1">
      <alignment horizontal="center" vertical="center" wrapText="1"/>
    </xf>
    <xf numFmtId="0" fontId="116" fillId="2" borderId="13" xfId="0" applyFont="1" applyFill="1" applyBorder="1" applyAlignment="1">
      <alignment horizontal="center" vertical="center" wrapText="1"/>
    </xf>
    <xf numFmtId="0" fontId="121" fillId="0" borderId="13" xfId="0" applyFont="1" applyBorder="1" applyAlignment="1">
      <alignment wrapText="1"/>
    </xf>
    <xf numFmtId="0" fontId="4" fillId="0" borderId="13" xfId="0" applyFont="1" applyBorder="1" applyAlignment="1">
      <alignment wrapText="1"/>
    </xf>
    <xf numFmtId="3" fontId="4" fillId="0" borderId="13" xfId="0" applyNumberFormat="1" applyFont="1" applyBorder="1" applyAlignment="1">
      <alignment horizontal="center" vertical="center" wrapText="1"/>
    </xf>
    <xf numFmtId="3" fontId="6" fillId="0" borderId="13" xfId="0" applyNumberFormat="1" applyFont="1" applyBorder="1" applyAlignment="1">
      <alignment horizontal="center" vertical="center" wrapText="1"/>
    </xf>
    <xf numFmtId="0" fontId="123" fillId="0" borderId="0" xfId="0" applyFont="1" applyAlignment="1">
      <alignment horizontal="center" vertical="center"/>
    </xf>
    <xf numFmtId="3" fontId="35" fillId="0" borderId="0" xfId="0" applyNumberFormat="1" applyFont="1"/>
    <xf numFmtId="3" fontId="72" fillId="0" borderId="0" xfId="0" applyNumberFormat="1" applyFont="1"/>
    <xf numFmtId="3" fontId="124" fillId="22" borderId="13" xfId="0" applyNumberFormat="1" applyFont="1" applyFill="1" applyBorder="1" applyAlignment="1">
      <alignment horizontal="center" vertical="center" wrapText="1" readingOrder="1"/>
    </xf>
    <xf numFmtId="0" fontId="38" fillId="0" borderId="0" xfId="0" applyFont="1"/>
    <xf numFmtId="0" fontId="44" fillId="0" borderId="0" xfId="0" applyFont="1" applyFill="1"/>
    <xf numFmtId="0" fontId="43" fillId="0" borderId="0" xfId="0" applyFont="1" applyFill="1"/>
    <xf numFmtId="3" fontId="43" fillId="0" borderId="0" xfId="0" applyNumberFormat="1" applyFont="1" applyFill="1" applyAlignment="1">
      <alignment horizontal="center"/>
    </xf>
    <xf numFmtId="170" fontId="44" fillId="0" borderId="0" xfId="0" applyNumberFormat="1" applyFont="1" applyFill="1"/>
    <xf numFmtId="4" fontId="110" fillId="0" borderId="0" xfId="0" applyNumberFormat="1" applyFont="1" applyAlignment="1">
      <alignment horizontal="center" vertical="center" wrapText="1"/>
    </xf>
    <xf numFmtId="3" fontId="96" fillId="0" borderId="0" xfId="0" applyNumberFormat="1" applyFont="1" applyFill="1" applyBorder="1" applyAlignment="1">
      <alignment horizontal="center" vertical="center" wrapText="1"/>
    </xf>
    <xf numFmtId="49" fontId="60" fillId="2" borderId="33" xfId="0" applyNumberFormat="1" applyFont="1" applyFill="1" applyBorder="1" applyAlignment="1">
      <alignment horizontal="right" vertical="top"/>
    </xf>
    <xf numFmtId="49" fontId="60" fillId="2" borderId="13" xfId="0" applyNumberFormat="1" applyFont="1" applyFill="1" applyBorder="1" applyAlignment="1">
      <alignment horizontal="right" vertical="top"/>
    </xf>
    <xf numFmtId="49" fontId="11" fillId="20" borderId="13" xfId="0" applyNumberFormat="1" applyFont="1" applyFill="1" applyBorder="1" applyAlignment="1">
      <alignment horizontal="center" vertical="top" wrapText="1"/>
    </xf>
    <xf numFmtId="49" fontId="11" fillId="20" borderId="33" xfId="0" applyNumberFormat="1" applyFont="1" applyFill="1" applyBorder="1" applyAlignment="1">
      <alignment horizontal="center" vertical="top" wrapText="1"/>
    </xf>
    <xf numFmtId="49" fontId="64" fillId="2" borderId="33" xfId="0" applyNumberFormat="1" applyFont="1" applyFill="1" applyBorder="1" applyAlignment="1">
      <alignment horizontal="left" vertical="top" wrapText="1" indent="1"/>
    </xf>
    <xf numFmtId="49" fontId="64" fillId="2" borderId="13" xfId="0" applyNumberFormat="1" applyFont="1" applyFill="1" applyBorder="1" applyAlignment="1">
      <alignment horizontal="left" vertical="top" wrapText="1" indent="1"/>
    </xf>
    <xf numFmtId="4" fontId="59" fillId="0" borderId="0" xfId="0" applyNumberFormat="1" applyFont="1" applyFill="1" applyBorder="1" applyAlignment="1">
      <alignment horizontal="center" wrapText="1"/>
    </xf>
    <xf numFmtId="0" fontId="59" fillId="0" borderId="0" xfId="0" applyFont="1" applyFill="1" applyBorder="1" applyAlignment="1">
      <alignment horizontal="center" wrapText="1"/>
    </xf>
    <xf numFmtId="49" fontId="11" fillId="20" borderId="13" xfId="0" applyNumberFormat="1" applyFont="1" applyFill="1" applyBorder="1" applyAlignment="1">
      <alignment horizontal="left" vertical="top" wrapText="1"/>
    </xf>
    <xf numFmtId="49" fontId="11" fillId="20" borderId="33" xfId="0" applyNumberFormat="1" applyFont="1" applyFill="1" applyBorder="1" applyAlignment="1">
      <alignment horizontal="left" vertical="top" wrapText="1"/>
    </xf>
    <xf numFmtId="2" fontId="64" fillId="2" borderId="33" xfId="0" applyNumberFormat="1" applyFont="1" applyFill="1" applyBorder="1" applyAlignment="1">
      <alignment horizontal="left" vertical="top" wrapText="1" indent="1"/>
    </xf>
    <xf numFmtId="2" fontId="64" fillId="2" borderId="13" xfId="0" applyNumberFormat="1" applyFont="1" applyFill="1" applyBorder="1" applyAlignment="1">
      <alignment horizontal="left" vertical="top" wrapText="1" indent="1"/>
    </xf>
    <xf numFmtId="3" fontId="60" fillId="0" borderId="0" xfId="0" quotePrefix="1" applyNumberFormat="1" applyFont="1" applyFill="1" applyBorder="1" applyAlignment="1">
      <alignment horizontal="right" vertical="center" wrapText="1"/>
    </xf>
    <xf numFmtId="49" fontId="57" fillId="20" borderId="33" xfId="0" applyNumberFormat="1" applyFont="1" applyFill="1" applyBorder="1" applyAlignment="1">
      <alignment horizontal="left" vertical="top" wrapText="1" indent="2"/>
    </xf>
    <xf numFmtId="49" fontId="57" fillId="20" borderId="13" xfId="0" applyNumberFormat="1" applyFont="1" applyFill="1" applyBorder="1" applyAlignment="1">
      <alignment horizontal="left" vertical="top" wrapText="1" indent="2"/>
    </xf>
    <xf numFmtId="2" fontId="32" fillId="2" borderId="33" xfId="0" applyNumberFormat="1" applyFont="1" applyFill="1" applyBorder="1" applyAlignment="1">
      <alignment horizontal="left" vertical="top" wrapText="1" indent="1"/>
    </xf>
    <xf numFmtId="2" fontId="32" fillId="2" borderId="13" xfId="0" applyNumberFormat="1" applyFont="1" applyFill="1" applyBorder="1" applyAlignment="1">
      <alignment horizontal="left" vertical="top" wrapText="1" indent="1"/>
    </xf>
    <xf numFmtId="49" fontId="57" fillId="2" borderId="33" xfId="0" applyNumberFormat="1" applyFont="1" applyFill="1" applyBorder="1" applyAlignment="1">
      <alignment horizontal="left" vertical="top" wrapText="1" indent="2"/>
    </xf>
    <xf numFmtId="49" fontId="57" fillId="2" borderId="13" xfId="0" applyNumberFormat="1" applyFont="1" applyFill="1" applyBorder="1" applyAlignment="1">
      <alignment horizontal="left" vertical="top" wrapText="1" indent="2"/>
    </xf>
    <xf numFmtId="0" fontId="56" fillId="0" borderId="0" xfId="0" quotePrefix="1" applyFont="1" applyFill="1" applyBorder="1" applyAlignment="1">
      <alignment horizontal="right" wrapText="1"/>
    </xf>
    <xf numFmtId="3" fontId="56" fillId="0" borderId="0" xfId="0" quotePrefix="1" applyNumberFormat="1" applyFont="1" applyFill="1" applyBorder="1" applyAlignment="1">
      <alignment horizontal="right" vertical="center" wrapText="1"/>
    </xf>
    <xf numFmtId="0" fontId="56" fillId="0" borderId="0" xfId="0" quotePrefix="1" applyFont="1" applyFill="1" applyBorder="1" applyAlignment="1">
      <alignment horizontal="right" vertical="center" wrapText="1"/>
    </xf>
    <xf numFmtId="0" fontId="90" fillId="0" borderId="0" xfId="0" applyFont="1" applyFill="1" applyBorder="1" applyAlignment="1">
      <alignment horizontal="center" vertical="center" wrapText="1"/>
    </xf>
    <xf numFmtId="3" fontId="21" fillId="0" borderId="0" xfId="0" applyNumberFormat="1" applyFont="1" applyFill="1" applyBorder="1" applyAlignment="1">
      <alignment horizontal="right" vertical="center" wrapText="1"/>
    </xf>
    <xf numFmtId="3" fontId="87" fillId="0" borderId="0" xfId="0" applyNumberFormat="1" applyFont="1" applyAlignment="1">
      <alignment horizontal="right" vertical="center" wrapText="1"/>
    </xf>
    <xf numFmtId="0" fontId="84" fillId="23" borderId="0" xfId="0" applyFont="1" applyFill="1" applyAlignment="1">
      <alignment horizontal="center" vertical="center" wrapText="1"/>
    </xf>
    <xf numFmtId="0" fontId="85" fillId="0" borderId="0" xfId="0" applyFont="1" applyAlignment="1">
      <alignment horizontal="center" vertical="center" wrapText="1"/>
    </xf>
    <xf numFmtId="49" fontId="32" fillId="2" borderId="33" xfId="0" applyNumberFormat="1" applyFont="1" applyFill="1" applyBorder="1" applyAlignment="1">
      <alignment horizontal="left" vertical="top"/>
    </xf>
    <xf numFmtId="49" fontId="32" fillId="2" borderId="13" xfId="0" applyNumberFormat="1" applyFont="1" applyFill="1" applyBorder="1" applyAlignment="1">
      <alignment horizontal="left" vertical="top"/>
    </xf>
    <xf numFmtId="49" fontId="53" fillId="2" borderId="33" xfId="0" applyNumberFormat="1" applyFont="1" applyFill="1" applyBorder="1" applyAlignment="1">
      <alignment horizontal="right" vertical="top"/>
    </xf>
    <xf numFmtId="49" fontId="53" fillId="2" borderId="13" xfId="0" applyNumberFormat="1" applyFont="1" applyFill="1" applyBorder="1" applyAlignment="1">
      <alignment horizontal="right" vertical="top"/>
    </xf>
    <xf numFmtId="49" fontId="20" fillId="2" borderId="33" xfId="0" applyNumberFormat="1" applyFont="1" applyFill="1" applyBorder="1" applyAlignment="1">
      <alignment horizontal="left" vertical="top" wrapText="1" indent="1"/>
    </xf>
    <xf numFmtId="49" fontId="20" fillId="2" borderId="13" xfId="0" applyNumberFormat="1" applyFont="1" applyFill="1" applyBorder="1" applyAlignment="1">
      <alignment horizontal="left" vertical="top" wrapText="1" indent="1"/>
    </xf>
    <xf numFmtId="0" fontId="52" fillId="23" borderId="0" xfId="0" applyFont="1" applyFill="1" applyAlignment="1">
      <alignment horizontal="center" vertical="center" wrapText="1"/>
    </xf>
    <xf numFmtId="49" fontId="57" fillId="2" borderId="14" xfId="0" applyNumberFormat="1" applyFont="1" applyFill="1" applyBorder="1" applyAlignment="1">
      <alignment horizontal="center" vertical="top" wrapText="1"/>
    </xf>
    <xf numFmtId="49" fontId="57" fillId="2" borderId="24" xfId="0" applyNumberFormat="1" applyFont="1" applyFill="1" applyBorder="1" applyAlignment="1">
      <alignment horizontal="center" vertical="top" wrapText="1"/>
    </xf>
    <xf numFmtId="49" fontId="57" fillId="2" borderId="33" xfId="0" applyNumberFormat="1" applyFont="1" applyFill="1" applyBorder="1" applyAlignment="1">
      <alignment horizontal="center" vertical="top" wrapText="1"/>
    </xf>
    <xf numFmtId="3" fontId="105" fillId="25" borderId="0" xfId="0" applyNumberFormat="1" applyFont="1" applyFill="1" applyAlignment="1">
      <alignment horizontal="center" vertical="center" wrapText="1"/>
    </xf>
    <xf numFmtId="0" fontId="48" fillId="0" borderId="0" xfId="5" applyFont="1" applyAlignment="1">
      <alignment horizontal="center" vertical="top" wrapText="1"/>
    </xf>
    <xf numFmtId="0" fontId="20" fillId="2" borderId="0" xfId="0" applyFont="1" applyFill="1" applyAlignment="1">
      <alignment horizontal="left" vertical="top" wrapText="1"/>
    </xf>
    <xf numFmtId="0" fontId="20" fillId="0" borderId="0" xfId="0" applyFont="1" applyAlignment="1">
      <alignment horizontal="left" wrapText="1"/>
    </xf>
    <xf numFmtId="0" fontId="20" fillId="2" borderId="0" xfId="5" applyFont="1" applyFill="1" applyAlignment="1">
      <alignment horizontal="left" vertical="top" wrapText="1"/>
    </xf>
    <xf numFmtId="0" fontId="20" fillId="0" borderId="0" xfId="5" applyFont="1" applyAlignment="1">
      <alignment horizontal="justify" vertical="center" wrapText="1"/>
    </xf>
    <xf numFmtId="49" fontId="49" fillId="0" borderId="45" xfId="0" applyNumberFormat="1" applyFont="1" applyBorder="1" applyAlignment="1">
      <alignment horizontal="left" vertical="top" wrapText="1"/>
    </xf>
    <xf numFmtId="49" fontId="49" fillId="0" borderId="46" xfId="0" applyNumberFormat="1" applyFont="1" applyBorder="1" applyAlignment="1">
      <alignment horizontal="left" vertical="top" wrapText="1"/>
    </xf>
    <xf numFmtId="0" fontId="51" fillId="2" borderId="13" xfId="0" applyFont="1" applyFill="1" applyBorder="1" applyAlignment="1">
      <alignment horizontal="left" wrapText="1"/>
    </xf>
    <xf numFmtId="0" fontId="20" fillId="17" borderId="14" xfId="0" applyFont="1" applyFill="1" applyBorder="1" applyAlignment="1">
      <alignment vertical="center" wrapText="1"/>
    </xf>
    <xf numFmtId="0" fontId="20" fillId="17" borderId="24" xfId="0" applyFont="1" applyFill="1" applyBorder="1" applyAlignment="1">
      <alignment vertical="center" wrapText="1"/>
    </xf>
    <xf numFmtId="0" fontId="20" fillId="17" borderId="33" xfId="0" applyFont="1" applyFill="1" applyBorder="1" applyAlignment="1">
      <alignment vertical="center" wrapText="1"/>
    </xf>
    <xf numFmtId="0" fontId="20" fillId="2" borderId="14" xfId="0" applyFont="1" applyFill="1" applyBorder="1" applyAlignment="1">
      <alignment vertical="center" wrapText="1"/>
    </xf>
    <xf numFmtId="0" fontId="20" fillId="2" borderId="24" xfId="0" applyFont="1" applyFill="1" applyBorder="1" applyAlignment="1">
      <alignment vertical="center" wrapText="1"/>
    </xf>
    <xf numFmtId="0" fontId="20" fillId="2" borderId="33" xfId="0" applyFont="1" applyFill="1" applyBorder="1" applyAlignment="1">
      <alignment vertical="center" wrapText="1"/>
    </xf>
    <xf numFmtId="2" fontId="20" fillId="2" borderId="33" xfId="0" applyNumberFormat="1" applyFont="1" applyFill="1" applyBorder="1" applyAlignment="1">
      <alignment horizontal="left" vertical="top" wrapText="1" indent="1"/>
    </xf>
    <xf numFmtId="2" fontId="20" fillId="2" borderId="13" xfId="0" applyNumberFormat="1" applyFont="1" applyFill="1" applyBorder="1" applyAlignment="1">
      <alignment horizontal="left" vertical="top" wrapText="1" indent="1"/>
    </xf>
    <xf numFmtId="0" fontId="7" fillId="20" borderId="9" xfId="0" applyFont="1" applyFill="1" applyBorder="1" applyAlignment="1">
      <alignment horizontal="left" vertical="center" wrapText="1"/>
    </xf>
    <xf numFmtId="0" fontId="7" fillId="20" borderId="10" xfId="0" applyFont="1" applyFill="1" applyBorder="1" applyAlignment="1">
      <alignment horizontal="left" vertical="center" wrapText="1"/>
    </xf>
    <xf numFmtId="0" fontId="4" fillId="5" borderId="23" xfId="0" applyFont="1" applyFill="1" applyBorder="1" applyAlignment="1">
      <alignment horizontal="left" vertical="center" wrapText="1"/>
    </xf>
    <xf numFmtId="0" fontId="4" fillId="5" borderId="24" xfId="0" applyFont="1" applyFill="1" applyBorder="1" applyAlignment="1">
      <alignment horizontal="left" vertical="center" wrapText="1"/>
    </xf>
    <xf numFmtId="16" fontId="4" fillId="5" borderId="23" xfId="0" quotePrefix="1" applyNumberFormat="1" applyFont="1" applyFill="1" applyBorder="1" applyAlignment="1">
      <alignment horizontal="left"/>
    </xf>
    <xf numFmtId="16" fontId="4" fillId="5" borderId="24" xfId="0" quotePrefix="1" applyNumberFormat="1" applyFont="1" applyFill="1" applyBorder="1" applyAlignment="1">
      <alignment horizontal="left"/>
    </xf>
    <xf numFmtId="0" fontId="6" fillId="7" borderId="18" xfId="0" applyFont="1" applyFill="1" applyBorder="1" applyAlignment="1">
      <alignment horizontal="center" vertical="center"/>
    </xf>
    <xf numFmtId="0" fontId="6" fillId="7" borderId="19" xfId="0" applyFont="1" applyFill="1" applyBorder="1" applyAlignment="1">
      <alignment horizontal="center" vertical="center"/>
    </xf>
    <xf numFmtId="0" fontId="6" fillId="7" borderId="27" xfId="0" applyFont="1" applyFill="1" applyBorder="1" applyAlignment="1">
      <alignment horizontal="center" vertical="center"/>
    </xf>
    <xf numFmtId="0" fontId="7" fillId="20" borderId="26" xfId="0" applyFont="1" applyFill="1" applyBorder="1" applyAlignment="1">
      <alignment horizontal="left" vertical="center" wrapText="1"/>
    </xf>
    <xf numFmtId="16" fontId="4" fillId="5" borderId="25" xfId="0" quotePrefix="1" applyNumberFormat="1" applyFont="1" applyFill="1" applyBorder="1" applyAlignment="1">
      <alignment horizontal="left"/>
    </xf>
    <xf numFmtId="0" fontId="7" fillId="20" borderId="23" xfId="0" applyFont="1" applyFill="1" applyBorder="1" applyAlignment="1">
      <alignment horizontal="left" vertical="center" wrapText="1"/>
    </xf>
    <xf numFmtId="0" fontId="7" fillId="20" borderId="24" xfId="0" applyFont="1" applyFill="1" applyBorder="1" applyAlignment="1">
      <alignment horizontal="left" vertical="center" wrapText="1"/>
    </xf>
    <xf numFmtId="16" fontId="4" fillId="5" borderId="36" xfId="0" quotePrefix="1" applyNumberFormat="1" applyFont="1" applyFill="1" applyBorder="1" applyAlignment="1">
      <alignment horizontal="left" vertical="center"/>
    </xf>
    <xf numFmtId="16" fontId="4" fillId="5" borderId="37" xfId="0" quotePrefix="1" applyNumberFormat="1" applyFont="1" applyFill="1" applyBorder="1" applyAlignment="1">
      <alignment horizontal="left" vertical="center"/>
    </xf>
    <xf numFmtId="16" fontId="4" fillId="5" borderId="23" xfId="0" quotePrefix="1" applyNumberFormat="1" applyFont="1" applyFill="1" applyBorder="1" applyAlignment="1">
      <alignment horizontal="left" vertical="center"/>
    </xf>
    <xf numFmtId="16" fontId="4" fillId="5" borderId="24" xfId="0" quotePrefix="1" applyNumberFormat="1" applyFont="1" applyFill="1" applyBorder="1" applyAlignment="1">
      <alignment horizontal="left"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7" borderId="49" xfId="0" applyFont="1" applyFill="1" applyBorder="1" applyAlignment="1">
      <alignment horizontal="center" vertical="center"/>
    </xf>
    <xf numFmtId="0" fontId="7" fillId="4" borderId="1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16" fontId="9" fillId="5" borderId="12" xfId="0" quotePrefix="1" applyNumberFormat="1" applyFont="1" applyFill="1" applyBorder="1" applyAlignment="1">
      <alignment horizontal="left"/>
    </xf>
    <xf numFmtId="16" fontId="9" fillId="5" borderId="13" xfId="0" quotePrefix="1" applyNumberFormat="1" applyFont="1" applyFill="1" applyBorder="1" applyAlignment="1">
      <alignment horizontal="left"/>
    </xf>
    <xf numFmtId="16" fontId="9" fillId="5" borderId="14" xfId="0" quotePrefix="1" applyNumberFormat="1" applyFont="1" applyFill="1" applyBorder="1" applyAlignment="1">
      <alignment horizontal="left"/>
    </xf>
    <xf numFmtId="16" fontId="9" fillId="5" borderId="23" xfId="0" quotePrefix="1" applyNumberFormat="1" applyFont="1" applyFill="1" applyBorder="1" applyAlignment="1">
      <alignment horizontal="left"/>
    </xf>
    <xf numFmtId="16" fontId="9" fillId="5" borderId="24" xfId="0" quotePrefix="1" applyNumberFormat="1" applyFont="1" applyFill="1" applyBorder="1" applyAlignment="1">
      <alignment horizontal="left"/>
    </xf>
    <xf numFmtId="0" fontId="7" fillId="20" borderId="12" xfId="0" applyFont="1" applyFill="1" applyBorder="1" applyAlignment="1">
      <alignment horizontal="left" vertical="center" wrapText="1"/>
    </xf>
    <xf numFmtId="0" fontId="7" fillId="20" borderId="13" xfId="0" applyFont="1" applyFill="1" applyBorder="1" applyAlignment="1">
      <alignment horizontal="left" vertical="center" wrapText="1"/>
    </xf>
    <xf numFmtId="0" fontId="7" fillId="20" borderId="14" xfId="0" applyFont="1" applyFill="1" applyBorder="1" applyAlignment="1">
      <alignment horizontal="left" vertical="center" wrapText="1"/>
    </xf>
    <xf numFmtId="0" fontId="32" fillId="4" borderId="12" xfId="0" applyFont="1" applyFill="1" applyBorder="1" applyAlignment="1">
      <alignment horizontal="left"/>
    </xf>
    <xf numFmtId="0" fontId="32" fillId="4" borderId="13" xfId="0" applyFont="1" applyFill="1" applyBorder="1" applyAlignment="1">
      <alignment horizontal="left"/>
    </xf>
    <xf numFmtId="0" fontId="32" fillId="4" borderId="14" xfId="0" applyFont="1" applyFill="1" applyBorder="1" applyAlignment="1">
      <alignment horizontal="left"/>
    </xf>
    <xf numFmtId="16" fontId="6" fillId="5" borderId="23" xfId="0" quotePrefix="1" applyNumberFormat="1" applyFont="1" applyFill="1" applyBorder="1" applyAlignment="1">
      <alignment horizontal="left"/>
    </xf>
    <xf numFmtId="16" fontId="6" fillId="5" borderId="24" xfId="0" quotePrefix="1" applyNumberFormat="1" applyFont="1" applyFill="1" applyBorder="1" applyAlignment="1">
      <alignment horizontal="left"/>
    </xf>
    <xf numFmtId="0" fontId="9" fillId="5" borderId="12"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14" xfId="0" applyFont="1" applyFill="1" applyBorder="1" applyAlignment="1">
      <alignment horizontal="left" vertical="center" wrapText="1"/>
    </xf>
    <xf numFmtId="0" fontId="21" fillId="14" borderId="12" xfId="1" applyFont="1" applyFill="1" applyBorder="1" applyAlignment="1">
      <alignment horizontal="left" vertical="top" wrapText="1"/>
    </xf>
    <xf numFmtId="0" fontId="21" fillId="14" borderId="13" xfId="1" applyFont="1" applyFill="1" applyBorder="1" applyAlignment="1">
      <alignment horizontal="left" vertical="top" wrapText="1"/>
    </xf>
    <xf numFmtId="0" fontId="25" fillId="0" borderId="0" xfId="0" applyFont="1" applyAlignment="1">
      <alignment horizontal="center"/>
    </xf>
    <xf numFmtId="0" fontId="2" fillId="0" borderId="0" xfId="0" applyFont="1" applyFill="1" applyBorder="1" applyAlignment="1">
      <alignment horizontal="center" vertical="center" wrapText="1"/>
    </xf>
    <xf numFmtId="0" fontId="9" fillId="4" borderId="23" xfId="0" applyFont="1" applyFill="1" applyBorder="1" applyAlignment="1">
      <alignment horizontal="left" vertical="center" wrapText="1"/>
    </xf>
    <xf numFmtId="0" fontId="9" fillId="4" borderId="24" xfId="0" applyFont="1" applyFill="1" applyBorder="1" applyAlignment="1">
      <alignment horizontal="left" vertical="center" wrapText="1"/>
    </xf>
    <xf numFmtId="0" fontId="6" fillId="7" borderId="23" xfId="0" applyFont="1" applyFill="1" applyBorder="1" applyAlignment="1">
      <alignment horizontal="center" vertical="center"/>
    </xf>
    <xf numFmtId="0" fontId="6" fillId="7" borderId="24" xfId="0" applyFont="1" applyFill="1" applyBorder="1" applyAlignment="1">
      <alignment horizontal="center" vertical="center"/>
    </xf>
    <xf numFmtId="0" fontId="6" fillId="5" borderId="23" xfId="0" applyFont="1" applyFill="1" applyBorder="1" applyAlignment="1">
      <alignment horizontal="left" vertical="center" wrapText="1"/>
    </xf>
    <xf numFmtId="0" fontId="6" fillId="5" borderId="24" xfId="0" applyFont="1" applyFill="1" applyBorder="1" applyAlignment="1">
      <alignment horizontal="left" vertical="center" wrapText="1"/>
    </xf>
    <xf numFmtId="16" fontId="6" fillId="5" borderId="12" xfId="0" quotePrefix="1" applyNumberFormat="1" applyFont="1" applyFill="1" applyBorder="1" applyAlignment="1">
      <alignment horizontal="left"/>
    </xf>
    <xf numFmtId="16" fontId="6" fillId="5" borderId="13" xfId="0" quotePrefix="1" applyNumberFormat="1" applyFont="1" applyFill="1" applyBorder="1" applyAlignment="1">
      <alignment horizontal="left"/>
    </xf>
    <xf numFmtId="16" fontId="6" fillId="5" borderId="14" xfId="0" quotePrefix="1" applyNumberFormat="1" applyFont="1" applyFill="1" applyBorder="1" applyAlignment="1">
      <alignment horizontal="left"/>
    </xf>
    <xf numFmtId="0" fontId="6" fillId="5" borderId="12" xfId="0" applyFont="1" applyFill="1" applyBorder="1" applyAlignment="1">
      <alignment horizontal="left" vertical="center" wrapText="1"/>
    </xf>
    <xf numFmtId="0" fontId="6" fillId="5" borderId="13"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11" fillId="0" borderId="0" xfId="0" applyFont="1" applyAlignment="1">
      <alignment horizontal="center"/>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13"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6" fillId="3" borderId="52"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0" borderId="0" xfId="0" applyFont="1" applyAlignment="1">
      <alignment horizontal="center"/>
    </xf>
    <xf numFmtId="0" fontId="4" fillId="0" borderId="49" xfId="0" applyFont="1" applyBorder="1" applyAlignment="1">
      <alignment horizontal="center" vertical="center" wrapText="1"/>
    </xf>
    <xf numFmtId="0" fontId="4" fillId="0" borderId="14" xfId="0" applyFont="1" applyBorder="1" applyAlignment="1">
      <alignment horizontal="center" vertical="center" wrapText="1"/>
    </xf>
    <xf numFmtId="0" fontId="6" fillId="7" borderId="12" xfId="0" applyFont="1" applyFill="1" applyBorder="1" applyAlignment="1">
      <alignment horizontal="center" vertical="center"/>
    </xf>
    <xf numFmtId="0" fontId="6" fillId="7" borderId="13" xfId="0" applyFont="1" applyFill="1" applyBorder="1" applyAlignment="1">
      <alignment horizontal="center" vertical="center"/>
    </xf>
    <xf numFmtId="0" fontId="6" fillId="7" borderId="14" xfId="0" applyFont="1" applyFill="1" applyBorder="1" applyAlignment="1">
      <alignment horizontal="center" vertical="center"/>
    </xf>
    <xf numFmtId="0" fontId="6" fillId="4" borderId="23" xfId="0" applyFont="1" applyFill="1" applyBorder="1" applyAlignment="1">
      <alignment horizontal="left" vertical="center" wrapText="1"/>
    </xf>
    <xf numFmtId="0" fontId="6" fillId="4" borderId="24" xfId="0" applyFont="1" applyFill="1" applyBorder="1" applyAlignment="1">
      <alignment horizontal="left" vertical="center" wrapText="1"/>
    </xf>
    <xf numFmtId="0" fontId="4" fillId="0" borderId="0" xfId="0" applyFont="1" applyAlignment="1">
      <alignment horizontal="center"/>
    </xf>
    <xf numFmtId="0" fontId="6" fillId="3" borderId="42" xfId="0" applyFont="1" applyFill="1" applyBorder="1" applyAlignment="1">
      <alignment horizontal="center" vertical="center" wrapText="1"/>
    </xf>
    <xf numFmtId="0" fontId="6" fillId="7" borderId="18" xfId="4" applyFont="1" applyFill="1" applyBorder="1" applyAlignment="1">
      <alignment horizontal="center" vertical="center"/>
    </xf>
    <xf numFmtId="0" fontId="6" fillId="7" borderId="19" xfId="4" applyFont="1" applyFill="1" applyBorder="1" applyAlignment="1">
      <alignment horizontal="center" vertical="center"/>
    </xf>
    <xf numFmtId="0" fontId="6" fillId="7" borderId="41" xfId="4" applyFont="1" applyFill="1" applyBorder="1" applyAlignment="1">
      <alignment horizontal="center" vertical="center"/>
    </xf>
    <xf numFmtId="0" fontId="16" fillId="0" borderId="0" xfId="4" applyFont="1" applyAlignment="1">
      <alignment horizontal="center" wrapText="1"/>
    </xf>
    <xf numFmtId="0" fontId="16" fillId="0" borderId="1" xfId="4" applyFont="1" applyBorder="1" applyAlignment="1">
      <alignment horizontal="center"/>
    </xf>
    <xf numFmtId="0" fontId="16" fillId="0" borderId="2" xfId="4" applyFont="1" applyBorder="1" applyAlignment="1">
      <alignment horizontal="center"/>
    </xf>
    <xf numFmtId="0" fontId="16" fillId="0" borderId="49" xfId="4" applyFont="1" applyBorder="1" applyAlignment="1">
      <alignment horizontal="center"/>
    </xf>
    <xf numFmtId="0" fontId="17" fillId="0" borderId="12" xfId="4" applyFont="1" applyBorder="1" applyAlignment="1">
      <alignment horizontal="center" vertical="center" wrapText="1"/>
    </xf>
    <xf numFmtId="0" fontId="17" fillId="0" borderId="15" xfId="4" applyFont="1" applyBorder="1" applyAlignment="1">
      <alignment horizontal="center" vertical="center" wrapText="1"/>
    </xf>
    <xf numFmtId="0" fontId="17" fillId="0" borderId="13" xfId="4" applyFont="1" applyBorder="1" applyAlignment="1">
      <alignment horizontal="center" vertical="center" wrapText="1"/>
    </xf>
    <xf numFmtId="0" fontId="17" fillId="0" borderId="16" xfId="4" applyFont="1" applyBorder="1" applyAlignment="1">
      <alignment horizontal="center" vertical="center" wrapText="1"/>
    </xf>
    <xf numFmtId="0" fontId="17" fillId="0" borderId="20" xfId="4" applyFont="1" applyBorder="1" applyAlignment="1">
      <alignment horizontal="center" vertical="center" wrapText="1"/>
    </xf>
    <xf numFmtId="0" fontId="17" fillId="0" borderId="21" xfId="4" applyFont="1" applyBorder="1" applyAlignment="1">
      <alignment horizontal="center" vertical="center" wrapText="1"/>
    </xf>
    <xf numFmtId="0" fontId="35" fillId="0" borderId="0" xfId="0" applyFont="1" applyFill="1" applyBorder="1" applyAlignment="1">
      <alignment horizontal="center"/>
    </xf>
    <xf numFmtId="0" fontId="9" fillId="5" borderId="23"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4" borderId="14" xfId="0" applyFont="1" applyFill="1" applyBorder="1" applyAlignment="1">
      <alignment horizontal="left" vertical="center"/>
    </xf>
    <xf numFmtId="0" fontId="6" fillId="7" borderId="1" xfId="0" applyFont="1" applyFill="1" applyBorder="1" applyAlignment="1">
      <alignment horizontal="center" vertical="center" wrapText="1"/>
    </xf>
    <xf numFmtId="0" fontId="6" fillId="7" borderId="2" xfId="0" applyFont="1" applyFill="1" applyBorder="1" applyAlignment="1">
      <alignment horizontal="center" vertical="center" wrapText="1"/>
    </xf>
    <xf numFmtId="0" fontId="6" fillId="7" borderId="49" xfId="0" applyFont="1" applyFill="1" applyBorder="1" applyAlignment="1">
      <alignment horizontal="center" vertical="center" wrapText="1"/>
    </xf>
    <xf numFmtId="16" fontId="6" fillId="5" borderId="12" xfId="0" quotePrefix="1" applyNumberFormat="1" applyFont="1" applyFill="1" applyBorder="1" applyAlignment="1">
      <alignment horizontal="left" vertical="center" wrapText="1"/>
    </xf>
    <xf numFmtId="16" fontId="6" fillId="5" borderId="13" xfId="0" quotePrefix="1" applyNumberFormat="1" applyFont="1" applyFill="1" applyBorder="1" applyAlignment="1">
      <alignment horizontal="left" vertical="center" wrapText="1"/>
    </xf>
    <xf numFmtId="16" fontId="6" fillId="5" borderId="14" xfId="0" quotePrefix="1" applyNumberFormat="1" applyFont="1" applyFill="1" applyBorder="1" applyAlignment="1">
      <alignment horizontal="left" vertical="center" wrapText="1"/>
    </xf>
    <xf numFmtId="0" fontId="6" fillId="7" borderId="9" xfId="0" applyFont="1" applyFill="1" applyBorder="1" applyAlignment="1">
      <alignment horizontal="center" vertical="center"/>
    </xf>
    <xf numFmtId="0" fontId="6" fillId="7" borderId="10" xfId="0" applyFont="1" applyFill="1" applyBorder="1" applyAlignment="1">
      <alignment horizontal="center" vertical="center"/>
    </xf>
    <xf numFmtId="0" fontId="7" fillId="4" borderId="23" xfId="0" applyFont="1" applyFill="1" applyBorder="1" applyAlignment="1">
      <alignment horizontal="left" vertical="center" wrapText="1"/>
    </xf>
    <xf numFmtId="0" fontId="7" fillId="4" borderId="24" xfId="0" applyFont="1" applyFill="1" applyBorder="1" applyAlignment="1">
      <alignment horizontal="left" vertical="center" wrapText="1"/>
    </xf>
    <xf numFmtId="0" fontId="1" fillId="0" borderId="0" xfId="0" applyFont="1" applyBorder="1" applyAlignment="1">
      <alignment horizontal="center" vertical="center" wrapText="1"/>
    </xf>
    <xf numFmtId="0" fontId="7" fillId="4" borderId="25" xfId="0" applyFont="1" applyFill="1" applyBorder="1" applyAlignment="1">
      <alignment horizontal="left" vertical="center" wrapText="1"/>
    </xf>
    <xf numFmtId="0" fontId="0" fillId="0" borderId="13" xfId="0" applyBorder="1" applyAlignment="1">
      <alignment horizontal="center"/>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16" fillId="0" borderId="9" xfId="0" applyFont="1" applyFill="1" applyBorder="1" applyAlignment="1">
      <alignment horizontal="center"/>
    </xf>
    <xf numFmtId="0" fontId="16" fillId="0" borderId="10" xfId="0" applyFont="1" applyFill="1" applyBorder="1" applyAlignment="1">
      <alignment horizontal="center"/>
    </xf>
    <xf numFmtId="0" fontId="16" fillId="0" borderId="26" xfId="0" applyFont="1" applyFill="1" applyBorder="1" applyAlignment="1">
      <alignment horizontal="center"/>
    </xf>
    <xf numFmtId="0" fontId="7" fillId="4" borderId="9"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164" fontId="17" fillId="0" borderId="13" xfId="0" applyNumberFormat="1" applyFont="1" applyBorder="1" applyAlignment="1">
      <alignment horizontal="center" vertical="center" wrapText="1"/>
    </xf>
    <xf numFmtId="164" fontId="17" fillId="0" borderId="16"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7" xfId="0" applyFont="1" applyBorder="1" applyAlignment="1">
      <alignment horizontal="center" vertical="center" wrapText="1"/>
    </xf>
    <xf numFmtId="0" fontId="38" fillId="0" borderId="0" xfId="0" applyFont="1" applyAlignment="1">
      <alignment horizontal="center"/>
    </xf>
    <xf numFmtId="0" fontId="16" fillId="0" borderId="0" xfId="0" applyFont="1" applyFill="1" applyBorder="1" applyAlignment="1">
      <alignment horizontal="center" vertical="center" wrapText="1"/>
    </xf>
    <xf numFmtId="0" fontId="12" fillId="0" borderId="0" xfId="0" applyFont="1" applyAlignment="1">
      <alignment horizontal="center"/>
    </xf>
    <xf numFmtId="0" fontId="6" fillId="7" borderId="34" xfId="0" applyFont="1" applyFill="1" applyBorder="1" applyAlignment="1">
      <alignment horizontal="center" vertical="center"/>
    </xf>
    <xf numFmtId="0" fontId="6" fillId="7" borderId="35" xfId="0" applyFont="1" applyFill="1" applyBorder="1" applyAlignment="1">
      <alignment horizontal="center" vertical="center"/>
    </xf>
    <xf numFmtId="0" fontId="6" fillId="7" borderId="58" xfId="0" applyFont="1" applyFill="1" applyBorder="1" applyAlignment="1">
      <alignment horizontal="center" vertical="center"/>
    </xf>
    <xf numFmtId="0" fontId="7" fillId="11" borderId="23" xfId="0" applyFont="1" applyFill="1" applyBorder="1" applyAlignment="1">
      <alignment horizontal="center" vertical="center" wrapText="1"/>
    </xf>
    <xf numFmtId="0" fontId="7" fillId="11" borderId="24" xfId="0" applyFont="1" applyFill="1" applyBorder="1" applyAlignment="1">
      <alignment horizontal="center" vertical="center" wrapText="1"/>
    </xf>
    <xf numFmtId="0" fontId="7" fillId="11" borderId="25"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8" xfId="0" applyFont="1" applyFill="1" applyBorder="1" applyAlignment="1">
      <alignment horizontal="center" vertical="center" wrapText="1"/>
    </xf>
    <xf numFmtId="0" fontId="6" fillId="10" borderId="22" xfId="0" applyFont="1" applyFill="1" applyBorder="1" applyAlignment="1">
      <alignment horizontal="left" vertical="center" wrapText="1"/>
    </xf>
    <xf numFmtId="0" fontId="6" fillId="10" borderId="0" xfId="0" applyFont="1" applyFill="1" applyBorder="1" applyAlignment="1">
      <alignment horizontal="left" vertical="center" wrapText="1"/>
    </xf>
    <xf numFmtId="0" fontId="6" fillId="10" borderId="57" xfId="0" applyFont="1" applyFill="1" applyBorder="1" applyAlignment="1">
      <alignment horizontal="left" vertical="center" wrapText="1"/>
    </xf>
    <xf numFmtId="0" fontId="6" fillId="10" borderId="22" xfId="0" quotePrefix="1" applyFont="1" applyFill="1" applyBorder="1" applyAlignment="1">
      <alignment horizontal="left" vertical="center" wrapText="1"/>
    </xf>
    <xf numFmtId="0" fontId="4" fillId="10" borderId="0" xfId="0" applyFont="1" applyFill="1" applyBorder="1" applyAlignment="1">
      <alignment horizontal="left" vertical="center" wrapText="1"/>
    </xf>
    <xf numFmtId="0" fontId="4" fillId="10" borderId="57" xfId="0" applyFont="1" applyFill="1" applyBorder="1" applyAlignment="1">
      <alignment horizontal="left" vertical="center" wrapText="1"/>
    </xf>
    <xf numFmtId="0" fontId="6" fillId="27" borderId="34" xfId="0" applyFont="1" applyFill="1" applyBorder="1" applyAlignment="1">
      <alignment horizontal="left" wrapText="1"/>
    </xf>
    <xf numFmtId="0" fontId="6" fillId="27" borderId="35" xfId="0" applyFont="1" applyFill="1" applyBorder="1" applyAlignment="1">
      <alignment horizontal="left" wrapText="1"/>
    </xf>
    <xf numFmtId="0" fontId="6" fillId="27" borderId="58" xfId="0" applyFont="1" applyFill="1" applyBorder="1" applyAlignment="1">
      <alignment horizontal="left" wrapText="1"/>
    </xf>
    <xf numFmtId="0" fontId="6" fillId="27" borderId="57" xfId="0" applyFont="1" applyFill="1" applyBorder="1" applyAlignment="1">
      <alignment horizontal="left" wrapText="1"/>
    </xf>
    <xf numFmtId="0" fontId="21" fillId="27" borderId="23" xfId="0" applyFont="1" applyFill="1" applyBorder="1" applyAlignment="1">
      <alignment horizontal="left" wrapText="1"/>
    </xf>
    <xf numFmtId="0" fontId="21" fillId="27" borderId="24" xfId="0" applyFont="1" applyFill="1" applyBorder="1" applyAlignment="1">
      <alignment horizontal="left" wrapText="1"/>
    </xf>
    <xf numFmtId="0" fontId="21" fillId="27" borderId="57" xfId="0" applyFont="1" applyFill="1" applyBorder="1" applyAlignment="1">
      <alignment horizontal="left"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6" fillId="27" borderId="23" xfId="0" applyFont="1" applyFill="1" applyBorder="1" applyAlignment="1">
      <alignment horizontal="left" wrapText="1"/>
    </xf>
    <xf numFmtId="0" fontId="6" fillId="27" borderId="24" xfId="0" applyFont="1" applyFill="1" applyBorder="1" applyAlignment="1">
      <alignment horizontal="left" wrapText="1"/>
    </xf>
    <xf numFmtId="0" fontId="6" fillId="27" borderId="25" xfId="0" applyFont="1" applyFill="1" applyBorder="1" applyAlignment="1">
      <alignment horizontal="left" wrapText="1"/>
    </xf>
    <xf numFmtId="0" fontId="21" fillId="27" borderId="25" xfId="0" applyFont="1" applyFill="1" applyBorder="1" applyAlignment="1">
      <alignment horizontal="left" wrapText="1"/>
    </xf>
    <xf numFmtId="0" fontId="21" fillId="27" borderId="58" xfId="0" applyFont="1" applyFill="1" applyBorder="1" applyAlignment="1">
      <alignment horizontal="left" wrapText="1"/>
    </xf>
    <xf numFmtId="0" fontId="36" fillId="0" borderId="0" xfId="0" applyFont="1" applyAlignment="1">
      <alignment horizontal="center"/>
    </xf>
    <xf numFmtId="0" fontId="83" fillId="0" borderId="0" xfId="0" applyFont="1" applyAlignment="1">
      <alignment horizontal="center" wrapText="1"/>
    </xf>
    <xf numFmtId="0" fontId="6" fillId="18" borderId="18" xfId="0" applyFont="1" applyFill="1" applyBorder="1" applyAlignment="1">
      <alignment horizontal="left" vertical="center"/>
    </xf>
    <xf numFmtId="0" fontId="6" fillId="18" borderId="19" xfId="0" applyFont="1" applyFill="1" applyBorder="1" applyAlignment="1">
      <alignment horizontal="left" vertical="center"/>
    </xf>
    <xf numFmtId="0" fontId="6" fillId="18" borderId="27" xfId="0" applyFont="1" applyFill="1" applyBorder="1" applyAlignment="1">
      <alignment horizontal="left" vertical="center"/>
    </xf>
    <xf numFmtId="0" fontId="82" fillId="3" borderId="53" xfId="0" applyFont="1" applyFill="1" applyBorder="1" applyAlignment="1">
      <alignment horizontal="center" vertical="center" wrapText="1"/>
    </xf>
    <xf numFmtId="0" fontId="82" fillId="3" borderId="42" xfId="0" applyFont="1" applyFill="1" applyBorder="1" applyAlignment="1">
      <alignment horizontal="center" vertical="center" wrapText="1"/>
    </xf>
    <xf numFmtId="0" fontId="16" fillId="0" borderId="0" xfId="0" applyFont="1" applyFill="1" applyBorder="1" applyAlignment="1">
      <alignment horizontal="center" wrapText="1"/>
    </xf>
    <xf numFmtId="0" fontId="34" fillId="0" borderId="56"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39" xfId="0" applyFont="1" applyFill="1" applyBorder="1" applyAlignment="1">
      <alignment horizontal="center" vertical="center" wrapText="1"/>
    </xf>
    <xf numFmtId="0" fontId="34" fillId="0" borderId="48" xfId="0" applyFont="1" applyFill="1" applyBorder="1" applyAlignment="1">
      <alignment horizontal="center" vertical="center" wrapText="1"/>
    </xf>
    <xf numFmtId="0" fontId="16" fillId="0" borderId="0" xfId="0" applyFont="1" applyFill="1" applyBorder="1" applyAlignment="1">
      <alignment horizontal="left" wrapText="1"/>
    </xf>
    <xf numFmtId="0" fontId="16" fillId="0" borderId="18" xfId="0" applyFont="1" applyFill="1" applyBorder="1" applyAlignment="1">
      <alignment horizontal="center"/>
    </xf>
    <xf numFmtId="0" fontId="16" fillId="0" borderId="19" xfId="0" applyFont="1" applyFill="1" applyBorder="1" applyAlignment="1">
      <alignment horizontal="center"/>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21" xfId="0" applyFont="1" applyBorder="1" applyAlignment="1">
      <alignment horizontal="center" vertical="center" wrapText="1"/>
    </xf>
    <xf numFmtId="0" fontId="116" fillId="0" borderId="13" xfId="0" applyFont="1" applyBorder="1" applyAlignment="1">
      <alignment horizontal="center" vertical="top" wrapText="1"/>
    </xf>
    <xf numFmtId="0" fontId="116" fillId="0" borderId="13" xfId="0" applyFont="1" applyFill="1" applyBorder="1" applyAlignment="1">
      <alignment horizontal="center" vertical="top" wrapText="1"/>
    </xf>
    <xf numFmtId="14" fontId="38" fillId="0" borderId="0" xfId="0" quotePrefix="1" applyNumberFormat="1" applyFont="1" applyAlignment="1">
      <alignment horizontal="left" wrapText="1"/>
    </xf>
    <xf numFmtId="0" fontId="44" fillId="0" borderId="0" xfId="0" applyFont="1" applyAlignment="1">
      <alignment horizontal="center"/>
    </xf>
    <xf numFmtId="0" fontId="49" fillId="0" borderId="13" xfId="0" applyFont="1" applyBorder="1" applyAlignment="1">
      <alignment horizontal="center" vertical="center" wrapText="1"/>
    </xf>
    <xf numFmtId="0" fontId="44" fillId="5" borderId="13" xfId="0" applyFont="1" applyFill="1" applyBorder="1" applyAlignment="1">
      <alignment horizontal="left" vertical="center" wrapText="1"/>
    </xf>
    <xf numFmtId="4" fontId="49" fillId="0" borderId="13" xfId="0" applyNumberFormat="1" applyFont="1" applyBorder="1" applyAlignment="1">
      <alignment horizontal="center" vertical="center" wrapText="1"/>
    </xf>
    <xf numFmtId="0" fontId="74" fillId="0" borderId="13" xfId="0" applyFont="1" applyBorder="1" applyAlignment="1">
      <alignment horizontal="center" vertical="center" wrapText="1"/>
    </xf>
    <xf numFmtId="14" fontId="43" fillId="0" borderId="0" xfId="0" quotePrefix="1" applyNumberFormat="1" applyFont="1" applyAlignment="1">
      <alignment horizontal="left" wrapText="1"/>
    </xf>
    <xf numFmtId="3" fontId="44" fillId="22" borderId="13" xfId="0" applyNumberFormat="1" applyFont="1" applyFill="1" applyBorder="1" applyAlignment="1">
      <alignment horizontal="right" vertical="center" wrapText="1" readingOrder="1"/>
    </xf>
    <xf numFmtId="0" fontId="49" fillId="0" borderId="13" xfId="0" applyFont="1" applyFill="1" applyBorder="1" applyAlignment="1">
      <alignment horizontal="center" vertical="center" wrapText="1"/>
    </xf>
    <xf numFmtId="0" fontId="69" fillId="0" borderId="13" xfId="0" applyFont="1" applyBorder="1" applyAlignment="1">
      <alignment horizontal="right" wrapText="1" readingOrder="1"/>
    </xf>
    <xf numFmtId="0" fontId="44" fillId="0" borderId="14" xfId="0" applyFont="1" applyBorder="1" applyAlignment="1">
      <alignment horizontal="right" wrapText="1" readingOrder="1"/>
    </xf>
    <xf numFmtId="0" fontId="44" fillId="0" borderId="24" xfId="0" applyFont="1" applyBorder="1" applyAlignment="1">
      <alignment horizontal="right" wrapText="1" readingOrder="1"/>
    </xf>
    <xf numFmtId="0" fontId="44" fillId="0" borderId="33" xfId="0" applyFont="1" applyBorder="1" applyAlignment="1">
      <alignment horizontal="right" wrapText="1" readingOrder="1"/>
    </xf>
    <xf numFmtId="3" fontId="122" fillId="0" borderId="13" xfId="0" applyNumberFormat="1" applyFont="1" applyBorder="1" applyAlignment="1">
      <alignment horizontal="center" vertical="center" wrapText="1"/>
    </xf>
    <xf numFmtId="0" fontId="43" fillId="0" borderId="0" xfId="0" applyFont="1" applyAlignment="1">
      <alignment horizontal="center"/>
    </xf>
  </cellXfs>
  <cellStyles count="20">
    <cellStyle name="Excel Built-in Normal" xfId="1" xr:uid="{14C84ADE-DD2B-4C23-953D-93DA5ECCB0BA}"/>
    <cellStyle name="Normal" xfId="0" builtinId="0"/>
    <cellStyle name="Normal 10 2" xfId="14" xr:uid="{366D8435-2694-4E3E-8552-A8503A34C34E}"/>
    <cellStyle name="Normal 14 2" xfId="12" xr:uid="{62013C79-685B-4EB1-81D3-06CF6DA1A7A6}"/>
    <cellStyle name="Normal 2" xfId="4" xr:uid="{B922C458-E73B-44A0-9912-D6193DD7A699}"/>
    <cellStyle name="Normal 2 2 2" xfId="6" xr:uid="{E3BE130D-48B6-4268-BA72-B5F020B49AE5}"/>
    <cellStyle name="Normal 2 2 2 2" xfId="10" xr:uid="{940F33D7-95EA-44DD-ADDE-1E5125BC0603}"/>
    <cellStyle name="Normal 2 3" xfId="7" xr:uid="{0C4E759A-E679-4B9E-8218-EEA7E5189F9D}"/>
    <cellStyle name="Normal 24 2 3 4 2 2 3 6 2" xfId="19" xr:uid="{86BBE06E-67BD-4B07-A427-8AFE2A2D9CBB}"/>
    <cellStyle name="Normal 24 2 3 4 2 2 3 6 3" xfId="16" xr:uid="{798B172C-2014-49CC-8D78-13BE4276FAE7}"/>
    <cellStyle name="Normal 24 2 3 4 2 2 7 3 2 2 4" xfId="18" xr:uid="{6CBCB452-5F45-4B06-BC33-0ABEC8C6FB2F}"/>
    <cellStyle name="Normal 24 2 3 4 2 2 7 3 2 4" xfId="17" xr:uid="{5078D0A5-7C44-44A4-B2BF-446E36FE8D76}"/>
    <cellStyle name="Normal 24 2 3 4 2 3 6 2 3 2 2 5" xfId="15" xr:uid="{DC7B9B23-86C9-4907-9890-B94195AC599A}"/>
    <cellStyle name="Normal 3" xfId="11" xr:uid="{74C3F255-FFFD-4C52-B762-75414AD83E1D}"/>
    <cellStyle name="Normal 4" xfId="9" xr:uid="{DB1F6146-BC69-4316-9511-C05E9AAF58BE}"/>
    <cellStyle name="Normal 5" xfId="8" xr:uid="{80AF9E37-B077-40F3-B5C3-C118354B4063}"/>
    <cellStyle name="Normal 92" xfId="13" xr:uid="{779A7C70-2F8C-4241-BAB8-5F00FE4F47F6}"/>
    <cellStyle name="Normal_Sheet1" xfId="2" xr:uid="{9F5AAA43-067A-440C-B3DC-1D79E0C5CEA8}"/>
    <cellStyle name="Normal_Sheet1 2" xfId="5" xr:uid="{F16DE1DF-8ACC-425F-8713-96237E6BA353}"/>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direct_profiles/VM_Sandra_Kasparenko/My%20Documents/Budzets_2019/Budzeta_projekts/Prioritarie_pasakumi_2019-2021/VMvestp1_xx0818_PP_2019-2021%20PRO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_H"/>
      <sheetName val="02_H"/>
      <sheetName val="01_P"/>
      <sheetName val="02_P"/>
      <sheetName val="03_P"/>
      <sheetName val="04_P"/>
      <sheetName val="05_P"/>
      <sheetName val="06_P"/>
      <sheetName val="07_P"/>
      <sheetName val="08_P"/>
      <sheetName val="09_P"/>
      <sheetName val="10_P"/>
      <sheetName val="11_P"/>
      <sheetName val="12_P"/>
      <sheetName val="13_P"/>
      <sheetName val="14_P"/>
      <sheetName val="15_P"/>
      <sheetName val="16_P"/>
      <sheetName val="17_P"/>
      <sheetName val="18_P"/>
      <sheetName val="19_P"/>
      <sheetName val="20_P"/>
      <sheetName val="21_P"/>
      <sheetName val="22_P"/>
      <sheetName val="23_P"/>
      <sheetName val="24_P"/>
      <sheetName val="25_P"/>
      <sheetName val="26_P"/>
      <sheetName val="27_P"/>
      <sheetName val="28_P"/>
      <sheetName val="29_P"/>
      <sheetName val="30_P"/>
      <sheetName val="31_P"/>
      <sheetName val="32_P"/>
      <sheetName val="33_P"/>
      <sheetName val="34_P"/>
      <sheetName val="35_P"/>
      <sheetName val="36_P"/>
      <sheetName val="37_P"/>
      <sheetName val="38_P"/>
      <sheetName val="39_P"/>
      <sheetName val="40_P"/>
      <sheetName val="41_P"/>
      <sheetName val="42_P"/>
      <sheetName val="43_P"/>
      <sheetName val="44_P"/>
      <sheetName val="45_P"/>
      <sheetName val="46_P"/>
      <sheetName val="46_P (2)"/>
      <sheetName val="46_P (3)"/>
      <sheetName val="47_P"/>
      <sheetName val="48_P"/>
      <sheetName val="49_P"/>
      <sheetName val="KOPĀ"/>
      <sheetName val="Šablon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C4D5B-896F-48CF-8336-1E389F70A7E9}">
  <sheetPr>
    <tabColor theme="4" tint="0.39997558519241921"/>
  </sheetPr>
  <dimension ref="A1:CI80"/>
  <sheetViews>
    <sheetView tabSelected="1" zoomScale="80" zoomScaleNormal="80" workbookViewId="0">
      <pane ySplit="6" topLeftCell="A7" activePane="bottomLeft" state="frozen"/>
      <selection pane="bottomLeft" activeCell="AB5" sqref="AB5"/>
    </sheetView>
  </sheetViews>
  <sheetFormatPr defaultRowHeight="15"/>
  <cols>
    <col min="1" max="1" width="37.28515625" style="826" customWidth="1"/>
    <col min="2" max="2" width="16.7109375" style="810" customWidth="1"/>
    <col min="3" max="4" width="16.5703125" style="810" customWidth="1"/>
    <col min="5" max="5" width="9.140625" style="934"/>
    <col min="6" max="6" width="14.5703125" style="934" customWidth="1"/>
    <col min="7" max="87" width="9.140625" style="935"/>
    <col min="88" max="16384" width="9.140625" style="826"/>
  </cols>
  <sheetData>
    <row r="1" spans="1:87">
      <c r="D1" s="827"/>
    </row>
    <row r="3" spans="1:87" ht="84" customHeight="1">
      <c r="A3" s="1019" t="s">
        <v>683</v>
      </c>
      <c r="B3" s="1019"/>
      <c r="C3" s="1019"/>
      <c r="D3" s="1019"/>
    </row>
    <row r="4" spans="1:87">
      <c r="C4" s="795"/>
    </row>
    <row r="5" spans="1:87" ht="90">
      <c r="A5" s="828" t="s">
        <v>684</v>
      </c>
      <c r="B5" s="829" t="s">
        <v>685</v>
      </c>
      <c r="C5" s="829" t="s">
        <v>686</v>
      </c>
      <c r="D5" s="829" t="s">
        <v>714</v>
      </c>
    </row>
    <row r="6" spans="1:87" s="832" customFormat="1" ht="20.25" customHeight="1">
      <c r="A6" s="830"/>
      <c r="B6" s="831">
        <f>B7+B40</f>
        <v>183005047</v>
      </c>
      <c r="C6" s="831">
        <f t="shared" ref="C6:D6" si="0">C7+C40</f>
        <v>16000000</v>
      </c>
      <c r="D6" s="831">
        <f t="shared" si="0"/>
        <v>167005047</v>
      </c>
      <c r="E6" s="936"/>
      <c r="F6" s="936"/>
      <c r="G6" s="937"/>
      <c r="H6" s="937"/>
      <c r="I6" s="937"/>
      <c r="J6" s="937"/>
      <c r="K6" s="937"/>
      <c r="L6" s="937"/>
      <c r="M6" s="937"/>
      <c r="N6" s="937"/>
      <c r="O6" s="937"/>
      <c r="P6" s="937"/>
      <c r="Q6" s="937"/>
      <c r="R6" s="937"/>
      <c r="S6" s="937"/>
      <c r="T6" s="937"/>
      <c r="U6" s="937"/>
      <c r="V6" s="937"/>
      <c r="W6" s="937"/>
      <c r="X6" s="937"/>
      <c r="Y6" s="937"/>
      <c r="Z6" s="937"/>
      <c r="AA6" s="937"/>
      <c r="AB6" s="937"/>
      <c r="AC6" s="937"/>
      <c r="AD6" s="937"/>
      <c r="AE6" s="937"/>
      <c r="AF6" s="937"/>
      <c r="AG6" s="937"/>
      <c r="AH6" s="937"/>
      <c r="AI6" s="937"/>
      <c r="AJ6" s="937"/>
      <c r="AK6" s="937"/>
      <c r="AL6" s="937"/>
      <c r="AM6" s="937"/>
      <c r="AN6" s="937"/>
      <c r="AO6" s="937"/>
      <c r="AP6" s="937"/>
      <c r="AQ6" s="937"/>
      <c r="AR6" s="937"/>
      <c r="AS6" s="937"/>
      <c r="AT6" s="937"/>
      <c r="AU6" s="937"/>
      <c r="AV6" s="937"/>
      <c r="AW6" s="937"/>
      <c r="AX6" s="937"/>
      <c r="AY6" s="937"/>
      <c r="AZ6" s="937"/>
      <c r="BA6" s="937"/>
      <c r="BB6" s="937"/>
      <c r="BC6" s="937"/>
      <c r="BD6" s="937"/>
      <c r="BE6" s="937"/>
      <c r="BF6" s="937"/>
      <c r="BG6" s="937"/>
      <c r="BH6" s="937"/>
      <c r="BI6" s="937"/>
      <c r="BJ6" s="937"/>
      <c r="BK6" s="937"/>
      <c r="BL6" s="937"/>
      <c r="BM6" s="937"/>
      <c r="BN6" s="937"/>
      <c r="BO6" s="937"/>
      <c r="BP6" s="937"/>
      <c r="BQ6" s="937"/>
      <c r="BR6" s="937"/>
      <c r="BS6" s="937"/>
      <c r="BT6" s="937"/>
      <c r="BU6" s="937"/>
      <c r="BV6" s="937"/>
      <c r="BW6" s="937"/>
      <c r="BX6" s="937"/>
      <c r="BY6" s="937"/>
      <c r="BZ6" s="937"/>
      <c r="CA6" s="937"/>
      <c r="CB6" s="937"/>
      <c r="CC6" s="937"/>
      <c r="CD6" s="937"/>
      <c r="CE6" s="937"/>
      <c r="CF6" s="937"/>
      <c r="CG6" s="937"/>
      <c r="CH6" s="937"/>
      <c r="CI6" s="937"/>
    </row>
    <row r="7" spans="1:87" s="836" customFormat="1" ht="14.25">
      <c r="A7" s="833" t="s">
        <v>387</v>
      </c>
      <c r="B7" s="834">
        <f>B8+B10+B12+B14+B16+B18+B20+B23+B25+B27+B31+B33+B35+B37</f>
        <v>176697347</v>
      </c>
      <c r="C7" s="835">
        <f t="shared" ref="C7:D7" si="1">C8+C10+C12+C14+C16+C18+C20+C23+C25+C27+C31+C33+C35+C37</f>
        <v>14655203</v>
      </c>
      <c r="D7" s="834">
        <f t="shared" si="1"/>
        <v>162042144</v>
      </c>
      <c r="E7" s="936"/>
      <c r="F7" s="936"/>
      <c r="G7" s="937"/>
      <c r="H7" s="937"/>
      <c r="I7" s="937"/>
      <c r="J7" s="937"/>
      <c r="K7" s="937"/>
      <c r="L7" s="937"/>
      <c r="M7" s="937"/>
      <c r="N7" s="937"/>
      <c r="O7" s="937"/>
      <c r="P7" s="937"/>
      <c r="Q7" s="937"/>
      <c r="R7" s="937"/>
      <c r="S7" s="937"/>
      <c r="T7" s="937"/>
      <c r="U7" s="937"/>
      <c r="V7" s="937"/>
      <c r="W7" s="937"/>
      <c r="X7" s="937"/>
      <c r="Y7" s="937"/>
      <c r="Z7" s="937"/>
      <c r="AA7" s="937"/>
      <c r="AB7" s="937"/>
      <c r="AC7" s="937"/>
      <c r="AD7" s="937"/>
      <c r="AE7" s="937"/>
      <c r="AF7" s="937"/>
      <c r="AG7" s="937"/>
      <c r="AH7" s="937"/>
      <c r="AI7" s="937"/>
      <c r="AJ7" s="937"/>
      <c r="AK7" s="937"/>
      <c r="AL7" s="937"/>
      <c r="AM7" s="937"/>
      <c r="AN7" s="937"/>
      <c r="AO7" s="937"/>
      <c r="AP7" s="937"/>
      <c r="AQ7" s="937"/>
      <c r="AR7" s="937"/>
      <c r="AS7" s="937"/>
      <c r="AT7" s="937"/>
      <c r="AU7" s="937"/>
      <c r="AV7" s="937"/>
      <c r="AW7" s="937"/>
      <c r="AX7" s="937"/>
      <c r="AY7" s="937"/>
      <c r="AZ7" s="937"/>
      <c r="BA7" s="937"/>
      <c r="BB7" s="937"/>
      <c r="BC7" s="937"/>
      <c r="BD7" s="937"/>
      <c r="BE7" s="937"/>
      <c r="BF7" s="937"/>
      <c r="BG7" s="937"/>
      <c r="BH7" s="937"/>
      <c r="BI7" s="937"/>
      <c r="BJ7" s="937"/>
      <c r="BK7" s="937"/>
      <c r="BL7" s="937"/>
      <c r="BM7" s="937"/>
      <c r="BN7" s="937"/>
      <c r="BO7" s="937"/>
      <c r="BP7" s="937"/>
      <c r="BQ7" s="937"/>
      <c r="BR7" s="937"/>
      <c r="BS7" s="937"/>
      <c r="BT7" s="937"/>
      <c r="BU7" s="937"/>
      <c r="BV7" s="937"/>
      <c r="BW7" s="937"/>
      <c r="BX7" s="937"/>
      <c r="BY7" s="937"/>
      <c r="BZ7" s="937"/>
      <c r="CA7" s="937"/>
      <c r="CB7" s="937"/>
      <c r="CC7" s="937"/>
      <c r="CD7" s="937"/>
      <c r="CE7" s="937"/>
      <c r="CF7" s="937"/>
      <c r="CG7" s="937"/>
      <c r="CH7" s="937"/>
      <c r="CI7" s="937"/>
    </row>
    <row r="8" spans="1:87">
      <c r="A8" s="828" t="s">
        <v>687</v>
      </c>
      <c r="B8" s="829">
        <f>B9</f>
        <v>7313139</v>
      </c>
      <c r="C8" s="829">
        <f t="shared" ref="C8:D8" si="2">C9</f>
        <v>2701185</v>
      </c>
      <c r="D8" s="829">
        <f t="shared" si="2"/>
        <v>4611954</v>
      </c>
    </row>
    <row r="9" spans="1:87" s="839" customFormat="1">
      <c r="A9" s="837" t="s">
        <v>688</v>
      </c>
      <c r="B9" s="838">
        <f>SUM(C9:D9)</f>
        <v>7313139</v>
      </c>
      <c r="C9" s="838">
        <v>2701185</v>
      </c>
      <c r="D9" s="838">
        <v>4611954</v>
      </c>
      <c r="E9" s="938"/>
      <c r="F9" s="938"/>
      <c r="G9" s="939"/>
      <c r="H9" s="939"/>
      <c r="I9" s="939"/>
      <c r="J9" s="939"/>
      <c r="K9" s="939"/>
      <c r="L9" s="939"/>
      <c r="M9" s="939"/>
      <c r="N9" s="939"/>
      <c r="O9" s="939"/>
      <c r="P9" s="939"/>
      <c r="Q9" s="939"/>
      <c r="R9" s="939"/>
      <c r="S9" s="939"/>
      <c r="T9" s="939"/>
      <c r="U9" s="939"/>
      <c r="V9" s="939"/>
      <c r="W9" s="939"/>
      <c r="X9" s="939"/>
      <c r="Y9" s="939"/>
      <c r="Z9" s="939"/>
      <c r="AA9" s="939"/>
      <c r="AB9" s="939"/>
      <c r="AC9" s="939"/>
      <c r="AD9" s="939"/>
      <c r="AE9" s="939"/>
      <c r="AF9" s="939"/>
      <c r="AG9" s="939"/>
      <c r="AH9" s="939"/>
      <c r="AI9" s="939"/>
      <c r="AJ9" s="939"/>
      <c r="AK9" s="939"/>
      <c r="AL9" s="939"/>
      <c r="AM9" s="939"/>
      <c r="AN9" s="939"/>
      <c r="AO9" s="939"/>
      <c r="AP9" s="939"/>
      <c r="AQ9" s="939"/>
      <c r="AR9" s="939"/>
      <c r="AS9" s="939"/>
      <c r="AT9" s="939"/>
      <c r="AU9" s="939"/>
      <c r="AV9" s="939"/>
      <c r="AW9" s="939"/>
      <c r="AX9" s="939"/>
      <c r="AY9" s="939"/>
      <c r="AZ9" s="939"/>
      <c r="BA9" s="939"/>
      <c r="BB9" s="939"/>
      <c r="BC9" s="939"/>
      <c r="BD9" s="939"/>
      <c r="BE9" s="939"/>
      <c r="BF9" s="939"/>
      <c r="BG9" s="939"/>
      <c r="BH9" s="939"/>
      <c r="BI9" s="939"/>
      <c r="BJ9" s="939"/>
      <c r="BK9" s="939"/>
      <c r="BL9" s="939"/>
      <c r="BM9" s="939"/>
      <c r="BN9" s="939"/>
      <c r="BO9" s="939"/>
      <c r="BP9" s="939"/>
      <c r="BQ9" s="939"/>
      <c r="BR9" s="939"/>
      <c r="BS9" s="939"/>
      <c r="BT9" s="939"/>
      <c r="BU9" s="939"/>
      <c r="BV9" s="939"/>
      <c r="BW9" s="939"/>
      <c r="BX9" s="939"/>
      <c r="BY9" s="939"/>
      <c r="BZ9" s="939"/>
      <c r="CA9" s="939"/>
      <c r="CB9" s="939"/>
      <c r="CC9" s="939"/>
      <c r="CD9" s="939"/>
      <c r="CE9" s="939"/>
      <c r="CF9" s="939"/>
      <c r="CG9" s="939"/>
      <c r="CH9" s="939"/>
      <c r="CI9" s="939"/>
    </row>
    <row r="10" spans="1:87" ht="30">
      <c r="A10" s="828" t="s">
        <v>689</v>
      </c>
      <c r="B10" s="829">
        <f>B11</f>
        <v>28154069</v>
      </c>
      <c r="C10" s="829">
        <f t="shared" ref="C10:D10" si="3">C11</f>
        <v>4046491</v>
      </c>
      <c r="D10" s="829">
        <f t="shared" si="3"/>
        <v>24107578</v>
      </c>
    </row>
    <row r="11" spans="1:87" s="841" customFormat="1" ht="12.75">
      <c r="A11" s="837" t="s">
        <v>690</v>
      </c>
      <c r="B11" s="840">
        <f>SUM(C11:D11)</f>
        <v>28154069</v>
      </c>
      <c r="C11" s="840">
        <v>4046491</v>
      </c>
      <c r="D11" s="840">
        <v>24107578</v>
      </c>
      <c r="E11" s="940"/>
      <c r="F11" s="941"/>
      <c r="G11" s="943"/>
      <c r="H11" s="943"/>
      <c r="I11" s="943"/>
      <c r="J11" s="943"/>
      <c r="K11" s="943"/>
      <c r="L11" s="943"/>
      <c r="M11" s="943"/>
      <c r="N11" s="943"/>
      <c r="O11" s="943"/>
      <c r="P11" s="943"/>
      <c r="Q11" s="943"/>
      <c r="R11" s="943"/>
      <c r="S11" s="943"/>
      <c r="T11" s="943"/>
      <c r="U11" s="943"/>
      <c r="V11" s="943"/>
      <c r="W11" s="943"/>
      <c r="X11" s="943"/>
      <c r="Y11" s="943"/>
      <c r="Z11" s="943"/>
      <c r="AA11" s="943"/>
      <c r="AB11" s="943"/>
      <c r="AC11" s="943"/>
      <c r="AD11" s="943"/>
      <c r="AE11" s="943"/>
      <c r="AF11" s="943"/>
      <c r="AG11" s="943"/>
      <c r="AH11" s="943"/>
      <c r="AI11" s="943"/>
      <c r="AJ11" s="943"/>
      <c r="AK11" s="943"/>
      <c r="AL11" s="943"/>
      <c r="AM11" s="943"/>
      <c r="AN11" s="943"/>
      <c r="AO11" s="943"/>
      <c r="AP11" s="943"/>
      <c r="AQ11" s="943"/>
      <c r="AR11" s="943"/>
      <c r="AS11" s="943"/>
      <c r="AT11" s="943"/>
      <c r="AU11" s="943"/>
      <c r="AV11" s="943"/>
      <c r="AW11" s="943"/>
      <c r="AX11" s="943"/>
      <c r="AY11" s="943"/>
      <c r="AZ11" s="943"/>
      <c r="BA11" s="943"/>
      <c r="BB11" s="943"/>
      <c r="BC11" s="943"/>
      <c r="BD11" s="943"/>
      <c r="BE11" s="943"/>
      <c r="BF11" s="943"/>
      <c r="BG11" s="943"/>
      <c r="BH11" s="943"/>
      <c r="BI11" s="943"/>
      <c r="BJ11" s="943"/>
      <c r="BK11" s="943"/>
      <c r="BL11" s="943"/>
      <c r="BM11" s="943"/>
      <c r="BN11" s="943"/>
      <c r="BO11" s="943"/>
      <c r="BP11" s="943"/>
      <c r="BQ11" s="943"/>
      <c r="BR11" s="943"/>
      <c r="BS11" s="943"/>
      <c r="BT11" s="943"/>
      <c r="BU11" s="943"/>
      <c r="BV11" s="943"/>
      <c r="BW11" s="943"/>
      <c r="BX11" s="943"/>
      <c r="BY11" s="943"/>
      <c r="BZ11" s="943"/>
      <c r="CA11" s="943"/>
      <c r="CB11" s="943"/>
      <c r="CC11" s="943"/>
      <c r="CD11" s="943"/>
      <c r="CE11" s="943"/>
      <c r="CF11" s="943"/>
      <c r="CG11" s="943"/>
      <c r="CH11" s="943"/>
      <c r="CI11" s="943"/>
    </row>
    <row r="12" spans="1:87" ht="30">
      <c r="A12" s="828" t="s">
        <v>691</v>
      </c>
      <c r="B12" s="829">
        <f>B13</f>
        <v>5940771</v>
      </c>
      <c r="C12" s="829">
        <f t="shared" ref="C12:D12" si="4">C13</f>
        <v>1261936</v>
      </c>
      <c r="D12" s="829">
        <f t="shared" si="4"/>
        <v>4678835</v>
      </c>
      <c r="F12" s="941"/>
    </row>
    <row r="13" spans="1:87" s="841" customFormat="1" ht="12.75">
      <c r="A13" s="837" t="s">
        <v>690</v>
      </c>
      <c r="B13" s="840">
        <f>SUM(C13:D13)</f>
        <v>5940771</v>
      </c>
      <c r="C13" s="840">
        <v>1261936</v>
      </c>
      <c r="D13" s="840">
        <v>4678835</v>
      </c>
      <c r="E13" s="940"/>
      <c r="F13" s="944"/>
      <c r="G13" s="943"/>
      <c r="H13" s="943"/>
      <c r="I13" s="943"/>
      <c r="J13" s="943"/>
      <c r="K13" s="943"/>
      <c r="L13" s="943"/>
      <c r="M13" s="943"/>
      <c r="N13" s="943"/>
      <c r="O13" s="943"/>
      <c r="P13" s="943"/>
      <c r="Q13" s="943"/>
      <c r="R13" s="943"/>
      <c r="S13" s="943"/>
      <c r="T13" s="943"/>
      <c r="U13" s="943"/>
      <c r="V13" s="943"/>
      <c r="W13" s="943"/>
      <c r="X13" s="943"/>
      <c r="Y13" s="943"/>
      <c r="Z13" s="943"/>
      <c r="AA13" s="943"/>
      <c r="AB13" s="943"/>
      <c r="AC13" s="943"/>
      <c r="AD13" s="943"/>
      <c r="AE13" s="943"/>
      <c r="AF13" s="943"/>
      <c r="AG13" s="943"/>
      <c r="AH13" s="943"/>
      <c r="AI13" s="943"/>
      <c r="AJ13" s="943"/>
      <c r="AK13" s="943"/>
      <c r="AL13" s="943"/>
      <c r="AM13" s="943"/>
      <c r="AN13" s="943"/>
      <c r="AO13" s="943"/>
      <c r="AP13" s="943"/>
      <c r="AQ13" s="943"/>
      <c r="AR13" s="943"/>
      <c r="AS13" s="943"/>
      <c r="AT13" s="943"/>
      <c r="AU13" s="943"/>
      <c r="AV13" s="943"/>
      <c r="AW13" s="943"/>
      <c r="AX13" s="943"/>
      <c r="AY13" s="943"/>
      <c r="AZ13" s="943"/>
      <c r="BA13" s="943"/>
      <c r="BB13" s="943"/>
      <c r="BC13" s="943"/>
      <c r="BD13" s="943"/>
      <c r="BE13" s="943"/>
      <c r="BF13" s="943"/>
      <c r="BG13" s="943"/>
      <c r="BH13" s="943"/>
      <c r="BI13" s="943"/>
      <c r="BJ13" s="943"/>
      <c r="BK13" s="943"/>
      <c r="BL13" s="943"/>
      <c r="BM13" s="943"/>
      <c r="BN13" s="943"/>
      <c r="BO13" s="943"/>
      <c r="BP13" s="943"/>
      <c r="BQ13" s="943"/>
      <c r="BR13" s="943"/>
      <c r="BS13" s="943"/>
      <c r="BT13" s="943"/>
      <c r="BU13" s="943"/>
      <c r="BV13" s="943"/>
      <c r="BW13" s="943"/>
      <c r="BX13" s="943"/>
      <c r="BY13" s="943"/>
      <c r="BZ13" s="943"/>
      <c r="CA13" s="943"/>
      <c r="CB13" s="943"/>
      <c r="CC13" s="943"/>
      <c r="CD13" s="943"/>
      <c r="CE13" s="943"/>
      <c r="CF13" s="943"/>
      <c r="CG13" s="943"/>
      <c r="CH13" s="943"/>
      <c r="CI13" s="943"/>
    </row>
    <row r="14" spans="1:87" ht="30">
      <c r="A14" s="828" t="s">
        <v>692</v>
      </c>
      <c r="B14" s="829">
        <f>B15</f>
        <v>40437561</v>
      </c>
      <c r="C14" s="829">
        <f t="shared" ref="C14:D14" si="5">C15</f>
        <v>5157675</v>
      </c>
      <c r="D14" s="829">
        <f t="shared" si="5"/>
        <v>35279886</v>
      </c>
      <c r="F14" s="942"/>
    </row>
    <row r="15" spans="1:87" s="841" customFormat="1" ht="12.75">
      <c r="A15" s="837" t="s">
        <v>690</v>
      </c>
      <c r="B15" s="840">
        <f>SUM(C15:D15)</f>
        <v>40437561</v>
      </c>
      <c r="C15" s="840">
        <v>5157675</v>
      </c>
      <c r="D15" s="840">
        <v>35279886</v>
      </c>
      <c r="E15" s="940"/>
      <c r="F15" s="941"/>
      <c r="G15" s="943"/>
      <c r="H15" s="943"/>
      <c r="I15" s="943"/>
      <c r="J15" s="943"/>
      <c r="K15" s="943"/>
      <c r="L15" s="943"/>
      <c r="M15" s="943"/>
      <c r="N15" s="943"/>
      <c r="O15" s="943"/>
      <c r="P15" s="943"/>
      <c r="Q15" s="943"/>
      <c r="R15" s="943"/>
      <c r="S15" s="943"/>
      <c r="T15" s="943"/>
      <c r="U15" s="943"/>
      <c r="V15" s="943"/>
      <c r="W15" s="943"/>
      <c r="X15" s="943"/>
      <c r="Y15" s="943"/>
      <c r="Z15" s="943"/>
      <c r="AA15" s="943"/>
      <c r="AB15" s="943"/>
      <c r="AC15" s="943"/>
      <c r="AD15" s="943"/>
      <c r="AE15" s="943"/>
      <c r="AF15" s="943"/>
      <c r="AG15" s="943"/>
      <c r="AH15" s="943"/>
      <c r="AI15" s="943"/>
      <c r="AJ15" s="943"/>
      <c r="AK15" s="943"/>
      <c r="AL15" s="943"/>
      <c r="AM15" s="943"/>
      <c r="AN15" s="943"/>
      <c r="AO15" s="943"/>
      <c r="AP15" s="943"/>
      <c r="AQ15" s="943"/>
      <c r="AR15" s="943"/>
      <c r="AS15" s="943"/>
      <c r="AT15" s="943"/>
      <c r="AU15" s="943"/>
      <c r="AV15" s="943"/>
      <c r="AW15" s="943"/>
      <c r="AX15" s="943"/>
      <c r="AY15" s="943"/>
      <c r="AZ15" s="943"/>
      <c r="BA15" s="943"/>
      <c r="BB15" s="943"/>
      <c r="BC15" s="943"/>
      <c r="BD15" s="943"/>
      <c r="BE15" s="943"/>
      <c r="BF15" s="943"/>
      <c r="BG15" s="943"/>
      <c r="BH15" s="943"/>
      <c r="BI15" s="943"/>
      <c r="BJ15" s="943"/>
      <c r="BK15" s="943"/>
      <c r="BL15" s="943"/>
      <c r="BM15" s="943"/>
      <c r="BN15" s="943"/>
      <c r="BO15" s="943"/>
      <c r="BP15" s="943"/>
      <c r="BQ15" s="943"/>
      <c r="BR15" s="943"/>
      <c r="BS15" s="943"/>
      <c r="BT15" s="943"/>
      <c r="BU15" s="943"/>
      <c r="BV15" s="943"/>
      <c r="BW15" s="943"/>
      <c r="BX15" s="943"/>
      <c r="BY15" s="943"/>
      <c r="BZ15" s="943"/>
      <c r="CA15" s="943"/>
      <c r="CB15" s="943"/>
      <c r="CC15" s="943"/>
      <c r="CD15" s="943"/>
      <c r="CE15" s="943"/>
      <c r="CF15" s="943"/>
      <c r="CG15" s="943"/>
      <c r="CH15" s="943"/>
      <c r="CI15" s="943"/>
    </row>
    <row r="16" spans="1:87" ht="45">
      <c r="A16" s="828" t="s">
        <v>693</v>
      </c>
      <c r="B16" s="829">
        <f>B17</f>
        <v>49571524</v>
      </c>
      <c r="C16" s="829">
        <f t="shared" ref="C16" si="6">C17</f>
        <v>561434</v>
      </c>
      <c r="D16" s="829">
        <f>D17</f>
        <v>49010090</v>
      </c>
      <c r="F16" s="941"/>
    </row>
    <row r="17" spans="1:87" s="841" customFormat="1" ht="12.75">
      <c r="A17" s="837" t="s">
        <v>690</v>
      </c>
      <c r="B17" s="840">
        <f>SUM(C17:D17)</f>
        <v>49571524</v>
      </c>
      <c r="C17" s="840">
        <v>561434</v>
      </c>
      <c r="D17" s="840">
        <f>47336642+806934+690863+175651</f>
        <v>49010090</v>
      </c>
      <c r="E17" s="940"/>
      <c r="F17" s="944"/>
      <c r="G17" s="943"/>
      <c r="H17" s="943"/>
      <c r="I17" s="943"/>
      <c r="J17" s="943"/>
      <c r="K17" s="943"/>
      <c r="L17" s="943"/>
      <c r="M17" s="943"/>
      <c r="N17" s="943"/>
      <c r="O17" s="943"/>
      <c r="P17" s="943"/>
      <c r="Q17" s="943"/>
      <c r="R17" s="943"/>
      <c r="S17" s="943"/>
      <c r="T17" s="943"/>
      <c r="U17" s="943"/>
      <c r="V17" s="943"/>
      <c r="W17" s="943"/>
      <c r="X17" s="943"/>
      <c r="Y17" s="943"/>
      <c r="Z17" s="943"/>
      <c r="AA17" s="943"/>
      <c r="AB17" s="943"/>
      <c r="AC17" s="943"/>
      <c r="AD17" s="943"/>
      <c r="AE17" s="943"/>
      <c r="AF17" s="943"/>
      <c r="AG17" s="943"/>
      <c r="AH17" s="943"/>
      <c r="AI17" s="943"/>
      <c r="AJ17" s="943"/>
      <c r="AK17" s="943"/>
      <c r="AL17" s="943"/>
      <c r="AM17" s="943"/>
      <c r="AN17" s="943"/>
      <c r="AO17" s="943"/>
      <c r="AP17" s="943"/>
      <c r="AQ17" s="943"/>
      <c r="AR17" s="943"/>
      <c r="AS17" s="943"/>
      <c r="AT17" s="943"/>
      <c r="AU17" s="943"/>
      <c r="AV17" s="943"/>
      <c r="AW17" s="943"/>
      <c r="AX17" s="943"/>
      <c r="AY17" s="943"/>
      <c r="AZ17" s="943"/>
      <c r="BA17" s="943"/>
      <c r="BB17" s="943"/>
      <c r="BC17" s="943"/>
      <c r="BD17" s="943"/>
      <c r="BE17" s="943"/>
      <c r="BF17" s="943"/>
      <c r="BG17" s="943"/>
      <c r="BH17" s="943"/>
      <c r="BI17" s="943"/>
      <c r="BJ17" s="943"/>
      <c r="BK17" s="943"/>
      <c r="BL17" s="943"/>
      <c r="BM17" s="943"/>
      <c r="BN17" s="943"/>
      <c r="BO17" s="943"/>
      <c r="BP17" s="943"/>
      <c r="BQ17" s="943"/>
      <c r="BR17" s="943"/>
      <c r="BS17" s="943"/>
      <c r="BT17" s="943"/>
      <c r="BU17" s="943"/>
      <c r="BV17" s="943"/>
      <c r="BW17" s="943"/>
      <c r="BX17" s="943"/>
      <c r="BY17" s="943"/>
      <c r="BZ17" s="943"/>
      <c r="CA17" s="943"/>
      <c r="CB17" s="943"/>
      <c r="CC17" s="943"/>
      <c r="CD17" s="943"/>
      <c r="CE17" s="943"/>
      <c r="CF17" s="943"/>
      <c r="CG17" s="943"/>
      <c r="CH17" s="943"/>
      <c r="CI17" s="943"/>
    </row>
    <row r="18" spans="1:87" ht="30">
      <c r="A18" s="828" t="s">
        <v>694</v>
      </c>
      <c r="B18" s="829">
        <f>B19</f>
        <v>26045957</v>
      </c>
      <c r="C18" s="829">
        <f t="shared" ref="C18:D18" si="7">C19</f>
        <v>0</v>
      </c>
      <c r="D18" s="829">
        <f t="shared" si="7"/>
        <v>26045957</v>
      </c>
      <c r="F18" s="942"/>
    </row>
    <row r="19" spans="1:87" s="841" customFormat="1" ht="12.75">
      <c r="A19" s="837" t="s">
        <v>690</v>
      </c>
      <c r="B19" s="840">
        <f>SUM(C19:D19)</f>
        <v>26045957</v>
      </c>
      <c r="C19" s="840"/>
      <c r="D19" s="840">
        <v>26045957</v>
      </c>
      <c r="E19" s="940"/>
      <c r="F19" s="942"/>
      <c r="G19" s="943"/>
      <c r="H19" s="943"/>
      <c r="I19" s="943"/>
      <c r="J19" s="943"/>
      <c r="K19" s="943"/>
      <c r="L19" s="943"/>
      <c r="M19" s="943"/>
      <c r="N19" s="943"/>
      <c r="O19" s="943"/>
      <c r="P19" s="943"/>
      <c r="Q19" s="943"/>
      <c r="R19" s="943"/>
      <c r="S19" s="943"/>
      <c r="T19" s="943"/>
      <c r="U19" s="943"/>
      <c r="V19" s="943"/>
      <c r="W19" s="943"/>
      <c r="X19" s="943"/>
      <c r="Y19" s="943"/>
      <c r="Z19" s="943"/>
      <c r="AA19" s="943"/>
      <c r="AB19" s="943"/>
      <c r="AC19" s="943"/>
      <c r="AD19" s="943"/>
      <c r="AE19" s="943"/>
      <c r="AF19" s="943"/>
      <c r="AG19" s="943"/>
      <c r="AH19" s="943"/>
      <c r="AI19" s="943"/>
      <c r="AJ19" s="943"/>
      <c r="AK19" s="943"/>
      <c r="AL19" s="943"/>
      <c r="AM19" s="943"/>
      <c r="AN19" s="943"/>
      <c r="AO19" s="943"/>
      <c r="AP19" s="943"/>
      <c r="AQ19" s="943"/>
      <c r="AR19" s="943"/>
      <c r="AS19" s="943"/>
      <c r="AT19" s="943"/>
      <c r="AU19" s="943"/>
      <c r="AV19" s="943"/>
      <c r="AW19" s="943"/>
      <c r="AX19" s="943"/>
      <c r="AY19" s="943"/>
      <c r="AZ19" s="943"/>
      <c r="BA19" s="943"/>
      <c r="BB19" s="943"/>
      <c r="BC19" s="943"/>
      <c r="BD19" s="943"/>
      <c r="BE19" s="943"/>
      <c r="BF19" s="943"/>
      <c r="BG19" s="943"/>
      <c r="BH19" s="943"/>
      <c r="BI19" s="943"/>
      <c r="BJ19" s="943"/>
      <c r="BK19" s="943"/>
      <c r="BL19" s="943"/>
      <c r="BM19" s="943"/>
      <c r="BN19" s="943"/>
      <c r="BO19" s="943"/>
      <c r="BP19" s="943"/>
      <c r="BQ19" s="943"/>
      <c r="BR19" s="943"/>
      <c r="BS19" s="943"/>
      <c r="BT19" s="943"/>
      <c r="BU19" s="943"/>
      <c r="BV19" s="943"/>
      <c r="BW19" s="943"/>
      <c r="BX19" s="943"/>
      <c r="BY19" s="943"/>
      <c r="BZ19" s="943"/>
      <c r="CA19" s="943"/>
      <c r="CB19" s="943"/>
      <c r="CC19" s="943"/>
      <c r="CD19" s="943"/>
      <c r="CE19" s="943"/>
      <c r="CF19" s="943"/>
      <c r="CG19" s="943"/>
      <c r="CH19" s="943"/>
      <c r="CI19" s="943"/>
    </row>
    <row r="20" spans="1:87" ht="30">
      <c r="A20" s="828" t="s">
        <v>695</v>
      </c>
      <c r="B20" s="829">
        <f>SUM(B21:B22)</f>
        <v>904175</v>
      </c>
      <c r="C20" s="829">
        <f t="shared" ref="C20:D20" si="8">SUM(C21:C22)</f>
        <v>237146</v>
      </c>
      <c r="D20" s="829">
        <f t="shared" si="8"/>
        <v>667029</v>
      </c>
      <c r="F20" s="942"/>
    </row>
    <row r="21" spans="1:87" s="841" customFormat="1" ht="12">
      <c r="A21" s="837" t="s">
        <v>696</v>
      </c>
      <c r="B21" s="840">
        <f>SUM(C21:D21)</f>
        <v>803578</v>
      </c>
      <c r="C21" s="840">
        <v>237146</v>
      </c>
      <c r="D21" s="840">
        <v>566432</v>
      </c>
      <c r="E21" s="940"/>
      <c r="F21" s="940"/>
      <c r="G21" s="943"/>
      <c r="H21" s="943"/>
      <c r="I21" s="943"/>
      <c r="J21" s="943"/>
      <c r="K21" s="943"/>
      <c r="L21" s="943"/>
      <c r="M21" s="943"/>
      <c r="N21" s="943"/>
      <c r="O21" s="943"/>
      <c r="P21" s="943"/>
      <c r="Q21" s="943"/>
      <c r="R21" s="943"/>
      <c r="S21" s="943"/>
      <c r="T21" s="943"/>
      <c r="U21" s="943"/>
      <c r="V21" s="943"/>
      <c r="W21" s="943"/>
      <c r="X21" s="943"/>
      <c r="Y21" s="943"/>
      <c r="Z21" s="943"/>
      <c r="AA21" s="943"/>
      <c r="AB21" s="943"/>
      <c r="AC21" s="943"/>
      <c r="AD21" s="943"/>
      <c r="AE21" s="943"/>
      <c r="AF21" s="943"/>
      <c r="AG21" s="943"/>
      <c r="AH21" s="943"/>
      <c r="AI21" s="943"/>
      <c r="AJ21" s="943"/>
      <c r="AK21" s="943"/>
      <c r="AL21" s="943"/>
      <c r="AM21" s="943"/>
      <c r="AN21" s="943"/>
      <c r="AO21" s="943"/>
      <c r="AP21" s="943"/>
      <c r="AQ21" s="943"/>
      <c r="AR21" s="943"/>
      <c r="AS21" s="943"/>
      <c r="AT21" s="943"/>
      <c r="AU21" s="943"/>
      <c r="AV21" s="943"/>
      <c r="AW21" s="943"/>
      <c r="AX21" s="943"/>
      <c r="AY21" s="943"/>
      <c r="AZ21" s="943"/>
      <c r="BA21" s="943"/>
      <c r="BB21" s="943"/>
      <c r="BC21" s="943"/>
      <c r="BD21" s="943"/>
      <c r="BE21" s="943"/>
      <c r="BF21" s="943"/>
      <c r="BG21" s="943"/>
      <c r="BH21" s="943"/>
      <c r="BI21" s="943"/>
      <c r="BJ21" s="943"/>
      <c r="BK21" s="943"/>
      <c r="BL21" s="943"/>
      <c r="BM21" s="943"/>
      <c r="BN21" s="943"/>
      <c r="BO21" s="943"/>
      <c r="BP21" s="943"/>
      <c r="BQ21" s="943"/>
      <c r="BR21" s="943"/>
      <c r="BS21" s="943"/>
      <c r="BT21" s="943"/>
      <c r="BU21" s="943"/>
      <c r="BV21" s="943"/>
      <c r="BW21" s="943"/>
      <c r="BX21" s="943"/>
      <c r="BY21" s="943"/>
      <c r="BZ21" s="943"/>
      <c r="CA21" s="943"/>
      <c r="CB21" s="943"/>
      <c r="CC21" s="943"/>
      <c r="CD21" s="943"/>
      <c r="CE21" s="943"/>
      <c r="CF21" s="943"/>
      <c r="CG21" s="943"/>
      <c r="CH21" s="943"/>
      <c r="CI21" s="943"/>
    </row>
    <row r="22" spans="1:87" s="841" customFormat="1" ht="12">
      <c r="A22" s="837" t="s">
        <v>697</v>
      </c>
      <c r="B22" s="840">
        <f>SUM(C22:D22)</f>
        <v>100597</v>
      </c>
      <c r="C22" s="840"/>
      <c r="D22" s="840">
        <v>100597</v>
      </c>
      <c r="E22" s="940"/>
      <c r="F22" s="940"/>
      <c r="G22" s="943"/>
      <c r="H22" s="943"/>
      <c r="I22" s="943"/>
      <c r="J22" s="943"/>
      <c r="K22" s="943"/>
      <c r="L22" s="943"/>
      <c r="M22" s="943"/>
      <c r="N22" s="943"/>
      <c r="O22" s="943"/>
      <c r="P22" s="943"/>
      <c r="Q22" s="943"/>
      <c r="R22" s="943"/>
      <c r="S22" s="943"/>
      <c r="T22" s="943"/>
      <c r="U22" s="943"/>
      <c r="V22" s="943"/>
      <c r="W22" s="943"/>
      <c r="X22" s="943"/>
      <c r="Y22" s="943"/>
      <c r="Z22" s="943"/>
      <c r="AA22" s="943"/>
      <c r="AB22" s="943"/>
      <c r="AC22" s="943"/>
      <c r="AD22" s="943"/>
      <c r="AE22" s="943"/>
      <c r="AF22" s="943"/>
      <c r="AG22" s="943"/>
      <c r="AH22" s="943"/>
      <c r="AI22" s="943"/>
      <c r="AJ22" s="943"/>
      <c r="AK22" s="943"/>
      <c r="AL22" s="943"/>
      <c r="AM22" s="943"/>
      <c r="AN22" s="943"/>
      <c r="AO22" s="943"/>
      <c r="AP22" s="943"/>
      <c r="AQ22" s="943"/>
      <c r="AR22" s="943"/>
      <c r="AS22" s="943"/>
      <c r="AT22" s="943"/>
      <c r="AU22" s="943"/>
      <c r="AV22" s="943"/>
      <c r="AW22" s="943"/>
      <c r="AX22" s="943"/>
      <c r="AY22" s="943"/>
      <c r="AZ22" s="943"/>
      <c r="BA22" s="943"/>
      <c r="BB22" s="943"/>
      <c r="BC22" s="943"/>
      <c r="BD22" s="943"/>
      <c r="BE22" s="943"/>
      <c r="BF22" s="943"/>
      <c r="BG22" s="943"/>
      <c r="BH22" s="943"/>
      <c r="BI22" s="943"/>
      <c r="BJ22" s="943"/>
      <c r="BK22" s="943"/>
      <c r="BL22" s="943"/>
      <c r="BM22" s="943"/>
      <c r="BN22" s="943"/>
      <c r="BO22" s="943"/>
      <c r="BP22" s="943"/>
      <c r="BQ22" s="943"/>
      <c r="BR22" s="943"/>
      <c r="BS22" s="943"/>
      <c r="BT22" s="943"/>
      <c r="BU22" s="943"/>
      <c r="BV22" s="943"/>
      <c r="BW22" s="943"/>
      <c r="BX22" s="943"/>
      <c r="BY22" s="943"/>
      <c r="BZ22" s="943"/>
      <c r="CA22" s="943"/>
      <c r="CB22" s="943"/>
      <c r="CC22" s="943"/>
      <c r="CD22" s="943"/>
      <c r="CE22" s="943"/>
      <c r="CF22" s="943"/>
      <c r="CG22" s="943"/>
      <c r="CH22" s="943"/>
      <c r="CI22" s="943"/>
    </row>
    <row r="23" spans="1:87" ht="30">
      <c r="A23" s="828" t="s">
        <v>698</v>
      </c>
      <c r="B23" s="829">
        <f>B24</f>
        <v>15674046</v>
      </c>
      <c r="C23" s="829">
        <f t="shared" ref="C23:D23" si="9">C24</f>
        <v>0</v>
      </c>
      <c r="D23" s="829">
        <f t="shared" si="9"/>
        <v>15674046</v>
      </c>
    </row>
    <row r="24" spans="1:87" s="841" customFormat="1" ht="12">
      <c r="A24" s="837" t="s">
        <v>696</v>
      </c>
      <c r="B24" s="840">
        <f>SUM(C24:D24)</f>
        <v>15674046</v>
      </c>
      <c r="C24" s="840"/>
      <c r="D24" s="840">
        <v>15674046</v>
      </c>
      <c r="E24" s="940"/>
      <c r="F24" s="940"/>
      <c r="G24" s="943"/>
      <c r="H24" s="943"/>
      <c r="I24" s="943"/>
      <c r="J24" s="943"/>
      <c r="K24" s="943"/>
      <c r="L24" s="943"/>
      <c r="M24" s="943"/>
      <c r="N24" s="943"/>
      <c r="O24" s="943"/>
      <c r="P24" s="943"/>
      <c r="Q24" s="943"/>
      <c r="R24" s="943"/>
      <c r="S24" s="943"/>
      <c r="T24" s="943"/>
      <c r="U24" s="943"/>
      <c r="V24" s="943"/>
      <c r="W24" s="943"/>
      <c r="X24" s="943"/>
      <c r="Y24" s="943"/>
      <c r="Z24" s="943"/>
      <c r="AA24" s="943"/>
      <c r="AB24" s="943"/>
      <c r="AC24" s="943"/>
      <c r="AD24" s="943"/>
      <c r="AE24" s="943"/>
      <c r="AF24" s="943"/>
      <c r="AG24" s="943"/>
      <c r="AH24" s="943"/>
      <c r="AI24" s="943"/>
      <c r="AJ24" s="943"/>
      <c r="AK24" s="943"/>
      <c r="AL24" s="943"/>
      <c r="AM24" s="943"/>
      <c r="AN24" s="943"/>
      <c r="AO24" s="943"/>
      <c r="AP24" s="943"/>
      <c r="AQ24" s="943"/>
      <c r="AR24" s="943"/>
      <c r="AS24" s="943"/>
      <c r="AT24" s="943"/>
      <c r="AU24" s="943"/>
      <c r="AV24" s="943"/>
      <c r="AW24" s="943"/>
      <c r="AX24" s="943"/>
      <c r="AY24" s="943"/>
      <c r="AZ24" s="943"/>
      <c r="BA24" s="943"/>
      <c r="BB24" s="943"/>
      <c r="BC24" s="943"/>
      <c r="BD24" s="943"/>
      <c r="BE24" s="943"/>
      <c r="BF24" s="943"/>
      <c r="BG24" s="943"/>
      <c r="BH24" s="943"/>
      <c r="BI24" s="943"/>
      <c r="BJ24" s="943"/>
      <c r="BK24" s="943"/>
      <c r="BL24" s="943"/>
      <c r="BM24" s="943"/>
      <c r="BN24" s="943"/>
      <c r="BO24" s="943"/>
      <c r="BP24" s="943"/>
      <c r="BQ24" s="943"/>
      <c r="BR24" s="943"/>
      <c r="BS24" s="943"/>
      <c r="BT24" s="943"/>
      <c r="BU24" s="943"/>
      <c r="BV24" s="943"/>
      <c r="BW24" s="943"/>
      <c r="BX24" s="943"/>
      <c r="BY24" s="943"/>
      <c r="BZ24" s="943"/>
      <c r="CA24" s="943"/>
      <c r="CB24" s="943"/>
      <c r="CC24" s="943"/>
      <c r="CD24" s="943"/>
      <c r="CE24" s="943"/>
      <c r="CF24" s="943"/>
      <c r="CG24" s="943"/>
      <c r="CH24" s="943"/>
      <c r="CI24" s="943"/>
    </row>
    <row r="25" spans="1:87">
      <c r="A25" s="828" t="s">
        <v>699</v>
      </c>
      <c r="B25" s="829">
        <f>B26</f>
        <v>959017</v>
      </c>
      <c r="C25" s="829">
        <f t="shared" ref="C25:D25" si="10">C26</f>
        <v>250247</v>
      </c>
      <c r="D25" s="829">
        <f t="shared" si="10"/>
        <v>708770</v>
      </c>
    </row>
    <row r="26" spans="1:87" s="841" customFormat="1" ht="12">
      <c r="A26" s="837" t="s">
        <v>696</v>
      </c>
      <c r="B26" s="840">
        <f>SUM(C26:D26)</f>
        <v>959017</v>
      </c>
      <c r="C26" s="842">
        <v>250247</v>
      </c>
      <c r="D26" s="840">
        <v>708770</v>
      </c>
      <c r="E26" s="940"/>
      <c r="F26" s="940"/>
      <c r="G26" s="943"/>
      <c r="H26" s="943"/>
      <c r="I26" s="943"/>
      <c r="J26" s="943"/>
      <c r="K26" s="943"/>
      <c r="L26" s="943"/>
      <c r="M26" s="943"/>
      <c r="N26" s="943"/>
      <c r="O26" s="943"/>
      <c r="P26" s="943"/>
      <c r="Q26" s="943"/>
      <c r="R26" s="943"/>
      <c r="S26" s="943"/>
      <c r="T26" s="943"/>
      <c r="U26" s="943"/>
      <c r="V26" s="943"/>
      <c r="W26" s="943"/>
      <c r="X26" s="943"/>
      <c r="Y26" s="943"/>
      <c r="Z26" s="943"/>
      <c r="AA26" s="943"/>
      <c r="AB26" s="943"/>
      <c r="AC26" s="943"/>
      <c r="AD26" s="943"/>
      <c r="AE26" s="943"/>
      <c r="AF26" s="943"/>
      <c r="AG26" s="943"/>
      <c r="AH26" s="943"/>
      <c r="AI26" s="943"/>
      <c r="AJ26" s="943"/>
      <c r="AK26" s="943"/>
      <c r="AL26" s="943"/>
      <c r="AM26" s="943"/>
      <c r="AN26" s="943"/>
      <c r="AO26" s="943"/>
      <c r="AP26" s="943"/>
      <c r="AQ26" s="943"/>
      <c r="AR26" s="943"/>
      <c r="AS26" s="943"/>
      <c r="AT26" s="943"/>
      <c r="AU26" s="943"/>
      <c r="AV26" s="943"/>
      <c r="AW26" s="943"/>
      <c r="AX26" s="943"/>
      <c r="AY26" s="943"/>
      <c r="AZ26" s="943"/>
      <c r="BA26" s="943"/>
      <c r="BB26" s="943"/>
      <c r="BC26" s="943"/>
      <c r="BD26" s="943"/>
      <c r="BE26" s="943"/>
      <c r="BF26" s="943"/>
      <c r="BG26" s="943"/>
      <c r="BH26" s="943"/>
      <c r="BI26" s="943"/>
      <c r="BJ26" s="943"/>
      <c r="BK26" s="943"/>
      <c r="BL26" s="943"/>
      <c r="BM26" s="943"/>
      <c r="BN26" s="943"/>
      <c r="BO26" s="943"/>
      <c r="BP26" s="943"/>
      <c r="BQ26" s="943"/>
      <c r="BR26" s="943"/>
      <c r="BS26" s="943"/>
      <c r="BT26" s="943"/>
      <c r="BU26" s="943"/>
      <c r="BV26" s="943"/>
      <c r="BW26" s="943"/>
      <c r="BX26" s="943"/>
      <c r="BY26" s="943"/>
      <c r="BZ26" s="943"/>
      <c r="CA26" s="943"/>
      <c r="CB26" s="943"/>
      <c r="CC26" s="943"/>
      <c r="CD26" s="943"/>
      <c r="CE26" s="943"/>
      <c r="CF26" s="943"/>
      <c r="CG26" s="943"/>
      <c r="CH26" s="943"/>
      <c r="CI26" s="943"/>
    </row>
    <row r="27" spans="1:87" ht="45">
      <c r="A27" s="828" t="s">
        <v>700</v>
      </c>
      <c r="B27" s="829">
        <f>SUM(B28:B30)</f>
        <v>210136</v>
      </c>
      <c r="C27" s="829">
        <f t="shared" ref="C27:D27" si="11">SUM(C28:C30)</f>
        <v>50525</v>
      </c>
      <c r="D27" s="829">
        <f t="shared" si="11"/>
        <v>159611</v>
      </c>
    </row>
    <row r="28" spans="1:87" s="844" customFormat="1" ht="12" hidden="1">
      <c r="A28" s="843" t="s">
        <v>696</v>
      </c>
      <c r="B28" s="842">
        <f>SUM(C28:D28)</f>
        <v>0</v>
      </c>
      <c r="C28" s="842"/>
      <c r="D28" s="842"/>
      <c r="E28" s="945"/>
      <c r="F28" s="945"/>
      <c r="G28" s="946"/>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946"/>
      <c r="AN28" s="946"/>
      <c r="AO28" s="946"/>
      <c r="AP28" s="946"/>
      <c r="AQ28" s="946"/>
      <c r="AR28" s="946"/>
      <c r="AS28" s="946"/>
      <c r="AT28" s="946"/>
      <c r="AU28" s="946"/>
      <c r="AV28" s="946"/>
      <c r="AW28" s="946"/>
      <c r="AX28" s="946"/>
      <c r="AY28" s="946"/>
      <c r="AZ28" s="946"/>
      <c r="BA28" s="946"/>
      <c r="BB28" s="946"/>
      <c r="BC28" s="946"/>
      <c r="BD28" s="946"/>
      <c r="BE28" s="946"/>
      <c r="BF28" s="946"/>
      <c r="BG28" s="946"/>
      <c r="BH28" s="946"/>
      <c r="BI28" s="946"/>
      <c r="BJ28" s="946"/>
      <c r="BK28" s="946"/>
      <c r="BL28" s="946"/>
      <c r="BM28" s="946"/>
      <c r="BN28" s="946"/>
      <c r="BO28" s="946"/>
      <c r="BP28" s="946"/>
      <c r="BQ28" s="946"/>
      <c r="BR28" s="946"/>
      <c r="BS28" s="946"/>
      <c r="BT28" s="946"/>
      <c r="BU28" s="946"/>
      <c r="BV28" s="946"/>
      <c r="BW28" s="946"/>
      <c r="BX28" s="946"/>
      <c r="BY28" s="946"/>
      <c r="BZ28" s="946"/>
      <c r="CA28" s="946"/>
      <c r="CB28" s="946"/>
      <c r="CC28" s="946"/>
      <c r="CD28" s="946"/>
      <c r="CE28" s="946"/>
      <c r="CF28" s="946"/>
      <c r="CG28" s="946"/>
      <c r="CH28" s="946"/>
      <c r="CI28" s="946"/>
    </row>
    <row r="29" spans="1:87" s="841" customFormat="1" ht="12">
      <c r="A29" s="843" t="s">
        <v>696</v>
      </c>
      <c r="B29" s="842">
        <f>SUM(C29:D29)</f>
        <v>100112</v>
      </c>
      <c r="C29" s="842">
        <v>26604</v>
      </c>
      <c r="D29" s="842">
        <v>73508</v>
      </c>
      <c r="E29" s="940"/>
      <c r="F29" s="940"/>
      <c r="G29" s="943"/>
      <c r="H29" s="943"/>
      <c r="I29" s="943"/>
      <c r="J29" s="943"/>
      <c r="K29" s="943"/>
      <c r="L29" s="943"/>
      <c r="M29" s="943"/>
      <c r="N29" s="943"/>
      <c r="O29" s="943"/>
      <c r="P29" s="943"/>
      <c r="Q29" s="943"/>
      <c r="R29" s="943"/>
      <c r="S29" s="943"/>
      <c r="T29" s="943"/>
      <c r="U29" s="943"/>
      <c r="V29" s="943"/>
      <c r="W29" s="943"/>
      <c r="X29" s="943"/>
      <c r="Y29" s="943"/>
      <c r="Z29" s="943"/>
      <c r="AA29" s="943"/>
      <c r="AB29" s="943"/>
      <c r="AC29" s="943"/>
      <c r="AD29" s="943"/>
      <c r="AE29" s="943"/>
      <c r="AF29" s="943"/>
      <c r="AG29" s="943"/>
      <c r="AH29" s="943"/>
      <c r="AI29" s="943"/>
      <c r="AJ29" s="943"/>
      <c r="AK29" s="943"/>
      <c r="AL29" s="943"/>
      <c r="AM29" s="943"/>
      <c r="AN29" s="943"/>
      <c r="AO29" s="943"/>
      <c r="AP29" s="943"/>
      <c r="AQ29" s="943"/>
      <c r="AR29" s="943"/>
      <c r="AS29" s="943"/>
      <c r="AT29" s="943"/>
      <c r="AU29" s="943"/>
      <c r="AV29" s="943"/>
      <c r="AW29" s="943"/>
      <c r="AX29" s="943"/>
      <c r="AY29" s="943"/>
      <c r="AZ29" s="943"/>
      <c r="BA29" s="943"/>
      <c r="BB29" s="943"/>
      <c r="BC29" s="943"/>
      <c r="BD29" s="943"/>
      <c r="BE29" s="943"/>
      <c r="BF29" s="943"/>
      <c r="BG29" s="943"/>
      <c r="BH29" s="943"/>
      <c r="BI29" s="943"/>
      <c r="BJ29" s="943"/>
      <c r="BK29" s="943"/>
      <c r="BL29" s="943"/>
      <c r="BM29" s="943"/>
      <c r="BN29" s="943"/>
      <c r="BO29" s="943"/>
      <c r="BP29" s="943"/>
      <c r="BQ29" s="943"/>
      <c r="BR29" s="943"/>
      <c r="BS29" s="943"/>
      <c r="BT29" s="943"/>
      <c r="BU29" s="943"/>
      <c r="BV29" s="943"/>
      <c r="BW29" s="943"/>
      <c r="BX29" s="943"/>
      <c r="BY29" s="943"/>
      <c r="BZ29" s="943"/>
      <c r="CA29" s="943"/>
      <c r="CB29" s="943"/>
      <c r="CC29" s="943"/>
      <c r="CD29" s="943"/>
      <c r="CE29" s="943"/>
      <c r="CF29" s="943"/>
      <c r="CG29" s="943"/>
      <c r="CH29" s="943"/>
      <c r="CI29" s="943"/>
    </row>
    <row r="30" spans="1:87" s="841" customFormat="1" ht="12">
      <c r="A30" s="843" t="s">
        <v>690</v>
      </c>
      <c r="B30" s="842">
        <f>SUM(C30:D30)</f>
        <v>110024</v>
      </c>
      <c r="C30" s="842">
        <v>23921</v>
      </c>
      <c r="D30" s="842">
        <v>86103</v>
      </c>
      <c r="E30" s="940"/>
      <c r="F30" s="940"/>
      <c r="G30" s="943"/>
      <c r="H30" s="943"/>
      <c r="I30" s="943"/>
      <c r="J30" s="943"/>
      <c r="K30" s="943"/>
      <c r="L30" s="943"/>
      <c r="M30" s="943"/>
      <c r="N30" s="943"/>
      <c r="O30" s="943"/>
      <c r="P30" s="943"/>
      <c r="Q30" s="943"/>
      <c r="R30" s="943"/>
      <c r="S30" s="943"/>
      <c r="T30" s="943"/>
      <c r="U30" s="943"/>
      <c r="V30" s="943"/>
      <c r="W30" s="943"/>
      <c r="X30" s="943"/>
      <c r="Y30" s="943"/>
      <c r="Z30" s="943"/>
      <c r="AA30" s="943"/>
      <c r="AB30" s="943"/>
      <c r="AC30" s="943"/>
      <c r="AD30" s="943"/>
      <c r="AE30" s="943"/>
      <c r="AF30" s="943"/>
      <c r="AG30" s="943"/>
      <c r="AH30" s="943"/>
      <c r="AI30" s="943"/>
      <c r="AJ30" s="943"/>
      <c r="AK30" s="943"/>
      <c r="AL30" s="943"/>
      <c r="AM30" s="943"/>
      <c r="AN30" s="943"/>
      <c r="AO30" s="943"/>
      <c r="AP30" s="943"/>
      <c r="AQ30" s="943"/>
      <c r="AR30" s="943"/>
      <c r="AS30" s="943"/>
      <c r="AT30" s="943"/>
      <c r="AU30" s="943"/>
      <c r="AV30" s="943"/>
      <c r="AW30" s="943"/>
      <c r="AX30" s="943"/>
      <c r="AY30" s="943"/>
      <c r="AZ30" s="943"/>
      <c r="BA30" s="943"/>
      <c r="BB30" s="943"/>
      <c r="BC30" s="943"/>
      <c r="BD30" s="943"/>
      <c r="BE30" s="943"/>
      <c r="BF30" s="943"/>
      <c r="BG30" s="943"/>
      <c r="BH30" s="943"/>
      <c r="BI30" s="943"/>
      <c r="BJ30" s="943"/>
      <c r="BK30" s="943"/>
      <c r="BL30" s="943"/>
      <c r="BM30" s="943"/>
      <c r="BN30" s="943"/>
      <c r="BO30" s="943"/>
      <c r="BP30" s="943"/>
      <c r="BQ30" s="943"/>
      <c r="BR30" s="943"/>
      <c r="BS30" s="943"/>
      <c r="BT30" s="943"/>
      <c r="BU30" s="943"/>
      <c r="BV30" s="943"/>
      <c r="BW30" s="943"/>
      <c r="BX30" s="943"/>
      <c r="BY30" s="943"/>
      <c r="BZ30" s="943"/>
      <c r="CA30" s="943"/>
      <c r="CB30" s="943"/>
      <c r="CC30" s="943"/>
      <c r="CD30" s="943"/>
      <c r="CE30" s="943"/>
      <c r="CF30" s="943"/>
      <c r="CG30" s="943"/>
      <c r="CH30" s="943"/>
      <c r="CI30" s="943"/>
    </row>
    <row r="31" spans="1:87">
      <c r="A31" s="828" t="s">
        <v>701</v>
      </c>
      <c r="B31" s="829">
        <f>B32</f>
        <v>1047873</v>
      </c>
      <c r="C31" s="829">
        <f t="shared" ref="C31:D31" si="12">C32</f>
        <v>272320</v>
      </c>
      <c r="D31" s="829">
        <f t="shared" si="12"/>
        <v>775553</v>
      </c>
    </row>
    <row r="32" spans="1:87" s="841" customFormat="1" ht="12">
      <c r="A32" s="837" t="s">
        <v>696</v>
      </c>
      <c r="B32" s="840">
        <f>SUM(C32:D32)</f>
        <v>1047873</v>
      </c>
      <c r="C32" s="840">
        <v>272320</v>
      </c>
      <c r="D32" s="840">
        <v>775553</v>
      </c>
      <c r="E32" s="940"/>
      <c r="F32" s="940"/>
      <c r="G32" s="943"/>
      <c r="H32" s="943"/>
      <c r="I32" s="943"/>
      <c r="J32" s="943"/>
      <c r="K32" s="943"/>
      <c r="L32" s="943"/>
      <c r="M32" s="943"/>
      <c r="N32" s="943"/>
      <c r="O32" s="943"/>
      <c r="P32" s="943"/>
      <c r="Q32" s="943"/>
      <c r="R32" s="943"/>
      <c r="S32" s="943"/>
      <c r="T32" s="943"/>
      <c r="U32" s="943"/>
      <c r="V32" s="943"/>
      <c r="W32" s="943"/>
      <c r="X32" s="943"/>
      <c r="Y32" s="943"/>
      <c r="Z32" s="943"/>
      <c r="AA32" s="943"/>
      <c r="AB32" s="943"/>
      <c r="AC32" s="943"/>
      <c r="AD32" s="943"/>
      <c r="AE32" s="943"/>
      <c r="AF32" s="943"/>
      <c r="AG32" s="943"/>
      <c r="AH32" s="943"/>
      <c r="AI32" s="943"/>
      <c r="AJ32" s="943"/>
      <c r="AK32" s="943"/>
      <c r="AL32" s="943"/>
      <c r="AM32" s="943"/>
      <c r="AN32" s="943"/>
      <c r="AO32" s="943"/>
      <c r="AP32" s="943"/>
      <c r="AQ32" s="943"/>
      <c r="AR32" s="943"/>
      <c r="AS32" s="943"/>
      <c r="AT32" s="943"/>
      <c r="AU32" s="943"/>
      <c r="AV32" s="943"/>
      <c r="AW32" s="943"/>
      <c r="AX32" s="943"/>
      <c r="AY32" s="943"/>
      <c r="AZ32" s="943"/>
      <c r="BA32" s="943"/>
      <c r="BB32" s="943"/>
      <c r="BC32" s="943"/>
      <c r="BD32" s="943"/>
      <c r="BE32" s="943"/>
      <c r="BF32" s="943"/>
      <c r="BG32" s="943"/>
      <c r="BH32" s="943"/>
      <c r="BI32" s="943"/>
      <c r="BJ32" s="943"/>
      <c r="BK32" s="943"/>
      <c r="BL32" s="943"/>
      <c r="BM32" s="943"/>
      <c r="BN32" s="943"/>
      <c r="BO32" s="943"/>
      <c r="BP32" s="943"/>
      <c r="BQ32" s="943"/>
      <c r="BR32" s="943"/>
      <c r="BS32" s="943"/>
      <c r="BT32" s="943"/>
      <c r="BU32" s="943"/>
      <c r="BV32" s="943"/>
      <c r="BW32" s="943"/>
      <c r="BX32" s="943"/>
      <c r="BY32" s="943"/>
      <c r="BZ32" s="943"/>
      <c r="CA32" s="943"/>
      <c r="CB32" s="943"/>
      <c r="CC32" s="943"/>
      <c r="CD32" s="943"/>
      <c r="CE32" s="943"/>
      <c r="CF32" s="943"/>
      <c r="CG32" s="943"/>
      <c r="CH32" s="943"/>
      <c r="CI32" s="943"/>
    </row>
    <row r="33" spans="1:87" ht="30">
      <c r="A33" s="828" t="s">
        <v>702</v>
      </c>
      <c r="B33" s="829">
        <f>B34</f>
        <v>439079</v>
      </c>
      <c r="C33" s="829">
        <f t="shared" ref="C33:D37" si="13">C34</f>
        <v>116244</v>
      </c>
      <c r="D33" s="829">
        <f t="shared" si="13"/>
        <v>322835</v>
      </c>
    </row>
    <row r="34" spans="1:87" s="841" customFormat="1" ht="12">
      <c r="A34" s="837" t="s">
        <v>696</v>
      </c>
      <c r="B34" s="840">
        <f>SUM(C34:D34)</f>
        <v>439079</v>
      </c>
      <c r="C34" s="840">
        <v>116244</v>
      </c>
      <c r="D34" s="840">
        <v>322835</v>
      </c>
      <c r="E34" s="940"/>
      <c r="F34" s="940"/>
      <c r="G34" s="943"/>
      <c r="H34" s="943"/>
      <c r="I34" s="943"/>
      <c r="J34" s="943"/>
      <c r="K34" s="943"/>
      <c r="L34" s="943"/>
      <c r="M34" s="943"/>
      <c r="N34" s="943"/>
      <c r="O34" s="943"/>
      <c r="P34" s="943"/>
      <c r="Q34" s="943"/>
      <c r="R34" s="943"/>
      <c r="S34" s="943"/>
      <c r="T34" s="943"/>
      <c r="U34" s="943"/>
      <c r="V34" s="943"/>
      <c r="W34" s="943"/>
      <c r="X34" s="943"/>
      <c r="Y34" s="943"/>
      <c r="Z34" s="943"/>
      <c r="AA34" s="943"/>
      <c r="AB34" s="943"/>
      <c r="AC34" s="943"/>
      <c r="AD34" s="943"/>
      <c r="AE34" s="943"/>
      <c r="AF34" s="943"/>
      <c r="AG34" s="943"/>
      <c r="AH34" s="943"/>
      <c r="AI34" s="943"/>
      <c r="AJ34" s="943"/>
      <c r="AK34" s="943"/>
      <c r="AL34" s="943"/>
      <c r="AM34" s="943"/>
      <c r="AN34" s="943"/>
      <c r="AO34" s="943"/>
      <c r="AP34" s="943"/>
      <c r="AQ34" s="943"/>
      <c r="AR34" s="943"/>
      <c r="AS34" s="943"/>
      <c r="AT34" s="943"/>
      <c r="AU34" s="943"/>
      <c r="AV34" s="943"/>
      <c r="AW34" s="943"/>
      <c r="AX34" s="943"/>
      <c r="AY34" s="943"/>
      <c r="AZ34" s="943"/>
      <c r="BA34" s="943"/>
      <c r="BB34" s="943"/>
      <c r="BC34" s="943"/>
      <c r="BD34" s="943"/>
      <c r="BE34" s="943"/>
      <c r="BF34" s="943"/>
      <c r="BG34" s="943"/>
      <c r="BH34" s="943"/>
      <c r="BI34" s="943"/>
      <c r="BJ34" s="943"/>
      <c r="BK34" s="943"/>
      <c r="BL34" s="943"/>
      <c r="BM34" s="943"/>
      <c r="BN34" s="943"/>
      <c r="BO34" s="943"/>
      <c r="BP34" s="943"/>
      <c r="BQ34" s="943"/>
      <c r="BR34" s="943"/>
      <c r="BS34" s="943"/>
      <c r="BT34" s="943"/>
      <c r="BU34" s="943"/>
      <c r="BV34" s="943"/>
      <c r="BW34" s="943"/>
      <c r="BX34" s="943"/>
      <c r="BY34" s="943"/>
      <c r="BZ34" s="943"/>
      <c r="CA34" s="943"/>
      <c r="CB34" s="943"/>
      <c r="CC34" s="943"/>
      <c r="CD34" s="943"/>
      <c r="CE34" s="943"/>
      <c r="CF34" s="943"/>
      <c r="CG34" s="943"/>
      <c r="CH34" s="943"/>
      <c r="CI34" s="943"/>
    </row>
    <row r="35" spans="1:87" ht="30" hidden="1">
      <c r="A35" s="845" t="s">
        <v>703</v>
      </c>
      <c r="B35" s="846">
        <f>B36</f>
        <v>0</v>
      </c>
      <c r="C35" s="846">
        <f t="shared" si="13"/>
        <v>0</v>
      </c>
      <c r="D35" s="846">
        <f t="shared" si="13"/>
        <v>0</v>
      </c>
    </row>
    <row r="36" spans="1:87" s="841" customFormat="1" ht="12" hidden="1">
      <c r="A36" s="843" t="s">
        <v>696</v>
      </c>
      <c r="B36" s="842">
        <f>SUM(C36:D36)</f>
        <v>0</v>
      </c>
      <c r="C36" s="842"/>
      <c r="D36" s="842"/>
      <c r="E36" s="940"/>
      <c r="F36" s="940"/>
      <c r="G36" s="943"/>
      <c r="H36" s="943"/>
      <c r="I36" s="943"/>
      <c r="J36" s="943"/>
      <c r="K36" s="943"/>
      <c r="L36" s="943"/>
      <c r="M36" s="943"/>
      <c r="N36" s="943"/>
      <c r="O36" s="943"/>
      <c r="P36" s="943"/>
      <c r="Q36" s="943"/>
      <c r="R36" s="943"/>
      <c r="S36" s="943"/>
      <c r="T36" s="943"/>
      <c r="U36" s="943"/>
      <c r="V36" s="943"/>
      <c r="W36" s="943"/>
      <c r="X36" s="943"/>
      <c r="Y36" s="943"/>
      <c r="Z36" s="943"/>
      <c r="AA36" s="943"/>
      <c r="AB36" s="943"/>
      <c r="AC36" s="943"/>
      <c r="AD36" s="943"/>
      <c r="AE36" s="943"/>
      <c r="AF36" s="943"/>
      <c r="AG36" s="943"/>
      <c r="AH36" s="943"/>
      <c r="AI36" s="943"/>
      <c r="AJ36" s="943"/>
      <c r="AK36" s="943"/>
      <c r="AL36" s="943"/>
      <c r="AM36" s="943"/>
      <c r="AN36" s="943"/>
      <c r="AO36" s="943"/>
      <c r="AP36" s="943"/>
      <c r="AQ36" s="943"/>
      <c r="AR36" s="943"/>
      <c r="AS36" s="943"/>
      <c r="AT36" s="943"/>
      <c r="AU36" s="943"/>
      <c r="AV36" s="943"/>
      <c r="AW36" s="943"/>
      <c r="AX36" s="943"/>
      <c r="AY36" s="943"/>
      <c r="AZ36" s="943"/>
      <c r="BA36" s="943"/>
      <c r="BB36" s="943"/>
      <c r="BC36" s="943"/>
      <c r="BD36" s="943"/>
      <c r="BE36" s="943"/>
      <c r="BF36" s="943"/>
      <c r="BG36" s="943"/>
      <c r="BH36" s="943"/>
      <c r="BI36" s="943"/>
      <c r="BJ36" s="943"/>
      <c r="BK36" s="943"/>
      <c r="BL36" s="943"/>
      <c r="BM36" s="943"/>
      <c r="BN36" s="943"/>
      <c r="BO36" s="943"/>
      <c r="BP36" s="943"/>
      <c r="BQ36" s="943"/>
      <c r="BR36" s="943"/>
      <c r="BS36" s="943"/>
      <c r="BT36" s="943"/>
      <c r="BU36" s="943"/>
      <c r="BV36" s="943"/>
      <c r="BW36" s="943"/>
      <c r="BX36" s="943"/>
      <c r="BY36" s="943"/>
      <c r="BZ36" s="943"/>
      <c r="CA36" s="943"/>
      <c r="CB36" s="943"/>
      <c r="CC36" s="943"/>
      <c r="CD36" s="943"/>
      <c r="CE36" s="943"/>
      <c r="CF36" s="943"/>
      <c r="CG36" s="943"/>
      <c r="CH36" s="943"/>
      <c r="CI36" s="943"/>
    </row>
    <row r="37" spans="1:87" hidden="1">
      <c r="A37" s="847" t="s">
        <v>704</v>
      </c>
      <c r="B37" s="846">
        <f>B38</f>
        <v>0</v>
      </c>
      <c r="C37" s="846">
        <f t="shared" si="13"/>
        <v>0</v>
      </c>
      <c r="D37" s="846">
        <f t="shared" si="13"/>
        <v>0</v>
      </c>
    </row>
    <row r="38" spans="1:87" s="841" customFormat="1" ht="12" hidden="1">
      <c r="A38" s="843" t="s">
        <v>696</v>
      </c>
      <c r="B38" s="842">
        <f>SUM(C38:D38)</f>
        <v>0</v>
      </c>
      <c r="C38" s="842"/>
      <c r="D38" s="842"/>
      <c r="E38" s="940"/>
      <c r="F38" s="940"/>
      <c r="G38" s="943"/>
      <c r="H38" s="943"/>
      <c r="I38" s="943"/>
      <c r="J38" s="943"/>
      <c r="K38" s="943"/>
      <c r="L38" s="943"/>
      <c r="M38" s="943"/>
      <c r="N38" s="943"/>
      <c r="O38" s="943"/>
      <c r="P38" s="943"/>
      <c r="Q38" s="943"/>
      <c r="R38" s="943"/>
      <c r="S38" s="943"/>
      <c r="T38" s="943"/>
      <c r="U38" s="943"/>
      <c r="V38" s="943"/>
      <c r="W38" s="943"/>
      <c r="X38" s="943"/>
      <c r="Y38" s="943"/>
      <c r="Z38" s="943"/>
      <c r="AA38" s="943"/>
      <c r="AB38" s="943"/>
      <c r="AC38" s="943"/>
      <c r="AD38" s="943"/>
      <c r="AE38" s="943"/>
      <c r="AF38" s="943"/>
      <c r="AG38" s="943"/>
      <c r="AH38" s="943"/>
      <c r="AI38" s="943"/>
      <c r="AJ38" s="943"/>
      <c r="AK38" s="943"/>
      <c r="AL38" s="943"/>
      <c r="AM38" s="943"/>
      <c r="AN38" s="943"/>
      <c r="AO38" s="943"/>
      <c r="AP38" s="943"/>
      <c r="AQ38" s="943"/>
      <c r="AR38" s="943"/>
      <c r="AS38" s="943"/>
      <c r="AT38" s="943"/>
      <c r="AU38" s="943"/>
      <c r="AV38" s="943"/>
      <c r="AW38" s="943"/>
      <c r="AX38" s="943"/>
      <c r="AY38" s="943"/>
      <c r="AZ38" s="943"/>
      <c r="BA38" s="943"/>
      <c r="BB38" s="943"/>
      <c r="BC38" s="943"/>
      <c r="BD38" s="943"/>
      <c r="BE38" s="943"/>
      <c r="BF38" s="943"/>
      <c r="BG38" s="943"/>
      <c r="BH38" s="943"/>
      <c r="BI38" s="943"/>
      <c r="BJ38" s="943"/>
      <c r="BK38" s="943"/>
      <c r="BL38" s="943"/>
      <c r="BM38" s="943"/>
      <c r="BN38" s="943"/>
      <c r="BO38" s="943"/>
      <c r="BP38" s="943"/>
      <c r="BQ38" s="943"/>
      <c r="BR38" s="943"/>
      <c r="BS38" s="943"/>
      <c r="BT38" s="943"/>
      <c r="BU38" s="943"/>
      <c r="BV38" s="943"/>
      <c r="BW38" s="943"/>
      <c r="BX38" s="943"/>
      <c r="BY38" s="943"/>
      <c r="BZ38" s="943"/>
      <c r="CA38" s="943"/>
      <c r="CB38" s="943"/>
      <c r="CC38" s="943"/>
      <c r="CD38" s="943"/>
      <c r="CE38" s="943"/>
      <c r="CF38" s="943"/>
      <c r="CG38" s="943"/>
      <c r="CH38" s="943"/>
      <c r="CI38" s="943"/>
    </row>
    <row r="39" spans="1:87" ht="6" customHeight="1"/>
    <row r="40" spans="1:87" s="836" customFormat="1" ht="14.25">
      <c r="A40" s="833" t="s">
        <v>705</v>
      </c>
      <c r="B40" s="834">
        <f>B41+B45+B52+B54+B65+B68</f>
        <v>6307700</v>
      </c>
      <c r="C40" s="834">
        <f t="shared" ref="C40:D40" si="14">C41+C45+C52+C54+C65+C68</f>
        <v>1344797</v>
      </c>
      <c r="D40" s="834">
        <f t="shared" si="14"/>
        <v>4962903</v>
      </c>
      <c r="E40" s="936"/>
      <c r="F40" s="936"/>
      <c r="G40" s="937"/>
      <c r="H40" s="937"/>
      <c r="I40" s="937"/>
      <c r="J40" s="937"/>
      <c r="K40" s="937"/>
      <c r="L40" s="937"/>
      <c r="M40" s="937"/>
      <c r="N40" s="937"/>
      <c r="O40" s="937"/>
      <c r="P40" s="937"/>
      <c r="Q40" s="937"/>
      <c r="R40" s="937"/>
      <c r="S40" s="937"/>
      <c r="T40" s="937"/>
      <c r="U40" s="937"/>
      <c r="V40" s="937"/>
      <c r="W40" s="937"/>
      <c r="X40" s="937"/>
      <c r="Y40" s="937"/>
      <c r="Z40" s="937"/>
      <c r="AA40" s="937"/>
      <c r="AB40" s="937"/>
      <c r="AC40" s="937"/>
      <c r="AD40" s="937"/>
      <c r="AE40" s="937"/>
      <c r="AF40" s="937"/>
      <c r="AG40" s="937"/>
      <c r="AH40" s="937"/>
      <c r="AI40" s="937"/>
      <c r="AJ40" s="937"/>
      <c r="AK40" s="937"/>
      <c r="AL40" s="937"/>
      <c r="AM40" s="937"/>
      <c r="AN40" s="937"/>
      <c r="AO40" s="937"/>
      <c r="AP40" s="937"/>
      <c r="AQ40" s="937"/>
      <c r="AR40" s="937"/>
      <c r="AS40" s="937"/>
      <c r="AT40" s="937"/>
      <c r="AU40" s="937"/>
      <c r="AV40" s="937"/>
      <c r="AW40" s="937"/>
      <c r="AX40" s="937"/>
      <c r="AY40" s="937"/>
      <c r="AZ40" s="937"/>
      <c r="BA40" s="937"/>
      <c r="BB40" s="937"/>
      <c r="BC40" s="937"/>
      <c r="BD40" s="937"/>
      <c r="BE40" s="937"/>
      <c r="BF40" s="937"/>
      <c r="BG40" s="937"/>
      <c r="BH40" s="937"/>
      <c r="BI40" s="937"/>
      <c r="BJ40" s="937"/>
      <c r="BK40" s="937"/>
      <c r="BL40" s="937"/>
      <c r="BM40" s="937"/>
      <c r="BN40" s="937"/>
      <c r="BO40" s="937"/>
      <c r="BP40" s="937"/>
      <c r="BQ40" s="937"/>
      <c r="BR40" s="937"/>
      <c r="BS40" s="937"/>
      <c r="BT40" s="937"/>
      <c r="BU40" s="937"/>
      <c r="BV40" s="937"/>
      <c r="BW40" s="937"/>
      <c r="BX40" s="937"/>
      <c r="BY40" s="937"/>
      <c r="BZ40" s="937"/>
      <c r="CA40" s="937"/>
      <c r="CB40" s="937"/>
      <c r="CC40" s="937"/>
      <c r="CD40" s="937"/>
      <c r="CE40" s="937"/>
      <c r="CF40" s="937"/>
      <c r="CG40" s="937"/>
      <c r="CH40" s="937"/>
      <c r="CI40" s="937"/>
    </row>
    <row r="41" spans="1:87" s="850" customFormat="1" ht="14.25">
      <c r="A41" s="848" t="s">
        <v>543</v>
      </c>
      <c r="B41" s="849">
        <f>B42</f>
        <v>839582</v>
      </c>
      <c r="C41" s="849">
        <f t="shared" ref="C41:D41" si="15">C42</f>
        <v>78701</v>
      </c>
      <c r="D41" s="849">
        <f t="shared" si="15"/>
        <v>760881</v>
      </c>
      <c r="E41" s="936"/>
      <c r="F41" s="936"/>
      <c r="G41" s="937"/>
      <c r="H41" s="937"/>
      <c r="I41" s="937"/>
      <c r="J41" s="937"/>
      <c r="K41" s="937"/>
      <c r="L41" s="937"/>
      <c r="M41" s="937"/>
      <c r="N41" s="937"/>
      <c r="O41" s="937"/>
      <c r="P41" s="937"/>
      <c r="Q41" s="937"/>
      <c r="R41" s="937"/>
      <c r="S41" s="937"/>
      <c r="T41" s="937"/>
      <c r="U41" s="937"/>
      <c r="V41" s="937"/>
      <c r="W41" s="937"/>
      <c r="X41" s="937"/>
      <c r="Y41" s="937"/>
      <c r="Z41" s="937"/>
      <c r="AA41" s="937"/>
      <c r="AB41" s="937"/>
      <c r="AC41" s="937"/>
      <c r="AD41" s="937"/>
      <c r="AE41" s="937"/>
      <c r="AF41" s="937"/>
      <c r="AG41" s="937"/>
      <c r="AH41" s="937"/>
      <c r="AI41" s="937"/>
      <c r="AJ41" s="937"/>
      <c r="AK41" s="937"/>
      <c r="AL41" s="937"/>
      <c r="AM41" s="937"/>
      <c r="AN41" s="937"/>
      <c r="AO41" s="937"/>
      <c r="AP41" s="937"/>
      <c r="AQ41" s="937"/>
      <c r="AR41" s="937"/>
      <c r="AS41" s="937"/>
      <c r="AT41" s="937"/>
      <c r="AU41" s="937"/>
      <c r="AV41" s="937"/>
      <c r="AW41" s="937"/>
      <c r="AX41" s="937"/>
      <c r="AY41" s="937"/>
      <c r="AZ41" s="937"/>
      <c r="BA41" s="937"/>
      <c r="BB41" s="937"/>
      <c r="BC41" s="937"/>
      <c r="BD41" s="937"/>
      <c r="BE41" s="937"/>
      <c r="BF41" s="937"/>
      <c r="BG41" s="937"/>
      <c r="BH41" s="937"/>
      <c r="BI41" s="937"/>
      <c r="BJ41" s="937"/>
      <c r="BK41" s="937"/>
      <c r="BL41" s="937"/>
      <c r="BM41" s="937"/>
      <c r="BN41" s="937"/>
      <c r="BO41" s="937"/>
      <c r="BP41" s="937"/>
      <c r="BQ41" s="937"/>
      <c r="BR41" s="937"/>
      <c r="BS41" s="937"/>
      <c r="BT41" s="937"/>
      <c r="BU41" s="937"/>
      <c r="BV41" s="937"/>
      <c r="BW41" s="937"/>
      <c r="BX41" s="937"/>
      <c r="BY41" s="937"/>
      <c r="BZ41" s="937"/>
      <c r="CA41" s="937"/>
      <c r="CB41" s="937"/>
      <c r="CC41" s="937"/>
      <c r="CD41" s="937"/>
      <c r="CE41" s="937"/>
      <c r="CF41" s="937"/>
      <c r="CG41" s="937"/>
      <c r="CH41" s="937"/>
      <c r="CI41" s="937"/>
    </row>
    <row r="42" spans="1:87" ht="45">
      <c r="A42" s="828" t="s">
        <v>706</v>
      </c>
      <c r="B42" s="829">
        <f>B43+B44</f>
        <v>839582</v>
      </c>
      <c r="C42" s="829">
        <f t="shared" ref="C42:D42" si="16">C43+C44</f>
        <v>78701</v>
      </c>
      <c r="D42" s="829">
        <f t="shared" si="16"/>
        <v>760881</v>
      </c>
    </row>
    <row r="43" spans="1:87" s="841" customFormat="1" ht="12">
      <c r="A43" s="837" t="s">
        <v>696</v>
      </c>
      <c r="B43" s="840">
        <f>SUM(C43:D43)</f>
        <v>323735</v>
      </c>
      <c r="C43" s="840">
        <v>78701</v>
      </c>
      <c r="D43" s="840">
        <v>245034</v>
      </c>
      <c r="E43" s="940"/>
      <c r="F43" s="940"/>
      <c r="G43" s="943"/>
      <c r="H43" s="943"/>
      <c r="I43" s="943"/>
      <c r="J43" s="943"/>
      <c r="K43" s="943"/>
      <c r="L43" s="943"/>
      <c r="M43" s="943"/>
      <c r="N43" s="943"/>
      <c r="O43" s="943"/>
      <c r="P43" s="943"/>
      <c r="Q43" s="943"/>
      <c r="R43" s="943"/>
      <c r="S43" s="943"/>
      <c r="T43" s="943"/>
      <c r="U43" s="943"/>
      <c r="V43" s="943"/>
      <c r="W43" s="943"/>
      <c r="X43" s="943"/>
      <c r="Y43" s="943"/>
      <c r="Z43" s="943"/>
      <c r="AA43" s="943"/>
      <c r="AB43" s="943"/>
      <c r="AC43" s="943"/>
      <c r="AD43" s="943"/>
      <c r="AE43" s="943"/>
      <c r="AF43" s="943"/>
      <c r="AG43" s="943"/>
      <c r="AH43" s="943"/>
      <c r="AI43" s="943"/>
      <c r="AJ43" s="943"/>
      <c r="AK43" s="943"/>
      <c r="AL43" s="943"/>
      <c r="AM43" s="943"/>
      <c r="AN43" s="943"/>
      <c r="AO43" s="943"/>
      <c r="AP43" s="943"/>
      <c r="AQ43" s="943"/>
      <c r="AR43" s="943"/>
      <c r="AS43" s="943"/>
      <c r="AT43" s="943"/>
      <c r="AU43" s="943"/>
      <c r="AV43" s="943"/>
      <c r="AW43" s="943"/>
      <c r="AX43" s="943"/>
      <c r="AY43" s="943"/>
      <c r="AZ43" s="943"/>
      <c r="BA43" s="943"/>
      <c r="BB43" s="943"/>
      <c r="BC43" s="943"/>
      <c r="BD43" s="943"/>
      <c r="BE43" s="943"/>
      <c r="BF43" s="943"/>
      <c r="BG43" s="943"/>
      <c r="BH43" s="943"/>
      <c r="BI43" s="943"/>
      <c r="BJ43" s="943"/>
      <c r="BK43" s="943"/>
      <c r="BL43" s="943"/>
      <c r="BM43" s="943"/>
      <c r="BN43" s="943"/>
      <c r="BO43" s="943"/>
      <c r="BP43" s="943"/>
      <c r="BQ43" s="943"/>
      <c r="BR43" s="943"/>
      <c r="BS43" s="943"/>
      <c r="BT43" s="943"/>
      <c r="BU43" s="943"/>
      <c r="BV43" s="943"/>
      <c r="BW43" s="943"/>
      <c r="BX43" s="943"/>
      <c r="BY43" s="943"/>
      <c r="BZ43" s="943"/>
      <c r="CA43" s="943"/>
      <c r="CB43" s="943"/>
      <c r="CC43" s="943"/>
      <c r="CD43" s="943"/>
      <c r="CE43" s="943"/>
      <c r="CF43" s="943"/>
      <c r="CG43" s="943"/>
      <c r="CH43" s="943"/>
      <c r="CI43" s="943"/>
    </row>
    <row r="44" spans="1:87" s="841" customFormat="1" ht="12">
      <c r="A44" s="837" t="s">
        <v>696</v>
      </c>
      <c r="B44" s="840">
        <f>SUM(C44:D44)</f>
        <v>515847</v>
      </c>
      <c r="C44" s="840"/>
      <c r="D44" s="840">
        <v>515847</v>
      </c>
      <c r="E44" s="940"/>
      <c r="F44" s="940"/>
      <c r="G44" s="943"/>
      <c r="H44" s="943"/>
      <c r="I44" s="943"/>
      <c r="J44" s="943"/>
      <c r="K44" s="943"/>
      <c r="L44" s="943"/>
      <c r="M44" s="943"/>
      <c r="N44" s="943"/>
      <c r="O44" s="943"/>
      <c r="P44" s="943"/>
      <c r="Q44" s="943"/>
      <c r="R44" s="943"/>
      <c r="S44" s="943"/>
      <c r="T44" s="943"/>
      <c r="U44" s="943"/>
      <c r="V44" s="943"/>
      <c r="W44" s="943"/>
      <c r="X44" s="943"/>
      <c r="Y44" s="943"/>
      <c r="Z44" s="943"/>
      <c r="AA44" s="943"/>
      <c r="AB44" s="943"/>
      <c r="AC44" s="943"/>
      <c r="AD44" s="943"/>
      <c r="AE44" s="943"/>
      <c r="AF44" s="943"/>
      <c r="AG44" s="943"/>
      <c r="AH44" s="943"/>
      <c r="AI44" s="943"/>
      <c r="AJ44" s="943"/>
      <c r="AK44" s="943"/>
      <c r="AL44" s="943"/>
      <c r="AM44" s="943"/>
      <c r="AN44" s="943"/>
      <c r="AO44" s="943"/>
      <c r="AP44" s="943"/>
      <c r="AQ44" s="943"/>
      <c r="AR44" s="943"/>
      <c r="AS44" s="943"/>
      <c r="AT44" s="943"/>
      <c r="AU44" s="943"/>
      <c r="AV44" s="943"/>
      <c r="AW44" s="943"/>
      <c r="AX44" s="943"/>
      <c r="AY44" s="943"/>
      <c r="AZ44" s="943"/>
      <c r="BA44" s="943"/>
      <c r="BB44" s="943"/>
      <c r="BC44" s="943"/>
      <c r="BD44" s="943"/>
      <c r="BE44" s="943"/>
      <c r="BF44" s="943"/>
      <c r="BG44" s="943"/>
      <c r="BH44" s="943"/>
      <c r="BI44" s="943"/>
      <c r="BJ44" s="943"/>
      <c r="BK44" s="943"/>
      <c r="BL44" s="943"/>
      <c r="BM44" s="943"/>
      <c r="BN44" s="943"/>
      <c r="BO44" s="943"/>
      <c r="BP44" s="943"/>
      <c r="BQ44" s="943"/>
      <c r="BR44" s="943"/>
      <c r="BS44" s="943"/>
      <c r="BT44" s="943"/>
      <c r="BU44" s="943"/>
      <c r="BV44" s="943"/>
      <c r="BW44" s="943"/>
      <c r="BX44" s="943"/>
      <c r="BY44" s="943"/>
      <c r="BZ44" s="943"/>
      <c r="CA44" s="943"/>
      <c r="CB44" s="943"/>
      <c r="CC44" s="943"/>
      <c r="CD44" s="943"/>
      <c r="CE44" s="943"/>
      <c r="CF44" s="943"/>
      <c r="CG44" s="943"/>
      <c r="CH44" s="943"/>
      <c r="CI44" s="943"/>
    </row>
    <row r="45" spans="1:87" s="850" customFormat="1" ht="14.25">
      <c r="A45" s="848" t="s">
        <v>707</v>
      </c>
      <c r="B45" s="849">
        <f>B46+B48+B50</f>
        <v>122473</v>
      </c>
      <c r="C45" s="849">
        <f t="shared" ref="C45:D45" si="17">C46+C48+C50</f>
        <v>33029</v>
      </c>
      <c r="D45" s="849">
        <f t="shared" si="17"/>
        <v>89444</v>
      </c>
      <c r="E45" s="936"/>
      <c r="F45" s="936"/>
      <c r="G45" s="937"/>
      <c r="H45" s="937"/>
      <c r="I45" s="937"/>
      <c r="J45" s="937"/>
      <c r="K45" s="937"/>
      <c r="L45" s="937"/>
      <c r="M45" s="937"/>
      <c r="N45" s="937"/>
      <c r="O45" s="937"/>
      <c r="P45" s="937"/>
      <c r="Q45" s="937"/>
      <c r="R45" s="937"/>
      <c r="S45" s="937"/>
      <c r="T45" s="937"/>
      <c r="U45" s="937"/>
      <c r="V45" s="937"/>
      <c r="W45" s="937"/>
      <c r="X45" s="937"/>
      <c r="Y45" s="937"/>
      <c r="Z45" s="937"/>
      <c r="AA45" s="937"/>
      <c r="AB45" s="937"/>
      <c r="AC45" s="937"/>
      <c r="AD45" s="937"/>
      <c r="AE45" s="937"/>
      <c r="AF45" s="937"/>
      <c r="AG45" s="937"/>
      <c r="AH45" s="937"/>
      <c r="AI45" s="937"/>
      <c r="AJ45" s="937"/>
      <c r="AK45" s="937"/>
      <c r="AL45" s="937"/>
      <c r="AM45" s="937"/>
      <c r="AN45" s="937"/>
      <c r="AO45" s="937"/>
      <c r="AP45" s="937"/>
      <c r="AQ45" s="937"/>
      <c r="AR45" s="937"/>
      <c r="AS45" s="937"/>
      <c r="AT45" s="937"/>
      <c r="AU45" s="937"/>
      <c r="AV45" s="937"/>
      <c r="AW45" s="937"/>
      <c r="AX45" s="937"/>
      <c r="AY45" s="937"/>
      <c r="AZ45" s="937"/>
      <c r="BA45" s="937"/>
      <c r="BB45" s="937"/>
      <c r="BC45" s="937"/>
      <c r="BD45" s="937"/>
      <c r="BE45" s="937"/>
      <c r="BF45" s="937"/>
      <c r="BG45" s="937"/>
      <c r="BH45" s="937"/>
      <c r="BI45" s="937"/>
      <c r="BJ45" s="937"/>
      <c r="BK45" s="937"/>
      <c r="BL45" s="937"/>
      <c r="BM45" s="937"/>
      <c r="BN45" s="937"/>
      <c r="BO45" s="937"/>
      <c r="BP45" s="937"/>
      <c r="BQ45" s="937"/>
      <c r="BR45" s="937"/>
      <c r="BS45" s="937"/>
      <c r="BT45" s="937"/>
      <c r="BU45" s="937"/>
      <c r="BV45" s="937"/>
      <c r="BW45" s="937"/>
      <c r="BX45" s="937"/>
      <c r="BY45" s="937"/>
      <c r="BZ45" s="937"/>
      <c r="CA45" s="937"/>
      <c r="CB45" s="937"/>
      <c r="CC45" s="937"/>
      <c r="CD45" s="937"/>
      <c r="CE45" s="937"/>
      <c r="CF45" s="937"/>
      <c r="CG45" s="937"/>
      <c r="CH45" s="937"/>
      <c r="CI45" s="937"/>
    </row>
    <row r="46" spans="1:87" ht="30">
      <c r="A46" s="828" t="s">
        <v>407</v>
      </c>
      <c r="B46" s="829">
        <f>B47</f>
        <v>3451</v>
      </c>
      <c r="C46" s="829">
        <f t="shared" ref="C46:D46" si="18">C47</f>
        <v>1680</v>
      </c>
      <c r="D46" s="829">
        <f t="shared" si="18"/>
        <v>1771</v>
      </c>
    </row>
    <row r="47" spans="1:87" s="841" customFormat="1" ht="12">
      <c r="A47" s="837" t="s">
        <v>696</v>
      </c>
      <c r="B47" s="840">
        <f>SUM(C47:D47)</f>
        <v>3451</v>
      </c>
      <c r="C47" s="840">
        <v>1680</v>
      </c>
      <c r="D47" s="840">
        <v>1771</v>
      </c>
      <c r="E47" s="940"/>
      <c r="F47" s="940"/>
      <c r="G47" s="943"/>
      <c r="H47" s="943"/>
      <c r="I47" s="943"/>
      <c r="J47" s="943"/>
      <c r="K47" s="943"/>
      <c r="L47" s="943"/>
      <c r="M47" s="943"/>
      <c r="N47" s="943"/>
      <c r="O47" s="943"/>
      <c r="P47" s="943"/>
      <c r="Q47" s="943"/>
      <c r="R47" s="943"/>
      <c r="S47" s="943"/>
      <c r="T47" s="943"/>
      <c r="U47" s="943"/>
      <c r="V47" s="943"/>
      <c r="W47" s="943"/>
      <c r="X47" s="943"/>
      <c r="Y47" s="943"/>
      <c r="Z47" s="943"/>
      <c r="AA47" s="943"/>
      <c r="AB47" s="943"/>
      <c r="AC47" s="943"/>
      <c r="AD47" s="943"/>
      <c r="AE47" s="943"/>
      <c r="AF47" s="943"/>
      <c r="AG47" s="943"/>
      <c r="AH47" s="943"/>
      <c r="AI47" s="943"/>
      <c r="AJ47" s="943"/>
      <c r="AK47" s="943"/>
      <c r="AL47" s="943"/>
      <c r="AM47" s="943"/>
      <c r="AN47" s="943"/>
      <c r="AO47" s="943"/>
      <c r="AP47" s="943"/>
      <c r="AQ47" s="943"/>
      <c r="AR47" s="943"/>
      <c r="AS47" s="943"/>
      <c r="AT47" s="943"/>
      <c r="AU47" s="943"/>
      <c r="AV47" s="943"/>
      <c r="AW47" s="943"/>
      <c r="AX47" s="943"/>
      <c r="AY47" s="943"/>
      <c r="AZ47" s="943"/>
      <c r="BA47" s="943"/>
      <c r="BB47" s="943"/>
      <c r="BC47" s="943"/>
      <c r="BD47" s="943"/>
      <c r="BE47" s="943"/>
      <c r="BF47" s="943"/>
      <c r="BG47" s="943"/>
      <c r="BH47" s="943"/>
      <c r="BI47" s="943"/>
      <c r="BJ47" s="943"/>
      <c r="BK47" s="943"/>
      <c r="BL47" s="943"/>
      <c r="BM47" s="943"/>
      <c r="BN47" s="943"/>
      <c r="BO47" s="943"/>
      <c r="BP47" s="943"/>
      <c r="BQ47" s="943"/>
      <c r="BR47" s="943"/>
      <c r="BS47" s="943"/>
      <c r="BT47" s="943"/>
      <c r="BU47" s="943"/>
      <c r="BV47" s="943"/>
      <c r="BW47" s="943"/>
      <c r="BX47" s="943"/>
      <c r="BY47" s="943"/>
      <c r="BZ47" s="943"/>
      <c r="CA47" s="943"/>
      <c r="CB47" s="943"/>
      <c r="CC47" s="943"/>
      <c r="CD47" s="943"/>
      <c r="CE47" s="943"/>
      <c r="CF47" s="943"/>
      <c r="CG47" s="943"/>
      <c r="CH47" s="943"/>
      <c r="CI47" s="943"/>
    </row>
    <row r="48" spans="1:87" ht="30">
      <c r="A48" s="828" t="s">
        <v>408</v>
      </c>
      <c r="B48" s="829">
        <f>B49</f>
        <v>88730</v>
      </c>
      <c r="C48" s="829">
        <f t="shared" ref="C48:D48" si="19">C49</f>
        <v>23341</v>
      </c>
      <c r="D48" s="829">
        <f t="shared" si="19"/>
        <v>65389</v>
      </c>
    </row>
    <row r="49" spans="1:87" s="841" customFormat="1" ht="12">
      <c r="A49" s="837" t="s">
        <v>696</v>
      </c>
      <c r="B49" s="840">
        <f>SUM(C49:D49)</f>
        <v>88730</v>
      </c>
      <c r="C49" s="840">
        <v>23341</v>
      </c>
      <c r="D49" s="840">
        <v>65389</v>
      </c>
      <c r="E49" s="940"/>
      <c r="F49" s="940"/>
      <c r="G49" s="943"/>
      <c r="H49" s="943"/>
      <c r="I49" s="943"/>
      <c r="J49" s="943"/>
      <c r="K49" s="943"/>
      <c r="L49" s="943"/>
      <c r="M49" s="943"/>
      <c r="N49" s="943"/>
      <c r="O49" s="943"/>
      <c r="P49" s="943"/>
      <c r="Q49" s="943"/>
      <c r="R49" s="943"/>
      <c r="S49" s="943"/>
      <c r="T49" s="943"/>
      <c r="U49" s="943"/>
      <c r="V49" s="943"/>
      <c r="W49" s="943"/>
      <c r="X49" s="943"/>
      <c r="Y49" s="943"/>
      <c r="Z49" s="943"/>
      <c r="AA49" s="943"/>
      <c r="AB49" s="943"/>
      <c r="AC49" s="943"/>
      <c r="AD49" s="943"/>
      <c r="AE49" s="943"/>
      <c r="AF49" s="943"/>
      <c r="AG49" s="943"/>
      <c r="AH49" s="943"/>
      <c r="AI49" s="943"/>
      <c r="AJ49" s="943"/>
      <c r="AK49" s="943"/>
      <c r="AL49" s="943"/>
      <c r="AM49" s="943"/>
      <c r="AN49" s="943"/>
      <c r="AO49" s="943"/>
      <c r="AP49" s="943"/>
      <c r="AQ49" s="943"/>
      <c r="AR49" s="943"/>
      <c r="AS49" s="943"/>
      <c r="AT49" s="943"/>
      <c r="AU49" s="943"/>
      <c r="AV49" s="943"/>
      <c r="AW49" s="943"/>
      <c r="AX49" s="943"/>
      <c r="AY49" s="943"/>
      <c r="AZ49" s="943"/>
      <c r="BA49" s="943"/>
      <c r="BB49" s="943"/>
      <c r="BC49" s="943"/>
      <c r="BD49" s="943"/>
      <c r="BE49" s="943"/>
      <c r="BF49" s="943"/>
      <c r="BG49" s="943"/>
      <c r="BH49" s="943"/>
      <c r="BI49" s="943"/>
      <c r="BJ49" s="943"/>
      <c r="BK49" s="943"/>
      <c r="BL49" s="943"/>
      <c r="BM49" s="943"/>
      <c r="BN49" s="943"/>
      <c r="BO49" s="943"/>
      <c r="BP49" s="943"/>
      <c r="BQ49" s="943"/>
      <c r="BR49" s="943"/>
      <c r="BS49" s="943"/>
      <c r="BT49" s="943"/>
      <c r="BU49" s="943"/>
      <c r="BV49" s="943"/>
      <c r="BW49" s="943"/>
      <c r="BX49" s="943"/>
      <c r="BY49" s="943"/>
      <c r="BZ49" s="943"/>
      <c r="CA49" s="943"/>
      <c r="CB49" s="943"/>
      <c r="CC49" s="943"/>
      <c r="CD49" s="943"/>
      <c r="CE49" s="943"/>
      <c r="CF49" s="943"/>
      <c r="CG49" s="943"/>
      <c r="CH49" s="943"/>
      <c r="CI49" s="943"/>
    </row>
    <row r="50" spans="1:87">
      <c r="A50" s="828" t="s">
        <v>348</v>
      </c>
      <c r="B50" s="829">
        <f>B51</f>
        <v>30292</v>
      </c>
      <c r="C50" s="829">
        <f t="shared" ref="C50:D50" si="20">C51</f>
        <v>8008</v>
      </c>
      <c r="D50" s="829">
        <f t="shared" si="20"/>
        <v>22284</v>
      </c>
    </row>
    <row r="51" spans="1:87" s="841" customFormat="1" ht="12">
      <c r="A51" s="837" t="s">
        <v>696</v>
      </c>
      <c r="B51" s="840">
        <f>SUM(C51:D51)</f>
        <v>30292</v>
      </c>
      <c r="C51" s="840">
        <v>8008</v>
      </c>
      <c r="D51" s="840">
        <v>22284</v>
      </c>
      <c r="E51" s="940"/>
      <c r="F51" s="940"/>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c r="AD51" s="943"/>
      <c r="AE51" s="943"/>
      <c r="AF51" s="943"/>
      <c r="AG51" s="943"/>
      <c r="AH51" s="943"/>
      <c r="AI51" s="943"/>
      <c r="AJ51" s="943"/>
      <c r="AK51" s="943"/>
      <c r="AL51" s="943"/>
      <c r="AM51" s="943"/>
      <c r="AN51" s="943"/>
      <c r="AO51" s="943"/>
      <c r="AP51" s="943"/>
      <c r="AQ51" s="943"/>
      <c r="AR51" s="943"/>
      <c r="AS51" s="943"/>
      <c r="AT51" s="943"/>
      <c r="AU51" s="943"/>
      <c r="AV51" s="943"/>
      <c r="AW51" s="943"/>
      <c r="AX51" s="943"/>
      <c r="AY51" s="943"/>
      <c r="AZ51" s="943"/>
      <c r="BA51" s="943"/>
      <c r="BB51" s="943"/>
      <c r="BC51" s="943"/>
      <c r="BD51" s="943"/>
      <c r="BE51" s="943"/>
      <c r="BF51" s="943"/>
      <c r="BG51" s="943"/>
      <c r="BH51" s="943"/>
      <c r="BI51" s="943"/>
      <c r="BJ51" s="943"/>
      <c r="BK51" s="943"/>
      <c r="BL51" s="943"/>
      <c r="BM51" s="943"/>
      <c r="BN51" s="943"/>
      <c r="BO51" s="943"/>
      <c r="BP51" s="943"/>
      <c r="BQ51" s="943"/>
      <c r="BR51" s="943"/>
      <c r="BS51" s="943"/>
      <c r="BT51" s="943"/>
      <c r="BU51" s="943"/>
      <c r="BV51" s="943"/>
      <c r="BW51" s="943"/>
      <c r="BX51" s="943"/>
      <c r="BY51" s="943"/>
      <c r="BZ51" s="943"/>
      <c r="CA51" s="943"/>
      <c r="CB51" s="943"/>
      <c r="CC51" s="943"/>
      <c r="CD51" s="943"/>
      <c r="CE51" s="943"/>
      <c r="CF51" s="943"/>
      <c r="CG51" s="943"/>
      <c r="CH51" s="943"/>
      <c r="CI51" s="943"/>
    </row>
    <row r="52" spans="1:87" s="850" customFormat="1" ht="14.25" customHeight="1">
      <c r="A52" s="848" t="s">
        <v>420</v>
      </c>
      <c r="B52" s="849">
        <f>B53</f>
        <v>780663</v>
      </c>
      <c r="C52" s="849">
        <f t="shared" ref="C52:D52" si="21">C53</f>
        <v>214732</v>
      </c>
      <c r="D52" s="849">
        <f t="shared" si="21"/>
        <v>565931</v>
      </c>
      <c r="E52" s="936"/>
      <c r="F52" s="936"/>
      <c r="G52" s="937"/>
      <c r="H52" s="937"/>
      <c r="I52" s="937"/>
      <c r="J52" s="937"/>
      <c r="K52" s="937"/>
      <c r="L52" s="937"/>
      <c r="M52" s="937"/>
      <c r="N52" s="937"/>
      <c r="O52" s="937"/>
      <c r="P52" s="937"/>
      <c r="Q52" s="937"/>
      <c r="R52" s="937"/>
      <c r="S52" s="937"/>
      <c r="T52" s="937"/>
      <c r="U52" s="937"/>
      <c r="V52" s="937"/>
      <c r="W52" s="937"/>
      <c r="X52" s="937"/>
      <c r="Y52" s="937"/>
      <c r="Z52" s="937"/>
      <c r="AA52" s="937"/>
      <c r="AB52" s="937"/>
      <c r="AC52" s="937"/>
      <c r="AD52" s="937"/>
      <c r="AE52" s="937"/>
      <c r="AF52" s="937"/>
      <c r="AG52" s="937"/>
      <c r="AH52" s="937"/>
      <c r="AI52" s="937"/>
      <c r="AJ52" s="937"/>
      <c r="AK52" s="937"/>
      <c r="AL52" s="937"/>
      <c r="AM52" s="937"/>
      <c r="AN52" s="937"/>
      <c r="AO52" s="937"/>
      <c r="AP52" s="937"/>
      <c r="AQ52" s="937"/>
      <c r="AR52" s="937"/>
      <c r="AS52" s="937"/>
      <c r="AT52" s="937"/>
      <c r="AU52" s="937"/>
      <c r="AV52" s="937"/>
      <c r="AW52" s="937"/>
      <c r="AX52" s="937"/>
      <c r="AY52" s="937"/>
      <c r="AZ52" s="937"/>
      <c r="BA52" s="937"/>
      <c r="BB52" s="937"/>
      <c r="BC52" s="937"/>
      <c r="BD52" s="937"/>
      <c r="BE52" s="937"/>
      <c r="BF52" s="937"/>
      <c r="BG52" s="937"/>
      <c r="BH52" s="937"/>
      <c r="BI52" s="937"/>
      <c r="BJ52" s="937"/>
      <c r="BK52" s="937"/>
      <c r="BL52" s="937"/>
      <c r="BM52" s="937"/>
      <c r="BN52" s="937"/>
      <c r="BO52" s="937"/>
      <c r="BP52" s="937"/>
      <c r="BQ52" s="937"/>
      <c r="BR52" s="937"/>
      <c r="BS52" s="937"/>
      <c r="BT52" s="937"/>
      <c r="BU52" s="937"/>
      <c r="BV52" s="937"/>
      <c r="BW52" s="937"/>
      <c r="BX52" s="937"/>
      <c r="BY52" s="937"/>
      <c r="BZ52" s="937"/>
      <c r="CA52" s="937"/>
      <c r="CB52" s="937"/>
      <c r="CC52" s="937"/>
      <c r="CD52" s="937"/>
      <c r="CE52" s="937"/>
      <c r="CF52" s="937"/>
      <c r="CG52" s="937"/>
      <c r="CH52" s="937"/>
      <c r="CI52" s="937"/>
    </row>
    <row r="53" spans="1:87" s="852" customFormat="1" ht="12">
      <c r="A53" s="837" t="s">
        <v>708</v>
      </c>
      <c r="B53" s="851">
        <f>SUM(C53:D53)</f>
        <v>780663</v>
      </c>
      <c r="C53" s="851">
        <v>214732</v>
      </c>
      <c r="D53" s="851">
        <v>565931</v>
      </c>
      <c r="E53" s="947"/>
      <c r="F53" s="947"/>
      <c r="G53" s="948"/>
      <c r="H53" s="948"/>
      <c r="I53" s="948"/>
      <c r="J53" s="948"/>
      <c r="K53" s="948"/>
      <c r="L53" s="948"/>
      <c r="M53" s="948"/>
      <c r="N53" s="948"/>
      <c r="O53" s="948"/>
      <c r="P53" s="948"/>
      <c r="Q53" s="948"/>
      <c r="R53" s="948"/>
      <c r="S53" s="948"/>
      <c r="T53" s="948"/>
      <c r="U53" s="948"/>
      <c r="V53" s="948"/>
      <c r="W53" s="948"/>
      <c r="X53" s="948"/>
      <c r="Y53" s="948"/>
      <c r="Z53" s="948"/>
      <c r="AA53" s="948"/>
      <c r="AB53" s="948"/>
      <c r="AC53" s="948"/>
      <c r="AD53" s="948"/>
      <c r="AE53" s="948"/>
      <c r="AF53" s="948"/>
      <c r="AG53" s="948"/>
      <c r="AH53" s="948"/>
      <c r="AI53" s="948"/>
      <c r="AJ53" s="948"/>
      <c r="AK53" s="948"/>
      <c r="AL53" s="948"/>
      <c r="AM53" s="948"/>
      <c r="AN53" s="948"/>
      <c r="AO53" s="948"/>
      <c r="AP53" s="948"/>
      <c r="AQ53" s="948"/>
      <c r="AR53" s="948"/>
      <c r="AS53" s="948"/>
      <c r="AT53" s="948"/>
      <c r="AU53" s="948"/>
      <c r="AV53" s="948"/>
      <c r="AW53" s="948"/>
      <c r="AX53" s="948"/>
      <c r="AY53" s="948"/>
      <c r="AZ53" s="948"/>
      <c r="BA53" s="948"/>
      <c r="BB53" s="948"/>
      <c r="BC53" s="948"/>
      <c r="BD53" s="948"/>
      <c r="BE53" s="948"/>
      <c r="BF53" s="948"/>
      <c r="BG53" s="948"/>
      <c r="BH53" s="948"/>
      <c r="BI53" s="948"/>
      <c r="BJ53" s="948"/>
      <c r="BK53" s="948"/>
      <c r="BL53" s="948"/>
      <c r="BM53" s="948"/>
      <c r="BN53" s="948"/>
      <c r="BO53" s="948"/>
      <c r="BP53" s="948"/>
      <c r="BQ53" s="948"/>
      <c r="BR53" s="948"/>
      <c r="BS53" s="948"/>
      <c r="BT53" s="948"/>
      <c r="BU53" s="948"/>
      <c r="BV53" s="948"/>
      <c r="BW53" s="948"/>
      <c r="BX53" s="948"/>
      <c r="BY53" s="948"/>
      <c r="BZ53" s="948"/>
      <c r="CA53" s="948"/>
      <c r="CB53" s="948"/>
      <c r="CC53" s="948"/>
      <c r="CD53" s="948"/>
      <c r="CE53" s="948"/>
      <c r="CF53" s="948"/>
      <c r="CG53" s="948"/>
      <c r="CH53" s="948"/>
      <c r="CI53" s="948"/>
    </row>
    <row r="54" spans="1:87" s="850" customFormat="1" ht="14.25" customHeight="1">
      <c r="A54" s="848" t="s">
        <v>709</v>
      </c>
      <c r="B54" s="849">
        <f>B55+B57+B59+B61+B63</f>
        <v>3582828</v>
      </c>
      <c r="C54" s="849">
        <f t="shared" ref="C54:D54" si="22">C55+C57+C59+C61+C63</f>
        <v>939596</v>
      </c>
      <c r="D54" s="849">
        <f t="shared" si="22"/>
        <v>2643232</v>
      </c>
      <c r="E54" s="936"/>
      <c r="F54" s="936"/>
      <c r="G54" s="937"/>
      <c r="H54" s="937"/>
      <c r="I54" s="937"/>
      <c r="J54" s="937"/>
      <c r="K54" s="937"/>
      <c r="L54" s="937"/>
      <c r="M54" s="937"/>
      <c r="N54" s="937"/>
      <c r="O54" s="937"/>
      <c r="P54" s="937"/>
      <c r="Q54" s="937"/>
      <c r="R54" s="937"/>
      <c r="S54" s="937"/>
      <c r="T54" s="937"/>
      <c r="U54" s="937"/>
      <c r="V54" s="937"/>
      <c r="W54" s="937"/>
      <c r="X54" s="937"/>
      <c r="Y54" s="937"/>
      <c r="Z54" s="937"/>
      <c r="AA54" s="937"/>
      <c r="AB54" s="937"/>
      <c r="AC54" s="937"/>
      <c r="AD54" s="937"/>
      <c r="AE54" s="937"/>
      <c r="AF54" s="937"/>
      <c r="AG54" s="937"/>
      <c r="AH54" s="937"/>
      <c r="AI54" s="937"/>
      <c r="AJ54" s="937"/>
      <c r="AK54" s="937"/>
      <c r="AL54" s="937"/>
      <c r="AM54" s="937"/>
      <c r="AN54" s="937"/>
      <c r="AO54" s="937"/>
      <c r="AP54" s="937"/>
      <c r="AQ54" s="937"/>
      <c r="AR54" s="937"/>
      <c r="AS54" s="937"/>
      <c r="AT54" s="937"/>
      <c r="AU54" s="937"/>
      <c r="AV54" s="937"/>
      <c r="AW54" s="937"/>
      <c r="AX54" s="937"/>
      <c r="AY54" s="937"/>
      <c r="AZ54" s="937"/>
      <c r="BA54" s="937"/>
      <c r="BB54" s="937"/>
      <c r="BC54" s="937"/>
      <c r="BD54" s="937"/>
      <c r="BE54" s="937"/>
      <c r="BF54" s="937"/>
      <c r="BG54" s="937"/>
      <c r="BH54" s="937"/>
      <c r="BI54" s="937"/>
      <c r="BJ54" s="937"/>
      <c r="BK54" s="937"/>
      <c r="BL54" s="937"/>
      <c r="BM54" s="937"/>
      <c r="BN54" s="937"/>
      <c r="BO54" s="937"/>
      <c r="BP54" s="937"/>
      <c r="BQ54" s="937"/>
      <c r="BR54" s="937"/>
      <c r="BS54" s="937"/>
      <c r="BT54" s="937"/>
      <c r="BU54" s="937"/>
      <c r="BV54" s="937"/>
      <c r="BW54" s="937"/>
      <c r="BX54" s="937"/>
      <c r="BY54" s="937"/>
      <c r="BZ54" s="937"/>
      <c r="CA54" s="937"/>
      <c r="CB54" s="937"/>
      <c r="CC54" s="937"/>
      <c r="CD54" s="937"/>
      <c r="CE54" s="937"/>
      <c r="CF54" s="937"/>
      <c r="CG54" s="937"/>
      <c r="CH54" s="937"/>
      <c r="CI54" s="937"/>
    </row>
    <row r="55" spans="1:87" ht="30">
      <c r="A55" s="828" t="s">
        <v>241</v>
      </c>
      <c r="B55" s="829">
        <f>B56</f>
        <v>10369</v>
      </c>
      <c r="C55" s="829">
        <f t="shared" ref="C55:D55" si="23">C56</f>
        <v>2837</v>
      </c>
      <c r="D55" s="829">
        <f t="shared" si="23"/>
        <v>7532</v>
      </c>
    </row>
    <row r="56" spans="1:87" s="841" customFormat="1" ht="12">
      <c r="A56" s="837" t="s">
        <v>696</v>
      </c>
      <c r="B56" s="840">
        <f>SUM(C56:D56)</f>
        <v>10369</v>
      </c>
      <c r="C56" s="840">
        <f>2039+153+44+601</f>
        <v>2837</v>
      </c>
      <c r="D56" s="840">
        <v>7532</v>
      </c>
      <c r="E56" s="940"/>
      <c r="F56" s="940"/>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c r="AH56" s="943"/>
      <c r="AI56" s="943"/>
      <c r="AJ56" s="943"/>
      <c r="AK56" s="943"/>
      <c r="AL56" s="943"/>
      <c r="AM56" s="943"/>
      <c r="AN56" s="943"/>
      <c r="AO56" s="943"/>
      <c r="AP56" s="943"/>
      <c r="AQ56" s="943"/>
      <c r="AR56" s="943"/>
      <c r="AS56" s="943"/>
      <c r="AT56" s="943"/>
      <c r="AU56" s="943"/>
      <c r="AV56" s="943"/>
      <c r="AW56" s="943"/>
      <c r="AX56" s="943"/>
      <c r="AY56" s="943"/>
      <c r="AZ56" s="943"/>
      <c r="BA56" s="943"/>
      <c r="BB56" s="943"/>
      <c r="BC56" s="943"/>
      <c r="BD56" s="943"/>
      <c r="BE56" s="943"/>
      <c r="BF56" s="943"/>
      <c r="BG56" s="943"/>
      <c r="BH56" s="943"/>
      <c r="BI56" s="943"/>
      <c r="BJ56" s="943"/>
      <c r="BK56" s="943"/>
      <c r="BL56" s="943"/>
      <c r="BM56" s="943"/>
      <c r="BN56" s="943"/>
      <c r="BO56" s="943"/>
      <c r="BP56" s="943"/>
      <c r="BQ56" s="943"/>
      <c r="BR56" s="943"/>
      <c r="BS56" s="943"/>
      <c r="BT56" s="943"/>
      <c r="BU56" s="943"/>
      <c r="BV56" s="943"/>
      <c r="BW56" s="943"/>
      <c r="BX56" s="943"/>
      <c r="BY56" s="943"/>
      <c r="BZ56" s="943"/>
      <c r="CA56" s="943"/>
      <c r="CB56" s="943"/>
      <c r="CC56" s="943"/>
      <c r="CD56" s="943"/>
      <c r="CE56" s="943"/>
      <c r="CF56" s="943"/>
      <c r="CG56" s="943"/>
      <c r="CH56" s="943"/>
      <c r="CI56" s="943"/>
    </row>
    <row r="57" spans="1:87" ht="30">
      <c r="A57" s="828" t="s">
        <v>245</v>
      </c>
      <c r="B57" s="829">
        <f>B58</f>
        <v>2042744</v>
      </c>
      <c r="C57" s="829">
        <f t="shared" ref="C57:D57" si="24">C58</f>
        <v>535209</v>
      </c>
      <c r="D57" s="829">
        <f t="shared" si="24"/>
        <v>1507535</v>
      </c>
    </row>
    <row r="58" spans="1:87" s="841" customFormat="1" ht="12">
      <c r="A58" s="837" t="s">
        <v>696</v>
      </c>
      <c r="B58" s="840">
        <f>SUM(C58:D58)</f>
        <v>2042744</v>
      </c>
      <c r="C58" s="840">
        <v>535209</v>
      </c>
      <c r="D58" s="840">
        <v>1507535</v>
      </c>
      <c r="E58" s="940"/>
      <c r="F58" s="940"/>
      <c r="G58" s="943"/>
      <c r="H58" s="943"/>
      <c r="I58" s="943"/>
      <c r="J58" s="943"/>
      <c r="K58" s="943"/>
      <c r="L58" s="943"/>
      <c r="M58" s="943"/>
      <c r="N58" s="943"/>
      <c r="O58" s="943"/>
      <c r="P58" s="943"/>
      <c r="Q58" s="943"/>
      <c r="R58" s="943"/>
      <c r="S58" s="943"/>
      <c r="T58" s="943"/>
      <c r="U58" s="943"/>
      <c r="V58" s="943"/>
      <c r="W58" s="943"/>
      <c r="X58" s="943"/>
      <c r="Y58" s="943"/>
      <c r="Z58" s="943"/>
      <c r="AA58" s="943"/>
      <c r="AB58" s="943"/>
      <c r="AC58" s="943"/>
      <c r="AD58" s="943"/>
      <c r="AE58" s="943"/>
      <c r="AF58" s="943"/>
      <c r="AG58" s="943"/>
      <c r="AH58" s="943"/>
      <c r="AI58" s="943"/>
      <c r="AJ58" s="943"/>
      <c r="AK58" s="943"/>
      <c r="AL58" s="943"/>
      <c r="AM58" s="943"/>
      <c r="AN58" s="943"/>
      <c r="AO58" s="943"/>
      <c r="AP58" s="943"/>
      <c r="AQ58" s="943"/>
      <c r="AR58" s="943"/>
      <c r="AS58" s="943"/>
      <c r="AT58" s="943"/>
      <c r="AU58" s="943"/>
      <c r="AV58" s="943"/>
      <c r="AW58" s="943"/>
      <c r="AX58" s="943"/>
      <c r="AY58" s="943"/>
      <c r="AZ58" s="943"/>
      <c r="BA58" s="943"/>
      <c r="BB58" s="943"/>
      <c r="BC58" s="943"/>
      <c r="BD58" s="943"/>
      <c r="BE58" s="943"/>
      <c r="BF58" s="943"/>
      <c r="BG58" s="943"/>
      <c r="BH58" s="943"/>
      <c r="BI58" s="943"/>
      <c r="BJ58" s="943"/>
      <c r="BK58" s="943"/>
      <c r="BL58" s="943"/>
      <c r="BM58" s="943"/>
      <c r="BN58" s="943"/>
      <c r="BO58" s="943"/>
      <c r="BP58" s="943"/>
      <c r="BQ58" s="943"/>
      <c r="BR58" s="943"/>
      <c r="BS58" s="943"/>
      <c r="BT58" s="943"/>
      <c r="BU58" s="943"/>
      <c r="BV58" s="943"/>
      <c r="BW58" s="943"/>
      <c r="BX58" s="943"/>
      <c r="BY58" s="943"/>
      <c r="BZ58" s="943"/>
      <c r="CA58" s="943"/>
      <c r="CB58" s="943"/>
      <c r="CC58" s="943"/>
      <c r="CD58" s="943"/>
      <c r="CE58" s="943"/>
      <c r="CF58" s="943"/>
      <c r="CG58" s="943"/>
      <c r="CH58" s="943"/>
      <c r="CI58" s="943"/>
    </row>
    <row r="59" spans="1:87" ht="60">
      <c r="A59" s="828" t="s">
        <v>288</v>
      </c>
      <c r="B59" s="829">
        <f>B60</f>
        <v>432390</v>
      </c>
      <c r="C59" s="829">
        <f t="shared" ref="C59:D59" si="25">C60</f>
        <v>114339</v>
      </c>
      <c r="D59" s="829">
        <f t="shared" si="25"/>
        <v>318051</v>
      </c>
    </row>
    <row r="60" spans="1:87" s="841" customFormat="1" ht="12">
      <c r="A60" s="837" t="s">
        <v>696</v>
      </c>
      <c r="B60" s="840">
        <f>SUM(C60:D60)</f>
        <v>432390</v>
      </c>
      <c r="C60" s="840">
        <v>114339</v>
      </c>
      <c r="D60" s="840">
        <v>318051</v>
      </c>
      <c r="E60" s="940"/>
      <c r="F60" s="940"/>
      <c r="G60" s="943"/>
      <c r="H60" s="943"/>
      <c r="I60" s="943"/>
      <c r="J60" s="943"/>
      <c r="K60" s="943"/>
      <c r="L60" s="943"/>
      <c r="M60" s="943"/>
      <c r="N60" s="943"/>
      <c r="O60" s="943"/>
      <c r="P60" s="943"/>
      <c r="Q60" s="943"/>
      <c r="R60" s="943"/>
      <c r="S60" s="943"/>
      <c r="T60" s="943"/>
      <c r="U60" s="943"/>
      <c r="V60" s="943"/>
      <c r="W60" s="943"/>
      <c r="X60" s="943"/>
      <c r="Y60" s="943"/>
      <c r="Z60" s="943"/>
      <c r="AA60" s="943"/>
      <c r="AB60" s="943"/>
      <c r="AC60" s="943"/>
      <c r="AD60" s="943"/>
      <c r="AE60" s="943"/>
      <c r="AF60" s="943"/>
      <c r="AG60" s="943"/>
      <c r="AH60" s="943"/>
      <c r="AI60" s="943"/>
      <c r="AJ60" s="943"/>
      <c r="AK60" s="943"/>
      <c r="AL60" s="943"/>
      <c r="AM60" s="943"/>
      <c r="AN60" s="943"/>
      <c r="AO60" s="943"/>
      <c r="AP60" s="943"/>
      <c r="AQ60" s="943"/>
      <c r="AR60" s="943"/>
      <c r="AS60" s="943"/>
      <c r="AT60" s="943"/>
      <c r="AU60" s="943"/>
      <c r="AV60" s="943"/>
      <c r="AW60" s="943"/>
      <c r="AX60" s="943"/>
      <c r="AY60" s="943"/>
      <c r="AZ60" s="943"/>
      <c r="BA60" s="943"/>
      <c r="BB60" s="943"/>
      <c r="BC60" s="943"/>
      <c r="BD60" s="943"/>
      <c r="BE60" s="943"/>
      <c r="BF60" s="943"/>
      <c r="BG60" s="943"/>
      <c r="BH60" s="943"/>
      <c r="BI60" s="943"/>
      <c r="BJ60" s="943"/>
      <c r="BK60" s="943"/>
      <c r="BL60" s="943"/>
      <c r="BM60" s="943"/>
      <c r="BN60" s="943"/>
      <c r="BO60" s="943"/>
      <c r="BP60" s="943"/>
      <c r="BQ60" s="943"/>
      <c r="BR60" s="943"/>
      <c r="BS60" s="943"/>
      <c r="BT60" s="943"/>
      <c r="BU60" s="943"/>
      <c r="BV60" s="943"/>
      <c r="BW60" s="943"/>
      <c r="BX60" s="943"/>
      <c r="BY60" s="943"/>
      <c r="BZ60" s="943"/>
      <c r="CA60" s="943"/>
      <c r="CB60" s="943"/>
      <c r="CC60" s="943"/>
      <c r="CD60" s="943"/>
      <c r="CE60" s="943"/>
      <c r="CF60" s="943"/>
      <c r="CG60" s="943"/>
      <c r="CH60" s="943"/>
      <c r="CI60" s="943"/>
    </row>
    <row r="61" spans="1:87" ht="45">
      <c r="A61" s="828" t="s">
        <v>410</v>
      </c>
      <c r="B61" s="829">
        <f>B62</f>
        <v>501341</v>
      </c>
      <c r="C61" s="829">
        <f t="shared" ref="C61:D61" si="26">C62</f>
        <v>132572</v>
      </c>
      <c r="D61" s="829">
        <f t="shared" si="26"/>
        <v>368769</v>
      </c>
    </row>
    <row r="62" spans="1:87" s="841" customFormat="1" ht="12">
      <c r="A62" s="837" t="s">
        <v>696</v>
      </c>
      <c r="B62" s="840">
        <f>SUM(C62:D62)</f>
        <v>501341</v>
      </c>
      <c r="C62" s="840">
        <v>132572</v>
      </c>
      <c r="D62" s="840">
        <v>368769</v>
      </c>
      <c r="E62" s="940"/>
      <c r="F62" s="940"/>
      <c r="G62" s="943"/>
      <c r="H62" s="943"/>
      <c r="I62" s="943"/>
      <c r="J62" s="943"/>
      <c r="K62" s="943"/>
      <c r="L62" s="943"/>
      <c r="M62" s="943"/>
      <c r="N62" s="943"/>
      <c r="O62" s="943"/>
      <c r="P62" s="943"/>
      <c r="Q62" s="943"/>
      <c r="R62" s="943"/>
      <c r="S62" s="943"/>
      <c r="T62" s="943"/>
      <c r="U62" s="943"/>
      <c r="V62" s="943"/>
      <c r="W62" s="943"/>
      <c r="X62" s="943"/>
      <c r="Y62" s="943"/>
      <c r="Z62" s="943"/>
      <c r="AA62" s="943"/>
      <c r="AB62" s="943"/>
      <c r="AC62" s="943"/>
      <c r="AD62" s="943"/>
      <c r="AE62" s="943"/>
      <c r="AF62" s="943"/>
      <c r="AG62" s="943"/>
      <c r="AH62" s="943"/>
      <c r="AI62" s="943"/>
      <c r="AJ62" s="943"/>
      <c r="AK62" s="943"/>
      <c r="AL62" s="943"/>
      <c r="AM62" s="943"/>
      <c r="AN62" s="943"/>
      <c r="AO62" s="943"/>
      <c r="AP62" s="943"/>
      <c r="AQ62" s="943"/>
      <c r="AR62" s="943"/>
      <c r="AS62" s="943"/>
      <c r="AT62" s="943"/>
      <c r="AU62" s="943"/>
      <c r="AV62" s="943"/>
      <c r="AW62" s="943"/>
      <c r="AX62" s="943"/>
      <c r="AY62" s="943"/>
      <c r="AZ62" s="943"/>
      <c r="BA62" s="943"/>
      <c r="BB62" s="943"/>
      <c r="BC62" s="943"/>
      <c r="BD62" s="943"/>
      <c r="BE62" s="943"/>
      <c r="BF62" s="943"/>
      <c r="BG62" s="943"/>
      <c r="BH62" s="943"/>
      <c r="BI62" s="943"/>
      <c r="BJ62" s="943"/>
      <c r="BK62" s="943"/>
      <c r="BL62" s="943"/>
      <c r="BM62" s="943"/>
      <c r="BN62" s="943"/>
      <c r="BO62" s="943"/>
      <c r="BP62" s="943"/>
      <c r="BQ62" s="943"/>
      <c r="BR62" s="943"/>
      <c r="BS62" s="943"/>
      <c r="BT62" s="943"/>
      <c r="BU62" s="943"/>
      <c r="BV62" s="943"/>
      <c r="BW62" s="943"/>
      <c r="BX62" s="943"/>
      <c r="BY62" s="943"/>
      <c r="BZ62" s="943"/>
      <c r="CA62" s="943"/>
      <c r="CB62" s="943"/>
      <c r="CC62" s="943"/>
      <c r="CD62" s="943"/>
      <c r="CE62" s="943"/>
      <c r="CF62" s="943"/>
      <c r="CG62" s="943"/>
      <c r="CH62" s="943"/>
      <c r="CI62" s="943"/>
    </row>
    <row r="63" spans="1:87" ht="45">
      <c r="A63" s="828" t="s">
        <v>411</v>
      </c>
      <c r="B63" s="829">
        <f>B64</f>
        <v>595984</v>
      </c>
      <c r="C63" s="829">
        <f t="shared" ref="C63:D63" si="27">C64</f>
        <v>154639</v>
      </c>
      <c r="D63" s="829">
        <f t="shared" si="27"/>
        <v>441345</v>
      </c>
    </row>
    <row r="64" spans="1:87" s="841" customFormat="1" ht="12">
      <c r="A64" s="837" t="s">
        <v>710</v>
      </c>
      <c r="B64" s="840">
        <f>SUM(C64:D64)</f>
        <v>595984</v>
      </c>
      <c r="C64" s="840">
        <v>154639</v>
      </c>
      <c r="D64" s="840">
        <v>441345</v>
      </c>
      <c r="E64" s="940"/>
      <c r="F64" s="940"/>
      <c r="G64" s="943"/>
      <c r="H64" s="943"/>
      <c r="I64" s="943"/>
      <c r="J64" s="943"/>
      <c r="K64" s="943"/>
      <c r="L64" s="943"/>
      <c r="M64" s="943"/>
      <c r="N64" s="943"/>
      <c r="O64" s="943"/>
      <c r="P64" s="943"/>
      <c r="Q64" s="943"/>
      <c r="R64" s="943"/>
      <c r="S64" s="943"/>
      <c r="T64" s="943"/>
      <c r="U64" s="943"/>
      <c r="V64" s="943"/>
      <c r="W64" s="943"/>
      <c r="X64" s="943"/>
      <c r="Y64" s="943"/>
      <c r="Z64" s="943"/>
      <c r="AA64" s="943"/>
      <c r="AB64" s="943"/>
      <c r="AC64" s="943"/>
      <c r="AD64" s="943"/>
      <c r="AE64" s="943"/>
      <c r="AF64" s="943"/>
      <c r="AG64" s="943"/>
      <c r="AH64" s="943"/>
      <c r="AI64" s="943"/>
      <c r="AJ64" s="943"/>
      <c r="AK64" s="943"/>
      <c r="AL64" s="943"/>
      <c r="AM64" s="943"/>
      <c r="AN64" s="943"/>
      <c r="AO64" s="943"/>
      <c r="AP64" s="943"/>
      <c r="AQ64" s="943"/>
      <c r="AR64" s="943"/>
      <c r="AS64" s="943"/>
      <c r="AT64" s="943"/>
      <c r="AU64" s="943"/>
      <c r="AV64" s="943"/>
      <c r="AW64" s="943"/>
      <c r="AX64" s="943"/>
      <c r="AY64" s="943"/>
      <c r="AZ64" s="943"/>
      <c r="BA64" s="943"/>
      <c r="BB64" s="943"/>
      <c r="BC64" s="943"/>
      <c r="BD64" s="943"/>
      <c r="BE64" s="943"/>
      <c r="BF64" s="943"/>
      <c r="BG64" s="943"/>
      <c r="BH64" s="943"/>
      <c r="BI64" s="943"/>
      <c r="BJ64" s="943"/>
      <c r="BK64" s="943"/>
      <c r="BL64" s="943"/>
      <c r="BM64" s="943"/>
      <c r="BN64" s="943"/>
      <c r="BO64" s="943"/>
      <c r="BP64" s="943"/>
      <c r="BQ64" s="943"/>
      <c r="BR64" s="943"/>
      <c r="BS64" s="943"/>
      <c r="BT64" s="943"/>
      <c r="BU64" s="943"/>
      <c r="BV64" s="943"/>
      <c r="BW64" s="943"/>
      <c r="BX64" s="943"/>
      <c r="BY64" s="943"/>
      <c r="BZ64" s="943"/>
      <c r="CA64" s="943"/>
      <c r="CB64" s="943"/>
      <c r="CC64" s="943"/>
      <c r="CD64" s="943"/>
      <c r="CE64" s="943"/>
      <c r="CF64" s="943"/>
      <c r="CG64" s="943"/>
      <c r="CH64" s="943"/>
      <c r="CI64" s="943"/>
    </row>
    <row r="65" spans="1:87" s="850" customFormat="1" ht="14.25" customHeight="1">
      <c r="A65" s="848" t="s">
        <v>711</v>
      </c>
      <c r="B65" s="849">
        <f>B66</f>
        <v>677393</v>
      </c>
      <c r="C65" s="849">
        <f t="shared" ref="C65:D66" si="28">C66</f>
        <v>0</v>
      </c>
      <c r="D65" s="849">
        <f t="shared" si="28"/>
        <v>677393</v>
      </c>
      <c r="E65" s="936"/>
      <c r="F65" s="936"/>
      <c r="G65" s="937"/>
      <c r="H65" s="937"/>
      <c r="I65" s="937"/>
      <c r="J65" s="937"/>
      <c r="K65" s="937"/>
      <c r="L65" s="937"/>
      <c r="M65" s="937"/>
      <c r="N65" s="937"/>
      <c r="O65" s="937"/>
      <c r="P65" s="937"/>
      <c r="Q65" s="937"/>
      <c r="R65" s="937"/>
      <c r="S65" s="937"/>
      <c r="T65" s="937"/>
      <c r="U65" s="937"/>
      <c r="V65" s="937"/>
      <c r="W65" s="937"/>
      <c r="X65" s="937"/>
      <c r="Y65" s="937"/>
      <c r="Z65" s="937"/>
      <c r="AA65" s="937"/>
      <c r="AB65" s="937"/>
      <c r="AC65" s="937"/>
      <c r="AD65" s="937"/>
      <c r="AE65" s="937"/>
      <c r="AF65" s="937"/>
      <c r="AG65" s="937"/>
      <c r="AH65" s="937"/>
      <c r="AI65" s="937"/>
      <c r="AJ65" s="937"/>
      <c r="AK65" s="937"/>
      <c r="AL65" s="937"/>
      <c r="AM65" s="937"/>
      <c r="AN65" s="937"/>
      <c r="AO65" s="937"/>
      <c r="AP65" s="937"/>
      <c r="AQ65" s="937"/>
      <c r="AR65" s="937"/>
      <c r="AS65" s="937"/>
      <c r="AT65" s="937"/>
      <c r="AU65" s="937"/>
      <c r="AV65" s="937"/>
      <c r="AW65" s="937"/>
      <c r="AX65" s="937"/>
      <c r="AY65" s="937"/>
      <c r="AZ65" s="937"/>
      <c r="BA65" s="937"/>
      <c r="BB65" s="937"/>
      <c r="BC65" s="937"/>
      <c r="BD65" s="937"/>
      <c r="BE65" s="937"/>
      <c r="BF65" s="937"/>
      <c r="BG65" s="937"/>
      <c r="BH65" s="937"/>
      <c r="BI65" s="937"/>
      <c r="BJ65" s="937"/>
      <c r="BK65" s="937"/>
      <c r="BL65" s="937"/>
      <c r="BM65" s="937"/>
      <c r="BN65" s="937"/>
      <c r="BO65" s="937"/>
      <c r="BP65" s="937"/>
      <c r="BQ65" s="937"/>
      <c r="BR65" s="937"/>
      <c r="BS65" s="937"/>
      <c r="BT65" s="937"/>
      <c r="BU65" s="937"/>
      <c r="BV65" s="937"/>
      <c r="BW65" s="937"/>
      <c r="BX65" s="937"/>
      <c r="BY65" s="937"/>
      <c r="BZ65" s="937"/>
      <c r="CA65" s="937"/>
      <c r="CB65" s="937"/>
      <c r="CC65" s="937"/>
      <c r="CD65" s="937"/>
      <c r="CE65" s="937"/>
      <c r="CF65" s="937"/>
      <c r="CG65" s="937"/>
      <c r="CH65" s="937"/>
      <c r="CI65" s="937"/>
    </row>
    <row r="66" spans="1:87">
      <c r="A66" s="828" t="s">
        <v>413</v>
      </c>
      <c r="B66" s="829">
        <f>B67</f>
        <v>677393</v>
      </c>
      <c r="C66" s="829">
        <f t="shared" si="28"/>
        <v>0</v>
      </c>
      <c r="D66" s="829">
        <f t="shared" si="28"/>
        <v>677393</v>
      </c>
    </row>
    <row r="67" spans="1:87" s="841" customFormat="1" ht="12">
      <c r="A67" s="837" t="s">
        <v>696</v>
      </c>
      <c r="B67" s="840">
        <f>SUM(C67:D67)</f>
        <v>677393</v>
      </c>
      <c r="C67" s="840"/>
      <c r="D67" s="840">
        <v>677393</v>
      </c>
      <c r="E67" s="940"/>
      <c r="F67" s="940"/>
      <c r="G67" s="943"/>
      <c r="H67" s="943"/>
      <c r="I67" s="943"/>
      <c r="J67" s="943"/>
      <c r="K67" s="943"/>
      <c r="L67" s="943"/>
      <c r="M67" s="943"/>
      <c r="N67" s="943"/>
      <c r="O67" s="943"/>
      <c r="P67" s="943"/>
      <c r="Q67" s="943"/>
      <c r="R67" s="943"/>
      <c r="S67" s="943"/>
      <c r="T67" s="943"/>
      <c r="U67" s="943"/>
      <c r="V67" s="943"/>
      <c r="W67" s="943"/>
      <c r="X67" s="943"/>
      <c r="Y67" s="943"/>
      <c r="Z67" s="943"/>
      <c r="AA67" s="943"/>
      <c r="AB67" s="943"/>
      <c r="AC67" s="943"/>
      <c r="AD67" s="943"/>
      <c r="AE67" s="943"/>
      <c r="AF67" s="943"/>
      <c r="AG67" s="943"/>
      <c r="AH67" s="943"/>
      <c r="AI67" s="943"/>
      <c r="AJ67" s="943"/>
      <c r="AK67" s="943"/>
      <c r="AL67" s="943"/>
      <c r="AM67" s="943"/>
      <c r="AN67" s="943"/>
      <c r="AO67" s="943"/>
      <c r="AP67" s="943"/>
      <c r="AQ67" s="943"/>
      <c r="AR67" s="943"/>
      <c r="AS67" s="943"/>
      <c r="AT67" s="943"/>
      <c r="AU67" s="943"/>
      <c r="AV67" s="943"/>
      <c r="AW67" s="943"/>
      <c r="AX67" s="943"/>
      <c r="AY67" s="943"/>
      <c r="AZ67" s="943"/>
      <c r="BA67" s="943"/>
      <c r="BB67" s="943"/>
      <c r="BC67" s="943"/>
      <c r="BD67" s="943"/>
      <c r="BE67" s="943"/>
      <c r="BF67" s="943"/>
      <c r="BG67" s="943"/>
      <c r="BH67" s="943"/>
      <c r="BI67" s="943"/>
      <c r="BJ67" s="943"/>
      <c r="BK67" s="943"/>
      <c r="BL67" s="943"/>
      <c r="BM67" s="943"/>
      <c r="BN67" s="943"/>
      <c r="BO67" s="943"/>
      <c r="BP67" s="943"/>
      <c r="BQ67" s="943"/>
      <c r="BR67" s="943"/>
      <c r="BS67" s="943"/>
      <c r="BT67" s="943"/>
      <c r="BU67" s="943"/>
      <c r="BV67" s="943"/>
      <c r="BW67" s="943"/>
      <c r="BX67" s="943"/>
      <c r="BY67" s="943"/>
      <c r="BZ67" s="943"/>
      <c r="CA67" s="943"/>
      <c r="CB67" s="943"/>
      <c r="CC67" s="943"/>
      <c r="CD67" s="943"/>
      <c r="CE67" s="943"/>
      <c r="CF67" s="943"/>
      <c r="CG67" s="943"/>
      <c r="CH67" s="943"/>
      <c r="CI67" s="943"/>
    </row>
    <row r="68" spans="1:87" s="850" customFormat="1" ht="14.25" customHeight="1">
      <c r="A68" s="848" t="s">
        <v>712</v>
      </c>
      <c r="B68" s="849">
        <f>B69+B71+B73</f>
        <v>304761</v>
      </c>
      <c r="C68" s="849">
        <f t="shared" ref="C68:D68" si="29">C69+C71+C73</f>
        <v>78739</v>
      </c>
      <c r="D68" s="849">
        <f t="shared" si="29"/>
        <v>226022</v>
      </c>
      <c r="E68" s="936"/>
      <c r="F68" s="936"/>
      <c r="G68" s="937"/>
      <c r="H68" s="937"/>
      <c r="I68" s="937"/>
      <c r="J68" s="937"/>
      <c r="K68" s="937"/>
      <c r="L68" s="937"/>
      <c r="M68" s="937"/>
      <c r="N68" s="937"/>
      <c r="O68" s="937"/>
      <c r="P68" s="937"/>
      <c r="Q68" s="937"/>
      <c r="R68" s="937"/>
      <c r="S68" s="937"/>
      <c r="T68" s="937"/>
      <c r="U68" s="937"/>
      <c r="V68" s="937"/>
      <c r="W68" s="937"/>
      <c r="X68" s="937"/>
      <c r="Y68" s="937"/>
      <c r="Z68" s="937"/>
      <c r="AA68" s="937"/>
      <c r="AB68" s="937"/>
      <c r="AC68" s="937"/>
      <c r="AD68" s="937"/>
      <c r="AE68" s="937"/>
      <c r="AF68" s="937"/>
      <c r="AG68" s="937"/>
      <c r="AH68" s="937"/>
      <c r="AI68" s="937"/>
      <c r="AJ68" s="937"/>
      <c r="AK68" s="937"/>
      <c r="AL68" s="937"/>
      <c r="AM68" s="937"/>
      <c r="AN68" s="937"/>
      <c r="AO68" s="937"/>
      <c r="AP68" s="937"/>
      <c r="AQ68" s="937"/>
      <c r="AR68" s="937"/>
      <c r="AS68" s="937"/>
      <c r="AT68" s="937"/>
      <c r="AU68" s="937"/>
      <c r="AV68" s="937"/>
      <c r="AW68" s="937"/>
      <c r="AX68" s="937"/>
      <c r="AY68" s="937"/>
      <c r="AZ68" s="937"/>
      <c r="BA68" s="937"/>
      <c r="BB68" s="937"/>
      <c r="BC68" s="937"/>
      <c r="BD68" s="937"/>
      <c r="BE68" s="937"/>
      <c r="BF68" s="937"/>
      <c r="BG68" s="937"/>
      <c r="BH68" s="937"/>
      <c r="BI68" s="937"/>
      <c r="BJ68" s="937"/>
      <c r="BK68" s="937"/>
      <c r="BL68" s="937"/>
      <c r="BM68" s="937"/>
      <c r="BN68" s="937"/>
      <c r="BO68" s="937"/>
      <c r="BP68" s="937"/>
      <c r="BQ68" s="937"/>
      <c r="BR68" s="937"/>
      <c r="BS68" s="937"/>
      <c r="BT68" s="937"/>
      <c r="BU68" s="937"/>
      <c r="BV68" s="937"/>
      <c r="BW68" s="937"/>
      <c r="BX68" s="937"/>
      <c r="BY68" s="937"/>
      <c r="BZ68" s="937"/>
      <c r="CA68" s="937"/>
      <c r="CB68" s="937"/>
      <c r="CC68" s="937"/>
      <c r="CD68" s="937"/>
      <c r="CE68" s="937"/>
      <c r="CF68" s="937"/>
      <c r="CG68" s="937"/>
      <c r="CH68" s="937"/>
      <c r="CI68" s="937"/>
    </row>
    <row r="69" spans="1:87">
      <c r="A69" s="828" t="s">
        <v>415</v>
      </c>
      <c r="B69" s="829">
        <f>B70</f>
        <v>36413</v>
      </c>
      <c r="C69" s="829">
        <f t="shared" ref="C69:D69" si="30">C70</f>
        <v>11180</v>
      </c>
      <c r="D69" s="829">
        <f t="shared" si="30"/>
        <v>25233</v>
      </c>
    </row>
    <row r="70" spans="1:87" s="841" customFormat="1" ht="12">
      <c r="A70" s="837" t="s">
        <v>696</v>
      </c>
      <c r="B70" s="840">
        <f>SUM(C70:D70)</f>
        <v>36413</v>
      </c>
      <c r="C70" s="840">
        <v>11180</v>
      </c>
      <c r="D70" s="840">
        <v>25233</v>
      </c>
      <c r="E70" s="940"/>
      <c r="F70" s="940"/>
      <c r="G70" s="943"/>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c r="AH70" s="943"/>
      <c r="AI70" s="943"/>
      <c r="AJ70" s="943"/>
      <c r="AK70" s="943"/>
      <c r="AL70" s="943"/>
      <c r="AM70" s="943"/>
      <c r="AN70" s="943"/>
      <c r="AO70" s="943"/>
      <c r="AP70" s="943"/>
      <c r="AQ70" s="943"/>
      <c r="AR70" s="943"/>
      <c r="AS70" s="943"/>
      <c r="AT70" s="943"/>
      <c r="AU70" s="943"/>
      <c r="AV70" s="943"/>
      <c r="AW70" s="943"/>
      <c r="AX70" s="943"/>
      <c r="AY70" s="943"/>
      <c r="AZ70" s="943"/>
      <c r="BA70" s="943"/>
      <c r="BB70" s="943"/>
      <c r="BC70" s="943"/>
      <c r="BD70" s="943"/>
      <c r="BE70" s="943"/>
      <c r="BF70" s="943"/>
      <c r="BG70" s="943"/>
      <c r="BH70" s="943"/>
      <c r="BI70" s="943"/>
      <c r="BJ70" s="943"/>
      <c r="BK70" s="943"/>
      <c r="BL70" s="943"/>
      <c r="BM70" s="943"/>
      <c r="BN70" s="943"/>
      <c r="BO70" s="943"/>
      <c r="BP70" s="943"/>
      <c r="BQ70" s="943"/>
      <c r="BR70" s="943"/>
      <c r="BS70" s="943"/>
      <c r="BT70" s="943"/>
      <c r="BU70" s="943"/>
      <c r="BV70" s="943"/>
      <c r="BW70" s="943"/>
      <c r="BX70" s="943"/>
      <c r="BY70" s="943"/>
      <c r="BZ70" s="943"/>
      <c r="CA70" s="943"/>
      <c r="CB70" s="943"/>
      <c r="CC70" s="943"/>
      <c r="CD70" s="943"/>
      <c r="CE70" s="943"/>
      <c r="CF70" s="943"/>
      <c r="CG70" s="943"/>
      <c r="CH70" s="943"/>
      <c r="CI70" s="943"/>
    </row>
    <row r="71" spans="1:87">
      <c r="A71" s="828" t="s">
        <v>315</v>
      </c>
      <c r="B71" s="829">
        <f>B72</f>
        <v>20424</v>
      </c>
      <c r="C71" s="829">
        <f t="shared" ref="C71:D71" si="31">C72</f>
        <v>4778</v>
      </c>
      <c r="D71" s="829">
        <f t="shared" si="31"/>
        <v>15646</v>
      </c>
    </row>
    <row r="72" spans="1:87" s="841" customFormat="1" ht="12">
      <c r="A72" s="837" t="s">
        <v>696</v>
      </c>
      <c r="B72" s="840">
        <f>SUM(C72:D72)</f>
        <v>20424</v>
      </c>
      <c r="C72" s="840">
        <v>4778</v>
      </c>
      <c r="D72" s="840">
        <v>15646</v>
      </c>
      <c r="E72" s="940"/>
      <c r="F72" s="940"/>
      <c r="G72" s="943"/>
      <c r="H72" s="943"/>
      <c r="I72" s="943"/>
      <c r="J72" s="943"/>
      <c r="K72" s="943"/>
      <c r="L72" s="943"/>
      <c r="M72" s="943"/>
      <c r="N72" s="943"/>
      <c r="O72" s="943"/>
      <c r="P72" s="943"/>
      <c r="Q72" s="943"/>
      <c r="R72" s="943"/>
      <c r="S72" s="943"/>
      <c r="T72" s="943"/>
      <c r="U72" s="943"/>
      <c r="V72" s="943"/>
      <c r="W72" s="943"/>
      <c r="X72" s="943"/>
      <c r="Y72" s="943"/>
      <c r="Z72" s="943"/>
      <c r="AA72" s="943"/>
      <c r="AB72" s="943"/>
      <c r="AC72" s="943"/>
      <c r="AD72" s="943"/>
      <c r="AE72" s="943"/>
      <c r="AF72" s="943"/>
      <c r="AG72" s="943"/>
      <c r="AH72" s="943"/>
      <c r="AI72" s="943"/>
      <c r="AJ72" s="943"/>
      <c r="AK72" s="943"/>
      <c r="AL72" s="943"/>
      <c r="AM72" s="943"/>
      <c r="AN72" s="943"/>
      <c r="AO72" s="943"/>
      <c r="AP72" s="943"/>
      <c r="AQ72" s="943"/>
      <c r="AR72" s="943"/>
      <c r="AS72" s="943"/>
      <c r="AT72" s="943"/>
      <c r="AU72" s="943"/>
      <c r="AV72" s="943"/>
      <c r="AW72" s="943"/>
      <c r="AX72" s="943"/>
      <c r="AY72" s="943"/>
      <c r="AZ72" s="943"/>
      <c r="BA72" s="943"/>
      <c r="BB72" s="943"/>
      <c r="BC72" s="943"/>
      <c r="BD72" s="943"/>
      <c r="BE72" s="943"/>
      <c r="BF72" s="943"/>
      <c r="BG72" s="943"/>
      <c r="BH72" s="943"/>
      <c r="BI72" s="943"/>
      <c r="BJ72" s="943"/>
      <c r="BK72" s="943"/>
      <c r="BL72" s="943"/>
      <c r="BM72" s="943"/>
      <c r="BN72" s="943"/>
      <c r="BO72" s="943"/>
      <c r="BP72" s="943"/>
      <c r="BQ72" s="943"/>
      <c r="BR72" s="943"/>
      <c r="BS72" s="943"/>
      <c r="BT72" s="943"/>
      <c r="BU72" s="943"/>
      <c r="BV72" s="943"/>
      <c r="BW72" s="943"/>
      <c r="BX72" s="943"/>
      <c r="BY72" s="943"/>
      <c r="BZ72" s="943"/>
      <c r="CA72" s="943"/>
      <c r="CB72" s="943"/>
      <c r="CC72" s="943"/>
      <c r="CD72" s="943"/>
      <c r="CE72" s="943"/>
      <c r="CF72" s="943"/>
      <c r="CG72" s="943"/>
      <c r="CH72" s="943"/>
      <c r="CI72" s="943"/>
    </row>
    <row r="73" spans="1:87" ht="30">
      <c r="A73" s="828" t="s">
        <v>416</v>
      </c>
      <c r="B73" s="829">
        <f>SUM(B74:B75)</f>
        <v>247924</v>
      </c>
      <c r="C73" s="829">
        <f>SUM(C74:C75)</f>
        <v>62781</v>
      </c>
      <c r="D73" s="829">
        <f>SUM(D74:D75)</f>
        <v>185143</v>
      </c>
    </row>
    <row r="74" spans="1:87" s="841" customFormat="1" ht="12">
      <c r="A74" s="837" t="s">
        <v>696</v>
      </c>
      <c r="B74" s="840">
        <f>SUM(C74:D74)</f>
        <v>25903</v>
      </c>
      <c r="C74" s="932">
        <v>6850</v>
      </c>
      <c r="D74" s="840">
        <v>19053</v>
      </c>
      <c r="E74" s="940"/>
      <c r="F74" s="940"/>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943"/>
      <c r="AK74" s="943"/>
      <c r="AL74" s="943"/>
      <c r="AM74" s="943"/>
      <c r="AN74" s="943"/>
      <c r="AO74" s="943"/>
      <c r="AP74" s="943"/>
      <c r="AQ74" s="943"/>
      <c r="AR74" s="943"/>
      <c r="AS74" s="943"/>
      <c r="AT74" s="943"/>
      <c r="AU74" s="943"/>
      <c r="AV74" s="943"/>
      <c r="AW74" s="943"/>
      <c r="AX74" s="943"/>
      <c r="AY74" s="943"/>
      <c r="AZ74" s="943"/>
      <c r="BA74" s="943"/>
      <c r="BB74" s="943"/>
      <c r="BC74" s="943"/>
      <c r="BD74" s="943"/>
      <c r="BE74" s="943"/>
      <c r="BF74" s="943"/>
      <c r="BG74" s="943"/>
      <c r="BH74" s="943"/>
      <c r="BI74" s="943"/>
      <c r="BJ74" s="943"/>
      <c r="BK74" s="943"/>
      <c r="BL74" s="943"/>
      <c r="BM74" s="943"/>
      <c r="BN74" s="943"/>
      <c r="BO74" s="943"/>
      <c r="BP74" s="943"/>
      <c r="BQ74" s="943"/>
      <c r="BR74" s="943"/>
      <c r="BS74" s="943"/>
      <c r="BT74" s="943"/>
      <c r="BU74" s="943"/>
      <c r="BV74" s="943"/>
      <c r="BW74" s="943"/>
      <c r="BX74" s="943"/>
      <c r="BY74" s="943"/>
      <c r="BZ74" s="943"/>
      <c r="CA74" s="943"/>
      <c r="CB74" s="943"/>
      <c r="CC74" s="943"/>
      <c r="CD74" s="943"/>
      <c r="CE74" s="943"/>
      <c r="CF74" s="943"/>
      <c r="CG74" s="943"/>
      <c r="CH74" s="943"/>
      <c r="CI74" s="943"/>
    </row>
    <row r="75" spans="1:87" s="841" customFormat="1" ht="12">
      <c r="A75" s="837" t="s">
        <v>713</v>
      </c>
      <c r="B75" s="840">
        <f>SUM(C75:D75)</f>
        <v>222021</v>
      </c>
      <c r="C75" s="932">
        <v>55931</v>
      </c>
      <c r="D75" s="840">
        <v>166090</v>
      </c>
      <c r="E75" s="940"/>
      <c r="F75" s="940"/>
      <c r="G75" s="943"/>
      <c r="H75" s="943"/>
      <c r="I75" s="943"/>
      <c r="J75" s="943"/>
      <c r="K75" s="943"/>
      <c r="L75" s="943"/>
      <c r="M75" s="943"/>
      <c r="N75" s="943"/>
      <c r="O75" s="943"/>
      <c r="P75" s="943"/>
      <c r="Q75" s="943"/>
      <c r="R75" s="943"/>
      <c r="S75" s="943"/>
      <c r="T75" s="943"/>
      <c r="U75" s="943"/>
      <c r="V75" s="943"/>
      <c r="W75" s="943"/>
      <c r="X75" s="943"/>
      <c r="Y75" s="943"/>
      <c r="Z75" s="943"/>
      <c r="AA75" s="943"/>
      <c r="AB75" s="943"/>
      <c r="AC75" s="943"/>
      <c r="AD75" s="943"/>
      <c r="AE75" s="943"/>
      <c r="AF75" s="943"/>
      <c r="AG75" s="943"/>
      <c r="AH75" s="943"/>
      <c r="AI75" s="943"/>
      <c r="AJ75" s="943"/>
      <c r="AK75" s="943"/>
      <c r="AL75" s="943"/>
      <c r="AM75" s="943"/>
      <c r="AN75" s="943"/>
      <c r="AO75" s="943"/>
      <c r="AP75" s="943"/>
      <c r="AQ75" s="943"/>
      <c r="AR75" s="943"/>
      <c r="AS75" s="943"/>
      <c r="AT75" s="943"/>
      <c r="AU75" s="943"/>
      <c r="AV75" s="943"/>
      <c r="AW75" s="943"/>
      <c r="AX75" s="943"/>
      <c r="AY75" s="943"/>
      <c r="AZ75" s="943"/>
      <c r="BA75" s="943"/>
      <c r="BB75" s="943"/>
      <c r="BC75" s="943"/>
      <c r="BD75" s="943"/>
      <c r="BE75" s="943"/>
      <c r="BF75" s="943"/>
      <c r="BG75" s="943"/>
      <c r="BH75" s="943"/>
      <c r="BI75" s="943"/>
      <c r="BJ75" s="943"/>
      <c r="BK75" s="943"/>
      <c r="BL75" s="943"/>
      <c r="BM75" s="943"/>
      <c r="BN75" s="943"/>
      <c r="BO75" s="943"/>
      <c r="BP75" s="943"/>
      <c r="BQ75" s="943"/>
      <c r="BR75" s="943"/>
      <c r="BS75" s="943"/>
      <c r="BT75" s="943"/>
      <c r="BU75" s="943"/>
      <c r="BV75" s="943"/>
      <c r="BW75" s="943"/>
      <c r="BX75" s="943"/>
      <c r="BY75" s="943"/>
      <c r="BZ75" s="943"/>
      <c r="CA75" s="943"/>
      <c r="CB75" s="943"/>
      <c r="CC75" s="943"/>
      <c r="CD75" s="943"/>
      <c r="CE75" s="943"/>
      <c r="CF75" s="943"/>
      <c r="CG75" s="943"/>
      <c r="CH75" s="943"/>
      <c r="CI75" s="943"/>
    </row>
    <row r="76" spans="1:87">
      <c r="C76" s="796"/>
    </row>
    <row r="78" spans="1:87">
      <c r="B78" s="853"/>
      <c r="C78" s="853"/>
      <c r="D78" s="853"/>
    </row>
    <row r="79" spans="1:87">
      <c r="B79" s="853"/>
      <c r="C79" s="853"/>
      <c r="D79" s="853"/>
    </row>
    <row r="80" spans="1:87">
      <c r="B80" s="853"/>
      <c r="C80" s="853"/>
      <c r="D80" s="853"/>
    </row>
  </sheetData>
  <mergeCells count="1">
    <mergeCell ref="A3:D3"/>
  </mergeCells>
  <pageMargins left="0.25" right="0.25"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B4A5D-488C-4F10-929F-F6DA19FE103F}">
  <dimension ref="A1:L140"/>
  <sheetViews>
    <sheetView topLeftCell="B1" workbookViewId="0">
      <selection activeCell="M11" sqref="M11:N11"/>
    </sheetView>
  </sheetViews>
  <sheetFormatPr defaultRowHeight="15"/>
  <cols>
    <col min="2" max="2" width="25.5703125" customWidth="1"/>
    <col min="3" max="3" width="19.140625" customWidth="1"/>
    <col min="8" max="8" width="11.140625" customWidth="1"/>
  </cols>
  <sheetData>
    <row r="1" spans="1:12" s="333" customFormat="1">
      <c r="G1" s="1147" t="s">
        <v>724</v>
      </c>
      <c r="H1" s="1147"/>
    </row>
    <row r="2" spans="1:12" s="333" customFormat="1">
      <c r="B2" s="1232" t="s">
        <v>490</v>
      </c>
      <c r="C2" s="1232"/>
      <c r="D2" s="1232"/>
      <c r="E2" s="1232"/>
      <c r="F2" s="1232"/>
      <c r="G2" s="1232"/>
      <c r="H2" s="1232"/>
      <c r="I2" s="616"/>
      <c r="J2" s="616"/>
      <c r="K2" s="616"/>
    </row>
    <row r="3" spans="1:12" s="333" customFormat="1">
      <c r="B3" s="1232"/>
      <c r="C3" s="1232"/>
      <c r="D3" s="1232"/>
      <c r="E3" s="1232"/>
      <c r="F3" s="1232"/>
      <c r="G3" s="1232"/>
      <c r="H3" s="1232"/>
    </row>
    <row r="4" spans="1:12" ht="19.5" customHeight="1" thickBot="1">
      <c r="A4" s="147"/>
      <c r="B4" s="333"/>
      <c r="C4" s="333"/>
      <c r="D4" s="333"/>
      <c r="E4" s="333"/>
      <c r="F4" s="333"/>
      <c r="G4" s="333"/>
      <c r="H4" s="507" t="s">
        <v>489</v>
      </c>
    </row>
    <row r="5" spans="1:12" ht="15.75">
      <c r="A5" s="147"/>
      <c r="B5" s="1184" t="s">
        <v>0</v>
      </c>
      <c r="C5" s="1185"/>
      <c r="D5" s="1185"/>
      <c r="E5" s="1185"/>
      <c r="F5" s="1185"/>
      <c r="G5" s="1185"/>
      <c r="H5" s="1186"/>
    </row>
    <row r="6" spans="1:12" ht="15" customHeight="1">
      <c r="A6" s="147"/>
      <c r="B6" s="1190" t="s">
        <v>151</v>
      </c>
      <c r="C6" s="1192" t="s">
        <v>152</v>
      </c>
      <c r="D6" s="1194" t="s">
        <v>153</v>
      </c>
      <c r="E6" s="1194" t="s">
        <v>154</v>
      </c>
      <c r="F6" s="1194" t="s">
        <v>322</v>
      </c>
      <c r="G6" s="1196" t="s">
        <v>155</v>
      </c>
      <c r="H6" s="1183" t="s">
        <v>679</v>
      </c>
    </row>
    <row r="7" spans="1:12" ht="75" customHeight="1" thickBot="1">
      <c r="A7" s="147"/>
      <c r="B7" s="1191"/>
      <c r="C7" s="1193"/>
      <c r="D7" s="1195"/>
      <c r="E7" s="1195"/>
      <c r="F7" s="1195"/>
      <c r="G7" s="1197"/>
      <c r="H7" s="1148"/>
      <c r="I7" s="147"/>
      <c r="J7" s="147"/>
      <c r="K7" s="147"/>
    </row>
    <row r="8" spans="1:12" ht="15.75" thickBot="1">
      <c r="A8" s="179"/>
      <c r="B8" s="1081" t="s">
        <v>573</v>
      </c>
      <c r="C8" s="1082"/>
      <c r="D8" s="1082"/>
      <c r="E8" s="1082"/>
      <c r="F8" s="1082"/>
      <c r="G8" s="1082"/>
      <c r="H8" s="516"/>
      <c r="I8" s="177"/>
      <c r="J8" s="178"/>
      <c r="K8" s="164"/>
      <c r="L8" s="164"/>
    </row>
    <row r="9" spans="1:12" ht="15" customHeight="1">
      <c r="A9" s="179"/>
      <c r="B9" s="1187" t="s">
        <v>574</v>
      </c>
      <c r="C9" s="1188"/>
      <c r="D9" s="1188"/>
      <c r="E9" s="1188"/>
      <c r="F9" s="1188"/>
      <c r="G9" s="1188"/>
      <c r="H9" s="316"/>
      <c r="I9" s="177"/>
      <c r="J9" s="178"/>
      <c r="K9" s="164"/>
      <c r="L9" s="164"/>
    </row>
    <row r="10" spans="1:12" ht="26.25">
      <c r="A10" s="179"/>
      <c r="B10" s="58" t="s">
        <v>156</v>
      </c>
      <c r="C10" s="59"/>
      <c r="D10" s="60"/>
      <c r="E10" s="60"/>
      <c r="F10" s="60"/>
      <c r="G10" s="509"/>
      <c r="H10" s="517"/>
      <c r="I10" s="177"/>
      <c r="J10" s="178"/>
      <c r="K10" s="164"/>
      <c r="L10" s="164"/>
    </row>
    <row r="11" spans="1:12">
      <c r="A11" s="179"/>
      <c r="B11" s="53" t="s">
        <v>216</v>
      </c>
      <c r="C11" s="51"/>
      <c r="D11" s="52"/>
      <c r="E11" s="52"/>
      <c r="F11" s="52"/>
      <c r="G11" s="510"/>
      <c r="H11" s="518"/>
      <c r="I11" s="177"/>
      <c r="J11" s="178"/>
      <c r="K11" s="164"/>
      <c r="L11" s="164"/>
    </row>
    <row r="12" spans="1:12">
      <c r="A12" s="179"/>
      <c r="B12" s="43" t="s">
        <v>25</v>
      </c>
      <c r="C12" s="275">
        <v>1</v>
      </c>
      <c r="D12" s="293">
        <v>1850</v>
      </c>
      <c r="E12" s="110">
        <v>55.5</v>
      </c>
      <c r="F12" s="110">
        <v>544.5</v>
      </c>
      <c r="G12" s="354">
        <v>2450</v>
      </c>
      <c r="H12" s="304">
        <f>ROUND((D12+E12+F12)*('29_01_H_2020'!$O$14)*C12*12*(1+'29_01_H_2020'!$O$17),2)</f>
        <v>9225.57</v>
      </c>
      <c r="I12" s="177"/>
      <c r="J12" s="178"/>
      <c r="K12" s="164"/>
      <c r="L12" s="164"/>
    </row>
    <row r="13" spans="1:12">
      <c r="A13" s="179"/>
      <c r="B13" s="43" t="s">
        <v>25</v>
      </c>
      <c r="C13" s="275">
        <v>1</v>
      </c>
      <c r="D13" s="293">
        <v>1650</v>
      </c>
      <c r="E13" s="110">
        <v>49.5</v>
      </c>
      <c r="F13" s="110">
        <v>450.5</v>
      </c>
      <c r="G13" s="354">
        <v>2150</v>
      </c>
      <c r="H13" s="304">
        <f>ROUND((D13+E13+F13)*('29_01_H_2020'!$O$14)*C13*12*(1+'29_01_H_2020'!$O$17),2)</f>
        <v>8095.91</v>
      </c>
      <c r="I13" s="177"/>
      <c r="J13" s="178"/>
      <c r="K13" s="164"/>
      <c r="L13" s="164"/>
    </row>
    <row r="14" spans="1:12">
      <c r="A14" s="179"/>
      <c r="B14" s="43" t="s">
        <v>25</v>
      </c>
      <c r="C14" s="275">
        <v>0.4</v>
      </c>
      <c r="D14" s="293">
        <v>1550</v>
      </c>
      <c r="E14" s="110">
        <v>46.5</v>
      </c>
      <c r="F14" s="110">
        <v>493.5</v>
      </c>
      <c r="G14" s="354">
        <v>2090</v>
      </c>
      <c r="H14" s="304">
        <f>ROUND((D14+E14+F14)*('29_01_H_2020'!$O$14)*C14*12*(1+'29_01_H_2020'!$O$17),2)</f>
        <v>3147.99</v>
      </c>
      <c r="I14" s="177"/>
      <c r="J14" s="178"/>
      <c r="K14" s="164"/>
      <c r="L14" s="164"/>
    </row>
    <row r="15" spans="1:12">
      <c r="A15" s="179"/>
      <c r="B15" s="43" t="s">
        <v>25</v>
      </c>
      <c r="C15" s="275">
        <v>1</v>
      </c>
      <c r="D15" s="293">
        <v>1550</v>
      </c>
      <c r="E15" s="110">
        <v>46.5</v>
      </c>
      <c r="F15" s="110">
        <v>493.5</v>
      </c>
      <c r="G15" s="354">
        <v>2090</v>
      </c>
      <c r="H15" s="304">
        <f>ROUND((D15+E15+F15)*('29_01_H_2020'!$O$14)*C15*12*(1+'29_01_H_2020'!$O$17),2)</f>
        <v>7869.98</v>
      </c>
      <c r="I15" s="177"/>
      <c r="J15" s="178"/>
      <c r="K15" s="164"/>
      <c r="L15" s="164"/>
    </row>
    <row r="16" spans="1:12">
      <c r="A16" s="179"/>
      <c r="B16" s="43" t="s">
        <v>25</v>
      </c>
      <c r="C16" s="275">
        <v>1</v>
      </c>
      <c r="D16" s="293">
        <v>1550</v>
      </c>
      <c r="E16" s="110">
        <v>46.5</v>
      </c>
      <c r="F16" s="110">
        <v>493.5</v>
      </c>
      <c r="G16" s="354">
        <v>2090</v>
      </c>
      <c r="H16" s="304">
        <f>ROUND((D16+E16+F16)*('29_01_H_2020'!$O$14)*C16*12*(1+'29_01_H_2020'!$O$17),2)</f>
        <v>7869.98</v>
      </c>
      <c r="I16" s="177"/>
      <c r="J16" s="178"/>
      <c r="K16" s="164"/>
      <c r="L16" s="164"/>
    </row>
    <row r="17" spans="1:12">
      <c r="A17" s="179"/>
      <c r="B17" s="43" t="s">
        <v>25</v>
      </c>
      <c r="C17" s="275">
        <v>0.5</v>
      </c>
      <c r="D17" s="293">
        <v>1550</v>
      </c>
      <c r="E17" s="110">
        <v>46.5</v>
      </c>
      <c r="F17" s="110">
        <v>493.5</v>
      </c>
      <c r="G17" s="354">
        <v>2090</v>
      </c>
      <c r="H17" s="304">
        <f>ROUND((D17+E17+F17)*('29_01_H_2020'!$O$14)*C17*12*(1+'29_01_H_2020'!$O$17),2)</f>
        <v>3934.99</v>
      </c>
      <c r="I17" s="177"/>
      <c r="J17" s="178"/>
      <c r="K17" s="164"/>
      <c r="L17" s="164"/>
    </row>
    <row r="18" spans="1:12">
      <c r="A18" s="179"/>
      <c r="B18" s="43" t="s">
        <v>25</v>
      </c>
      <c r="C18" s="275">
        <v>0.4</v>
      </c>
      <c r="D18" s="293">
        <v>1550</v>
      </c>
      <c r="E18" s="110">
        <v>46.5</v>
      </c>
      <c r="F18" s="110">
        <v>493.5</v>
      </c>
      <c r="G18" s="354">
        <v>2090</v>
      </c>
      <c r="H18" s="304">
        <f>ROUND((D18+E18+F18)*('29_01_H_2020'!$O$14)*C18*12*(1+'29_01_H_2020'!$O$17),2)</f>
        <v>3147.99</v>
      </c>
      <c r="I18" s="177"/>
      <c r="J18" s="178"/>
      <c r="K18" s="164"/>
      <c r="L18" s="164"/>
    </row>
    <row r="19" spans="1:12">
      <c r="A19" s="179"/>
      <c r="B19" s="43" t="s">
        <v>25</v>
      </c>
      <c r="C19" s="275">
        <v>0.2</v>
      </c>
      <c r="D19" s="293">
        <v>1450</v>
      </c>
      <c r="E19" s="110">
        <v>43.5</v>
      </c>
      <c r="F19" s="110">
        <v>391.5</v>
      </c>
      <c r="G19" s="354">
        <v>1885</v>
      </c>
      <c r="H19" s="304">
        <f>ROUND((D19+E19+F19)*('29_01_H_2020'!$O$14)*C19*12*(1+'29_01_H_2020'!$O$17),2)</f>
        <v>1419.61</v>
      </c>
      <c r="I19" s="177"/>
      <c r="J19" s="178"/>
      <c r="K19" s="164"/>
      <c r="L19" s="164"/>
    </row>
    <row r="20" spans="1:12">
      <c r="A20" s="179"/>
      <c r="B20" s="43" t="s">
        <v>25</v>
      </c>
      <c r="C20" s="275">
        <v>0.4</v>
      </c>
      <c r="D20" s="293">
        <v>1450</v>
      </c>
      <c r="E20" s="110">
        <v>43.5</v>
      </c>
      <c r="F20" s="110">
        <v>391.5</v>
      </c>
      <c r="G20" s="354">
        <v>1885</v>
      </c>
      <c r="H20" s="304">
        <f>ROUND((D20+E20+F20)*('29_01_H_2020'!$O$14)*C20*12*(1+'29_01_H_2020'!$O$17),2)</f>
        <v>2839.22</v>
      </c>
      <c r="I20" s="177"/>
      <c r="J20" s="178"/>
      <c r="K20" s="164"/>
      <c r="L20" s="164"/>
    </row>
    <row r="21" spans="1:12">
      <c r="A21" s="179"/>
      <c r="B21" s="43" t="s">
        <v>25</v>
      </c>
      <c r="C21" s="275">
        <v>0.5</v>
      </c>
      <c r="D21" s="293">
        <v>1450</v>
      </c>
      <c r="E21" s="110">
        <v>43.5</v>
      </c>
      <c r="F21" s="110">
        <v>391.5</v>
      </c>
      <c r="G21" s="354">
        <v>1885</v>
      </c>
      <c r="H21" s="304">
        <f>ROUND((D21+E21+F21)*('29_01_H_2020'!$O$14)*C21*12*(1+'29_01_H_2020'!$O$17),2)</f>
        <v>3549.02</v>
      </c>
      <c r="I21" s="177"/>
      <c r="J21" s="178"/>
      <c r="K21" s="164"/>
      <c r="L21" s="164"/>
    </row>
    <row r="22" spans="1:12">
      <c r="A22" s="179"/>
      <c r="B22" s="43" t="s">
        <v>25</v>
      </c>
      <c r="C22" s="275">
        <v>1</v>
      </c>
      <c r="D22" s="293">
        <v>1450</v>
      </c>
      <c r="E22" s="110">
        <v>43.5</v>
      </c>
      <c r="F22" s="110">
        <v>391.5</v>
      </c>
      <c r="G22" s="354">
        <v>1885</v>
      </c>
      <c r="H22" s="304">
        <f>ROUND((D22+E22+F22)*('29_01_H_2020'!$O$14)*C22*12*(1+'29_01_H_2020'!$O$17),2)</f>
        <v>7098.04</v>
      </c>
      <c r="I22" s="177"/>
      <c r="J22" s="178"/>
      <c r="K22" s="164"/>
      <c r="L22" s="164"/>
    </row>
    <row r="23" spans="1:12">
      <c r="A23" s="179"/>
      <c r="B23" s="43" t="s">
        <v>25</v>
      </c>
      <c r="C23" s="275">
        <v>0.2</v>
      </c>
      <c r="D23" s="293">
        <v>1450</v>
      </c>
      <c r="E23" s="110">
        <v>43.5</v>
      </c>
      <c r="F23" s="110">
        <v>391.5</v>
      </c>
      <c r="G23" s="354">
        <v>1885</v>
      </c>
      <c r="H23" s="304">
        <f>ROUND((D23+E23+F23)*('29_01_H_2020'!$O$14)*C23*12*(1+'29_01_H_2020'!$O$17),2)</f>
        <v>1419.61</v>
      </c>
      <c r="I23" s="177"/>
      <c r="J23" s="178"/>
      <c r="K23" s="164"/>
      <c r="L23" s="164"/>
    </row>
    <row r="24" spans="1:12">
      <c r="A24" s="179"/>
      <c r="B24" s="43" t="s">
        <v>25</v>
      </c>
      <c r="C24" s="275">
        <v>0.2</v>
      </c>
      <c r="D24" s="293">
        <v>1450</v>
      </c>
      <c r="E24" s="110">
        <v>43.5</v>
      </c>
      <c r="F24" s="110">
        <v>391.5</v>
      </c>
      <c r="G24" s="354">
        <v>1885</v>
      </c>
      <c r="H24" s="304">
        <f>ROUND((D24+E24+F24)*('29_01_H_2020'!$O$14)*C24*12*(1+'29_01_H_2020'!$O$17),2)</f>
        <v>1419.61</v>
      </c>
      <c r="I24" s="177"/>
      <c r="J24" s="178"/>
      <c r="K24" s="164"/>
      <c r="L24" s="164"/>
    </row>
    <row r="25" spans="1:12">
      <c r="A25" s="179"/>
      <c r="B25" s="43" t="s">
        <v>25</v>
      </c>
      <c r="C25" s="275">
        <v>0.4</v>
      </c>
      <c r="D25" s="293">
        <v>1450</v>
      </c>
      <c r="E25" s="110">
        <v>43.5</v>
      </c>
      <c r="F25" s="110">
        <v>391.5</v>
      </c>
      <c r="G25" s="354">
        <v>1885</v>
      </c>
      <c r="H25" s="304">
        <f>ROUND((D25+E25+F25)*('29_01_H_2020'!$O$14)*C25*12*(1+'29_01_H_2020'!$O$17),2)</f>
        <v>2839.22</v>
      </c>
      <c r="I25" s="177"/>
      <c r="J25" s="178"/>
      <c r="K25" s="164"/>
      <c r="L25" s="164"/>
    </row>
    <row r="26" spans="1:12">
      <c r="A26" s="179"/>
      <c r="B26" s="43" t="s">
        <v>25</v>
      </c>
      <c r="C26" s="275">
        <v>0.6</v>
      </c>
      <c r="D26" s="293">
        <v>1450</v>
      </c>
      <c r="E26" s="110">
        <v>43.5</v>
      </c>
      <c r="F26" s="110">
        <v>391.5</v>
      </c>
      <c r="G26" s="354">
        <v>1885</v>
      </c>
      <c r="H26" s="304">
        <f>ROUND((D26+E26+F26)*('29_01_H_2020'!$O$14)*C26*12*(1+'29_01_H_2020'!$O$17),2)</f>
        <v>4258.83</v>
      </c>
      <c r="I26" s="177"/>
      <c r="J26" s="178"/>
      <c r="K26" s="164"/>
      <c r="L26" s="164"/>
    </row>
    <row r="27" spans="1:12">
      <c r="A27" s="179"/>
      <c r="B27" s="43" t="s">
        <v>248</v>
      </c>
      <c r="C27" s="275">
        <v>0.75</v>
      </c>
      <c r="D27" s="293">
        <v>1450</v>
      </c>
      <c r="E27" s="110">
        <v>43.5</v>
      </c>
      <c r="F27" s="110">
        <v>391.5</v>
      </c>
      <c r="G27" s="354">
        <v>1885</v>
      </c>
      <c r="H27" s="304">
        <f>ROUND((D27+E27+F27)*('29_01_H_2020'!$O$14)*C27*12*(1+'29_01_H_2020'!$O$17),2)</f>
        <v>5323.53</v>
      </c>
      <c r="I27" s="177"/>
      <c r="J27" s="178"/>
      <c r="K27" s="164"/>
      <c r="L27" s="164"/>
    </row>
    <row r="28" spans="1:12">
      <c r="A28" s="179"/>
      <c r="B28" s="43" t="s">
        <v>25</v>
      </c>
      <c r="C28" s="275">
        <v>0.6</v>
      </c>
      <c r="D28" s="293">
        <v>1300</v>
      </c>
      <c r="E28" s="110">
        <v>39</v>
      </c>
      <c r="F28" s="110">
        <v>351</v>
      </c>
      <c r="G28" s="354">
        <v>1690</v>
      </c>
      <c r="H28" s="304">
        <f>ROUND((D28+E28+F28)*('29_01_H_2020'!$O$14)*C28*12*(1+'29_01_H_2020'!$O$17),2)</f>
        <v>3818.26</v>
      </c>
      <c r="I28" s="177"/>
      <c r="J28" s="178"/>
      <c r="K28" s="164"/>
      <c r="L28" s="164"/>
    </row>
    <row r="29" spans="1:12">
      <c r="A29" s="179"/>
      <c r="B29" s="43" t="s">
        <v>25</v>
      </c>
      <c r="C29" s="275">
        <v>0.6</v>
      </c>
      <c r="D29" s="293">
        <v>1300</v>
      </c>
      <c r="E29" s="110">
        <v>39</v>
      </c>
      <c r="F29" s="110">
        <v>351</v>
      </c>
      <c r="G29" s="354">
        <v>1690</v>
      </c>
      <c r="H29" s="304">
        <f>ROUND((D29+E29+F29)*('29_01_H_2020'!$O$14)*C29*12*(1+'29_01_H_2020'!$O$17),2)</f>
        <v>3818.26</v>
      </c>
      <c r="I29" s="177"/>
      <c r="J29" s="178"/>
      <c r="K29" s="164"/>
      <c r="L29" s="164"/>
    </row>
    <row r="30" spans="1:12">
      <c r="A30" s="179"/>
      <c r="B30" s="43" t="s">
        <v>25</v>
      </c>
      <c r="C30" s="275">
        <v>0.2</v>
      </c>
      <c r="D30" s="293">
        <v>1300</v>
      </c>
      <c r="E30" s="110">
        <v>39</v>
      </c>
      <c r="F30" s="110">
        <v>351</v>
      </c>
      <c r="G30" s="354">
        <v>1690</v>
      </c>
      <c r="H30" s="304">
        <f>ROUND((D30+E30+F30)*('29_01_H_2020'!$O$14)*C30*12*(1+'29_01_H_2020'!$O$17),2)</f>
        <v>1272.75</v>
      </c>
      <c r="I30" s="177"/>
      <c r="J30" s="178"/>
      <c r="K30" s="164"/>
      <c r="L30" s="164"/>
    </row>
    <row r="31" spans="1:12" ht="63.75">
      <c r="A31" s="152"/>
      <c r="B31" s="50" t="s">
        <v>187</v>
      </c>
      <c r="C31" s="63"/>
      <c r="D31" s="54"/>
      <c r="E31" s="54"/>
      <c r="F31" s="54"/>
      <c r="G31" s="511"/>
      <c r="H31" s="518"/>
      <c r="I31" s="152"/>
      <c r="J31" s="152"/>
      <c r="K31" s="147"/>
    </row>
    <row r="32" spans="1:12">
      <c r="A32" s="179"/>
      <c r="B32" s="612" t="s">
        <v>33</v>
      </c>
      <c r="C32" s="275">
        <v>1</v>
      </c>
      <c r="D32" s="293">
        <v>1100</v>
      </c>
      <c r="E32" s="110">
        <v>33</v>
      </c>
      <c r="F32" s="110">
        <v>352</v>
      </c>
      <c r="G32" s="354">
        <v>1485</v>
      </c>
      <c r="H32" s="555">
        <f>ROUND((D32+E32+F32)*('29_01_H_2020'!$O$10)*C32*12*(1+'29_01_H_2020'!$O$17),2)</f>
        <v>5591.83</v>
      </c>
      <c r="I32" s="177"/>
      <c r="J32" s="178"/>
      <c r="K32" s="164"/>
      <c r="L32" s="164"/>
    </row>
    <row r="33" spans="1:12">
      <c r="A33" s="179"/>
      <c r="B33" s="612" t="s">
        <v>40</v>
      </c>
      <c r="C33" s="275">
        <v>1</v>
      </c>
      <c r="D33" s="293">
        <v>920</v>
      </c>
      <c r="E33" s="110">
        <v>27.599999999999998</v>
      </c>
      <c r="F33" s="110">
        <v>248.4</v>
      </c>
      <c r="G33" s="354">
        <v>1196</v>
      </c>
      <c r="H33" s="555">
        <f>ROUND((D33+E33+F33)*('29_01_H_2020'!$O$10)*C33*12*(1+'29_01_H_2020'!$O$17),2)</f>
        <v>4503.59</v>
      </c>
      <c r="I33" s="177"/>
      <c r="J33" s="178"/>
      <c r="K33" s="164"/>
      <c r="L33" s="164"/>
    </row>
    <row r="34" spans="1:12">
      <c r="A34" s="179"/>
      <c r="B34" s="612" t="s">
        <v>40</v>
      </c>
      <c r="C34" s="275">
        <v>1</v>
      </c>
      <c r="D34" s="293">
        <v>920</v>
      </c>
      <c r="E34" s="110">
        <v>27.599999999999998</v>
      </c>
      <c r="F34" s="110">
        <v>248.4</v>
      </c>
      <c r="G34" s="354">
        <v>1196</v>
      </c>
      <c r="H34" s="555">
        <f>ROUND((D34+E34+F34)*('29_01_H_2020'!$O$10)*C34*12*(1+'29_01_H_2020'!$O$17),2)</f>
        <v>4503.59</v>
      </c>
      <c r="I34" s="177"/>
      <c r="J34" s="178"/>
      <c r="K34" s="164"/>
      <c r="L34" s="164"/>
    </row>
    <row r="35" spans="1:12">
      <c r="A35" s="179"/>
      <c r="B35" s="612" t="s">
        <v>40</v>
      </c>
      <c r="C35" s="275">
        <v>0.5</v>
      </c>
      <c r="D35" s="293">
        <v>920</v>
      </c>
      <c r="E35" s="110">
        <v>27.599999999999998</v>
      </c>
      <c r="F35" s="110">
        <v>248.4</v>
      </c>
      <c r="G35" s="354">
        <v>1196</v>
      </c>
      <c r="H35" s="555">
        <f>ROUND((D35+E35+F35)*('29_01_H_2020'!$O$10)*C35*12*(1+'29_01_H_2020'!$O$17),2)</f>
        <v>2251.79</v>
      </c>
      <c r="I35" s="177"/>
      <c r="J35" s="178"/>
      <c r="K35" s="164"/>
      <c r="L35" s="164"/>
    </row>
    <row r="36" spans="1:12">
      <c r="A36" s="179"/>
      <c r="B36" s="612" t="s">
        <v>40</v>
      </c>
      <c r="C36" s="275">
        <v>0.5</v>
      </c>
      <c r="D36" s="293">
        <v>920</v>
      </c>
      <c r="E36" s="110">
        <v>27.599999999999998</v>
      </c>
      <c r="F36" s="110">
        <v>248.4</v>
      </c>
      <c r="G36" s="354">
        <v>1196</v>
      </c>
      <c r="H36" s="555">
        <f>ROUND((D36+E36+F36)*('29_01_H_2020'!$O$10)*C36*12*(1+'29_01_H_2020'!$O$17),2)</f>
        <v>2251.79</v>
      </c>
      <c r="I36" s="177"/>
      <c r="J36" s="178"/>
      <c r="K36" s="164"/>
      <c r="L36" s="164"/>
    </row>
    <row r="37" spans="1:12">
      <c r="A37" s="179"/>
      <c r="B37" s="612" t="s">
        <v>40</v>
      </c>
      <c r="C37" s="275">
        <v>0.5</v>
      </c>
      <c r="D37" s="293">
        <v>920</v>
      </c>
      <c r="E37" s="110">
        <v>27.599999999999998</v>
      </c>
      <c r="F37" s="110">
        <v>248.4</v>
      </c>
      <c r="G37" s="354">
        <v>1196</v>
      </c>
      <c r="H37" s="555">
        <f>ROUND((D37+E37+F37)*('29_01_H_2020'!$O$10)*C37*12*(1+'29_01_H_2020'!$O$17),2)</f>
        <v>2251.79</v>
      </c>
      <c r="I37" s="177"/>
      <c r="J37" s="178"/>
      <c r="K37" s="164"/>
      <c r="L37" s="164"/>
    </row>
    <row r="38" spans="1:12">
      <c r="A38" s="179"/>
      <c r="B38" s="612" t="s">
        <v>40</v>
      </c>
      <c r="C38" s="275">
        <v>0.5</v>
      </c>
      <c r="D38" s="293">
        <v>920</v>
      </c>
      <c r="E38" s="110">
        <v>27.599999999999998</v>
      </c>
      <c r="F38" s="110">
        <v>248.4</v>
      </c>
      <c r="G38" s="354">
        <v>1196</v>
      </c>
      <c r="H38" s="555">
        <f>ROUND((D38+E38+F38)*('29_01_H_2020'!$O$10)*C38*12*(1+'29_01_H_2020'!$O$17),2)</f>
        <v>2251.79</v>
      </c>
      <c r="I38" s="177"/>
      <c r="J38" s="178"/>
      <c r="K38" s="164"/>
      <c r="L38" s="164"/>
    </row>
    <row r="39" spans="1:12">
      <c r="A39" s="179"/>
      <c r="B39" s="612" t="s">
        <v>40</v>
      </c>
      <c r="C39" s="275">
        <v>0.5</v>
      </c>
      <c r="D39" s="293">
        <v>920</v>
      </c>
      <c r="E39" s="110">
        <v>27.599999999999998</v>
      </c>
      <c r="F39" s="110">
        <v>248.4</v>
      </c>
      <c r="G39" s="354">
        <v>1196</v>
      </c>
      <c r="H39" s="555">
        <f>ROUND((D39+E39+F39)*('29_01_H_2020'!$O$10)*C39*12*(1+'29_01_H_2020'!$O$17),2)</f>
        <v>2251.79</v>
      </c>
      <c r="I39" s="177"/>
      <c r="J39" s="178"/>
      <c r="K39" s="164"/>
      <c r="L39" s="164"/>
    </row>
    <row r="40" spans="1:12">
      <c r="A40" s="179"/>
      <c r="B40" s="612" t="s">
        <v>40</v>
      </c>
      <c r="C40" s="275">
        <v>0.5</v>
      </c>
      <c r="D40" s="293">
        <v>920</v>
      </c>
      <c r="E40" s="110">
        <v>27.599999999999998</v>
      </c>
      <c r="F40" s="110">
        <v>248.4</v>
      </c>
      <c r="G40" s="354">
        <v>1196</v>
      </c>
      <c r="H40" s="555">
        <f>ROUND((D40+E40+F40)*('29_01_H_2020'!$O$10)*C40*12*(1+'29_01_H_2020'!$O$17),2)</f>
        <v>2251.79</v>
      </c>
      <c r="I40" s="177"/>
      <c r="J40" s="178"/>
      <c r="K40" s="164"/>
      <c r="L40" s="164"/>
    </row>
    <row r="41" spans="1:12">
      <c r="A41" s="179"/>
      <c r="B41" s="612" t="s">
        <v>40</v>
      </c>
      <c r="C41" s="275">
        <v>1</v>
      </c>
      <c r="D41" s="293">
        <v>920</v>
      </c>
      <c r="E41" s="110">
        <v>27.599999999999998</v>
      </c>
      <c r="F41" s="111">
        <v>248.4</v>
      </c>
      <c r="G41" s="354">
        <v>1196</v>
      </c>
      <c r="H41" s="555">
        <f>ROUND((D41+E41+F41)*('29_01_H_2020'!$O$10)*C41*12*(1+'29_01_H_2020'!$O$17),2)</f>
        <v>4503.59</v>
      </c>
      <c r="I41" s="177"/>
      <c r="J41" s="178"/>
      <c r="K41" s="164"/>
      <c r="L41" s="164"/>
    </row>
    <row r="42" spans="1:12">
      <c r="A42" s="179"/>
      <c r="B42" s="613" t="s">
        <v>229</v>
      </c>
      <c r="C42" s="277">
        <v>0.5</v>
      </c>
      <c r="D42" s="110">
        <v>920</v>
      </c>
      <c r="E42" s="110">
        <v>27.599999999999998</v>
      </c>
      <c r="F42" s="110">
        <v>248.4</v>
      </c>
      <c r="G42" s="354">
        <v>1196</v>
      </c>
      <c r="H42" s="555">
        <f>ROUND((D42+E42+F42)*('29_01_H_2020'!$O$10)*C42*12*(1+'29_01_H_2020'!$O$17),2)</f>
        <v>2251.79</v>
      </c>
      <c r="I42" s="177"/>
      <c r="J42" s="178"/>
      <c r="K42" s="164"/>
      <c r="L42" s="164"/>
    </row>
    <row r="43" spans="1:12">
      <c r="A43" s="179"/>
      <c r="B43" s="613" t="s">
        <v>229</v>
      </c>
      <c r="C43" s="277">
        <v>0.5</v>
      </c>
      <c r="D43" s="110">
        <v>920</v>
      </c>
      <c r="E43" s="110">
        <v>27.599999999999998</v>
      </c>
      <c r="F43" s="110">
        <v>248.4</v>
      </c>
      <c r="G43" s="354">
        <v>1196</v>
      </c>
      <c r="H43" s="555">
        <f>ROUND((D43+E43+F43)*('29_01_H_2020'!$O$10)*C43*12*(1+'29_01_H_2020'!$O$17),2)</f>
        <v>2251.79</v>
      </c>
      <c r="I43" s="177"/>
      <c r="J43" s="178"/>
      <c r="K43" s="164"/>
      <c r="L43" s="164"/>
    </row>
    <row r="44" spans="1:12">
      <c r="A44" s="179"/>
      <c r="B44" s="613" t="s">
        <v>229</v>
      </c>
      <c r="C44" s="277">
        <v>0.5</v>
      </c>
      <c r="D44" s="110">
        <v>920</v>
      </c>
      <c r="E44" s="110">
        <v>27.599999999999998</v>
      </c>
      <c r="F44" s="110">
        <v>248.4</v>
      </c>
      <c r="G44" s="354">
        <v>1196</v>
      </c>
      <c r="H44" s="555">
        <f>ROUND((D44+E44+F44)*('29_01_H_2020'!$O$10)*C44*12*(1+'29_01_H_2020'!$O$17),2)</f>
        <v>2251.79</v>
      </c>
      <c r="I44" s="177"/>
      <c r="J44" s="178"/>
      <c r="K44" s="164"/>
      <c r="L44" s="164"/>
    </row>
    <row r="45" spans="1:12">
      <c r="A45" s="179"/>
      <c r="B45" s="613" t="s">
        <v>31</v>
      </c>
      <c r="C45" s="277">
        <v>0.25</v>
      </c>
      <c r="D45" s="110">
        <v>920</v>
      </c>
      <c r="E45" s="110">
        <v>27.599999999999998</v>
      </c>
      <c r="F45" s="110">
        <v>248.4</v>
      </c>
      <c r="G45" s="354">
        <v>1196</v>
      </c>
      <c r="H45" s="555">
        <f>ROUND((D45+E45+F45)*('29_01_H_2020'!$O$10)*C45*12*(1+'29_01_H_2020'!$O$17),2)</f>
        <v>1125.9000000000001</v>
      </c>
      <c r="I45" s="177"/>
      <c r="J45" s="178"/>
      <c r="K45" s="164"/>
      <c r="L45" s="164"/>
    </row>
    <row r="46" spans="1:12">
      <c r="A46" s="179"/>
      <c r="B46" s="613" t="s">
        <v>31</v>
      </c>
      <c r="C46" s="277">
        <v>0.25</v>
      </c>
      <c r="D46" s="110">
        <v>920</v>
      </c>
      <c r="E46" s="110">
        <v>27.599999999999998</v>
      </c>
      <c r="F46" s="110">
        <v>248.4</v>
      </c>
      <c r="G46" s="354">
        <v>1196</v>
      </c>
      <c r="H46" s="555">
        <f>ROUND((D46+E46+F46)*('29_01_H_2020'!$O$10)*C46*12*(1+'29_01_H_2020'!$O$17),2)</f>
        <v>1125.9000000000001</v>
      </c>
      <c r="I46" s="177"/>
      <c r="J46" s="178"/>
      <c r="K46" s="164"/>
      <c r="L46" s="164"/>
    </row>
    <row r="47" spans="1:12">
      <c r="A47" s="179"/>
      <c r="B47" s="613" t="s">
        <v>31</v>
      </c>
      <c r="C47" s="277">
        <v>0.6</v>
      </c>
      <c r="D47" s="110">
        <v>920</v>
      </c>
      <c r="E47" s="110">
        <v>27.599999999999998</v>
      </c>
      <c r="F47" s="110">
        <v>248.4</v>
      </c>
      <c r="G47" s="354">
        <v>1196</v>
      </c>
      <c r="H47" s="555">
        <f>ROUND((D47+E47+F47)*('29_01_H_2020'!$O$10)*C47*12*(1+'29_01_H_2020'!$O$17),2)</f>
        <v>2702.15</v>
      </c>
      <c r="I47" s="177"/>
      <c r="J47" s="178"/>
      <c r="K47" s="164"/>
      <c r="L47" s="164"/>
    </row>
    <row r="48" spans="1:12">
      <c r="A48" s="179"/>
      <c r="B48" s="613" t="s">
        <v>31</v>
      </c>
      <c r="C48" s="277">
        <v>0.6</v>
      </c>
      <c r="D48" s="110">
        <v>920</v>
      </c>
      <c r="E48" s="110">
        <v>27.599999999999998</v>
      </c>
      <c r="F48" s="110">
        <v>248.4</v>
      </c>
      <c r="G48" s="354">
        <v>1196</v>
      </c>
      <c r="H48" s="555">
        <f>ROUND((D48+E48+F48)*('29_01_H_2020'!$O$10)*C48*12*(1+'29_01_H_2020'!$O$17),2)</f>
        <v>2702.15</v>
      </c>
      <c r="I48" s="177"/>
      <c r="J48" s="178"/>
      <c r="K48" s="164"/>
      <c r="L48" s="164"/>
    </row>
    <row r="49" spans="1:12">
      <c r="A49" s="179"/>
      <c r="B49" s="613" t="s">
        <v>31</v>
      </c>
      <c r="C49" s="277">
        <v>0.7</v>
      </c>
      <c r="D49" s="110">
        <v>920</v>
      </c>
      <c r="E49" s="110">
        <v>27.599999999999998</v>
      </c>
      <c r="F49" s="110">
        <v>248.4</v>
      </c>
      <c r="G49" s="354">
        <v>1196</v>
      </c>
      <c r="H49" s="555">
        <f>ROUND((D49+E49+F49)*('29_01_H_2020'!$O$10)*C49*12*(1+'29_01_H_2020'!$O$17),2)</f>
        <v>3152.51</v>
      </c>
      <c r="I49" s="177"/>
      <c r="J49" s="178"/>
      <c r="K49" s="164"/>
      <c r="L49" s="164"/>
    </row>
    <row r="50" spans="1:12" ht="26.25">
      <c r="A50" s="179"/>
      <c r="B50" s="65" t="s">
        <v>206</v>
      </c>
      <c r="C50" s="61"/>
      <c r="D50" s="62"/>
      <c r="E50" s="62"/>
      <c r="F50" s="62"/>
      <c r="G50" s="512"/>
      <c r="H50" s="517"/>
      <c r="I50" s="177"/>
      <c r="J50" s="178"/>
      <c r="K50" s="164"/>
      <c r="L50" s="164"/>
    </row>
    <row r="51" spans="1:12" ht="25.5">
      <c r="A51" s="152"/>
      <c r="B51" s="57" t="s">
        <v>218</v>
      </c>
      <c r="C51" s="55"/>
      <c r="D51" s="52"/>
      <c r="E51" s="52"/>
      <c r="F51" s="52"/>
      <c r="G51" s="513"/>
      <c r="H51" s="518"/>
      <c r="I51" s="152"/>
      <c r="J51" s="152"/>
      <c r="K51" s="147"/>
    </row>
    <row r="52" spans="1:12" ht="15.75" thickBot="1">
      <c r="A52" s="179"/>
      <c r="B52" s="44" t="s">
        <v>25</v>
      </c>
      <c r="C52" s="89">
        <v>0.2</v>
      </c>
      <c r="D52" s="295">
        <v>1300</v>
      </c>
      <c r="E52" s="295"/>
      <c r="F52" s="295">
        <v>390</v>
      </c>
      <c r="G52" s="359">
        <v>1690</v>
      </c>
      <c r="H52" s="555">
        <f>ROUND((D52+E52+F52)*('29_01_H_2020'!$O$14)*C52*12*(1+'29_01_H_2020'!$O$17),2)</f>
        <v>1272.75</v>
      </c>
      <c r="I52" s="177"/>
      <c r="J52" s="178"/>
      <c r="K52" s="164"/>
      <c r="L52" s="164"/>
    </row>
    <row r="53" spans="1:12" ht="15.75" thickBot="1">
      <c r="A53" s="179"/>
      <c r="B53" s="281" t="s">
        <v>55</v>
      </c>
      <c r="C53" s="614">
        <f>SUM(C12:C30,C32:C49,C52:C52)</f>
        <v>22.05</v>
      </c>
      <c r="D53" s="282" t="s">
        <v>215</v>
      </c>
      <c r="E53" s="282" t="s">
        <v>215</v>
      </c>
      <c r="F53" s="282" t="s">
        <v>215</v>
      </c>
      <c r="G53" s="282" t="s">
        <v>215</v>
      </c>
      <c r="H53" s="615">
        <f>SUM(H12:H30,H32:H49,H52:H52)</f>
        <v>133818.43999999989</v>
      </c>
      <c r="I53" s="177"/>
      <c r="J53" s="178"/>
      <c r="K53" s="164"/>
      <c r="L53" s="164"/>
    </row>
    <row r="54" spans="1:12">
      <c r="A54" s="179"/>
      <c r="B54" s="147"/>
      <c r="C54" s="147"/>
      <c r="D54" s="147"/>
      <c r="E54" s="147"/>
      <c r="F54" s="147"/>
      <c r="G54" s="147"/>
      <c r="H54" s="147"/>
      <c r="I54" s="177"/>
      <c r="J54" s="178"/>
      <c r="K54" s="164"/>
      <c r="L54" s="164"/>
    </row>
    <row r="55" spans="1:12">
      <c r="A55" s="179"/>
      <c r="B55" s="147"/>
      <c r="C55" s="147"/>
      <c r="D55" s="147"/>
      <c r="E55" s="147"/>
      <c r="F55" s="147"/>
      <c r="G55" s="147"/>
      <c r="H55" s="147"/>
      <c r="I55" s="803"/>
      <c r="J55" s="178"/>
      <c r="K55" s="164"/>
      <c r="L55" s="164"/>
    </row>
    <row r="56" spans="1:12">
      <c r="A56" s="179"/>
      <c r="B56" s="147"/>
      <c r="C56" s="147"/>
      <c r="D56" s="147"/>
      <c r="E56" s="147"/>
      <c r="F56" s="147"/>
      <c r="G56" s="147"/>
      <c r="H56" s="147"/>
      <c r="I56" s="177"/>
      <c r="J56" s="178"/>
      <c r="K56" s="164"/>
      <c r="L56" s="164"/>
    </row>
    <row r="57" spans="1:12">
      <c r="A57" s="179"/>
      <c r="B57" s="147"/>
      <c r="C57" s="147"/>
      <c r="D57" s="147"/>
      <c r="E57" s="147"/>
      <c r="F57" s="147"/>
      <c r="G57" s="147"/>
      <c r="H57" s="147"/>
      <c r="I57" s="177"/>
      <c r="J57" s="178"/>
      <c r="K57" s="164"/>
      <c r="L57" s="164"/>
    </row>
    <row r="58" spans="1:12">
      <c r="A58" s="152"/>
      <c r="B58" s="147"/>
      <c r="C58" s="147"/>
      <c r="D58" s="147"/>
      <c r="E58" s="147"/>
      <c r="F58" s="147"/>
      <c r="G58" s="147"/>
      <c r="H58" s="806"/>
      <c r="I58" s="152"/>
      <c r="J58" s="152"/>
      <c r="K58" s="147"/>
    </row>
    <row r="59" spans="1:12">
      <c r="A59" s="152"/>
      <c r="B59" s="147"/>
      <c r="C59" s="147"/>
      <c r="D59" s="147"/>
      <c r="E59" s="147"/>
      <c r="F59" s="147"/>
      <c r="G59" s="147"/>
      <c r="H59" s="147"/>
      <c r="I59" s="152"/>
      <c r="J59" s="152"/>
      <c r="K59" s="147"/>
    </row>
    <row r="60" spans="1:12">
      <c r="A60" s="152"/>
      <c r="B60" s="147"/>
      <c r="C60" s="147"/>
      <c r="D60" s="147"/>
      <c r="E60" s="147"/>
      <c r="F60" s="147"/>
      <c r="G60" s="147"/>
      <c r="H60" s="147"/>
      <c r="I60" s="152"/>
      <c r="J60" s="152"/>
      <c r="K60" s="147"/>
    </row>
    <row r="61" spans="1:12">
      <c r="A61" s="152"/>
      <c r="B61" s="147"/>
      <c r="C61" s="147"/>
      <c r="D61" s="147"/>
      <c r="E61" s="147"/>
      <c r="F61" s="147"/>
      <c r="G61" s="147"/>
      <c r="H61" s="147"/>
      <c r="I61" s="152"/>
      <c r="J61" s="152"/>
      <c r="K61" s="147"/>
    </row>
    <row r="62" spans="1:12">
      <c r="A62" s="152"/>
      <c r="B62" s="147"/>
      <c r="C62" s="147"/>
      <c r="D62" s="147"/>
      <c r="E62" s="147"/>
      <c r="F62" s="147"/>
      <c r="G62" s="147"/>
      <c r="H62" s="147"/>
      <c r="I62" s="152"/>
      <c r="J62" s="152"/>
      <c r="K62" s="147"/>
    </row>
    <row r="63" spans="1:12">
      <c r="A63" s="152"/>
      <c r="B63" s="147"/>
      <c r="C63" s="147"/>
      <c r="D63" s="147"/>
      <c r="E63" s="147"/>
      <c r="F63" s="147"/>
      <c r="G63" s="147"/>
      <c r="H63" s="147"/>
      <c r="I63" s="152"/>
      <c r="J63" s="152"/>
      <c r="K63" s="147"/>
    </row>
    <row r="64" spans="1:12">
      <c r="A64" s="152"/>
      <c r="B64" s="147"/>
      <c r="C64" s="147"/>
      <c r="D64" s="147"/>
      <c r="E64" s="147"/>
      <c r="F64" s="147"/>
      <c r="G64" s="147"/>
      <c r="H64" s="147"/>
      <c r="I64" s="152"/>
      <c r="J64" s="152"/>
      <c r="K64" s="147"/>
    </row>
    <row r="65" spans="1:11">
      <c r="A65" s="152"/>
      <c r="B65" s="147"/>
      <c r="C65" s="147"/>
      <c r="D65" s="147"/>
      <c r="E65" s="147"/>
      <c r="F65" s="147"/>
      <c r="G65" s="147"/>
      <c r="H65" s="147"/>
      <c r="I65" s="152"/>
      <c r="J65" s="152"/>
      <c r="K65" s="147"/>
    </row>
    <row r="66" spans="1:11">
      <c r="A66" s="152"/>
      <c r="B66" s="147"/>
      <c r="C66" s="147"/>
      <c r="D66" s="147"/>
      <c r="E66" s="147"/>
      <c r="F66" s="147"/>
      <c r="G66" s="147"/>
      <c r="H66" s="147"/>
      <c r="I66" s="152"/>
      <c r="J66" s="152"/>
      <c r="K66" s="147"/>
    </row>
    <row r="67" spans="1:11">
      <c r="A67" s="152"/>
      <c r="B67" s="147"/>
      <c r="C67" s="147"/>
      <c r="D67" s="147"/>
      <c r="E67" s="147"/>
      <c r="F67" s="147"/>
      <c r="G67" s="147"/>
      <c r="H67" s="147"/>
      <c r="I67" s="152"/>
      <c r="J67" s="152"/>
      <c r="K67" s="147"/>
    </row>
    <row r="68" spans="1:11">
      <c r="A68" s="152"/>
      <c r="B68" s="147"/>
      <c r="C68" s="147"/>
      <c r="D68" s="147"/>
      <c r="E68" s="147"/>
      <c r="F68" s="147"/>
      <c r="G68" s="147"/>
      <c r="H68" s="147"/>
      <c r="I68" s="152"/>
      <c r="J68" s="152"/>
      <c r="K68" s="147"/>
    </row>
    <row r="69" spans="1:11">
      <c r="A69" s="152"/>
      <c r="B69" s="147"/>
      <c r="C69" s="147"/>
      <c r="D69" s="147"/>
      <c r="E69" s="147"/>
      <c r="F69" s="147"/>
      <c r="G69" s="147"/>
      <c r="H69" s="147"/>
      <c r="I69" s="152"/>
      <c r="J69" s="152"/>
      <c r="K69" s="147"/>
    </row>
    <row r="70" spans="1:11">
      <c r="A70" s="152"/>
      <c r="B70" s="147"/>
      <c r="C70" s="147"/>
      <c r="D70" s="147"/>
      <c r="E70" s="147"/>
      <c r="F70" s="147"/>
      <c r="G70" s="147"/>
      <c r="H70" s="147"/>
      <c r="I70" s="152"/>
      <c r="J70" s="152"/>
      <c r="K70" s="147"/>
    </row>
    <row r="71" spans="1:11">
      <c r="A71" s="152"/>
      <c r="B71" s="147"/>
      <c r="C71" s="147"/>
      <c r="D71" s="147"/>
      <c r="E71" s="147"/>
      <c r="F71" s="147"/>
      <c r="G71" s="147"/>
      <c r="H71" s="147"/>
      <c r="I71" s="152"/>
      <c r="J71" s="152"/>
      <c r="K71" s="147"/>
    </row>
    <row r="72" spans="1:11">
      <c r="A72" s="152"/>
      <c r="B72" s="147"/>
      <c r="C72" s="147"/>
      <c r="D72" s="147"/>
      <c r="E72" s="147"/>
      <c r="F72" s="147"/>
      <c r="G72" s="147"/>
      <c r="H72" s="147"/>
      <c r="I72" s="152"/>
      <c r="J72" s="152"/>
      <c r="K72" s="147"/>
    </row>
    <row r="73" spans="1:11">
      <c r="A73" s="152"/>
      <c r="B73" s="147"/>
      <c r="C73" s="147"/>
      <c r="D73" s="147"/>
      <c r="E73" s="147"/>
      <c r="F73" s="147"/>
      <c r="G73" s="147"/>
      <c r="H73" s="147"/>
      <c r="I73" s="152"/>
      <c r="J73" s="152"/>
      <c r="K73" s="147"/>
    </row>
    <row r="74" spans="1:11">
      <c r="A74" s="152"/>
      <c r="B74" s="147"/>
      <c r="C74" s="147"/>
      <c r="D74" s="147"/>
      <c r="E74" s="147"/>
      <c r="F74" s="147"/>
      <c r="G74" s="147"/>
      <c r="H74" s="147"/>
      <c r="I74" s="152"/>
      <c r="J74" s="152"/>
      <c r="K74" s="147"/>
    </row>
    <row r="75" spans="1:11">
      <c r="A75" s="152"/>
      <c r="B75" s="147"/>
      <c r="C75" s="147"/>
      <c r="D75" s="147"/>
      <c r="E75" s="147"/>
      <c r="F75" s="147"/>
      <c r="G75" s="147"/>
      <c r="H75" s="147"/>
      <c r="I75" s="152"/>
      <c r="J75" s="152"/>
      <c r="K75" s="147"/>
    </row>
    <row r="76" spans="1:11">
      <c r="A76" s="152"/>
      <c r="B76" s="147"/>
      <c r="C76" s="147"/>
      <c r="D76" s="147"/>
      <c r="E76" s="147"/>
      <c r="F76" s="147"/>
      <c r="G76" s="147"/>
      <c r="H76" s="147"/>
      <c r="I76" s="152"/>
      <c r="J76" s="152"/>
      <c r="K76" s="147"/>
    </row>
    <row r="77" spans="1:11">
      <c r="A77" s="152"/>
      <c r="B77" s="147"/>
      <c r="C77" s="147"/>
      <c r="D77" s="147"/>
      <c r="E77" s="147"/>
      <c r="F77" s="147"/>
      <c r="G77" s="147"/>
      <c r="H77" s="147"/>
      <c r="I77" s="152"/>
      <c r="J77" s="152"/>
      <c r="K77" s="147"/>
    </row>
    <row r="78" spans="1:11">
      <c r="A78" s="152"/>
      <c r="B78" s="147"/>
      <c r="C78" s="147"/>
      <c r="D78" s="147"/>
      <c r="E78" s="147"/>
      <c r="F78" s="147"/>
      <c r="G78" s="147"/>
      <c r="H78" s="147"/>
      <c r="I78" s="152"/>
      <c r="J78" s="152"/>
      <c r="K78" s="147"/>
    </row>
    <row r="79" spans="1:11">
      <c r="A79" s="152"/>
      <c r="B79" s="147"/>
      <c r="C79" s="147"/>
      <c r="D79" s="147"/>
      <c r="E79" s="147"/>
      <c r="F79" s="147"/>
      <c r="G79" s="147"/>
      <c r="H79" s="147"/>
      <c r="I79" s="152"/>
      <c r="J79" s="152"/>
      <c r="K79" s="147"/>
    </row>
    <row r="80" spans="1:11">
      <c r="A80" s="152"/>
      <c r="B80" s="147"/>
      <c r="C80" s="147"/>
      <c r="D80" s="147"/>
      <c r="E80" s="147"/>
      <c r="F80" s="147"/>
      <c r="G80" s="147"/>
      <c r="H80" s="147"/>
      <c r="I80" s="152"/>
      <c r="J80" s="152"/>
      <c r="K80" s="147"/>
    </row>
    <row r="81" spans="1:11">
      <c r="A81" s="152"/>
      <c r="B81" s="147"/>
      <c r="C81" s="147"/>
      <c r="D81" s="147"/>
      <c r="E81" s="147"/>
      <c r="F81" s="147"/>
      <c r="G81" s="147"/>
      <c r="H81" s="147"/>
      <c r="I81" s="152"/>
      <c r="J81" s="152"/>
      <c r="K81" s="147"/>
    </row>
    <row r="82" spans="1:11">
      <c r="A82" s="152"/>
      <c r="B82" s="147"/>
      <c r="C82" s="147"/>
      <c r="D82" s="147"/>
      <c r="E82" s="147"/>
      <c r="F82" s="147"/>
      <c r="G82" s="147"/>
      <c r="H82" s="147"/>
      <c r="I82" s="152"/>
      <c r="J82" s="152"/>
      <c r="K82" s="147"/>
    </row>
    <row r="83" spans="1:11">
      <c r="A83" s="152"/>
      <c r="B83" s="147"/>
      <c r="C83" s="147"/>
      <c r="D83" s="147"/>
      <c r="E83" s="147"/>
      <c r="F83" s="147"/>
      <c r="G83" s="147"/>
      <c r="H83" s="147"/>
      <c r="I83" s="152"/>
      <c r="J83" s="152"/>
      <c r="K83" s="147"/>
    </row>
    <row r="84" spans="1:11">
      <c r="A84" s="152"/>
      <c r="B84" s="147"/>
      <c r="C84" s="147"/>
      <c r="D84" s="147"/>
      <c r="E84" s="147"/>
      <c r="F84" s="147"/>
      <c r="G84" s="147"/>
      <c r="H84" s="147"/>
      <c r="I84" s="152"/>
      <c r="J84" s="152"/>
      <c r="K84" s="147"/>
    </row>
    <row r="85" spans="1:11">
      <c r="A85" s="152"/>
      <c r="B85" s="147"/>
      <c r="C85" s="147"/>
      <c r="D85" s="147"/>
      <c r="E85" s="147"/>
      <c r="F85" s="147"/>
      <c r="G85" s="147"/>
      <c r="H85" s="147"/>
      <c r="I85" s="152"/>
      <c r="J85" s="152"/>
      <c r="K85" s="147"/>
    </row>
    <row r="86" spans="1:11">
      <c r="A86" s="152"/>
      <c r="B86" s="147"/>
      <c r="C86" s="147"/>
      <c r="D86" s="147"/>
      <c r="E86" s="147"/>
      <c r="F86" s="147"/>
      <c r="G86" s="147"/>
      <c r="H86" s="147"/>
      <c r="I86" s="152"/>
      <c r="J86" s="152"/>
      <c r="K86" s="147"/>
    </row>
    <row r="87" spans="1:11">
      <c r="A87" s="152"/>
      <c r="B87" s="147"/>
      <c r="C87" s="147"/>
      <c r="D87" s="147"/>
      <c r="E87" s="147"/>
      <c r="F87" s="147"/>
      <c r="G87" s="147"/>
      <c r="H87" s="147"/>
      <c r="I87" s="152"/>
      <c r="J87" s="152"/>
      <c r="K87" s="147"/>
    </row>
    <row r="88" spans="1:11">
      <c r="A88" s="152"/>
      <c r="B88" s="147"/>
      <c r="C88" s="147"/>
      <c r="D88" s="147"/>
      <c r="E88" s="147"/>
      <c r="F88" s="147"/>
      <c r="G88" s="147"/>
      <c r="H88" s="147"/>
      <c r="I88" s="152"/>
      <c r="J88" s="152"/>
      <c r="K88" s="147"/>
    </row>
    <row r="89" spans="1:11">
      <c r="A89" s="152"/>
      <c r="B89" s="147"/>
      <c r="C89" s="147"/>
      <c r="D89" s="147"/>
      <c r="E89" s="147"/>
      <c r="F89" s="147"/>
      <c r="G89" s="147"/>
      <c r="H89" s="147"/>
      <c r="I89" s="152"/>
      <c r="J89" s="152"/>
      <c r="K89" s="147"/>
    </row>
    <row r="90" spans="1:11">
      <c r="A90" s="152"/>
      <c r="B90" s="147"/>
      <c r="C90" s="147"/>
      <c r="D90" s="147"/>
      <c r="E90" s="147"/>
      <c r="F90" s="147"/>
      <c r="G90" s="147"/>
      <c r="H90" s="147"/>
      <c r="I90" s="152"/>
      <c r="J90" s="152"/>
      <c r="K90" s="147"/>
    </row>
    <row r="91" spans="1:11">
      <c r="A91" s="152"/>
      <c r="I91" s="152"/>
      <c r="J91" s="152"/>
      <c r="K91" s="147"/>
    </row>
    <row r="92" spans="1:11">
      <c r="A92" s="152"/>
      <c r="I92" s="152"/>
      <c r="J92" s="152"/>
      <c r="K92" s="147"/>
    </row>
    <row r="93" spans="1:11">
      <c r="A93" s="152"/>
      <c r="I93" s="152"/>
      <c r="J93" s="152"/>
      <c r="K93" s="147"/>
    </row>
    <row r="94" spans="1:11">
      <c r="A94" s="152"/>
      <c r="I94" s="152"/>
      <c r="J94" s="152"/>
      <c r="K94" s="147"/>
    </row>
    <row r="95" spans="1:11">
      <c r="A95" s="152"/>
      <c r="I95" s="152"/>
      <c r="J95" s="152"/>
      <c r="K95" s="147"/>
    </row>
    <row r="96" spans="1:11">
      <c r="A96" s="152"/>
      <c r="I96" s="152"/>
      <c r="J96" s="152"/>
      <c r="K96" s="147"/>
    </row>
    <row r="97" spans="1:11">
      <c r="A97" s="152"/>
      <c r="I97" s="152"/>
      <c r="J97" s="152"/>
      <c r="K97" s="147"/>
    </row>
    <row r="98" spans="1:11">
      <c r="A98" s="152"/>
      <c r="I98" s="152"/>
      <c r="J98" s="152"/>
      <c r="K98" s="147"/>
    </row>
    <row r="99" spans="1:11">
      <c r="A99" s="152"/>
      <c r="I99" s="152"/>
      <c r="J99" s="152"/>
      <c r="K99" s="147"/>
    </row>
    <row r="100" spans="1:11">
      <c r="A100" s="152"/>
      <c r="I100" s="152"/>
      <c r="J100" s="152"/>
      <c r="K100" s="147"/>
    </row>
    <row r="101" spans="1:11">
      <c r="A101" s="152"/>
      <c r="I101" s="152"/>
      <c r="J101" s="152"/>
      <c r="K101" s="147"/>
    </row>
    <row r="102" spans="1:11">
      <c r="A102" s="147"/>
      <c r="I102" s="147"/>
      <c r="J102" s="147"/>
      <c r="K102" s="147"/>
    </row>
    <row r="103" spans="1:11">
      <c r="A103" s="147"/>
      <c r="I103" s="147"/>
      <c r="J103" s="147"/>
      <c r="K103" s="147"/>
    </row>
    <row r="104" spans="1:11">
      <c r="A104" s="147"/>
      <c r="I104" s="147"/>
      <c r="J104" s="147"/>
      <c r="K104" s="147"/>
    </row>
    <row r="105" spans="1:11">
      <c r="A105" s="147"/>
      <c r="I105" s="147"/>
      <c r="J105" s="147"/>
      <c r="K105" s="147"/>
    </row>
    <row r="106" spans="1:11">
      <c r="A106" s="147"/>
      <c r="I106" s="147"/>
      <c r="J106" s="147"/>
      <c r="K106" s="147"/>
    </row>
    <row r="107" spans="1:11">
      <c r="A107" s="147"/>
      <c r="I107" s="147"/>
      <c r="J107" s="147"/>
      <c r="K107" s="147"/>
    </row>
    <row r="108" spans="1:11">
      <c r="A108" s="147"/>
      <c r="I108" s="147"/>
      <c r="J108" s="147"/>
      <c r="K108" s="147"/>
    </row>
    <row r="109" spans="1:11">
      <c r="A109" s="147"/>
      <c r="I109" s="147"/>
      <c r="J109" s="147"/>
      <c r="K109" s="147"/>
    </row>
    <row r="110" spans="1:11">
      <c r="A110" s="147"/>
      <c r="I110" s="147"/>
      <c r="J110" s="147"/>
      <c r="K110" s="147"/>
    </row>
    <row r="111" spans="1:11">
      <c r="A111" s="147"/>
      <c r="I111" s="147"/>
      <c r="J111" s="147"/>
      <c r="K111" s="147"/>
    </row>
    <row r="112" spans="1:11">
      <c r="A112" s="147"/>
      <c r="I112" s="147"/>
      <c r="J112" s="147"/>
      <c r="K112" s="147"/>
    </row>
    <row r="113" spans="1:11">
      <c r="A113" s="147"/>
      <c r="I113" s="147"/>
      <c r="J113" s="147"/>
      <c r="K113" s="147"/>
    </row>
    <row r="114" spans="1:11">
      <c r="A114" s="147"/>
      <c r="I114" s="147"/>
      <c r="J114" s="147"/>
      <c r="K114" s="147"/>
    </row>
    <row r="115" spans="1:11">
      <c r="A115" s="147"/>
      <c r="I115" s="147"/>
      <c r="J115" s="147"/>
      <c r="K115" s="147"/>
    </row>
    <row r="116" spans="1:11">
      <c r="A116" s="147"/>
      <c r="I116" s="147"/>
      <c r="J116" s="147"/>
      <c r="K116" s="147"/>
    </row>
    <row r="117" spans="1:11">
      <c r="A117" s="147"/>
      <c r="I117" s="147"/>
      <c r="J117" s="147"/>
      <c r="K117" s="147"/>
    </row>
    <row r="118" spans="1:11">
      <c r="A118" s="147"/>
      <c r="I118" s="147"/>
      <c r="J118" s="147"/>
      <c r="K118" s="147"/>
    </row>
    <row r="119" spans="1:11">
      <c r="A119" s="147"/>
      <c r="I119" s="147"/>
      <c r="J119" s="147"/>
      <c r="K119" s="147"/>
    </row>
    <row r="120" spans="1:11">
      <c r="A120" s="147"/>
      <c r="I120" s="147"/>
      <c r="J120" s="147"/>
      <c r="K120" s="147"/>
    </row>
    <row r="121" spans="1:11">
      <c r="A121" s="147"/>
      <c r="I121" s="147"/>
      <c r="J121" s="147"/>
      <c r="K121" s="147"/>
    </row>
    <row r="122" spans="1:11">
      <c r="A122" s="147"/>
      <c r="I122" s="147"/>
      <c r="J122" s="147"/>
      <c r="K122" s="147"/>
    </row>
    <row r="123" spans="1:11">
      <c r="A123" s="147"/>
      <c r="I123" s="147"/>
      <c r="J123" s="147"/>
      <c r="K123" s="147"/>
    </row>
    <row r="124" spans="1:11">
      <c r="A124" s="147"/>
      <c r="I124" s="147"/>
      <c r="J124" s="147"/>
      <c r="K124" s="147"/>
    </row>
    <row r="125" spans="1:11">
      <c r="A125" s="147"/>
      <c r="I125" s="147"/>
      <c r="J125" s="147"/>
      <c r="K125" s="147"/>
    </row>
    <row r="126" spans="1:11">
      <c r="A126" s="147"/>
      <c r="I126" s="147"/>
      <c r="J126" s="147"/>
      <c r="K126" s="147"/>
    </row>
    <row r="127" spans="1:11">
      <c r="A127" s="147"/>
      <c r="I127" s="147"/>
      <c r="J127" s="147"/>
      <c r="K127" s="147"/>
    </row>
    <row r="128" spans="1:11">
      <c r="A128" s="147"/>
      <c r="I128" s="147"/>
      <c r="J128" s="147"/>
      <c r="K128" s="147"/>
    </row>
    <row r="129" spans="1:11">
      <c r="A129" s="147"/>
      <c r="I129" s="147"/>
      <c r="J129" s="147"/>
      <c r="K129" s="147"/>
    </row>
    <row r="130" spans="1:11">
      <c r="A130" s="147"/>
      <c r="I130" s="147"/>
      <c r="J130" s="147"/>
      <c r="K130" s="147"/>
    </row>
    <row r="131" spans="1:11">
      <c r="A131" s="147"/>
      <c r="I131" s="147"/>
      <c r="J131" s="147"/>
      <c r="K131" s="147"/>
    </row>
    <row r="132" spans="1:11">
      <c r="A132" s="147"/>
      <c r="I132" s="147"/>
      <c r="J132" s="147"/>
      <c r="K132" s="147"/>
    </row>
    <row r="133" spans="1:11">
      <c r="A133" s="147"/>
      <c r="I133" s="147"/>
      <c r="J133" s="147"/>
      <c r="K133" s="147"/>
    </row>
    <row r="134" spans="1:11">
      <c r="A134" s="147"/>
      <c r="I134" s="147"/>
      <c r="J134" s="147"/>
      <c r="K134" s="147"/>
    </row>
    <row r="135" spans="1:11">
      <c r="A135" s="147"/>
      <c r="I135" s="147"/>
      <c r="J135" s="147"/>
      <c r="K135" s="147"/>
    </row>
    <row r="136" spans="1:11">
      <c r="A136" s="147"/>
      <c r="I136" s="147"/>
      <c r="J136" s="147"/>
      <c r="K136" s="147"/>
    </row>
    <row r="137" spans="1:11">
      <c r="A137" s="147"/>
      <c r="I137" s="147"/>
      <c r="J137" s="147"/>
      <c r="K137" s="147"/>
    </row>
    <row r="138" spans="1:11">
      <c r="A138" s="147"/>
      <c r="I138" s="147"/>
      <c r="J138" s="147"/>
      <c r="K138" s="147"/>
    </row>
    <row r="139" spans="1:11">
      <c r="A139" s="147"/>
      <c r="I139" s="147"/>
      <c r="J139" s="147"/>
      <c r="K139" s="147"/>
    </row>
    <row r="140" spans="1:11">
      <c r="A140" s="147"/>
      <c r="I140" s="147"/>
      <c r="J140" s="147"/>
      <c r="K140" s="147"/>
    </row>
  </sheetData>
  <mergeCells count="12">
    <mergeCell ref="G1:H1"/>
    <mergeCell ref="B8:G8"/>
    <mergeCell ref="B9:G9"/>
    <mergeCell ref="B2:H3"/>
    <mergeCell ref="B5:H5"/>
    <mergeCell ref="B6:B7"/>
    <mergeCell ref="C6:C7"/>
    <mergeCell ref="D6:D7"/>
    <mergeCell ref="E6:E7"/>
    <mergeCell ref="F6:F7"/>
    <mergeCell ref="G6:G7"/>
    <mergeCell ref="H6:H7"/>
  </mergeCells>
  <pageMargins left="0.23622047244094491" right="0.23622047244094491" top="0.74803149606299213" bottom="0.74803149606299213" header="0.31496062992125984" footer="0.31496062992125984"/>
  <pageSetup paperSize="9" scale="65"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995F7-B50A-4063-BC0C-52C19D95C261}">
  <dimension ref="A1:O185"/>
  <sheetViews>
    <sheetView showZeros="0" zoomScaleNormal="100" workbookViewId="0">
      <pane ySplit="7" topLeftCell="A8" activePane="bottomLeft" state="frozen"/>
      <selection activeCell="P1" sqref="P1:Q1"/>
      <selection pane="bottomLeft" activeCell="H1" sqref="H1:I1"/>
    </sheetView>
  </sheetViews>
  <sheetFormatPr defaultRowHeight="15"/>
  <cols>
    <col min="1" max="1" width="27.7109375" style="47" customWidth="1"/>
    <col min="2" max="2" width="11.28515625" style="47" customWidth="1"/>
    <col min="3" max="3" width="11" style="47" customWidth="1"/>
    <col min="4" max="4" width="10.7109375" style="47" customWidth="1"/>
    <col min="5" max="5" width="8.140625" style="47" bestFit="1" customWidth="1"/>
    <col min="6" max="6" width="11.85546875" style="49" customWidth="1"/>
    <col min="7" max="7" width="11" style="47" customWidth="1"/>
    <col min="8" max="8" width="11.5703125" style="47" customWidth="1"/>
    <col min="9" max="9" width="12.5703125" style="201" customWidth="1"/>
    <col min="10" max="10" width="9.140625" style="47"/>
    <col min="11" max="11" width="11.85546875" style="47" bestFit="1" customWidth="1"/>
    <col min="12" max="16384" width="9.140625" style="47"/>
  </cols>
  <sheetData>
    <row r="1" spans="1:15" ht="21" customHeight="1">
      <c r="A1" s="190"/>
      <c r="B1" s="190"/>
      <c r="C1" s="190"/>
      <c r="D1" s="190"/>
      <c r="E1" s="949"/>
      <c r="F1" s="949"/>
      <c r="G1" s="949"/>
      <c r="H1" s="1147" t="s">
        <v>725</v>
      </c>
      <c r="I1" s="1147"/>
    </row>
    <row r="2" spans="1:15" s="170" customFormat="1" ht="9" customHeight="1">
      <c r="A2" s="1243"/>
      <c r="B2" s="1243"/>
      <c r="C2" s="1243"/>
      <c r="D2" s="1243"/>
      <c r="E2" s="1243"/>
      <c r="F2" s="1243"/>
      <c r="I2" s="191"/>
    </row>
    <row r="3" spans="1:15" s="170" customFormat="1" ht="47.25" customHeight="1">
      <c r="A3" s="1238" t="s">
        <v>349</v>
      </c>
      <c r="B3" s="1238"/>
      <c r="C3" s="1238"/>
      <c r="D3" s="1238"/>
      <c r="E3" s="1238"/>
      <c r="F3" s="1238"/>
      <c r="G3" s="1238"/>
      <c r="H3" s="1238"/>
      <c r="I3" s="1238"/>
    </row>
    <row r="4" spans="1:15" s="171" customFormat="1" ht="16.5" thickBot="1">
      <c r="A4" s="192"/>
      <c r="B4" s="192"/>
      <c r="C4" s="192"/>
      <c r="D4" s="192"/>
      <c r="E4" s="192"/>
      <c r="F4" s="192"/>
      <c r="I4" s="533" t="s">
        <v>489</v>
      </c>
    </row>
    <row r="5" spans="1:15" s="171" customFormat="1" ht="16.5" customHeight="1" thickBot="1">
      <c r="A5" s="1244" t="s">
        <v>0</v>
      </c>
      <c r="B5" s="1245"/>
      <c r="C5" s="1245"/>
      <c r="D5" s="1245"/>
      <c r="E5" s="1245"/>
      <c r="F5" s="1245"/>
      <c r="G5" s="1245"/>
      <c r="H5" s="1245"/>
      <c r="I5" s="522"/>
    </row>
    <row r="6" spans="1:15" s="193" customFormat="1" ht="12.75" customHeight="1">
      <c r="A6" s="1246" t="s">
        <v>151</v>
      </c>
      <c r="B6" s="1247" t="s">
        <v>152</v>
      </c>
      <c r="C6" s="1247" t="s">
        <v>153</v>
      </c>
      <c r="D6" s="1247" t="s">
        <v>154</v>
      </c>
      <c r="E6" s="1247" t="s">
        <v>322</v>
      </c>
      <c r="F6" s="1248" t="s">
        <v>155</v>
      </c>
      <c r="G6" s="1239" t="s">
        <v>350</v>
      </c>
      <c r="H6" s="1241" t="s">
        <v>323</v>
      </c>
      <c r="I6" s="1236" t="s">
        <v>681</v>
      </c>
    </row>
    <row r="7" spans="1:15" s="193" customFormat="1" ht="65.25" customHeight="1" thickBot="1">
      <c r="A7" s="1191"/>
      <c r="B7" s="1195"/>
      <c r="C7" s="1195"/>
      <c r="D7" s="1195"/>
      <c r="E7" s="1195"/>
      <c r="F7" s="1249"/>
      <c r="G7" s="1240"/>
      <c r="H7" s="1242"/>
      <c r="I7" s="1237"/>
    </row>
    <row r="8" spans="1:15" s="194" customFormat="1" ht="13.5" thickBot="1">
      <c r="A8" s="1233" t="s">
        <v>351</v>
      </c>
      <c r="B8" s="1234"/>
      <c r="C8" s="1234"/>
      <c r="D8" s="1234"/>
      <c r="E8" s="1234"/>
      <c r="F8" s="1234"/>
      <c r="G8" s="1234"/>
      <c r="H8" s="1235"/>
      <c r="I8" s="532"/>
    </row>
    <row r="9" spans="1:15">
      <c r="A9" s="1075" t="s">
        <v>352</v>
      </c>
      <c r="B9" s="1076"/>
      <c r="C9" s="1076"/>
      <c r="D9" s="1076"/>
      <c r="E9" s="1076"/>
      <c r="F9" s="1076"/>
      <c r="G9" s="1076"/>
      <c r="H9" s="1084"/>
      <c r="I9" s="534"/>
    </row>
    <row r="10" spans="1:15">
      <c r="A10" s="195" t="s">
        <v>11</v>
      </c>
      <c r="B10" s="180"/>
      <c r="C10" s="181"/>
      <c r="D10" s="181"/>
      <c r="E10" s="181"/>
      <c r="F10" s="197">
        <f>SUM(F11:F76)</f>
        <v>54275.199999999997</v>
      </c>
      <c r="G10" s="196">
        <f>SUM(G11:G76)</f>
        <v>156864.61600000001</v>
      </c>
      <c r="H10" s="520">
        <f>SUM(H11:H76)</f>
        <v>195503.29218964998</v>
      </c>
      <c r="I10" s="531"/>
      <c r="K10" s="201"/>
      <c r="L10" s="201"/>
      <c r="M10" s="201"/>
      <c r="N10" s="201"/>
      <c r="O10" s="201"/>
    </row>
    <row r="11" spans="1:15">
      <c r="A11" s="198" t="s">
        <v>25</v>
      </c>
      <c r="B11" s="284">
        <v>1</v>
      </c>
      <c r="C11" s="90">
        <v>1190</v>
      </c>
      <c r="D11" s="90"/>
      <c r="E11" s="90"/>
      <c r="F11" s="98">
        <v>1190</v>
      </c>
      <c r="G11" s="199">
        <f>+F11*B11</f>
        <v>1190</v>
      </c>
      <c r="H11" s="364">
        <f>+G11*1.2409</f>
        <v>1476.6709999999998</v>
      </c>
      <c r="I11" s="523">
        <f>ROUND((C11+D11+E11)*('29_01_H_2020'!$O$14)*B11*12*(1+'29_01_H_2020'!$O$17),2)</f>
        <v>4480.99</v>
      </c>
      <c r="K11" s="201"/>
      <c r="L11" s="201"/>
      <c r="M11" s="535"/>
      <c r="N11" s="201"/>
      <c r="O11" s="201"/>
    </row>
    <row r="12" spans="1:15">
      <c r="A12" s="198" t="s">
        <v>25</v>
      </c>
      <c r="B12" s="284">
        <v>0.5</v>
      </c>
      <c r="C12" s="90">
        <v>1187</v>
      </c>
      <c r="D12" s="90"/>
      <c r="E12" s="90">
        <v>118.7</v>
      </c>
      <c r="F12" s="98">
        <v>652.85</v>
      </c>
      <c r="G12" s="199">
        <f t="shared" ref="G12:G75" si="0">+F12*B12</f>
        <v>326.42500000000001</v>
      </c>
      <c r="H12" s="364">
        <f t="shared" ref="H12:H39" si="1">+G12*1.2409</f>
        <v>405.06078249999996</v>
      </c>
      <c r="I12" s="523">
        <f>ROUND((C12+D12+E12)*('29_01_H_2020'!$O$14)*B12*12*(1+'29_01_H_2020'!$O$17),2)</f>
        <v>2458.33</v>
      </c>
      <c r="K12" s="201"/>
      <c r="L12" s="201"/>
      <c r="M12" s="535"/>
      <c r="N12" s="201"/>
      <c r="O12" s="201"/>
    </row>
    <row r="13" spans="1:15">
      <c r="A13" s="198" t="s">
        <v>25</v>
      </c>
      <c r="B13" s="284">
        <v>0.5</v>
      </c>
      <c r="C13" s="90">
        <v>1045</v>
      </c>
      <c r="D13" s="90"/>
      <c r="E13" s="90">
        <v>104.5</v>
      </c>
      <c r="F13" s="98">
        <v>574.75</v>
      </c>
      <c r="G13" s="199">
        <f t="shared" si="0"/>
        <v>287.375</v>
      </c>
      <c r="H13" s="364">
        <f t="shared" si="1"/>
        <v>356.60363749999999</v>
      </c>
      <c r="I13" s="523">
        <f>ROUND((C13+D13+E13)*('29_01_H_2020'!$O$14)*B13*12*(1+'29_01_H_2020'!$O$17),2)</f>
        <v>2164.2399999999998</v>
      </c>
      <c r="K13" s="201"/>
      <c r="L13" s="201"/>
      <c r="M13" s="535"/>
      <c r="N13" s="201"/>
      <c r="O13" s="201"/>
    </row>
    <row r="14" spans="1:15">
      <c r="A14" s="198" t="s">
        <v>25</v>
      </c>
      <c r="B14" s="284">
        <v>9.85</v>
      </c>
      <c r="C14" s="90">
        <v>1187</v>
      </c>
      <c r="D14" s="90"/>
      <c r="E14" s="90">
        <v>118.7</v>
      </c>
      <c r="F14" s="98">
        <v>12861.15</v>
      </c>
      <c r="G14" s="199">
        <f t="shared" si="0"/>
        <v>126682.32749999998</v>
      </c>
      <c r="H14" s="364">
        <f t="shared" si="1"/>
        <v>157200.10019474998</v>
      </c>
      <c r="I14" s="523">
        <f>ROUND((C14+D14+E14)*('29_01_H_2020'!$O$14)*B14*12*(1+'29_01_H_2020'!$O$17),2)</f>
        <v>48429.16</v>
      </c>
      <c r="K14" s="201"/>
      <c r="L14" s="201"/>
      <c r="M14" s="535"/>
      <c r="N14" s="201"/>
      <c r="O14" s="201"/>
    </row>
    <row r="15" spans="1:15">
      <c r="A15" s="198" t="s">
        <v>25</v>
      </c>
      <c r="B15" s="284">
        <v>0.25</v>
      </c>
      <c r="C15" s="90">
        <v>1045</v>
      </c>
      <c r="D15" s="90"/>
      <c r="E15" s="90"/>
      <c r="F15" s="98">
        <v>261.25</v>
      </c>
      <c r="G15" s="199">
        <f t="shared" si="0"/>
        <v>65.3125</v>
      </c>
      <c r="H15" s="364">
        <f t="shared" si="1"/>
        <v>81.046281249999993</v>
      </c>
      <c r="I15" s="523">
        <f>ROUND((C15+D15+E15)*('29_01_H_2020'!$O$14)*B15*12*(1+'29_01_H_2020'!$O$17),2)</f>
        <v>983.75</v>
      </c>
      <c r="K15" s="201"/>
      <c r="L15" s="201"/>
      <c r="M15" s="535"/>
      <c r="N15" s="201"/>
      <c r="O15" s="201"/>
    </row>
    <row r="16" spans="1:15">
      <c r="A16" s="198" t="s">
        <v>25</v>
      </c>
      <c r="B16" s="284">
        <v>1</v>
      </c>
      <c r="C16" s="90">
        <v>1187</v>
      </c>
      <c r="D16" s="90"/>
      <c r="E16" s="90">
        <v>296.75</v>
      </c>
      <c r="F16" s="98">
        <v>1483.75</v>
      </c>
      <c r="G16" s="199">
        <f t="shared" si="0"/>
        <v>1483.75</v>
      </c>
      <c r="H16" s="364">
        <f t="shared" si="1"/>
        <v>1841.1853749999998</v>
      </c>
      <c r="I16" s="523">
        <f>ROUND((C16+D16+E16)*('29_01_H_2020'!$O$14)*B16*12*(1+'29_01_H_2020'!$O$17),2)</f>
        <v>5587.12</v>
      </c>
      <c r="K16" s="201"/>
      <c r="L16" s="201"/>
      <c r="M16" s="535"/>
      <c r="N16" s="201"/>
      <c r="O16" s="201"/>
    </row>
    <row r="17" spans="1:15">
      <c r="A17" s="198" t="s">
        <v>25</v>
      </c>
      <c r="B17" s="284">
        <v>0.35</v>
      </c>
      <c r="C17" s="90">
        <v>1094</v>
      </c>
      <c r="D17" s="90"/>
      <c r="E17" s="90">
        <v>109.4</v>
      </c>
      <c r="F17" s="98">
        <v>421.19</v>
      </c>
      <c r="G17" s="199">
        <f t="shared" si="0"/>
        <v>147.41649999999998</v>
      </c>
      <c r="H17" s="364">
        <f t="shared" si="1"/>
        <v>182.92913484999997</v>
      </c>
      <c r="I17" s="523">
        <f>ROUND((C17+D17+E17)*('29_01_H_2020'!$O$14)*B17*12*(1+'29_01_H_2020'!$O$17),2)</f>
        <v>1586.01</v>
      </c>
      <c r="K17" s="201"/>
      <c r="L17" s="201"/>
      <c r="M17" s="535"/>
      <c r="N17" s="201"/>
      <c r="O17" s="201"/>
    </row>
    <row r="18" spans="1:15">
      <c r="A18" s="198" t="s">
        <v>25</v>
      </c>
      <c r="B18" s="284">
        <v>1</v>
      </c>
      <c r="C18" s="90">
        <v>1187</v>
      </c>
      <c r="D18" s="90"/>
      <c r="E18" s="90">
        <v>378</v>
      </c>
      <c r="F18" s="98">
        <v>1565</v>
      </c>
      <c r="G18" s="199">
        <f t="shared" si="0"/>
        <v>1565</v>
      </c>
      <c r="H18" s="364">
        <f t="shared" si="1"/>
        <v>1942.0084999999999</v>
      </c>
      <c r="I18" s="523">
        <f>ROUND((C18+D18+E18)*('29_01_H_2020'!$O$14)*B18*12*(1+'29_01_H_2020'!$O$17),2)</f>
        <v>5893.07</v>
      </c>
      <c r="K18" s="201"/>
      <c r="L18" s="201"/>
      <c r="M18" s="535"/>
      <c r="N18" s="201"/>
      <c r="O18" s="201"/>
    </row>
    <row r="19" spans="1:15">
      <c r="A19" s="198" t="s">
        <v>25</v>
      </c>
      <c r="B19" s="284">
        <v>1</v>
      </c>
      <c r="C19" s="90">
        <v>1187</v>
      </c>
      <c r="D19" s="90"/>
      <c r="E19" s="90">
        <v>35.61</v>
      </c>
      <c r="F19" s="98">
        <v>1222.6099999999999</v>
      </c>
      <c r="G19" s="199">
        <f t="shared" si="0"/>
        <v>1222.6099999999999</v>
      </c>
      <c r="H19" s="364">
        <f t="shared" si="1"/>
        <v>1517.1367489999998</v>
      </c>
      <c r="I19" s="523">
        <f>ROUND((C19+D19+E19)*('29_01_H_2020'!$O$14)*B19*12*(1+'29_01_H_2020'!$O$17),2)</f>
        <v>4603.79</v>
      </c>
      <c r="K19" s="201"/>
      <c r="L19" s="201"/>
      <c r="M19" s="535"/>
      <c r="N19" s="201"/>
      <c r="O19" s="201"/>
    </row>
    <row r="20" spans="1:15">
      <c r="A20" s="198" t="s">
        <v>25</v>
      </c>
      <c r="B20" s="286">
        <v>0.5</v>
      </c>
      <c r="C20" s="90">
        <v>1187</v>
      </c>
      <c r="D20" s="90"/>
      <c r="E20" s="90">
        <v>178.05</v>
      </c>
      <c r="F20" s="98">
        <v>682.53</v>
      </c>
      <c r="G20" s="199">
        <f t="shared" si="0"/>
        <v>341.26499999999999</v>
      </c>
      <c r="H20" s="364">
        <f t="shared" si="1"/>
        <v>423.47573849999992</v>
      </c>
      <c r="I20" s="523">
        <f>ROUND((C20+D20+E20)*('29_01_H_2020'!$O$14)*B20*12*(1+'29_01_H_2020'!$O$17),2)</f>
        <v>2570.08</v>
      </c>
      <c r="K20" s="201"/>
      <c r="L20" s="201"/>
      <c r="M20" s="535"/>
      <c r="N20" s="201"/>
      <c r="O20" s="201"/>
    </row>
    <row r="21" spans="1:15">
      <c r="A21" s="198" t="s">
        <v>25</v>
      </c>
      <c r="B21" s="284">
        <v>0.25</v>
      </c>
      <c r="C21" s="90">
        <v>800</v>
      </c>
      <c r="D21" s="90"/>
      <c r="E21" s="90"/>
      <c r="F21" s="98">
        <v>200</v>
      </c>
      <c r="G21" s="199">
        <f t="shared" si="0"/>
        <v>50</v>
      </c>
      <c r="H21" s="364">
        <f t="shared" si="1"/>
        <v>62.044999999999995</v>
      </c>
      <c r="I21" s="523">
        <f>ROUND((C21+D21+E21)*('29_01_H_2020'!$O$14)*B21*12*(1+'29_01_H_2020'!$O$17),2)</f>
        <v>753.11</v>
      </c>
      <c r="K21" s="201"/>
      <c r="L21" s="201"/>
      <c r="M21" s="535"/>
      <c r="N21" s="201"/>
      <c r="O21" s="201"/>
    </row>
    <row r="22" spans="1:15">
      <c r="A22" s="198" t="s">
        <v>25</v>
      </c>
      <c r="B22" s="284">
        <v>0.5</v>
      </c>
      <c r="C22" s="90">
        <v>879</v>
      </c>
      <c r="D22" s="90"/>
      <c r="E22" s="90">
        <v>87.9</v>
      </c>
      <c r="F22" s="98">
        <v>483.45</v>
      </c>
      <c r="G22" s="199">
        <f t="shared" si="0"/>
        <v>241.72499999999999</v>
      </c>
      <c r="H22" s="364">
        <f t="shared" si="1"/>
        <v>299.95655249999999</v>
      </c>
      <c r="I22" s="523">
        <f>ROUND((C22+D22+E22)*('29_01_H_2020'!$O$14)*B22*12*(1+'29_01_H_2020'!$O$17),2)</f>
        <v>1820.45</v>
      </c>
      <c r="K22" s="201"/>
      <c r="L22" s="201"/>
      <c r="M22" s="535"/>
      <c r="N22" s="201"/>
      <c r="O22" s="201"/>
    </row>
    <row r="23" spans="1:15">
      <c r="A23" s="198" t="s">
        <v>25</v>
      </c>
      <c r="B23" s="284">
        <v>1</v>
      </c>
      <c r="C23" s="90">
        <v>894.95</v>
      </c>
      <c r="D23" s="90"/>
      <c r="E23" s="90"/>
      <c r="F23" s="98">
        <v>894.95</v>
      </c>
      <c r="G23" s="199">
        <f t="shared" si="0"/>
        <v>894.95</v>
      </c>
      <c r="H23" s="364">
        <f t="shared" si="1"/>
        <v>1110.543455</v>
      </c>
      <c r="I23" s="523">
        <f>ROUND((C23+D23+E23)*('29_01_H_2020'!$O$14)*B23*12*(1+'29_01_H_2020'!$O$17),2)</f>
        <v>3369.97</v>
      </c>
      <c r="K23" s="201"/>
      <c r="L23" s="201"/>
      <c r="M23" s="535"/>
      <c r="N23" s="201"/>
      <c r="O23" s="201"/>
    </row>
    <row r="24" spans="1:15">
      <c r="A24" s="198" t="s">
        <v>25</v>
      </c>
      <c r="B24" s="284">
        <v>0.5</v>
      </c>
      <c r="C24" s="90">
        <v>1187</v>
      </c>
      <c r="D24" s="90"/>
      <c r="E24" s="90"/>
      <c r="F24" s="98">
        <v>593.5</v>
      </c>
      <c r="G24" s="199">
        <f t="shared" si="0"/>
        <v>296.75</v>
      </c>
      <c r="H24" s="364">
        <f t="shared" si="1"/>
        <v>368.23707499999995</v>
      </c>
      <c r="I24" s="523">
        <f>ROUND((C24+D24+E24)*('29_01_H_2020'!$O$14)*B24*12*(1+'29_01_H_2020'!$O$17),2)</f>
        <v>2234.85</v>
      </c>
      <c r="K24" s="201"/>
      <c r="L24" s="201"/>
      <c r="M24" s="535"/>
      <c r="N24" s="201"/>
      <c r="O24" s="201"/>
    </row>
    <row r="25" spans="1:15">
      <c r="A25" s="198" t="s">
        <v>25</v>
      </c>
      <c r="B25" s="284">
        <v>1</v>
      </c>
      <c r="C25" s="90">
        <v>966.68</v>
      </c>
      <c r="D25" s="90"/>
      <c r="E25" s="90">
        <v>80.180000000000007</v>
      </c>
      <c r="F25" s="98">
        <v>1046.8599999999999</v>
      </c>
      <c r="G25" s="199">
        <f t="shared" si="0"/>
        <v>1046.8599999999999</v>
      </c>
      <c r="H25" s="364">
        <f t="shared" si="1"/>
        <v>1299.0485739999997</v>
      </c>
      <c r="I25" s="523">
        <f>ROUND((C25+D25+E25)*('29_01_H_2020'!$O$14)*B25*12*(1+'29_01_H_2020'!$O$17),2)</f>
        <v>3941.99</v>
      </c>
      <c r="K25" s="201"/>
      <c r="L25" s="201"/>
      <c r="M25" s="535"/>
      <c r="N25" s="201"/>
      <c r="O25" s="201"/>
    </row>
    <row r="26" spans="1:15">
      <c r="A26" s="198" t="s">
        <v>25</v>
      </c>
      <c r="B26" s="284">
        <v>0.5</v>
      </c>
      <c r="C26" s="90">
        <v>1187</v>
      </c>
      <c r="D26" s="90"/>
      <c r="E26" s="90"/>
      <c r="F26" s="98">
        <v>593.5</v>
      </c>
      <c r="G26" s="199">
        <f t="shared" si="0"/>
        <v>296.75</v>
      </c>
      <c r="H26" s="364">
        <f t="shared" si="1"/>
        <v>368.23707499999995</v>
      </c>
      <c r="I26" s="523">
        <f>ROUND((C26+D26+E26)*('29_01_H_2020'!$O$14)*B26*12*(1+'29_01_H_2020'!$O$17),2)</f>
        <v>2234.85</v>
      </c>
      <c r="K26" s="201"/>
      <c r="L26" s="201"/>
      <c r="M26" s="535"/>
      <c r="N26" s="201"/>
      <c r="O26" s="201"/>
    </row>
    <row r="27" spans="1:15">
      <c r="A27" s="198" t="s">
        <v>25</v>
      </c>
      <c r="B27" s="284">
        <v>0.25</v>
      </c>
      <c r="C27" s="90">
        <v>1187</v>
      </c>
      <c r="D27" s="90"/>
      <c r="E27" s="90">
        <v>35.61</v>
      </c>
      <c r="F27" s="98">
        <v>305.64999999999998</v>
      </c>
      <c r="G27" s="199">
        <f t="shared" si="0"/>
        <v>76.412499999999994</v>
      </c>
      <c r="H27" s="364">
        <f t="shared" si="1"/>
        <v>94.82027124999999</v>
      </c>
      <c r="I27" s="523">
        <f>ROUND((C27+D27+E27)*('29_01_H_2020'!$O$14)*B27*12*(1+'29_01_H_2020'!$O$17),2)</f>
        <v>1150.95</v>
      </c>
      <c r="K27" s="201"/>
      <c r="L27" s="201"/>
      <c r="M27" s="535"/>
      <c r="N27" s="201"/>
      <c r="O27" s="201"/>
    </row>
    <row r="28" spans="1:15">
      <c r="A28" s="198" t="s">
        <v>25</v>
      </c>
      <c r="B28" s="284">
        <v>0.25</v>
      </c>
      <c r="C28" s="90">
        <v>1187</v>
      </c>
      <c r="D28" s="90"/>
      <c r="E28" s="90">
        <v>11.87</v>
      </c>
      <c r="F28" s="98">
        <v>299.72000000000003</v>
      </c>
      <c r="G28" s="199">
        <f t="shared" si="0"/>
        <v>74.930000000000007</v>
      </c>
      <c r="H28" s="364">
        <f t="shared" si="1"/>
        <v>92.980637000000002</v>
      </c>
      <c r="I28" s="523">
        <f>ROUND((C28+D28+E28)*('29_01_H_2020'!$O$14)*B28*12*(1+'29_01_H_2020'!$O$17),2)</f>
        <v>1128.5999999999999</v>
      </c>
      <c r="K28" s="201"/>
      <c r="L28" s="201"/>
      <c r="M28" s="535"/>
      <c r="N28" s="201"/>
      <c r="O28" s="201"/>
    </row>
    <row r="29" spans="1:15">
      <c r="A29" s="198" t="s">
        <v>25</v>
      </c>
      <c r="B29" s="284">
        <v>0.5</v>
      </c>
      <c r="C29" s="90">
        <v>1240</v>
      </c>
      <c r="D29" s="90"/>
      <c r="E29" s="90"/>
      <c r="F29" s="98">
        <v>620</v>
      </c>
      <c r="G29" s="199">
        <f t="shared" si="0"/>
        <v>310</v>
      </c>
      <c r="H29" s="364">
        <f t="shared" si="1"/>
        <v>384.67899999999997</v>
      </c>
      <c r="I29" s="523">
        <f>ROUND((C29+D29+E29)*('29_01_H_2020'!$O$14)*B29*12*(1+'29_01_H_2020'!$O$17),2)</f>
        <v>2334.63</v>
      </c>
      <c r="K29" s="201"/>
      <c r="L29" s="201"/>
      <c r="M29" s="535"/>
      <c r="N29" s="201"/>
      <c r="O29" s="201"/>
    </row>
    <row r="30" spans="1:15">
      <c r="A30" s="198" t="s">
        <v>25</v>
      </c>
      <c r="B30" s="284">
        <v>0.9</v>
      </c>
      <c r="C30" s="90">
        <v>691</v>
      </c>
      <c r="D30" s="90"/>
      <c r="E30" s="90"/>
      <c r="F30" s="98">
        <v>621.9</v>
      </c>
      <c r="G30" s="199">
        <f t="shared" si="0"/>
        <v>559.71</v>
      </c>
      <c r="H30" s="364">
        <f t="shared" si="1"/>
        <v>694.54413899999997</v>
      </c>
      <c r="I30" s="523">
        <f>ROUND((C30+D30+E30)*('29_01_H_2020'!$O$14)*B30*12*(1+'29_01_H_2020'!$O$17),2)</f>
        <v>2341.79</v>
      </c>
      <c r="K30" s="201"/>
      <c r="L30" s="201"/>
      <c r="M30" s="535"/>
      <c r="N30" s="201"/>
      <c r="O30" s="201"/>
    </row>
    <row r="31" spans="1:15">
      <c r="A31" s="198" t="s">
        <v>25</v>
      </c>
      <c r="B31" s="284">
        <v>0.5</v>
      </c>
      <c r="C31" s="90">
        <v>1045</v>
      </c>
      <c r="D31" s="90"/>
      <c r="E31" s="90">
        <v>261.25</v>
      </c>
      <c r="F31" s="98">
        <v>653.13</v>
      </c>
      <c r="G31" s="199">
        <f t="shared" si="0"/>
        <v>326.565</v>
      </c>
      <c r="H31" s="364">
        <f t="shared" si="1"/>
        <v>405.23450849999995</v>
      </c>
      <c r="I31" s="523">
        <f>ROUND((C31+D31+E31)*('29_01_H_2020'!$O$14)*B31*12*(1+'29_01_H_2020'!$O$17),2)</f>
        <v>2459.37</v>
      </c>
      <c r="K31" s="201"/>
      <c r="L31" s="201"/>
      <c r="M31" s="535"/>
      <c r="N31" s="201"/>
      <c r="O31" s="201"/>
    </row>
    <row r="32" spans="1:15">
      <c r="A32" s="198" t="s">
        <v>25</v>
      </c>
      <c r="B32" s="284">
        <v>0.55000000000000004</v>
      </c>
      <c r="C32" s="90">
        <v>1187</v>
      </c>
      <c r="D32" s="90"/>
      <c r="E32" s="90">
        <v>118.7</v>
      </c>
      <c r="F32" s="98">
        <v>718.14</v>
      </c>
      <c r="G32" s="199">
        <f t="shared" si="0"/>
        <v>394.97700000000003</v>
      </c>
      <c r="H32" s="364">
        <f t="shared" si="1"/>
        <v>490.12695930000001</v>
      </c>
      <c r="I32" s="523">
        <f>ROUND((C32+D32+E32)*('29_01_H_2020'!$O$14)*B32*12*(1+'29_01_H_2020'!$O$17),2)</f>
        <v>2704.17</v>
      </c>
      <c r="K32" s="201"/>
      <c r="L32" s="201"/>
      <c r="M32" s="535"/>
      <c r="N32" s="201"/>
      <c r="O32" s="201"/>
    </row>
    <row r="33" spans="1:15">
      <c r="A33" s="198" t="s">
        <v>263</v>
      </c>
      <c r="B33" s="284">
        <v>0.5</v>
      </c>
      <c r="C33" s="90">
        <v>1187</v>
      </c>
      <c r="D33" s="90"/>
      <c r="E33" s="90">
        <v>118.7</v>
      </c>
      <c r="F33" s="98">
        <v>652.85</v>
      </c>
      <c r="G33" s="199">
        <f t="shared" si="0"/>
        <v>326.42500000000001</v>
      </c>
      <c r="H33" s="364">
        <f t="shared" si="1"/>
        <v>405.06078249999996</v>
      </c>
      <c r="I33" s="523">
        <f>ROUND((C33+D33+E33)*('29_01_H_2020'!$O$14)*B33*12*(1+'29_01_H_2020'!$O$17),2)</f>
        <v>2458.33</v>
      </c>
      <c r="K33" s="201"/>
      <c r="L33" s="201"/>
      <c r="M33" s="535"/>
      <c r="N33" s="201"/>
      <c r="O33" s="201"/>
    </row>
    <row r="34" spans="1:15">
      <c r="A34" s="198" t="s">
        <v>263</v>
      </c>
      <c r="B34" s="284">
        <v>0.2</v>
      </c>
      <c r="C34" s="90">
        <v>1425</v>
      </c>
      <c r="D34" s="90"/>
      <c r="E34" s="90"/>
      <c r="F34" s="98">
        <v>285</v>
      </c>
      <c r="G34" s="199">
        <f t="shared" si="0"/>
        <v>57</v>
      </c>
      <c r="H34" s="364">
        <f t="shared" si="1"/>
        <v>70.73129999999999</v>
      </c>
      <c r="I34" s="523">
        <f>ROUND((C34+D34+E34)*('29_01_H_2020'!$O$14)*B34*12*(1+'29_01_H_2020'!$O$17),2)</f>
        <v>1073.18</v>
      </c>
      <c r="K34" s="201"/>
      <c r="L34" s="201"/>
      <c r="M34" s="535"/>
      <c r="N34" s="201"/>
      <c r="O34" s="201"/>
    </row>
    <row r="35" spans="1:15">
      <c r="A35" s="198" t="s">
        <v>263</v>
      </c>
      <c r="B35" s="284">
        <v>0.25</v>
      </c>
      <c r="C35" s="90">
        <v>1187</v>
      </c>
      <c r="D35" s="90"/>
      <c r="E35" s="90">
        <v>261.14</v>
      </c>
      <c r="F35" s="98">
        <v>362.04</v>
      </c>
      <c r="G35" s="199">
        <f t="shared" si="0"/>
        <v>90.51</v>
      </c>
      <c r="H35" s="364">
        <f t="shared" si="1"/>
        <v>112.31385899999999</v>
      </c>
      <c r="I35" s="523">
        <f>ROUND((C35+D35+E35)*('29_01_H_2020'!$O$14)*B35*12*(1+'29_01_H_2020'!$O$17),2)</f>
        <v>1363.26</v>
      </c>
      <c r="K35" s="201"/>
      <c r="L35" s="201"/>
      <c r="M35" s="535"/>
      <c r="N35" s="201"/>
      <c r="O35" s="201"/>
    </row>
    <row r="36" spans="1:15">
      <c r="A36" s="198" t="s">
        <v>263</v>
      </c>
      <c r="B36" s="284">
        <v>0.4</v>
      </c>
      <c r="C36" s="90">
        <v>950</v>
      </c>
      <c r="D36" s="90"/>
      <c r="E36" s="90">
        <v>95</v>
      </c>
      <c r="F36" s="98">
        <v>418</v>
      </c>
      <c r="G36" s="199">
        <f t="shared" si="0"/>
        <v>167.20000000000002</v>
      </c>
      <c r="H36" s="364">
        <f t="shared" si="1"/>
        <v>207.47847999999999</v>
      </c>
      <c r="I36" s="523">
        <f>ROUND((C36+D36+E36)*('29_01_H_2020'!$O$14)*B36*12*(1+'29_01_H_2020'!$O$17),2)</f>
        <v>1574</v>
      </c>
      <c r="K36" s="201"/>
      <c r="L36" s="201"/>
      <c r="M36" s="535"/>
      <c r="N36" s="201"/>
      <c r="O36" s="201"/>
    </row>
    <row r="37" spans="1:15">
      <c r="A37" s="198" t="s">
        <v>263</v>
      </c>
      <c r="B37" s="284">
        <v>0.2</v>
      </c>
      <c r="C37" s="90">
        <v>1187</v>
      </c>
      <c r="D37" s="90"/>
      <c r="E37" s="90">
        <v>220</v>
      </c>
      <c r="F37" s="98">
        <v>281.39999999999998</v>
      </c>
      <c r="G37" s="199">
        <f t="shared" si="0"/>
        <v>56.28</v>
      </c>
      <c r="H37" s="364">
        <f t="shared" si="1"/>
        <v>69.837851999999998</v>
      </c>
      <c r="I37" s="523">
        <f>ROUND((C37+D37+E37)*('29_01_H_2020'!$O$14)*B37*12*(1+'29_01_H_2020'!$O$17),2)</f>
        <v>1059.6199999999999</v>
      </c>
      <c r="K37" s="201"/>
      <c r="L37" s="201"/>
      <c r="M37" s="535"/>
      <c r="N37" s="201"/>
      <c r="O37" s="201"/>
    </row>
    <row r="38" spans="1:15">
      <c r="A38" s="198" t="s">
        <v>263</v>
      </c>
      <c r="B38" s="284">
        <v>1</v>
      </c>
      <c r="C38" s="90">
        <v>1187</v>
      </c>
      <c r="D38" s="90"/>
      <c r="E38" s="90">
        <v>154.31</v>
      </c>
      <c r="F38" s="98">
        <v>1341.31</v>
      </c>
      <c r="G38" s="199">
        <f t="shared" si="0"/>
        <v>1341.31</v>
      </c>
      <c r="H38" s="364">
        <f t="shared" si="1"/>
        <v>1664.4315789999998</v>
      </c>
      <c r="I38" s="523">
        <f>ROUND((C38+D38+E38)*('29_01_H_2020'!$O$14)*B38*12*(1+'29_01_H_2020'!$O$17),2)</f>
        <v>5050.76</v>
      </c>
      <c r="K38" s="201"/>
      <c r="L38" s="201"/>
      <c r="M38" s="535"/>
      <c r="N38" s="201"/>
      <c r="O38" s="201"/>
    </row>
    <row r="39" spans="1:15">
      <c r="A39" s="198" t="s">
        <v>263</v>
      </c>
      <c r="B39" s="284">
        <v>0.75</v>
      </c>
      <c r="C39" s="90">
        <v>1187</v>
      </c>
      <c r="D39" s="90"/>
      <c r="E39" s="90">
        <v>154.31</v>
      </c>
      <c r="F39" s="98">
        <v>1005.98</v>
      </c>
      <c r="G39" s="199">
        <f t="shared" si="0"/>
        <v>754.48500000000001</v>
      </c>
      <c r="H39" s="364">
        <f t="shared" si="1"/>
        <v>936.24043649999999</v>
      </c>
      <c r="I39" s="523">
        <f>ROUND((C39+D39+E39)*('29_01_H_2020'!$O$14)*B39*12*(1+'29_01_H_2020'!$O$17),2)</f>
        <v>3788.07</v>
      </c>
      <c r="K39" s="201"/>
      <c r="L39" s="201"/>
      <c r="M39" s="535"/>
      <c r="N39" s="201"/>
      <c r="O39" s="201"/>
    </row>
    <row r="40" spans="1:15">
      <c r="A40" s="198" t="s">
        <v>250</v>
      </c>
      <c r="B40" s="284">
        <v>1</v>
      </c>
      <c r="C40" s="90">
        <v>850</v>
      </c>
      <c r="D40" s="90"/>
      <c r="E40" s="90">
        <v>85</v>
      </c>
      <c r="F40" s="98">
        <v>935</v>
      </c>
      <c r="G40" s="199">
        <f t="shared" si="0"/>
        <v>935</v>
      </c>
      <c r="H40" s="364">
        <v>810.05</v>
      </c>
      <c r="I40" s="523">
        <f>ROUND((C40+D40+E40)*('29_01_H_2020'!$O$14)*B40*12*(1+'29_01_H_2020'!$O$17),2)</f>
        <v>3520.78</v>
      </c>
      <c r="K40" s="201"/>
      <c r="L40" s="201"/>
      <c r="M40" s="535"/>
      <c r="N40" s="201"/>
      <c r="O40" s="201"/>
    </row>
    <row r="41" spans="1:15" s="201" customFormat="1">
      <c r="A41" s="188" t="s">
        <v>250</v>
      </c>
      <c r="B41" s="285">
        <v>1</v>
      </c>
      <c r="C41" s="115">
        <v>1045</v>
      </c>
      <c r="D41" s="115"/>
      <c r="E41" s="115">
        <v>104.5</v>
      </c>
      <c r="F41" s="116">
        <v>1149.5</v>
      </c>
      <c r="G41" s="200">
        <f t="shared" si="0"/>
        <v>1149.5</v>
      </c>
      <c r="H41" s="364">
        <f>+G41*1.2409</f>
        <v>1426.41455</v>
      </c>
      <c r="I41" s="523">
        <f>ROUND((C41+D41+E41)*('29_01_H_2020'!$O$14)*B41*12*(1+'29_01_H_2020'!$O$17),2)</f>
        <v>4328.49</v>
      </c>
      <c r="M41" s="535"/>
    </row>
    <row r="42" spans="1:15" s="201" customFormat="1">
      <c r="A42" s="188" t="s">
        <v>250</v>
      </c>
      <c r="B42" s="285">
        <v>0.5</v>
      </c>
      <c r="C42" s="115">
        <v>1187</v>
      </c>
      <c r="D42" s="115"/>
      <c r="E42" s="115">
        <v>118.7</v>
      </c>
      <c r="F42" s="116">
        <v>652.85</v>
      </c>
      <c r="G42" s="200">
        <f t="shared" si="0"/>
        <v>326.42500000000001</v>
      </c>
      <c r="H42" s="364">
        <f>+G42*1.2409</f>
        <v>405.06078249999996</v>
      </c>
      <c r="I42" s="523">
        <f>ROUND((C42+D42+E42)*('29_01_H_2020'!$O$14)*B42*12*(1+'29_01_H_2020'!$O$17),2)</f>
        <v>2458.33</v>
      </c>
      <c r="M42" s="535"/>
    </row>
    <row r="43" spans="1:15" s="201" customFormat="1">
      <c r="A43" s="188" t="s">
        <v>250</v>
      </c>
      <c r="B43" s="285">
        <v>0.25</v>
      </c>
      <c r="C43" s="115">
        <v>785</v>
      </c>
      <c r="D43" s="115"/>
      <c r="E43" s="115"/>
      <c r="F43" s="116">
        <v>196.25</v>
      </c>
      <c r="G43" s="200">
        <f t="shared" si="0"/>
        <v>49.0625</v>
      </c>
      <c r="H43" s="364">
        <f>+G43*1.2409</f>
        <v>60.881656249999992</v>
      </c>
      <c r="I43" s="523">
        <f>ROUND((C43+D43+E43)*('29_01_H_2020'!$O$14)*B43*12*(1+'29_01_H_2020'!$O$17),2)</f>
        <v>738.99</v>
      </c>
      <c r="M43" s="535"/>
    </row>
    <row r="44" spans="1:15" s="201" customFormat="1">
      <c r="A44" s="188" t="s">
        <v>250</v>
      </c>
      <c r="B44" s="285">
        <v>1</v>
      </c>
      <c r="C44" s="115">
        <v>785</v>
      </c>
      <c r="D44" s="115"/>
      <c r="E44" s="115">
        <v>125.6</v>
      </c>
      <c r="F44" s="116">
        <v>910.6</v>
      </c>
      <c r="G44" s="200">
        <f t="shared" si="0"/>
        <v>910.6</v>
      </c>
      <c r="H44" s="364">
        <v>408.37</v>
      </c>
      <c r="I44" s="523">
        <f>ROUND((C44+D44+E44)*('29_01_H_2020'!$O$14)*B44*12*(1+'29_01_H_2020'!$O$17),2)</f>
        <v>3428.9</v>
      </c>
      <c r="M44" s="535"/>
    </row>
    <row r="45" spans="1:15" s="201" customFormat="1">
      <c r="A45" s="188" t="s">
        <v>250</v>
      </c>
      <c r="B45" s="285">
        <v>0.4</v>
      </c>
      <c r="C45" s="115">
        <v>1012</v>
      </c>
      <c r="D45" s="115"/>
      <c r="E45" s="115"/>
      <c r="F45" s="116">
        <v>404.8</v>
      </c>
      <c r="G45" s="200">
        <f t="shared" si="0"/>
        <v>161.92000000000002</v>
      </c>
      <c r="H45" s="364">
        <f t="shared" ref="H45:H55" si="2">+G45*1.2409</f>
        <v>200.92652799999999</v>
      </c>
      <c r="I45" s="523">
        <f>ROUND((C45+D45+E45)*('29_01_H_2020'!$O$14)*B45*12*(1+'29_01_H_2020'!$O$17),2)</f>
        <v>1524.29</v>
      </c>
      <c r="M45" s="535"/>
    </row>
    <row r="46" spans="1:15" s="201" customFormat="1">
      <c r="A46" s="188" t="s">
        <v>250</v>
      </c>
      <c r="B46" s="285">
        <v>1.5</v>
      </c>
      <c r="C46" s="115">
        <v>1045</v>
      </c>
      <c r="D46" s="115"/>
      <c r="E46" s="115">
        <v>31.35</v>
      </c>
      <c r="F46" s="116">
        <v>1614.53</v>
      </c>
      <c r="G46" s="200">
        <f t="shared" si="0"/>
        <v>2421.7950000000001</v>
      </c>
      <c r="H46" s="364">
        <f t="shared" si="2"/>
        <v>3005.2054154999996</v>
      </c>
      <c r="I46" s="523">
        <f>ROUND((C46+D46+E46)*('29_01_H_2020'!$O$14)*B46*12*(1+'29_01_H_2020'!$O$17),2)</f>
        <v>6079.56</v>
      </c>
      <c r="M46" s="535"/>
    </row>
    <row r="47" spans="1:15" s="201" customFormat="1">
      <c r="A47" s="188" t="s">
        <v>250</v>
      </c>
      <c r="B47" s="285">
        <v>0.75</v>
      </c>
      <c r="C47" s="115">
        <v>1045</v>
      </c>
      <c r="D47" s="115"/>
      <c r="E47" s="115">
        <v>135.85</v>
      </c>
      <c r="F47" s="116">
        <v>885.64</v>
      </c>
      <c r="G47" s="200">
        <f t="shared" si="0"/>
        <v>664.23</v>
      </c>
      <c r="H47" s="364">
        <f t="shared" si="2"/>
        <v>824.24300699999992</v>
      </c>
      <c r="I47" s="523">
        <f>ROUND((C47+D47+E47)*('29_01_H_2020'!$O$14)*B47*12*(1+'29_01_H_2020'!$O$17),2)</f>
        <v>3334.9</v>
      </c>
      <c r="M47" s="535"/>
    </row>
    <row r="48" spans="1:15" s="201" customFormat="1">
      <c r="A48" s="188" t="s">
        <v>250</v>
      </c>
      <c r="B48" s="285">
        <v>0.75</v>
      </c>
      <c r="C48" s="115">
        <v>1045</v>
      </c>
      <c r="D48" s="115"/>
      <c r="E48" s="115">
        <v>104.5</v>
      </c>
      <c r="F48" s="116">
        <v>862.13</v>
      </c>
      <c r="G48" s="200">
        <f t="shared" si="0"/>
        <v>646.59749999999997</v>
      </c>
      <c r="H48" s="364">
        <f t="shared" si="2"/>
        <v>802.36283774999993</v>
      </c>
      <c r="I48" s="523">
        <f>ROUND((C48+D48+E48)*('29_01_H_2020'!$O$14)*B48*12*(1+'29_01_H_2020'!$O$17),2)</f>
        <v>3246.37</v>
      </c>
      <c r="M48" s="535"/>
    </row>
    <row r="49" spans="1:13" s="201" customFormat="1">
      <c r="A49" s="188" t="s">
        <v>250</v>
      </c>
      <c r="B49" s="285">
        <v>0.5</v>
      </c>
      <c r="C49" s="115">
        <v>785</v>
      </c>
      <c r="D49" s="115"/>
      <c r="E49" s="115">
        <v>15.7</v>
      </c>
      <c r="F49" s="116">
        <v>400.35</v>
      </c>
      <c r="G49" s="200">
        <f t="shared" si="0"/>
        <v>200.17500000000001</v>
      </c>
      <c r="H49" s="364">
        <f t="shared" si="2"/>
        <v>248.39715749999999</v>
      </c>
      <c r="I49" s="523">
        <f>ROUND((C49+D49+E49)*('29_01_H_2020'!$O$14)*B49*12*(1+'29_01_H_2020'!$O$17),2)</f>
        <v>1507.53</v>
      </c>
      <c r="M49" s="535"/>
    </row>
    <row r="50" spans="1:13" s="201" customFormat="1">
      <c r="A50" s="188" t="s">
        <v>250</v>
      </c>
      <c r="B50" s="285">
        <v>0.4</v>
      </c>
      <c r="C50" s="115">
        <v>714</v>
      </c>
      <c r="D50" s="115"/>
      <c r="E50" s="115">
        <v>71</v>
      </c>
      <c r="F50" s="116">
        <v>314</v>
      </c>
      <c r="G50" s="200">
        <f t="shared" si="0"/>
        <v>125.60000000000001</v>
      </c>
      <c r="H50" s="364">
        <f t="shared" si="2"/>
        <v>155.85703999999998</v>
      </c>
      <c r="I50" s="523">
        <f>ROUND((C50+D50+E50)*('29_01_H_2020'!$O$14)*B50*12*(1+'29_01_H_2020'!$O$17),2)</f>
        <v>1182.3800000000001</v>
      </c>
      <c r="M50" s="535"/>
    </row>
    <row r="51" spans="1:13" s="201" customFormat="1">
      <c r="A51" s="188" t="s">
        <v>250</v>
      </c>
      <c r="B51" s="285">
        <v>0.2</v>
      </c>
      <c r="C51" s="115">
        <v>1045</v>
      </c>
      <c r="D51" s="115"/>
      <c r="E51" s="115">
        <v>10.45</v>
      </c>
      <c r="F51" s="116">
        <v>211.09</v>
      </c>
      <c r="G51" s="200">
        <f t="shared" si="0"/>
        <v>42.218000000000004</v>
      </c>
      <c r="H51" s="364">
        <f t="shared" si="2"/>
        <v>52.388316199999998</v>
      </c>
      <c r="I51" s="523">
        <f>ROUND((C51+D51+E51)*('29_01_H_2020'!$O$14)*B51*12*(1+'29_01_H_2020'!$O$17),2)</f>
        <v>794.87</v>
      </c>
      <c r="M51" s="535"/>
    </row>
    <row r="52" spans="1:13" s="201" customFormat="1">
      <c r="A52" s="188" t="s">
        <v>250</v>
      </c>
      <c r="B52" s="285">
        <v>0.1</v>
      </c>
      <c r="C52" s="115">
        <v>785</v>
      </c>
      <c r="D52" s="115"/>
      <c r="E52" s="115">
        <v>70.650000000000006</v>
      </c>
      <c r="F52" s="116">
        <v>85.57</v>
      </c>
      <c r="G52" s="200">
        <f t="shared" si="0"/>
        <v>8.5570000000000004</v>
      </c>
      <c r="H52" s="364">
        <f t="shared" si="2"/>
        <v>10.618381299999999</v>
      </c>
      <c r="I52" s="523">
        <f>ROUND((C52+D52+E52)*('29_01_H_2020'!$O$14)*B52*12*(1+'29_01_H_2020'!$O$17),2)</f>
        <v>322.2</v>
      </c>
      <c r="M52" s="535"/>
    </row>
    <row r="53" spans="1:13" s="201" customFormat="1">
      <c r="A53" s="188" t="s">
        <v>250</v>
      </c>
      <c r="B53" s="285">
        <v>1</v>
      </c>
      <c r="C53" s="115">
        <v>900</v>
      </c>
      <c r="D53" s="115"/>
      <c r="E53" s="115">
        <v>20</v>
      </c>
      <c r="F53" s="116">
        <v>920</v>
      </c>
      <c r="G53" s="200">
        <f t="shared" si="0"/>
        <v>920</v>
      </c>
      <c r="H53" s="364">
        <f t="shared" si="2"/>
        <v>1141.6279999999999</v>
      </c>
      <c r="I53" s="523">
        <f>ROUND((C53+D53+E53)*('29_01_H_2020'!$O$14)*B53*12*(1+'29_01_H_2020'!$O$17),2)</f>
        <v>3464.3</v>
      </c>
      <c r="M53" s="535"/>
    </row>
    <row r="54" spans="1:13" s="201" customFormat="1">
      <c r="A54" s="188" t="s">
        <v>250</v>
      </c>
      <c r="B54" s="285">
        <v>0.6</v>
      </c>
      <c r="C54" s="115">
        <v>870</v>
      </c>
      <c r="D54" s="115"/>
      <c r="E54" s="115"/>
      <c r="F54" s="116">
        <v>522</v>
      </c>
      <c r="G54" s="200">
        <f t="shared" si="0"/>
        <v>313.2</v>
      </c>
      <c r="H54" s="364">
        <f t="shared" si="2"/>
        <v>388.64987999999994</v>
      </c>
      <c r="I54" s="523">
        <f>ROUND((C54+D54+E54)*('29_01_H_2020'!$O$14)*B54*12*(1+'29_01_H_2020'!$O$17),2)</f>
        <v>1965.61</v>
      </c>
      <c r="M54" s="535"/>
    </row>
    <row r="55" spans="1:13" s="201" customFormat="1">
      <c r="A55" s="188" t="s">
        <v>250</v>
      </c>
      <c r="B55" s="285">
        <v>0.5</v>
      </c>
      <c r="C55" s="115">
        <v>833</v>
      </c>
      <c r="D55" s="115"/>
      <c r="E55" s="115">
        <v>83.3</v>
      </c>
      <c r="F55" s="116">
        <v>458.15</v>
      </c>
      <c r="G55" s="200">
        <f t="shared" si="0"/>
        <v>229.07499999999999</v>
      </c>
      <c r="H55" s="364">
        <f t="shared" si="2"/>
        <v>284.25916749999999</v>
      </c>
      <c r="I55" s="523">
        <f>ROUND((C55+D55+E55)*('29_01_H_2020'!$O$14)*B55*12*(1+'29_01_H_2020'!$O$17),2)</f>
        <v>1725.18</v>
      </c>
      <c r="M55" s="535"/>
    </row>
    <row r="56" spans="1:13" s="201" customFormat="1">
      <c r="A56" s="188" t="s">
        <v>250</v>
      </c>
      <c r="B56" s="285">
        <v>0.25</v>
      </c>
      <c r="C56" s="115">
        <v>785</v>
      </c>
      <c r="D56" s="115"/>
      <c r="E56" s="115">
        <v>78.5</v>
      </c>
      <c r="F56" s="116">
        <v>215.88</v>
      </c>
      <c r="G56" s="200">
        <f t="shared" si="0"/>
        <v>53.97</v>
      </c>
      <c r="H56" s="364">
        <v>999.08</v>
      </c>
      <c r="I56" s="523">
        <f>ROUND((C56+D56+E56)*('29_01_H_2020'!$O$14)*B56*12*(1+'29_01_H_2020'!$O$17),2)</f>
        <v>812.89</v>
      </c>
      <c r="M56" s="535"/>
    </row>
    <row r="57" spans="1:13" s="201" customFormat="1">
      <c r="A57" s="188" t="s">
        <v>247</v>
      </c>
      <c r="B57" s="285">
        <v>0.2</v>
      </c>
      <c r="C57" s="115">
        <v>1425</v>
      </c>
      <c r="D57" s="115"/>
      <c r="E57" s="115"/>
      <c r="F57" s="116">
        <v>285</v>
      </c>
      <c r="G57" s="200">
        <f t="shared" si="0"/>
        <v>57</v>
      </c>
      <c r="H57" s="364">
        <f t="shared" ref="H57:H63" si="3">+G57*1.2409</f>
        <v>70.73129999999999</v>
      </c>
      <c r="I57" s="523">
        <f>ROUND((C57+D57+E57)*('29_01_H_2020'!$O$14)*B57*12*(1+'29_01_H_2020'!$O$17),2)</f>
        <v>1073.18</v>
      </c>
      <c r="M57" s="535"/>
    </row>
    <row r="58" spans="1:13" s="201" customFormat="1">
      <c r="A58" s="188" t="s">
        <v>247</v>
      </c>
      <c r="B58" s="285">
        <v>0.5</v>
      </c>
      <c r="C58" s="115">
        <v>904</v>
      </c>
      <c r="D58" s="115"/>
      <c r="E58" s="115"/>
      <c r="F58" s="116">
        <v>452</v>
      </c>
      <c r="G58" s="200">
        <f t="shared" si="0"/>
        <v>226</v>
      </c>
      <c r="H58" s="364">
        <f t="shared" si="3"/>
        <v>280.4434</v>
      </c>
      <c r="I58" s="523">
        <f>ROUND((C58+D58+E58)*('29_01_H_2020'!$O$14)*B58*12*(1+'29_01_H_2020'!$O$17),2)</f>
        <v>1702.02</v>
      </c>
      <c r="M58" s="535"/>
    </row>
    <row r="59" spans="1:13" s="201" customFormat="1">
      <c r="A59" s="188" t="s">
        <v>247</v>
      </c>
      <c r="B59" s="285">
        <v>0.5</v>
      </c>
      <c r="C59" s="115">
        <v>1187</v>
      </c>
      <c r="D59" s="115"/>
      <c r="E59" s="115">
        <v>415.45</v>
      </c>
      <c r="F59" s="116">
        <v>801.23</v>
      </c>
      <c r="G59" s="200">
        <f t="shared" si="0"/>
        <v>400.61500000000001</v>
      </c>
      <c r="H59" s="364">
        <f t="shared" si="3"/>
        <v>497.12315349999994</v>
      </c>
      <c r="I59" s="523">
        <f>ROUND((C59+D59+E59)*('29_01_H_2020'!$O$14)*B59*12*(1+'29_01_H_2020'!$O$17),2)</f>
        <v>3017.04</v>
      </c>
      <c r="M59" s="535"/>
    </row>
    <row r="60" spans="1:13" s="201" customFormat="1">
      <c r="A60" s="188" t="s">
        <v>247</v>
      </c>
      <c r="B60" s="285">
        <v>0.75</v>
      </c>
      <c r="C60" s="115">
        <v>1386</v>
      </c>
      <c r="D60" s="115"/>
      <c r="E60" s="115">
        <v>32.369999999999997</v>
      </c>
      <c r="F60" s="116">
        <v>1063.78</v>
      </c>
      <c r="G60" s="200">
        <f t="shared" si="0"/>
        <v>797.83500000000004</v>
      </c>
      <c r="H60" s="364">
        <f t="shared" si="3"/>
        <v>990.03345149999996</v>
      </c>
      <c r="I60" s="523">
        <f>ROUND((C60+D60+E60)*('29_01_H_2020'!$O$14)*B60*12*(1+'29_01_H_2020'!$O$17),2)</f>
        <v>4005.7</v>
      </c>
      <c r="M60" s="535"/>
    </row>
    <row r="61" spans="1:13" s="201" customFormat="1">
      <c r="A61" s="188" t="s">
        <v>353</v>
      </c>
      <c r="B61" s="285">
        <v>0.75</v>
      </c>
      <c r="C61" s="115">
        <v>1187</v>
      </c>
      <c r="D61" s="115"/>
      <c r="E61" s="115">
        <v>261.14</v>
      </c>
      <c r="F61" s="116">
        <v>1086.1099999999999</v>
      </c>
      <c r="G61" s="200">
        <f t="shared" si="0"/>
        <v>814.58249999999998</v>
      </c>
      <c r="H61" s="364">
        <f t="shared" si="3"/>
        <v>1010.8154242499999</v>
      </c>
      <c r="I61" s="523">
        <f>ROUND((C61+D61+E61)*('29_01_H_2020'!$O$14)*B61*12*(1+'29_01_H_2020'!$O$17),2)</f>
        <v>4089.77</v>
      </c>
      <c r="M61" s="535"/>
    </row>
    <row r="62" spans="1:13" s="201" customFormat="1">
      <c r="A62" s="188" t="s">
        <v>265</v>
      </c>
      <c r="B62" s="285">
        <v>0.3</v>
      </c>
      <c r="C62" s="115">
        <v>949.52</v>
      </c>
      <c r="D62" s="115"/>
      <c r="E62" s="115">
        <v>80.180000000000007</v>
      </c>
      <c r="F62" s="116">
        <v>308.91000000000003</v>
      </c>
      <c r="G62" s="200">
        <f t="shared" si="0"/>
        <v>92.673000000000002</v>
      </c>
      <c r="H62" s="364">
        <f t="shared" si="3"/>
        <v>114.9979257</v>
      </c>
      <c r="I62" s="523">
        <f>ROUND((C62+D62+E62)*('29_01_H_2020'!$O$14)*B62*12*(1+'29_01_H_2020'!$O$17),2)</f>
        <v>1163.21</v>
      </c>
      <c r="M62" s="535"/>
    </row>
    <row r="63" spans="1:13" s="201" customFormat="1">
      <c r="A63" s="188" t="s">
        <v>265</v>
      </c>
      <c r="B63" s="285">
        <v>0.8</v>
      </c>
      <c r="C63" s="115">
        <v>835</v>
      </c>
      <c r="D63" s="115"/>
      <c r="E63" s="115"/>
      <c r="F63" s="116">
        <v>668</v>
      </c>
      <c r="G63" s="200">
        <f t="shared" si="0"/>
        <v>534.4</v>
      </c>
      <c r="H63" s="364">
        <f t="shared" si="3"/>
        <v>663.13695999999993</v>
      </c>
      <c r="I63" s="523">
        <f>ROUND((C63+D63+E63)*('29_01_H_2020'!$O$14)*B63*12*(1+'29_01_H_2020'!$O$17),2)</f>
        <v>2515.38</v>
      </c>
      <c r="M63" s="535"/>
    </row>
    <row r="64" spans="1:13" s="201" customFormat="1">
      <c r="A64" s="188" t="s">
        <v>355</v>
      </c>
      <c r="B64" s="284">
        <v>0.3</v>
      </c>
      <c r="C64" s="90">
        <v>1045</v>
      </c>
      <c r="D64" s="90"/>
      <c r="E64" s="90"/>
      <c r="F64" s="98">
        <v>313.5</v>
      </c>
      <c r="G64" s="199">
        <f t="shared" si="0"/>
        <v>94.05</v>
      </c>
      <c r="H64" s="364">
        <v>643.92999999999995</v>
      </c>
      <c r="I64" s="523">
        <f>ROUND((C64+D64+E64)*('29_01_H_2020'!$O$14)*B64*12*(1+'29_01_H_2020'!$O$17),2)</f>
        <v>1180.5</v>
      </c>
      <c r="M64" s="535"/>
    </row>
    <row r="65" spans="1:15" s="201" customFormat="1">
      <c r="A65" s="188" t="s">
        <v>355</v>
      </c>
      <c r="B65" s="284">
        <v>0.7</v>
      </c>
      <c r="C65" s="90">
        <v>1045</v>
      </c>
      <c r="D65" s="90"/>
      <c r="E65" s="90"/>
      <c r="F65" s="98">
        <v>731.5</v>
      </c>
      <c r="G65" s="199">
        <f t="shared" si="0"/>
        <v>512.04999999999995</v>
      </c>
      <c r="H65" s="364">
        <f t="shared" ref="H65:H72" si="4">+G65*1.2409</f>
        <v>635.40284499999984</v>
      </c>
      <c r="I65" s="523">
        <f>ROUND((C65+D65+E65)*('29_01_H_2020'!$O$14)*B65*12*(1+'29_01_H_2020'!$O$17),2)</f>
        <v>2754.49</v>
      </c>
      <c r="M65" s="535"/>
    </row>
    <row r="66" spans="1:15" s="201" customFormat="1">
      <c r="A66" s="188" t="s">
        <v>272</v>
      </c>
      <c r="B66" s="284">
        <v>1</v>
      </c>
      <c r="C66" s="90">
        <v>850</v>
      </c>
      <c r="D66" s="90"/>
      <c r="E66" s="90">
        <v>85</v>
      </c>
      <c r="F66" s="98">
        <v>935</v>
      </c>
      <c r="G66" s="199">
        <f t="shared" si="0"/>
        <v>935</v>
      </c>
      <c r="H66" s="364">
        <f t="shared" si="4"/>
        <v>1160.2414999999999</v>
      </c>
      <c r="I66" s="523">
        <f>ROUND((C66+D66+E66)*('29_01_H_2020'!$O$14)*B66*12*(1+'29_01_H_2020'!$O$17),2)</f>
        <v>3520.78</v>
      </c>
      <c r="M66" s="535"/>
    </row>
    <row r="67" spans="1:15" s="201" customFormat="1">
      <c r="A67" s="188" t="s">
        <v>272</v>
      </c>
      <c r="B67" s="284">
        <v>0.5</v>
      </c>
      <c r="C67" s="90">
        <v>862.38</v>
      </c>
      <c r="D67" s="90"/>
      <c r="E67" s="90">
        <v>86.24</v>
      </c>
      <c r="F67" s="98">
        <v>474.31</v>
      </c>
      <c r="G67" s="199">
        <f t="shared" si="0"/>
        <v>237.155</v>
      </c>
      <c r="H67" s="364">
        <f t="shared" si="4"/>
        <v>294.2856395</v>
      </c>
      <c r="I67" s="523">
        <f>ROUND((C67+D67+E67)*('29_01_H_2020'!$O$14)*B67*12*(1+'29_01_H_2020'!$O$17),2)</f>
        <v>1786.03</v>
      </c>
      <c r="M67" s="535"/>
    </row>
    <row r="68" spans="1:15" s="201" customFormat="1">
      <c r="A68" s="188" t="s">
        <v>272</v>
      </c>
      <c r="B68" s="284">
        <v>0.5</v>
      </c>
      <c r="C68" s="90">
        <v>1045</v>
      </c>
      <c r="D68" s="90"/>
      <c r="E68" s="90">
        <v>104.5</v>
      </c>
      <c r="F68" s="98">
        <v>574.75</v>
      </c>
      <c r="G68" s="199">
        <f t="shared" si="0"/>
        <v>287.375</v>
      </c>
      <c r="H68" s="364">
        <f t="shared" si="4"/>
        <v>356.60363749999999</v>
      </c>
      <c r="I68" s="523">
        <f>ROUND((C68+D68+E68)*('29_01_H_2020'!$O$14)*B68*12*(1+'29_01_H_2020'!$O$17),2)</f>
        <v>2164.2399999999998</v>
      </c>
      <c r="M68" s="535"/>
    </row>
    <row r="69" spans="1:15" s="201" customFormat="1">
      <c r="A69" s="188" t="s">
        <v>272</v>
      </c>
      <c r="B69" s="284">
        <v>0.5</v>
      </c>
      <c r="C69" s="90">
        <v>1045</v>
      </c>
      <c r="D69" s="90"/>
      <c r="E69" s="90">
        <v>261.25</v>
      </c>
      <c r="F69" s="98">
        <v>653.13</v>
      </c>
      <c r="G69" s="199">
        <f t="shared" si="0"/>
        <v>326.565</v>
      </c>
      <c r="H69" s="364">
        <f t="shared" si="4"/>
        <v>405.23450849999995</v>
      </c>
      <c r="I69" s="523">
        <f>ROUND((C69+D69+E69)*('29_01_H_2020'!$O$14)*B69*12*(1+'29_01_H_2020'!$O$17),2)</f>
        <v>2459.37</v>
      </c>
      <c r="M69" s="535"/>
    </row>
    <row r="70" spans="1:15" s="201" customFormat="1">
      <c r="A70" s="188" t="s">
        <v>177</v>
      </c>
      <c r="B70" s="284">
        <v>0.3</v>
      </c>
      <c r="C70" s="90">
        <v>1187</v>
      </c>
      <c r="D70" s="90"/>
      <c r="E70" s="90">
        <v>142.44</v>
      </c>
      <c r="F70" s="98">
        <v>398.83</v>
      </c>
      <c r="G70" s="199">
        <f t="shared" si="0"/>
        <v>119.64899999999999</v>
      </c>
      <c r="H70" s="364">
        <f t="shared" si="4"/>
        <v>148.47244409999996</v>
      </c>
      <c r="I70" s="523">
        <f>ROUND((C70+D70+E70)*('29_01_H_2020'!$O$14)*B70*12*(1+'29_01_H_2020'!$O$17),2)</f>
        <v>1501.82</v>
      </c>
      <c r="M70" s="535"/>
    </row>
    <row r="71" spans="1:15" s="201" customFormat="1">
      <c r="A71" s="188" t="s">
        <v>341</v>
      </c>
      <c r="B71" s="284">
        <v>1</v>
      </c>
      <c r="C71" s="90">
        <v>1045</v>
      </c>
      <c r="D71" s="90"/>
      <c r="E71" s="90">
        <v>104.5</v>
      </c>
      <c r="F71" s="98">
        <v>1149.5</v>
      </c>
      <c r="G71" s="199">
        <f t="shared" si="0"/>
        <v>1149.5</v>
      </c>
      <c r="H71" s="364">
        <f t="shared" si="4"/>
        <v>1426.41455</v>
      </c>
      <c r="I71" s="523">
        <f>ROUND((C71+D71+E71)*('29_01_H_2020'!$O$14)*B71*12*(1+'29_01_H_2020'!$O$17),2)</f>
        <v>4328.49</v>
      </c>
      <c r="M71" s="535"/>
    </row>
    <row r="72" spans="1:15" s="201" customFormat="1">
      <c r="A72" s="188" t="s">
        <v>549</v>
      </c>
      <c r="B72" s="284">
        <v>0.1</v>
      </c>
      <c r="C72" s="90">
        <v>1187</v>
      </c>
      <c r="D72" s="90"/>
      <c r="E72" s="90">
        <v>154.31</v>
      </c>
      <c r="F72" s="98">
        <v>134.13</v>
      </c>
      <c r="G72" s="199">
        <f t="shared" si="0"/>
        <v>13.413</v>
      </c>
      <c r="H72" s="364">
        <f t="shared" si="4"/>
        <v>16.6441917</v>
      </c>
      <c r="I72" s="523">
        <f>ROUND((C72+D72+E72)*('29_01_H_2020'!$O$14)*B72*12*(1+'29_01_H_2020'!$O$17),2)</f>
        <v>505.08</v>
      </c>
      <c r="M72" s="535"/>
    </row>
    <row r="73" spans="1:15" s="201" customFormat="1">
      <c r="A73" s="188" t="s">
        <v>549</v>
      </c>
      <c r="B73" s="284">
        <v>0.25</v>
      </c>
      <c r="C73" s="90">
        <v>1187</v>
      </c>
      <c r="D73" s="90"/>
      <c r="E73" s="90">
        <v>118.7</v>
      </c>
      <c r="F73" s="98">
        <v>326.43</v>
      </c>
      <c r="G73" s="199">
        <f t="shared" si="0"/>
        <v>81.607500000000002</v>
      </c>
      <c r="H73" s="364">
        <v>563.71</v>
      </c>
      <c r="I73" s="523">
        <f>ROUND((C73+D73+E73)*('29_01_H_2020'!$O$14)*B73*12*(1+'29_01_H_2020'!$O$17),2)</f>
        <v>1229.17</v>
      </c>
      <c r="M73" s="535"/>
    </row>
    <row r="74" spans="1:15" s="201" customFormat="1">
      <c r="A74" s="188" t="s">
        <v>354</v>
      </c>
      <c r="B74" s="284">
        <v>0.5</v>
      </c>
      <c r="C74" s="90">
        <v>1045</v>
      </c>
      <c r="D74" s="90"/>
      <c r="E74" s="90">
        <v>104.5</v>
      </c>
      <c r="F74" s="98">
        <v>574.75</v>
      </c>
      <c r="G74" s="199">
        <f t="shared" si="0"/>
        <v>287.375</v>
      </c>
      <c r="H74" s="364">
        <f t="shared" ref="H74:H76" si="5">+G74*1.2409</f>
        <v>356.60363749999999</v>
      </c>
      <c r="I74" s="523">
        <f>ROUND((C74+D74+E74)*('29_01_H_2020'!$O$14)*B74*12*(1+'29_01_H_2020'!$O$17),2)</f>
        <v>2164.2399999999998</v>
      </c>
      <c r="M74" s="535"/>
    </row>
    <row r="75" spans="1:15" s="201" customFormat="1">
      <c r="A75" s="188" t="s">
        <v>354</v>
      </c>
      <c r="B75" s="284">
        <v>0.25</v>
      </c>
      <c r="C75" s="90">
        <v>785</v>
      </c>
      <c r="D75" s="90"/>
      <c r="E75" s="90">
        <v>211.95</v>
      </c>
      <c r="F75" s="98">
        <v>249.24</v>
      </c>
      <c r="G75" s="199">
        <f t="shared" si="0"/>
        <v>62.31</v>
      </c>
      <c r="H75" s="364">
        <f t="shared" si="5"/>
        <v>77.320478999999992</v>
      </c>
      <c r="I75" s="523">
        <f>ROUND((C75+D75+E75)*('29_01_H_2020'!$O$14)*B75*12*(1+'29_01_H_2020'!$O$17),2)</f>
        <v>938.51</v>
      </c>
      <c r="M75" s="535"/>
    </row>
    <row r="76" spans="1:15" s="201" customFormat="1">
      <c r="A76" s="188" t="s">
        <v>356</v>
      </c>
      <c r="B76" s="284">
        <v>0.05</v>
      </c>
      <c r="C76" s="90">
        <v>1187</v>
      </c>
      <c r="D76" s="90"/>
      <c r="E76" s="90">
        <v>99</v>
      </c>
      <c r="F76" s="98">
        <v>64.3</v>
      </c>
      <c r="G76" s="199">
        <f t="shared" ref="G76" si="6">+F76*B76</f>
        <v>3.2149999999999999</v>
      </c>
      <c r="H76" s="364">
        <f t="shared" si="5"/>
        <v>3.9894934999999996</v>
      </c>
      <c r="I76" s="523">
        <f>ROUND((C76+D76+E76)*('29_01_H_2020'!$O$14)*B76*12*(1+'29_01_H_2020'!$O$17),2)</f>
        <v>242.12</v>
      </c>
      <c r="M76" s="535"/>
    </row>
    <row r="77" spans="1:15" ht="25.5">
      <c r="A77" s="182" t="s">
        <v>28</v>
      </c>
      <c r="B77" s="203"/>
      <c r="C77" s="204"/>
      <c r="D77" s="204"/>
      <c r="E77" s="204"/>
      <c r="F77" s="197">
        <f>SUM(F78:F162)</f>
        <v>92973.090000000011</v>
      </c>
      <c r="G77" s="205">
        <f>SUM(G78:G162)</f>
        <v>268877.80648999993</v>
      </c>
      <c r="H77" s="520">
        <f>SUM(H78:H162)</f>
        <v>323022.86130594113</v>
      </c>
      <c r="I77" s="817">
        <f>ROUND((C77+D77+E77)*('29_01_H_2020'!$O$14)*B77*12*(1+'29_01_H_2020'!$O$17),2)</f>
        <v>0</v>
      </c>
      <c r="K77" s="201"/>
      <c r="L77" s="201"/>
      <c r="M77" s="201"/>
      <c r="N77" s="201"/>
      <c r="O77" s="201"/>
    </row>
    <row r="78" spans="1:15" s="201" customFormat="1">
      <c r="A78" s="188" t="s">
        <v>22</v>
      </c>
      <c r="B78" s="284">
        <v>1</v>
      </c>
      <c r="C78" s="90">
        <v>840</v>
      </c>
      <c r="D78" s="90"/>
      <c r="E78" s="90"/>
      <c r="F78" s="98">
        <v>840</v>
      </c>
      <c r="G78" s="199">
        <f t="shared" ref="G78:G141" si="7">+F78*B78</f>
        <v>840</v>
      </c>
      <c r="H78" s="364">
        <f t="shared" ref="H78:H141" si="8">+G78*1.2409</f>
        <v>1042.356</v>
      </c>
      <c r="I78" s="523">
        <f>ROUND((C78+D78+E78)*('29_01_H_2020'!$O$14)*B78*12*(1+'29_01_H_2020'!$O$17),2)</f>
        <v>3163.05</v>
      </c>
      <c r="M78" s="535"/>
    </row>
    <row r="79" spans="1:15" s="201" customFormat="1">
      <c r="A79" s="188" t="s">
        <v>22</v>
      </c>
      <c r="B79" s="284">
        <v>1</v>
      </c>
      <c r="C79" s="90">
        <v>950</v>
      </c>
      <c r="D79" s="90"/>
      <c r="E79" s="90"/>
      <c r="F79" s="98">
        <v>950</v>
      </c>
      <c r="G79" s="199">
        <f t="shared" si="7"/>
        <v>950</v>
      </c>
      <c r="H79" s="364">
        <f t="shared" si="8"/>
        <v>1178.8549999999998</v>
      </c>
      <c r="I79" s="523">
        <f>ROUND((C79+D79+E79)*('29_01_H_2020'!$O$14)*B79*12*(1+'29_01_H_2020'!$O$17),2)</f>
        <v>3577.26</v>
      </c>
      <c r="M79" s="535"/>
    </row>
    <row r="80" spans="1:15" s="201" customFormat="1">
      <c r="A80" s="188" t="s">
        <v>22</v>
      </c>
      <c r="B80" s="284">
        <v>1</v>
      </c>
      <c r="C80" s="90">
        <v>950</v>
      </c>
      <c r="D80" s="90"/>
      <c r="E80" s="90"/>
      <c r="F80" s="98">
        <v>950</v>
      </c>
      <c r="G80" s="199">
        <f t="shared" si="7"/>
        <v>950</v>
      </c>
      <c r="H80" s="364">
        <f t="shared" si="8"/>
        <v>1178.8549999999998</v>
      </c>
      <c r="I80" s="523">
        <f>ROUND((C80+D80+E80)*('29_01_H_2020'!$O$14)*B80*12*(1+'29_01_H_2020'!$O$17),2)</f>
        <v>3577.26</v>
      </c>
      <c r="M80" s="535"/>
    </row>
    <row r="81" spans="1:13" s="201" customFormat="1">
      <c r="A81" s="188" t="s">
        <v>22</v>
      </c>
      <c r="B81" s="284">
        <v>0.5</v>
      </c>
      <c r="C81" s="90">
        <v>950</v>
      </c>
      <c r="D81" s="90"/>
      <c r="E81" s="90"/>
      <c r="F81" s="98">
        <v>475</v>
      </c>
      <c r="G81" s="199">
        <f t="shared" si="7"/>
        <v>237.5</v>
      </c>
      <c r="H81" s="364">
        <f t="shared" si="8"/>
        <v>294.71374999999995</v>
      </c>
      <c r="I81" s="523">
        <f>ROUND((C81+D81+E81)*('29_01_H_2020'!$O$14)*B81*12*(1+'29_01_H_2020'!$O$17),2)</f>
        <v>1788.63</v>
      </c>
      <c r="M81" s="535"/>
    </row>
    <row r="82" spans="1:13" s="201" customFormat="1">
      <c r="A82" s="188" t="s">
        <v>22</v>
      </c>
      <c r="B82" s="284">
        <v>0.75</v>
      </c>
      <c r="C82" s="90">
        <v>820</v>
      </c>
      <c r="D82" s="90"/>
      <c r="E82" s="90">
        <v>139.4</v>
      </c>
      <c r="F82" s="98">
        <v>719.55</v>
      </c>
      <c r="G82" s="199">
        <f t="shared" si="7"/>
        <v>539.66249999999991</v>
      </c>
      <c r="H82" s="364">
        <f t="shared" si="8"/>
        <v>669.66719624999985</v>
      </c>
      <c r="I82" s="523">
        <f>ROUND((C82+D82+E82)*('29_01_H_2020'!$O$14)*B82*12*(1+'29_01_H_2020'!$O$17),2)</f>
        <v>2709.49</v>
      </c>
      <c r="M82" s="535"/>
    </row>
    <row r="83" spans="1:13" s="201" customFormat="1">
      <c r="A83" s="188" t="s">
        <v>22</v>
      </c>
      <c r="B83" s="284">
        <v>1</v>
      </c>
      <c r="C83" s="90">
        <v>785</v>
      </c>
      <c r="D83" s="90"/>
      <c r="E83" s="90">
        <v>78.5</v>
      </c>
      <c r="F83" s="98">
        <v>863.5</v>
      </c>
      <c r="G83" s="199">
        <f t="shared" si="7"/>
        <v>863.5</v>
      </c>
      <c r="H83" s="364">
        <f t="shared" si="8"/>
        <v>1071.5171499999999</v>
      </c>
      <c r="I83" s="523">
        <f>ROUND((C83+D83+E83)*('29_01_H_2020'!$O$14)*B83*12*(1+'29_01_H_2020'!$O$17),2)</f>
        <v>3251.54</v>
      </c>
      <c r="M83" s="535"/>
    </row>
    <row r="84" spans="1:13" s="201" customFormat="1">
      <c r="A84" s="188" t="s">
        <v>22</v>
      </c>
      <c r="B84" s="284">
        <v>1</v>
      </c>
      <c r="C84" s="90">
        <v>825</v>
      </c>
      <c r="D84" s="90"/>
      <c r="E84" s="90">
        <v>330</v>
      </c>
      <c r="F84" s="98">
        <v>1155</v>
      </c>
      <c r="G84" s="199">
        <f t="shared" si="7"/>
        <v>1155</v>
      </c>
      <c r="H84" s="364">
        <f t="shared" si="8"/>
        <v>1433.2394999999999</v>
      </c>
      <c r="I84" s="523">
        <f>ROUND((C84+D84+E84)*('29_01_H_2020'!$O$14)*B84*12*(1+'29_01_H_2020'!$O$17),2)</f>
        <v>4349.2</v>
      </c>
      <c r="M84" s="535"/>
    </row>
    <row r="85" spans="1:13" s="201" customFormat="1">
      <c r="A85" s="188" t="s">
        <v>22</v>
      </c>
      <c r="B85" s="284">
        <v>0.45900000000000002</v>
      </c>
      <c r="C85" s="90">
        <v>830.4</v>
      </c>
      <c r="D85" s="90"/>
      <c r="E85" s="90">
        <v>74.739999999999995</v>
      </c>
      <c r="F85" s="98">
        <v>415.46</v>
      </c>
      <c r="G85" s="199">
        <f t="shared" si="7"/>
        <v>190.69613999999999</v>
      </c>
      <c r="H85" s="364">
        <f t="shared" si="8"/>
        <v>236.63484012599997</v>
      </c>
      <c r="I85" s="523">
        <f>ROUND((C85+D85+E85)*('29_01_H_2020'!$O$14)*B85*12*(1+'29_01_H_2020'!$O$17),2)</f>
        <v>1564.43</v>
      </c>
      <c r="M85" s="535"/>
    </row>
    <row r="86" spans="1:13" s="201" customFormat="1">
      <c r="A86" s="188" t="s">
        <v>22</v>
      </c>
      <c r="B86" s="284">
        <v>1</v>
      </c>
      <c r="C86" s="90">
        <v>785</v>
      </c>
      <c r="D86" s="90"/>
      <c r="E86" s="90">
        <v>78.5</v>
      </c>
      <c r="F86" s="98">
        <v>863.5</v>
      </c>
      <c r="G86" s="199">
        <f t="shared" si="7"/>
        <v>863.5</v>
      </c>
      <c r="H86" s="364">
        <f t="shared" si="8"/>
        <v>1071.5171499999999</v>
      </c>
      <c r="I86" s="523">
        <f>ROUND((C86+D86+E86)*('29_01_H_2020'!$O$14)*B86*12*(1+'29_01_H_2020'!$O$17),2)</f>
        <v>3251.54</v>
      </c>
      <c r="M86" s="535"/>
    </row>
    <row r="87" spans="1:13" s="201" customFormat="1">
      <c r="A87" s="188" t="s">
        <v>40</v>
      </c>
      <c r="B87" s="284">
        <v>1</v>
      </c>
      <c r="C87" s="90">
        <v>785</v>
      </c>
      <c r="D87" s="90"/>
      <c r="E87" s="90">
        <v>102.05</v>
      </c>
      <c r="F87" s="98">
        <v>887.05</v>
      </c>
      <c r="G87" s="199">
        <f t="shared" si="7"/>
        <v>887.05</v>
      </c>
      <c r="H87" s="364">
        <f t="shared" si="8"/>
        <v>1100.7403449999999</v>
      </c>
      <c r="I87" s="523">
        <f>ROUND((C87+D87+E87)*('29_01_H_2020'!$O$14)*B87*12*(1+'29_01_H_2020'!$O$17),2)</f>
        <v>3340.22</v>
      </c>
      <c r="M87" s="535"/>
    </row>
    <row r="88" spans="1:13" s="201" customFormat="1">
      <c r="A88" s="188" t="s">
        <v>40</v>
      </c>
      <c r="B88" s="284">
        <v>1</v>
      </c>
      <c r="C88" s="90">
        <v>692</v>
      </c>
      <c r="D88" s="90"/>
      <c r="E88" s="90">
        <v>89.96</v>
      </c>
      <c r="F88" s="98">
        <v>781.96</v>
      </c>
      <c r="G88" s="199">
        <f t="shared" si="7"/>
        <v>781.96</v>
      </c>
      <c r="H88" s="364">
        <f t="shared" si="8"/>
        <v>970.33416399999999</v>
      </c>
      <c r="I88" s="523">
        <f>ROUND((C88+D88+E88)*('29_01_H_2020'!$O$14)*B88*12*(1+'29_01_H_2020'!$O$17),2)</f>
        <v>2944.5</v>
      </c>
      <c r="M88" s="535"/>
    </row>
    <row r="89" spans="1:13" s="201" customFormat="1">
      <c r="A89" s="188" t="s">
        <v>40</v>
      </c>
      <c r="B89" s="284">
        <v>0.65</v>
      </c>
      <c r="C89" s="90">
        <v>785</v>
      </c>
      <c r="D89" s="90"/>
      <c r="E89" s="90">
        <v>102.05</v>
      </c>
      <c r="F89" s="98">
        <v>576.58000000000004</v>
      </c>
      <c r="G89" s="199">
        <f t="shared" si="7"/>
        <v>374.77700000000004</v>
      </c>
      <c r="H89" s="364">
        <f t="shared" si="8"/>
        <v>465.06077930000004</v>
      </c>
      <c r="I89" s="523">
        <f>ROUND((C89+D89+E89)*('29_01_H_2020'!$O$14)*B89*12*(1+'29_01_H_2020'!$O$17),2)</f>
        <v>2171.14</v>
      </c>
      <c r="M89" s="535"/>
    </row>
    <row r="90" spans="1:13" s="201" customFormat="1">
      <c r="A90" s="188" t="s">
        <v>40</v>
      </c>
      <c r="B90" s="284">
        <v>0.65</v>
      </c>
      <c r="C90" s="90">
        <v>785</v>
      </c>
      <c r="D90" s="90"/>
      <c r="E90" s="90">
        <v>102.05</v>
      </c>
      <c r="F90" s="98">
        <v>576.58000000000004</v>
      </c>
      <c r="G90" s="199">
        <f t="shared" si="7"/>
        <v>374.77700000000004</v>
      </c>
      <c r="H90" s="364">
        <f t="shared" si="8"/>
        <v>465.06077930000004</v>
      </c>
      <c r="I90" s="523">
        <f>ROUND((C90+D90+E90)*('29_01_H_2020'!$O$14)*B90*12*(1+'29_01_H_2020'!$O$17),2)</f>
        <v>2171.14</v>
      </c>
      <c r="M90" s="535"/>
    </row>
    <row r="91" spans="1:13" s="201" customFormat="1">
      <c r="A91" s="188" t="s">
        <v>40</v>
      </c>
      <c r="B91" s="284">
        <v>2.9</v>
      </c>
      <c r="C91" s="90">
        <v>692</v>
      </c>
      <c r="D91" s="90"/>
      <c r="E91" s="90">
        <v>69.2</v>
      </c>
      <c r="F91" s="98">
        <v>2207.48</v>
      </c>
      <c r="G91" s="199">
        <f t="shared" si="7"/>
        <v>6401.692</v>
      </c>
      <c r="H91" s="364">
        <f t="shared" si="8"/>
        <v>7943.8596027999993</v>
      </c>
      <c r="I91" s="523">
        <f>ROUND((C91+D91+E91)*('29_01_H_2020'!$O$14)*B91*12*(1+'29_01_H_2020'!$O$17),2)</f>
        <v>8312.35</v>
      </c>
      <c r="M91" s="535"/>
    </row>
    <row r="92" spans="1:13" s="201" customFormat="1">
      <c r="A92" s="188" t="s">
        <v>40</v>
      </c>
      <c r="B92" s="284">
        <v>1.5</v>
      </c>
      <c r="C92" s="90">
        <v>703</v>
      </c>
      <c r="D92" s="90"/>
      <c r="E92" s="90">
        <v>70.3</v>
      </c>
      <c r="F92" s="98">
        <v>1159.95</v>
      </c>
      <c r="G92" s="199">
        <f t="shared" si="7"/>
        <v>1739.9250000000002</v>
      </c>
      <c r="H92" s="364">
        <f t="shared" si="8"/>
        <v>2159.0729325000002</v>
      </c>
      <c r="I92" s="523">
        <f>ROUND((C92+D92+E92)*('29_01_H_2020'!$O$14)*B92*12*(1+'29_01_H_2020'!$O$17),2)</f>
        <v>4367.84</v>
      </c>
      <c r="M92" s="535"/>
    </row>
    <row r="93" spans="1:13" s="201" customFormat="1">
      <c r="A93" s="188" t="s">
        <v>40</v>
      </c>
      <c r="B93" s="284">
        <v>2</v>
      </c>
      <c r="C93" s="90">
        <v>785</v>
      </c>
      <c r="D93" s="90"/>
      <c r="E93" s="90">
        <v>78.5</v>
      </c>
      <c r="F93" s="98">
        <v>1727</v>
      </c>
      <c r="G93" s="199">
        <f t="shared" si="7"/>
        <v>3454</v>
      </c>
      <c r="H93" s="364">
        <f t="shared" si="8"/>
        <v>4286.0685999999996</v>
      </c>
      <c r="I93" s="523">
        <f>ROUND((C93+D93+E93)*('29_01_H_2020'!$O$14)*B93*12*(1+'29_01_H_2020'!$O$17),2)</f>
        <v>6503.09</v>
      </c>
      <c r="M93" s="535"/>
    </row>
    <row r="94" spans="1:13" s="201" customFormat="1">
      <c r="A94" s="188" t="s">
        <v>40</v>
      </c>
      <c r="B94" s="284">
        <v>0.5</v>
      </c>
      <c r="C94" s="90">
        <v>785</v>
      </c>
      <c r="D94" s="90"/>
      <c r="E94" s="90">
        <v>78.5</v>
      </c>
      <c r="F94" s="98">
        <v>431.75</v>
      </c>
      <c r="G94" s="199">
        <f t="shared" si="7"/>
        <v>215.875</v>
      </c>
      <c r="H94" s="364">
        <f t="shared" si="8"/>
        <v>267.87928749999998</v>
      </c>
      <c r="I94" s="523">
        <f>ROUND((C94+D94+E94)*('29_01_H_2020'!$O$14)*B94*12*(1+'29_01_H_2020'!$O$17),2)</f>
        <v>1625.77</v>
      </c>
      <c r="M94" s="535"/>
    </row>
    <row r="95" spans="1:13" s="201" customFormat="1">
      <c r="A95" s="188" t="s">
        <v>40</v>
      </c>
      <c r="B95" s="284">
        <v>12.65</v>
      </c>
      <c r="C95" s="90">
        <v>785</v>
      </c>
      <c r="D95" s="90"/>
      <c r="E95" s="90">
        <v>78.5</v>
      </c>
      <c r="F95" s="98">
        <v>10923.28</v>
      </c>
      <c r="G95" s="199">
        <f t="shared" si="7"/>
        <v>138179.492</v>
      </c>
      <c r="H95" s="364">
        <f t="shared" si="8"/>
        <v>171466.93162279998</v>
      </c>
      <c r="I95" s="523">
        <f>ROUND((C95+D95+E95)*('29_01_H_2020'!$O$14)*B95*12*(1+'29_01_H_2020'!$O$17),2)</f>
        <v>41132.03</v>
      </c>
      <c r="M95" s="535"/>
    </row>
    <row r="96" spans="1:13" s="201" customFormat="1">
      <c r="A96" s="188" t="s">
        <v>40</v>
      </c>
      <c r="B96" s="284">
        <v>1</v>
      </c>
      <c r="C96" s="90">
        <v>785</v>
      </c>
      <c r="D96" s="90"/>
      <c r="E96" s="90">
        <v>78.5</v>
      </c>
      <c r="F96" s="98">
        <v>863.5</v>
      </c>
      <c r="G96" s="199">
        <f t="shared" si="7"/>
        <v>863.5</v>
      </c>
      <c r="H96" s="364">
        <f t="shared" si="8"/>
        <v>1071.5171499999999</v>
      </c>
      <c r="I96" s="523">
        <f>ROUND((C96+D96+E96)*('29_01_H_2020'!$O$14)*B96*12*(1+'29_01_H_2020'!$O$17),2)</f>
        <v>3251.54</v>
      </c>
      <c r="M96" s="535"/>
    </row>
    <row r="97" spans="1:13" s="201" customFormat="1">
      <c r="A97" s="188" t="s">
        <v>40</v>
      </c>
      <c r="B97" s="284">
        <v>4</v>
      </c>
      <c r="C97" s="90">
        <v>785</v>
      </c>
      <c r="D97" s="90"/>
      <c r="E97" s="90">
        <v>196.25</v>
      </c>
      <c r="F97" s="98">
        <v>3925</v>
      </c>
      <c r="G97" s="199">
        <f t="shared" si="7"/>
        <v>15700</v>
      </c>
      <c r="H97" s="364">
        <f t="shared" si="8"/>
        <v>19482.129999999997</v>
      </c>
      <c r="I97" s="523">
        <f>ROUND((C97+D97+E97)*('29_01_H_2020'!$O$14)*B97*12*(1+'29_01_H_2020'!$O$17),2)</f>
        <v>14779.74</v>
      </c>
      <c r="M97" s="535"/>
    </row>
    <row r="98" spans="1:13" s="201" customFormat="1">
      <c r="A98" s="188" t="s">
        <v>40</v>
      </c>
      <c r="B98" s="284">
        <v>1</v>
      </c>
      <c r="C98" s="90">
        <v>847</v>
      </c>
      <c r="D98" s="90"/>
      <c r="E98" s="90">
        <v>84.7</v>
      </c>
      <c r="F98" s="98">
        <v>931.7</v>
      </c>
      <c r="G98" s="199">
        <f t="shared" si="7"/>
        <v>931.7</v>
      </c>
      <c r="H98" s="364">
        <f t="shared" si="8"/>
        <v>1156.14653</v>
      </c>
      <c r="I98" s="523">
        <f>ROUND((C98+D98+E98)*('29_01_H_2020'!$O$14)*B98*12*(1+'29_01_H_2020'!$O$17),2)</f>
        <v>3508.35</v>
      </c>
      <c r="M98" s="535"/>
    </row>
    <row r="99" spans="1:13" s="201" customFormat="1">
      <c r="A99" s="188" t="s">
        <v>40</v>
      </c>
      <c r="B99" s="284">
        <v>1</v>
      </c>
      <c r="C99" s="90">
        <v>785</v>
      </c>
      <c r="D99" s="90"/>
      <c r="E99" s="90">
        <v>255</v>
      </c>
      <c r="F99" s="98">
        <v>1040</v>
      </c>
      <c r="G99" s="199">
        <f t="shared" si="7"/>
        <v>1040</v>
      </c>
      <c r="H99" s="364">
        <f t="shared" si="8"/>
        <v>1290.5359999999998</v>
      </c>
      <c r="I99" s="523">
        <f>ROUND((C99+D99+E99)*('29_01_H_2020'!$O$14)*B99*12*(1+'29_01_H_2020'!$O$17),2)</f>
        <v>3916.16</v>
      </c>
      <c r="M99" s="535"/>
    </row>
    <row r="100" spans="1:13" s="201" customFormat="1">
      <c r="A100" s="188" t="s">
        <v>40</v>
      </c>
      <c r="B100" s="284">
        <v>2</v>
      </c>
      <c r="C100" s="90">
        <v>785</v>
      </c>
      <c r="D100" s="90"/>
      <c r="E100" s="90">
        <v>236</v>
      </c>
      <c r="F100" s="98">
        <v>2042</v>
      </c>
      <c r="G100" s="199">
        <f t="shared" si="7"/>
        <v>4084</v>
      </c>
      <c r="H100" s="364">
        <f t="shared" si="8"/>
        <v>5067.8355999999994</v>
      </c>
      <c r="I100" s="523">
        <f>ROUND((C100+D100+E100)*('29_01_H_2020'!$O$14)*B100*12*(1+'29_01_H_2020'!$O$17),2)</f>
        <v>7689.23</v>
      </c>
      <c r="M100" s="535"/>
    </row>
    <row r="101" spans="1:13" s="201" customFormat="1">
      <c r="A101" s="188" t="s">
        <v>40</v>
      </c>
      <c r="B101" s="284">
        <v>1</v>
      </c>
      <c r="C101" s="90">
        <v>785</v>
      </c>
      <c r="D101" s="90"/>
      <c r="E101" s="90">
        <v>189</v>
      </c>
      <c r="F101" s="98">
        <v>974</v>
      </c>
      <c r="G101" s="199">
        <f t="shared" si="7"/>
        <v>974</v>
      </c>
      <c r="H101" s="364">
        <f t="shared" si="8"/>
        <v>1208.6365999999998</v>
      </c>
      <c r="I101" s="523">
        <f>ROUND((C101+D101+E101)*('29_01_H_2020'!$O$14)*B101*12*(1+'29_01_H_2020'!$O$17),2)</f>
        <v>3667.64</v>
      </c>
      <c r="M101" s="535"/>
    </row>
    <row r="102" spans="1:13" s="201" customFormat="1">
      <c r="A102" s="188" t="s">
        <v>40</v>
      </c>
      <c r="B102" s="284">
        <v>0.5</v>
      </c>
      <c r="C102" s="90">
        <v>785</v>
      </c>
      <c r="D102" s="90"/>
      <c r="E102" s="90">
        <v>252</v>
      </c>
      <c r="F102" s="98">
        <v>518.5</v>
      </c>
      <c r="G102" s="199">
        <f t="shared" si="7"/>
        <v>259.25</v>
      </c>
      <c r="H102" s="364">
        <f t="shared" si="8"/>
        <v>321.70332499999995</v>
      </c>
      <c r="I102" s="523">
        <f>ROUND((C102+D102+E102)*('29_01_H_2020'!$O$14)*B102*12*(1+'29_01_H_2020'!$O$17),2)</f>
        <v>1952.43</v>
      </c>
      <c r="M102" s="535"/>
    </row>
    <row r="103" spans="1:13" s="201" customFormat="1">
      <c r="A103" s="188" t="s">
        <v>40</v>
      </c>
      <c r="B103" s="284">
        <v>1</v>
      </c>
      <c r="C103" s="90">
        <v>785</v>
      </c>
      <c r="D103" s="90"/>
      <c r="E103" s="90">
        <v>47.12</v>
      </c>
      <c r="F103" s="98">
        <v>832.12</v>
      </c>
      <c r="G103" s="199">
        <f t="shared" si="7"/>
        <v>832.12</v>
      </c>
      <c r="H103" s="364">
        <f t="shared" si="8"/>
        <v>1032.5777079999998</v>
      </c>
      <c r="I103" s="523">
        <f>ROUND((C103+D103+E103)*('29_01_H_2020'!$O$14)*B103*12*(1+'29_01_H_2020'!$O$17),2)</f>
        <v>3133.38</v>
      </c>
      <c r="M103" s="535"/>
    </row>
    <row r="104" spans="1:13" s="201" customFormat="1">
      <c r="A104" s="188" t="s">
        <v>40</v>
      </c>
      <c r="B104" s="284">
        <v>1.5</v>
      </c>
      <c r="C104" s="90">
        <v>692</v>
      </c>
      <c r="D104" s="90"/>
      <c r="E104" s="90">
        <v>20.76</v>
      </c>
      <c r="F104" s="98">
        <v>1069.1400000000001</v>
      </c>
      <c r="G104" s="199">
        <f t="shared" si="7"/>
        <v>1603.71</v>
      </c>
      <c r="H104" s="364">
        <f t="shared" si="8"/>
        <v>1990.043739</v>
      </c>
      <c r="I104" s="523">
        <f>ROUND((C104+D104+E104)*('29_01_H_2020'!$O$14)*B104*12*(1+'29_01_H_2020'!$O$17),2)</f>
        <v>4025.89</v>
      </c>
      <c r="M104" s="535"/>
    </row>
    <row r="105" spans="1:13" s="201" customFormat="1">
      <c r="A105" s="188" t="s">
        <v>40</v>
      </c>
      <c r="B105" s="284">
        <v>1</v>
      </c>
      <c r="C105" s="90">
        <v>785</v>
      </c>
      <c r="D105" s="90"/>
      <c r="E105" s="90">
        <v>102.05</v>
      </c>
      <c r="F105" s="98">
        <v>887.05</v>
      </c>
      <c r="G105" s="199">
        <f t="shared" si="7"/>
        <v>887.05</v>
      </c>
      <c r="H105" s="364">
        <f t="shared" si="8"/>
        <v>1100.7403449999999</v>
      </c>
      <c r="I105" s="523">
        <f>ROUND((C105+D105+E105)*('29_01_H_2020'!$O$14)*B105*12*(1+'29_01_H_2020'!$O$17),2)</f>
        <v>3340.22</v>
      </c>
      <c r="M105" s="535"/>
    </row>
    <row r="106" spans="1:13" s="201" customFormat="1">
      <c r="A106" s="188" t="s">
        <v>40</v>
      </c>
      <c r="B106" s="284">
        <v>1</v>
      </c>
      <c r="C106" s="90">
        <v>785</v>
      </c>
      <c r="D106" s="90"/>
      <c r="E106" s="90">
        <v>102.05</v>
      </c>
      <c r="F106" s="98">
        <v>887.05</v>
      </c>
      <c r="G106" s="199">
        <f t="shared" si="7"/>
        <v>887.05</v>
      </c>
      <c r="H106" s="364">
        <f t="shared" si="8"/>
        <v>1100.7403449999999</v>
      </c>
      <c r="I106" s="523">
        <f>ROUND((C106+D106+E106)*('29_01_H_2020'!$O$14)*B106*12*(1+'29_01_H_2020'!$O$17),2)</f>
        <v>3340.22</v>
      </c>
      <c r="M106" s="535"/>
    </row>
    <row r="107" spans="1:13" s="201" customFormat="1">
      <c r="A107" s="188" t="s">
        <v>40</v>
      </c>
      <c r="B107" s="284">
        <v>0.5</v>
      </c>
      <c r="C107" s="90">
        <v>692</v>
      </c>
      <c r="D107" s="90"/>
      <c r="E107" s="90">
        <v>89.96</v>
      </c>
      <c r="F107" s="98">
        <v>390.98</v>
      </c>
      <c r="G107" s="199">
        <f t="shared" si="7"/>
        <v>195.49</v>
      </c>
      <c r="H107" s="364">
        <f t="shared" si="8"/>
        <v>242.583541</v>
      </c>
      <c r="I107" s="523">
        <f>ROUND((C107+D107+E107)*('29_01_H_2020'!$O$14)*B107*12*(1+'29_01_H_2020'!$O$17),2)</f>
        <v>1472.25</v>
      </c>
      <c r="M107" s="535"/>
    </row>
    <row r="108" spans="1:13" s="201" customFormat="1">
      <c r="A108" s="188" t="s">
        <v>40</v>
      </c>
      <c r="B108" s="284">
        <v>2</v>
      </c>
      <c r="C108" s="90">
        <v>785</v>
      </c>
      <c r="D108" s="90"/>
      <c r="E108" s="90">
        <v>196.25</v>
      </c>
      <c r="F108" s="98">
        <v>1962.5</v>
      </c>
      <c r="G108" s="199">
        <f t="shared" si="7"/>
        <v>3925</v>
      </c>
      <c r="H108" s="364">
        <f t="shared" si="8"/>
        <v>4870.5324999999993</v>
      </c>
      <c r="I108" s="523">
        <f>ROUND((C108+D108+E108)*('29_01_H_2020'!$O$14)*B108*12*(1+'29_01_H_2020'!$O$17),2)</f>
        <v>7389.87</v>
      </c>
      <c r="M108" s="535"/>
    </row>
    <row r="109" spans="1:13" s="201" customFormat="1">
      <c r="A109" s="188" t="s">
        <v>40</v>
      </c>
      <c r="B109" s="284">
        <v>0.5</v>
      </c>
      <c r="C109" s="90">
        <v>692</v>
      </c>
      <c r="D109" s="90"/>
      <c r="E109" s="90">
        <v>69.2</v>
      </c>
      <c r="F109" s="98">
        <v>380.6</v>
      </c>
      <c r="G109" s="199">
        <f t="shared" si="7"/>
        <v>190.3</v>
      </c>
      <c r="H109" s="364">
        <f t="shared" si="8"/>
        <v>236.14327</v>
      </c>
      <c r="I109" s="523">
        <f>ROUND((C109+D109+E109)*('29_01_H_2020'!$O$14)*B109*12*(1+'29_01_H_2020'!$O$17),2)</f>
        <v>1433.16</v>
      </c>
      <c r="M109" s="535"/>
    </row>
    <row r="110" spans="1:13" s="201" customFormat="1">
      <c r="A110" s="188" t="s">
        <v>40</v>
      </c>
      <c r="B110" s="284">
        <v>1</v>
      </c>
      <c r="C110" s="90">
        <v>743</v>
      </c>
      <c r="D110" s="90"/>
      <c r="E110" s="90">
        <v>74</v>
      </c>
      <c r="F110" s="98">
        <v>817</v>
      </c>
      <c r="G110" s="199">
        <f t="shared" si="7"/>
        <v>817</v>
      </c>
      <c r="H110" s="364">
        <f t="shared" si="8"/>
        <v>1013.8152999999999</v>
      </c>
      <c r="I110" s="523">
        <f>ROUND((C110+D110+E110)*('29_01_H_2020'!$O$14)*B110*12*(1+'29_01_H_2020'!$O$17),2)</f>
        <v>3076.45</v>
      </c>
      <c r="M110" s="535"/>
    </row>
    <row r="111" spans="1:13" s="201" customFormat="1">
      <c r="A111" s="188" t="s">
        <v>40</v>
      </c>
      <c r="B111" s="284">
        <v>1.6</v>
      </c>
      <c r="C111" s="90">
        <v>785</v>
      </c>
      <c r="D111" s="90"/>
      <c r="E111" s="90">
        <v>172.7</v>
      </c>
      <c r="F111" s="98">
        <v>1532.32</v>
      </c>
      <c r="G111" s="199">
        <f t="shared" si="7"/>
        <v>2451.712</v>
      </c>
      <c r="H111" s="364">
        <f t="shared" si="8"/>
        <v>3042.3294207999998</v>
      </c>
      <c r="I111" s="523">
        <f>ROUND((C111+D111+E111)*('29_01_H_2020'!$O$14)*B111*12*(1+'29_01_H_2020'!$O$17),2)</f>
        <v>5770.01</v>
      </c>
      <c r="M111" s="535"/>
    </row>
    <row r="112" spans="1:13" s="201" customFormat="1">
      <c r="A112" s="188" t="s">
        <v>40</v>
      </c>
      <c r="B112" s="284">
        <v>0.5</v>
      </c>
      <c r="C112" s="90">
        <v>785</v>
      </c>
      <c r="D112" s="90"/>
      <c r="E112" s="90">
        <v>211.95</v>
      </c>
      <c r="F112" s="98">
        <v>498.48</v>
      </c>
      <c r="G112" s="199">
        <f t="shared" si="7"/>
        <v>249.24</v>
      </c>
      <c r="H112" s="364">
        <f t="shared" si="8"/>
        <v>309.28191599999997</v>
      </c>
      <c r="I112" s="523">
        <f>ROUND((C112+D112+E112)*('29_01_H_2020'!$O$14)*B112*12*(1+'29_01_H_2020'!$O$17),2)</f>
        <v>1877.03</v>
      </c>
      <c r="M112" s="535"/>
    </row>
    <row r="113" spans="1:13" s="201" customFormat="1">
      <c r="A113" s="188" t="s">
        <v>40</v>
      </c>
      <c r="B113" s="284">
        <v>1</v>
      </c>
      <c r="C113" s="90">
        <v>785</v>
      </c>
      <c r="D113" s="90"/>
      <c r="E113" s="90">
        <v>251.2</v>
      </c>
      <c r="F113" s="98">
        <v>1036.2</v>
      </c>
      <c r="G113" s="199">
        <f t="shared" si="7"/>
        <v>1036.2</v>
      </c>
      <c r="H113" s="364">
        <f t="shared" si="8"/>
        <v>1285.8205799999998</v>
      </c>
      <c r="I113" s="523">
        <f>ROUND((C113+D113+E113)*('29_01_H_2020'!$O$14)*B113*12*(1+'29_01_H_2020'!$O$17),2)</f>
        <v>3901.85</v>
      </c>
      <c r="M113" s="535"/>
    </row>
    <row r="114" spans="1:13" s="201" customFormat="1">
      <c r="A114" s="188" t="s">
        <v>40</v>
      </c>
      <c r="B114" s="284">
        <v>0.5</v>
      </c>
      <c r="C114" s="90">
        <v>700</v>
      </c>
      <c r="D114" s="90"/>
      <c r="E114" s="90"/>
      <c r="F114" s="98">
        <v>350</v>
      </c>
      <c r="G114" s="199">
        <f t="shared" si="7"/>
        <v>175</v>
      </c>
      <c r="H114" s="364">
        <f t="shared" si="8"/>
        <v>217.15749999999997</v>
      </c>
      <c r="I114" s="523">
        <f>ROUND((C114+D114+E114)*('29_01_H_2020'!$O$14)*B114*12*(1+'29_01_H_2020'!$O$17),2)</f>
        <v>1317.94</v>
      </c>
      <c r="M114" s="535"/>
    </row>
    <row r="115" spans="1:13" s="201" customFormat="1">
      <c r="A115" s="188" t="s">
        <v>40</v>
      </c>
      <c r="B115" s="284">
        <v>0.5</v>
      </c>
      <c r="C115" s="90">
        <v>692</v>
      </c>
      <c r="D115" s="90"/>
      <c r="E115" s="90">
        <v>69.2</v>
      </c>
      <c r="F115" s="98">
        <v>380.6</v>
      </c>
      <c r="G115" s="199">
        <f t="shared" si="7"/>
        <v>190.3</v>
      </c>
      <c r="H115" s="364">
        <f t="shared" si="8"/>
        <v>236.14327</v>
      </c>
      <c r="I115" s="523">
        <f>ROUND((C115+D115+E115)*('29_01_H_2020'!$O$14)*B115*12*(1+'29_01_H_2020'!$O$17),2)</f>
        <v>1433.16</v>
      </c>
      <c r="M115" s="535"/>
    </row>
    <row r="116" spans="1:13" s="201" customFormat="1">
      <c r="A116" s="188" t="s">
        <v>40</v>
      </c>
      <c r="B116" s="284">
        <v>2</v>
      </c>
      <c r="C116" s="90">
        <v>765</v>
      </c>
      <c r="D116" s="90"/>
      <c r="E116" s="90">
        <v>76.5</v>
      </c>
      <c r="F116" s="98">
        <v>1683</v>
      </c>
      <c r="G116" s="199">
        <f t="shared" si="7"/>
        <v>3366</v>
      </c>
      <c r="H116" s="364">
        <f t="shared" si="8"/>
        <v>4176.8693999999996</v>
      </c>
      <c r="I116" s="523">
        <f>ROUND((C116+D116+E116)*('29_01_H_2020'!$O$14)*B116*12*(1+'29_01_H_2020'!$O$17),2)</f>
        <v>6337.4</v>
      </c>
      <c r="M116" s="535"/>
    </row>
    <row r="117" spans="1:13" s="201" customFormat="1">
      <c r="A117" s="188" t="s">
        <v>40</v>
      </c>
      <c r="B117" s="284">
        <v>1</v>
      </c>
      <c r="C117" s="90">
        <v>692</v>
      </c>
      <c r="D117" s="90"/>
      <c r="E117" s="90">
        <v>89.96</v>
      </c>
      <c r="F117" s="98">
        <v>781.96</v>
      </c>
      <c r="G117" s="199">
        <f t="shared" si="7"/>
        <v>781.96</v>
      </c>
      <c r="H117" s="364">
        <f t="shared" si="8"/>
        <v>970.33416399999999</v>
      </c>
      <c r="I117" s="523">
        <f>ROUND((C117+D117+E117)*('29_01_H_2020'!$O$14)*B117*12*(1+'29_01_H_2020'!$O$17),2)</f>
        <v>2944.5</v>
      </c>
      <c r="M117" s="535"/>
    </row>
    <row r="118" spans="1:13" s="201" customFormat="1">
      <c r="A118" s="188" t="s">
        <v>40</v>
      </c>
      <c r="B118" s="284">
        <v>0.5</v>
      </c>
      <c r="C118" s="90">
        <v>785</v>
      </c>
      <c r="D118" s="90"/>
      <c r="E118" s="90">
        <v>196.25</v>
      </c>
      <c r="F118" s="98">
        <v>490.63</v>
      </c>
      <c r="G118" s="199">
        <f t="shared" si="7"/>
        <v>245.315</v>
      </c>
      <c r="H118" s="364">
        <f t="shared" si="8"/>
        <v>304.41138349999994</v>
      </c>
      <c r="I118" s="523">
        <f>ROUND((C118+D118+E118)*('29_01_H_2020'!$O$14)*B118*12*(1+'29_01_H_2020'!$O$17),2)</f>
        <v>1847.47</v>
      </c>
      <c r="M118" s="535"/>
    </row>
    <row r="119" spans="1:13" s="201" customFormat="1">
      <c r="A119" s="188" t="s">
        <v>40</v>
      </c>
      <c r="B119" s="284">
        <v>1</v>
      </c>
      <c r="C119" s="90">
        <v>692</v>
      </c>
      <c r="D119" s="90"/>
      <c r="E119" s="90">
        <v>138.4</v>
      </c>
      <c r="F119" s="98">
        <v>830.4</v>
      </c>
      <c r="G119" s="199">
        <f t="shared" si="7"/>
        <v>830.4</v>
      </c>
      <c r="H119" s="364">
        <f t="shared" si="8"/>
        <v>1030.44336</v>
      </c>
      <c r="I119" s="523">
        <f>ROUND((C119+D119+E119)*('29_01_H_2020'!$O$14)*B119*12*(1+'29_01_H_2020'!$O$17),2)</f>
        <v>3126.9</v>
      </c>
      <c r="M119" s="535"/>
    </row>
    <row r="120" spans="1:13" s="201" customFormat="1">
      <c r="A120" s="188" t="s">
        <v>40</v>
      </c>
      <c r="B120" s="284">
        <v>1</v>
      </c>
      <c r="C120" s="90">
        <v>785</v>
      </c>
      <c r="D120" s="90"/>
      <c r="E120" s="90">
        <v>157</v>
      </c>
      <c r="F120" s="98">
        <v>942</v>
      </c>
      <c r="G120" s="199">
        <f t="shared" si="7"/>
        <v>942</v>
      </c>
      <c r="H120" s="364">
        <f t="shared" si="8"/>
        <v>1168.9277999999999</v>
      </c>
      <c r="I120" s="523">
        <f>ROUND((C120+D120+E120)*('29_01_H_2020'!$O$14)*B120*12*(1+'29_01_H_2020'!$O$17),2)</f>
        <v>3547.14</v>
      </c>
      <c r="M120" s="535"/>
    </row>
    <row r="121" spans="1:13" s="201" customFormat="1">
      <c r="A121" s="188" t="s">
        <v>40</v>
      </c>
      <c r="B121" s="284">
        <v>1</v>
      </c>
      <c r="C121" s="90">
        <v>713.8</v>
      </c>
      <c r="D121" s="90"/>
      <c r="E121" s="90">
        <v>85.72</v>
      </c>
      <c r="F121" s="98">
        <v>799.52</v>
      </c>
      <c r="G121" s="199">
        <f t="shared" si="7"/>
        <v>799.52</v>
      </c>
      <c r="H121" s="364">
        <f t="shared" si="8"/>
        <v>992.12436799999989</v>
      </c>
      <c r="I121" s="523">
        <f>ROUND((C121+D121+E121)*('29_01_H_2020'!$O$14)*B121*12*(1+'29_01_H_2020'!$O$17),2)</f>
        <v>3010.62</v>
      </c>
      <c r="M121" s="535"/>
    </row>
    <row r="122" spans="1:13" s="201" customFormat="1">
      <c r="A122" s="188" t="s">
        <v>40</v>
      </c>
      <c r="B122" s="284">
        <v>1</v>
      </c>
      <c r="C122" s="90">
        <v>692</v>
      </c>
      <c r="D122" s="90"/>
      <c r="E122" s="90"/>
      <c r="F122" s="98">
        <v>692</v>
      </c>
      <c r="G122" s="199">
        <f t="shared" si="7"/>
        <v>692</v>
      </c>
      <c r="H122" s="364">
        <f t="shared" si="8"/>
        <v>858.70279999999991</v>
      </c>
      <c r="I122" s="523">
        <f>ROUND((C122+D122+E122)*('29_01_H_2020'!$O$14)*B122*12*(1+'29_01_H_2020'!$O$17),2)</f>
        <v>2605.75</v>
      </c>
      <c r="M122" s="535"/>
    </row>
    <row r="123" spans="1:13" s="201" customFormat="1">
      <c r="A123" s="188" t="s">
        <v>40</v>
      </c>
      <c r="B123" s="284">
        <v>1</v>
      </c>
      <c r="C123" s="90">
        <v>785</v>
      </c>
      <c r="D123" s="90"/>
      <c r="E123" s="90"/>
      <c r="F123" s="98">
        <v>785</v>
      </c>
      <c r="G123" s="199">
        <f t="shared" si="7"/>
        <v>785</v>
      </c>
      <c r="H123" s="364">
        <f t="shared" si="8"/>
        <v>974.10649999999987</v>
      </c>
      <c r="I123" s="523">
        <f>ROUND((C123+D123+E123)*('29_01_H_2020'!$O$14)*B123*12*(1+'29_01_H_2020'!$O$17),2)</f>
        <v>2955.95</v>
      </c>
      <c r="M123" s="535"/>
    </row>
    <row r="124" spans="1:13" s="201" customFormat="1">
      <c r="A124" s="188" t="s">
        <v>40</v>
      </c>
      <c r="B124" s="284">
        <v>1.5</v>
      </c>
      <c r="C124" s="90">
        <v>850.83</v>
      </c>
      <c r="D124" s="90"/>
      <c r="E124" s="90"/>
      <c r="F124" s="98">
        <v>1276.25</v>
      </c>
      <c r="G124" s="199">
        <f t="shared" si="7"/>
        <v>1914.375</v>
      </c>
      <c r="H124" s="364">
        <f t="shared" si="8"/>
        <v>2375.5479375</v>
      </c>
      <c r="I124" s="523">
        <f>ROUND((C124+D124+E124)*('29_01_H_2020'!$O$14)*B124*12*(1+'29_01_H_2020'!$O$17),2)</f>
        <v>4805.75</v>
      </c>
      <c r="M124" s="535"/>
    </row>
    <row r="125" spans="1:13" s="201" customFormat="1">
      <c r="A125" s="188" t="s">
        <v>40</v>
      </c>
      <c r="B125" s="284">
        <v>1</v>
      </c>
      <c r="C125" s="90">
        <v>785</v>
      </c>
      <c r="D125" s="90"/>
      <c r="E125" s="90">
        <v>78.5</v>
      </c>
      <c r="F125" s="98">
        <v>863.5</v>
      </c>
      <c r="G125" s="199">
        <f t="shared" si="7"/>
        <v>863.5</v>
      </c>
      <c r="H125" s="364">
        <f t="shared" si="8"/>
        <v>1071.5171499999999</v>
      </c>
      <c r="I125" s="523">
        <f>ROUND((C125+D125+E125)*('29_01_H_2020'!$O$14)*B125*12*(1+'29_01_H_2020'!$O$17),2)</f>
        <v>3251.54</v>
      </c>
      <c r="M125" s="535"/>
    </row>
    <row r="126" spans="1:13" s="201" customFormat="1">
      <c r="A126" s="188" t="s">
        <v>40</v>
      </c>
      <c r="B126" s="284">
        <v>1</v>
      </c>
      <c r="C126" s="90">
        <v>629</v>
      </c>
      <c r="D126" s="90"/>
      <c r="E126" s="90">
        <v>63</v>
      </c>
      <c r="F126" s="98">
        <v>692</v>
      </c>
      <c r="G126" s="199">
        <f t="shared" si="7"/>
        <v>692</v>
      </c>
      <c r="H126" s="364">
        <f t="shared" si="8"/>
        <v>858.70279999999991</v>
      </c>
      <c r="I126" s="523">
        <f>ROUND((C126+D126+E126)*('29_01_H_2020'!$O$14)*B126*12*(1+'29_01_H_2020'!$O$17),2)</f>
        <v>2605.75</v>
      </c>
      <c r="M126" s="535"/>
    </row>
    <row r="127" spans="1:13" s="201" customFormat="1">
      <c r="A127" s="188" t="s">
        <v>40</v>
      </c>
      <c r="B127" s="284">
        <v>0.4</v>
      </c>
      <c r="C127" s="90">
        <v>529</v>
      </c>
      <c r="D127" s="90"/>
      <c r="E127" s="90">
        <v>86</v>
      </c>
      <c r="F127" s="98">
        <v>246</v>
      </c>
      <c r="G127" s="199">
        <f t="shared" si="7"/>
        <v>98.4</v>
      </c>
      <c r="H127" s="364">
        <f t="shared" si="8"/>
        <v>122.10455999999999</v>
      </c>
      <c r="I127" s="523">
        <f>ROUND((C127+D127+E127)*('29_01_H_2020'!$O$14)*B127*12*(1+'29_01_H_2020'!$O$17),2)</f>
        <v>926.32</v>
      </c>
      <c r="M127" s="535"/>
    </row>
    <row r="128" spans="1:13" s="201" customFormat="1">
      <c r="A128" s="188" t="s">
        <v>40</v>
      </c>
      <c r="B128" s="284">
        <v>0.625</v>
      </c>
      <c r="C128" s="90">
        <v>692</v>
      </c>
      <c r="D128" s="90"/>
      <c r="E128" s="90">
        <v>6.92</v>
      </c>
      <c r="F128" s="98">
        <v>436.83</v>
      </c>
      <c r="G128" s="199">
        <f t="shared" si="7"/>
        <v>273.01875000000001</v>
      </c>
      <c r="H128" s="364">
        <f t="shared" si="8"/>
        <v>338.78896687499997</v>
      </c>
      <c r="I128" s="523">
        <f>ROUND((C128+D128+E128)*('29_01_H_2020'!$O$14)*B128*12*(1+'29_01_H_2020'!$O$17),2)</f>
        <v>1644.88</v>
      </c>
      <c r="M128" s="535"/>
    </row>
    <row r="129" spans="1:13" s="201" customFormat="1">
      <c r="A129" s="188" t="s">
        <v>40</v>
      </c>
      <c r="B129" s="284">
        <v>0.67500000000000004</v>
      </c>
      <c r="C129" s="90">
        <v>785</v>
      </c>
      <c r="D129" s="90"/>
      <c r="E129" s="90">
        <v>23.55</v>
      </c>
      <c r="F129" s="98">
        <v>545.77</v>
      </c>
      <c r="G129" s="199">
        <f t="shared" si="7"/>
        <v>368.39474999999999</v>
      </c>
      <c r="H129" s="364">
        <f t="shared" si="8"/>
        <v>457.14104527499995</v>
      </c>
      <c r="I129" s="523">
        <f>ROUND((C129+D129+E129)*('29_01_H_2020'!$O$14)*B129*12*(1+'29_01_H_2020'!$O$17),2)</f>
        <v>2055.12</v>
      </c>
      <c r="M129" s="535"/>
    </row>
    <row r="130" spans="1:13" s="201" customFormat="1">
      <c r="A130" s="188" t="s">
        <v>40</v>
      </c>
      <c r="B130" s="284">
        <v>1.365</v>
      </c>
      <c r="C130" s="90">
        <v>692</v>
      </c>
      <c r="D130" s="90"/>
      <c r="E130" s="90">
        <v>62.28</v>
      </c>
      <c r="F130" s="98">
        <v>1029.5899999999999</v>
      </c>
      <c r="G130" s="199">
        <f t="shared" si="7"/>
        <v>1405.3903499999999</v>
      </c>
      <c r="H130" s="364">
        <f t="shared" si="8"/>
        <v>1743.9488853149996</v>
      </c>
      <c r="I130" s="523">
        <f>ROUND((C130+D130+E130)*('29_01_H_2020'!$O$14)*B130*12*(1+'29_01_H_2020'!$O$17),2)</f>
        <v>3876.97</v>
      </c>
      <c r="M130" s="535"/>
    </row>
    <row r="131" spans="1:13" s="201" customFormat="1">
      <c r="A131" s="188" t="s">
        <v>40</v>
      </c>
      <c r="B131" s="284">
        <v>0.92500000000000004</v>
      </c>
      <c r="C131" s="90">
        <v>692</v>
      </c>
      <c r="D131" s="90"/>
      <c r="E131" s="90">
        <v>62.25</v>
      </c>
      <c r="F131" s="98">
        <v>697.68</v>
      </c>
      <c r="G131" s="199">
        <f t="shared" si="7"/>
        <v>645.35399999999993</v>
      </c>
      <c r="H131" s="364">
        <f t="shared" si="8"/>
        <v>800.81977859999984</v>
      </c>
      <c r="I131" s="523">
        <f>ROUND((C131+D131+E131)*('29_01_H_2020'!$O$14)*B131*12*(1+'29_01_H_2020'!$O$17),2)</f>
        <v>2627.15</v>
      </c>
      <c r="M131" s="535"/>
    </row>
    <row r="132" spans="1:13" s="201" customFormat="1">
      <c r="A132" s="188" t="s">
        <v>40</v>
      </c>
      <c r="B132" s="284">
        <v>1.6</v>
      </c>
      <c r="C132" s="90">
        <v>825</v>
      </c>
      <c r="D132" s="90"/>
      <c r="E132" s="90"/>
      <c r="F132" s="98">
        <v>1320</v>
      </c>
      <c r="G132" s="199">
        <f t="shared" si="7"/>
        <v>2112</v>
      </c>
      <c r="H132" s="364">
        <f t="shared" si="8"/>
        <v>2620.7807999999995</v>
      </c>
      <c r="I132" s="523">
        <f>ROUND((C132+D132+E132)*('29_01_H_2020'!$O$14)*B132*12*(1+'29_01_H_2020'!$O$17),2)</f>
        <v>4970.51</v>
      </c>
      <c r="M132" s="535"/>
    </row>
    <row r="133" spans="1:13" s="201" customFormat="1">
      <c r="A133" s="188" t="s">
        <v>40</v>
      </c>
      <c r="B133" s="284">
        <v>2.5</v>
      </c>
      <c r="C133" s="90">
        <v>863</v>
      </c>
      <c r="D133" s="90"/>
      <c r="E133" s="90">
        <v>21.42</v>
      </c>
      <c r="F133" s="98">
        <v>2211.0500000000002</v>
      </c>
      <c r="G133" s="199">
        <f t="shared" si="7"/>
        <v>5527.625</v>
      </c>
      <c r="H133" s="364">
        <v>615.99</v>
      </c>
      <c r="I133" s="523">
        <f>ROUND((C133+D133+E133)*('29_01_H_2020'!$O$14)*B133*12*(1+'29_01_H_2020'!$O$17),2)</f>
        <v>8325.7999999999993</v>
      </c>
      <c r="M133" s="535"/>
    </row>
    <row r="134" spans="1:13" s="201" customFormat="1">
      <c r="A134" s="188" t="s">
        <v>40</v>
      </c>
      <c r="B134" s="284">
        <v>1.75</v>
      </c>
      <c r="C134" s="90">
        <v>638</v>
      </c>
      <c r="D134" s="90"/>
      <c r="E134" s="90"/>
      <c r="F134" s="98">
        <v>1116.5</v>
      </c>
      <c r="G134" s="199">
        <f t="shared" si="7"/>
        <v>1953.875</v>
      </c>
      <c r="H134" s="364">
        <f t="shared" si="8"/>
        <v>2424.5634874999996</v>
      </c>
      <c r="I134" s="523">
        <f>ROUND((C134+D134+E134)*('29_01_H_2020'!$O$14)*B134*12*(1+'29_01_H_2020'!$O$17),2)</f>
        <v>4204.2299999999996</v>
      </c>
      <c r="M134" s="535"/>
    </row>
    <row r="135" spans="1:13" s="201" customFormat="1">
      <c r="A135" s="188" t="s">
        <v>40</v>
      </c>
      <c r="B135" s="284">
        <v>1</v>
      </c>
      <c r="C135" s="90">
        <v>470</v>
      </c>
      <c r="D135" s="90"/>
      <c r="E135" s="90"/>
      <c r="F135" s="98">
        <v>470</v>
      </c>
      <c r="G135" s="199">
        <f t="shared" si="7"/>
        <v>470</v>
      </c>
      <c r="H135" s="364">
        <f t="shared" si="8"/>
        <v>583.22299999999996</v>
      </c>
      <c r="I135" s="523">
        <f>ROUND((C135+D135+E135)*('29_01_H_2020'!$O$14)*B135*12*(1+'29_01_H_2020'!$O$17),2)</f>
        <v>1769.8</v>
      </c>
      <c r="M135" s="535"/>
    </row>
    <row r="136" spans="1:13" s="201" customFormat="1">
      <c r="A136" s="188" t="s">
        <v>40</v>
      </c>
      <c r="B136" s="284">
        <v>2.8</v>
      </c>
      <c r="C136" s="90">
        <v>760</v>
      </c>
      <c r="D136" s="90"/>
      <c r="E136" s="90"/>
      <c r="F136" s="98">
        <v>2128</v>
      </c>
      <c r="G136" s="199">
        <f t="shared" si="7"/>
        <v>5958.4</v>
      </c>
      <c r="H136" s="364">
        <f t="shared" si="8"/>
        <v>7393.7785599999988</v>
      </c>
      <c r="I136" s="523">
        <f>ROUND((C136+D136+E136)*('29_01_H_2020'!$O$14)*B136*12*(1+'29_01_H_2020'!$O$17),2)</f>
        <v>8013.07</v>
      </c>
      <c r="M136" s="535"/>
    </row>
    <row r="137" spans="1:13" s="201" customFormat="1">
      <c r="A137" s="188" t="s">
        <v>40</v>
      </c>
      <c r="B137" s="284">
        <v>1</v>
      </c>
      <c r="C137" s="90">
        <v>785</v>
      </c>
      <c r="D137" s="90"/>
      <c r="E137" s="90">
        <v>196.25</v>
      </c>
      <c r="F137" s="98">
        <v>981.25</v>
      </c>
      <c r="G137" s="199">
        <f t="shared" si="7"/>
        <v>981.25</v>
      </c>
      <c r="H137" s="364">
        <f t="shared" si="8"/>
        <v>1217.6331249999998</v>
      </c>
      <c r="I137" s="523">
        <f>ROUND((C137+D137+E137)*('29_01_H_2020'!$O$14)*B137*12*(1+'29_01_H_2020'!$O$17),2)</f>
        <v>3694.94</v>
      </c>
      <c r="M137" s="535"/>
    </row>
    <row r="138" spans="1:13" s="201" customFormat="1">
      <c r="A138" s="188" t="s">
        <v>40</v>
      </c>
      <c r="B138" s="284">
        <v>2.2999999999999998</v>
      </c>
      <c r="C138" s="90">
        <v>785</v>
      </c>
      <c r="D138" s="90"/>
      <c r="E138" s="90">
        <v>78.5</v>
      </c>
      <c r="F138" s="98">
        <v>1986.05</v>
      </c>
      <c r="G138" s="199">
        <f t="shared" si="7"/>
        <v>4567.915</v>
      </c>
      <c r="H138" s="364">
        <f t="shared" si="8"/>
        <v>5668.3257234999992</v>
      </c>
      <c r="I138" s="523">
        <f>ROUND((C138+D138+E138)*('29_01_H_2020'!$O$14)*B138*12*(1+'29_01_H_2020'!$O$17),2)</f>
        <v>7478.55</v>
      </c>
      <c r="M138" s="535"/>
    </row>
    <row r="139" spans="1:13" s="201" customFormat="1">
      <c r="A139" s="188" t="s">
        <v>646</v>
      </c>
      <c r="B139" s="284">
        <v>1</v>
      </c>
      <c r="C139" s="90">
        <v>785</v>
      </c>
      <c r="D139" s="90"/>
      <c r="E139" s="90">
        <v>78.5</v>
      </c>
      <c r="F139" s="98">
        <v>863.5</v>
      </c>
      <c r="G139" s="199">
        <f t="shared" si="7"/>
        <v>863.5</v>
      </c>
      <c r="H139" s="364">
        <f t="shared" si="8"/>
        <v>1071.5171499999999</v>
      </c>
      <c r="I139" s="523">
        <f>ROUND((C139+D139+E139)*('29_01_H_2020'!$O$14)*B139*12*(1+'29_01_H_2020'!$O$17),2)</f>
        <v>3251.54</v>
      </c>
      <c r="M139" s="535"/>
    </row>
    <row r="140" spans="1:13" s="201" customFormat="1">
      <c r="A140" s="188" t="s">
        <v>647</v>
      </c>
      <c r="B140" s="284">
        <v>3.75</v>
      </c>
      <c r="C140" s="90">
        <v>692</v>
      </c>
      <c r="D140" s="90"/>
      <c r="E140" s="90"/>
      <c r="F140" s="98">
        <v>2595</v>
      </c>
      <c r="G140" s="199">
        <f t="shared" si="7"/>
        <v>9731.25</v>
      </c>
      <c r="H140" s="364">
        <f t="shared" si="8"/>
        <v>12075.508124999998</v>
      </c>
      <c r="I140" s="523">
        <f>ROUND((C140+D140+E140)*('29_01_H_2020'!$O$14)*B140*12*(1+'29_01_H_2020'!$O$17),2)</f>
        <v>9771.58</v>
      </c>
      <c r="M140" s="535"/>
    </row>
    <row r="141" spans="1:13" s="201" customFormat="1">
      <c r="A141" s="188" t="s">
        <v>647</v>
      </c>
      <c r="B141" s="284">
        <v>2</v>
      </c>
      <c r="C141" s="90">
        <v>750</v>
      </c>
      <c r="D141" s="90"/>
      <c r="E141" s="90"/>
      <c r="F141" s="98">
        <v>1500</v>
      </c>
      <c r="G141" s="199">
        <f t="shared" si="7"/>
        <v>3000</v>
      </c>
      <c r="H141" s="364">
        <f t="shared" si="8"/>
        <v>3722.7</v>
      </c>
      <c r="I141" s="523">
        <f>ROUND((C141+D141+E141)*('29_01_H_2020'!$O$14)*B141*12*(1+'29_01_H_2020'!$O$17),2)</f>
        <v>5648.31</v>
      </c>
      <c r="M141" s="535"/>
    </row>
    <row r="142" spans="1:13" s="201" customFormat="1">
      <c r="A142" s="188" t="s">
        <v>647</v>
      </c>
      <c r="B142" s="284">
        <v>1</v>
      </c>
      <c r="C142" s="90">
        <v>785</v>
      </c>
      <c r="D142" s="90"/>
      <c r="E142" s="90">
        <v>78.5</v>
      </c>
      <c r="F142" s="98">
        <v>863.5</v>
      </c>
      <c r="G142" s="199">
        <f t="shared" ref="G142:G162" si="9">+F142*B142</f>
        <v>863.5</v>
      </c>
      <c r="H142" s="364">
        <f t="shared" ref="H142:H162" si="10">+G142*1.2409</f>
        <v>1071.5171499999999</v>
      </c>
      <c r="I142" s="523">
        <f>ROUND((C142+D142+E142)*('29_01_H_2020'!$O$14)*B142*12*(1+'29_01_H_2020'!$O$17),2)</f>
        <v>3251.54</v>
      </c>
      <c r="M142" s="535"/>
    </row>
    <row r="143" spans="1:13" s="201" customFormat="1">
      <c r="A143" s="188" t="s">
        <v>647</v>
      </c>
      <c r="B143" s="284">
        <v>2</v>
      </c>
      <c r="C143" s="90">
        <v>785</v>
      </c>
      <c r="D143" s="90"/>
      <c r="E143" s="90">
        <v>274.75</v>
      </c>
      <c r="F143" s="98">
        <v>2119.5</v>
      </c>
      <c r="G143" s="199">
        <f t="shared" si="9"/>
        <v>4239</v>
      </c>
      <c r="H143" s="364">
        <f t="shared" si="10"/>
        <v>5260.1750999999995</v>
      </c>
      <c r="I143" s="523">
        <f>ROUND((C143+D143+E143)*('29_01_H_2020'!$O$14)*B143*12*(1+'29_01_H_2020'!$O$17),2)</f>
        <v>7981.06</v>
      </c>
      <c r="M143" s="535"/>
    </row>
    <row r="144" spans="1:13" s="201" customFormat="1">
      <c r="A144" s="188" t="s">
        <v>647</v>
      </c>
      <c r="B144" s="284">
        <v>1</v>
      </c>
      <c r="C144" s="90">
        <v>692</v>
      </c>
      <c r="D144" s="90"/>
      <c r="E144" s="90"/>
      <c r="F144" s="98">
        <v>692</v>
      </c>
      <c r="G144" s="199">
        <f t="shared" si="9"/>
        <v>692</v>
      </c>
      <c r="H144" s="364">
        <f t="shared" si="10"/>
        <v>858.70279999999991</v>
      </c>
      <c r="I144" s="523">
        <f>ROUND((C144+D144+E144)*('29_01_H_2020'!$O$14)*B144*12*(1+'29_01_H_2020'!$O$17),2)</f>
        <v>2605.75</v>
      </c>
      <c r="M144" s="535"/>
    </row>
    <row r="145" spans="1:13" s="201" customFormat="1">
      <c r="A145" s="188" t="s">
        <v>647</v>
      </c>
      <c r="B145" s="284">
        <v>1.5</v>
      </c>
      <c r="C145" s="90">
        <v>727</v>
      </c>
      <c r="D145" s="90"/>
      <c r="E145" s="90"/>
      <c r="F145" s="98">
        <v>1090.5</v>
      </c>
      <c r="G145" s="199">
        <f t="shared" si="9"/>
        <v>1635.75</v>
      </c>
      <c r="H145" s="364">
        <v>864.74</v>
      </c>
      <c r="I145" s="523">
        <f>ROUND((C145+D145+E145)*('29_01_H_2020'!$O$14)*B145*12*(1+'29_01_H_2020'!$O$17),2)</f>
        <v>4106.32</v>
      </c>
      <c r="M145" s="535"/>
    </row>
    <row r="146" spans="1:13" s="201" customFormat="1">
      <c r="A146" s="188" t="s">
        <v>268</v>
      </c>
      <c r="B146" s="284">
        <v>0.3</v>
      </c>
      <c r="C146" s="90">
        <v>599</v>
      </c>
      <c r="D146" s="90"/>
      <c r="E146" s="90">
        <v>59.9</v>
      </c>
      <c r="F146" s="98">
        <v>197.67</v>
      </c>
      <c r="G146" s="199">
        <f t="shared" si="9"/>
        <v>59.300999999999995</v>
      </c>
      <c r="H146" s="364">
        <f t="shared" si="10"/>
        <v>73.586610899999982</v>
      </c>
      <c r="I146" s="523">
        <f>ROUND((C146+D146+E146)*('29_01_H_2020'!$O$14)*B146*12*(1+'29_01_H_2020'!$O$17),2)</f>
        <v>744.33</v>
      </c>
      <c r="M146" s="535"/>
    </row>
    <row r="147" spans="1:13" s="201" customFormat="1">
      <c r="A147" s="188" t="s">
        <v>268</v>
      </c>
      <c r="B147" s="284">
        <v>0.7</v>
      </c>
      <c r="C147" s="90">
        <v>785</v>
      </c>
      <c r="D147" s="90"/>
      <c r="E147" s="90">
        <v>23.55</v>
      </c>
      <c r="F147" s="98">
        <v>565.99</v>
      </c>
      <c r="G147" s="199">
        <f t="shared" si="9"/>
        <v>396.19299999999998</v>
      </c>
      <c r="H147" s="364">
        <f t="shared" si="10"/>
        <v>491.63589369999994</v>
      </c>
      <c r="I147" s="523">
        <f>ROUND((C147+D147+E147)*('29_01_H_2020'!$O$14)*B147*12*(1+'29_01_H_2020'!$O$17),2)</f>
        <v>2131.2399999999998</v>
      </c>
      <c r="M147" s="535"/>
    </row>
    <row r="148" spans="1:13" s="201" customFormat="1">
      <c r="A148" s="188" t="s">
        <v>269</v>
      </c>
      <c r="B148" s="284">
        <v>1</v>
      </c>
      <c r="C148" s="90">
        <v>692</v>
      </c>
      <c r="D148" s="90"/>
      <c r="E148" s="90">
        <v>69.2</v>
      </c>
      <c r="F148" s="98">
        <v>761.2</v>
      </c>
      <c r="G148" s="199">
        <f t="shared" si="9"/>
        <v>761.2</v>
      </c>
      <c r="H148" s="364">
        <f t="shared" si="10"/>
        <v>944.57308</v>
      </c>
      <c r="I148" s="523">
        <f>ROUND((C148+D148+E148)*('29_01_H_2020'!$O$14)*B148*12*(1+'29_01_H_2020'!$O$17),2)</f>
        <v>2866.33</v>
      </c>
      <c r="M148" s="535"/>
    </row>
    <row r="149" spans="1:13" s="201" customFormat="1">
      <c r="A149" s="188" t="s">
        <v>269</v>
      </c>
      <c r="B149" s="284">
        <v>2.5499999999999998</v>
      </c>
      <c r="C149" s="90">
        <v>692</v>
      </c>
      <c r="D149" s="90"/>
      <c r="E149" s="90">
        <v>69.2</v>
      </c>
      <c r="F149" s="98">
        <v>1941.06</v>
      </c>
      <c r="G149" s="199">
        <f t="shared" si="9"/>
        <v>4949.7029999999995</v>
      </c>
      <c r="H149" s="364">
        <f t="shared" si="10"/>
        <v>6142.0864526999985</v>
      </c>
      <c r="I149" s="523">
        <f>ROUND((C149+D149+E149)*('29_01_H_2020'!$O$14)*B149*12*(1+'29_01_H_2020'!$O$17),2)</f>
        <v>7309.14</v>
      </c>
      <c r="M149" s="535"/>
    </row>
    <row r="150" spans="1:13" s="201" customFormat="1">
      <c r="A150" s="188" t="s">
        <v>269</v>
      </c>
      <c r="B150" s="284">
        <v>0.5</v>
      </c>
      <c r="C150" s="90">
        <v>700</v>
      </c>
      <c r="D150" s="90"/>
      <c r="E150" s="90">
        <v>226</v>
      </c>
      <c r="F150" s="98">
        <v>463</v>
      </c>
      <c r="G150" s="199">
        <f t="shared" si="9"/>
        <v>231.5</v>
      </c>
      <c r="H150" s="364">
        <f t="shared" si="10"/>
        <v>287.26835</v>
      </c>
      <c r="I150" s="523">
        <f>ROUND((C150+D150+E150)*('29_01_H_2020'!$O$14)*B150*12*(1+'29_01_H_2020'!$O$17),2)</f>
        <v>1743.45</v>
      </c>
      <c r="M150" s="535"/>
    </row>
    <row r="151" spans="1:13" s="201" customFormat="1">
      <c r="A151" s="188" t="s">
        <v>269</v>
      </c>
      <c r="B151" s="284">
        <v>1</v>
      </c>
      <c r="C151" s="90">
        <v>785</v>
      </c>
      <c r="D151" s="90"/>
      <c r="E151" s="90">
        <v>172.7</v>
      </c>
      <c r="F151" s="98">
        <v>957.7</v>
      </c>
      <c r="G151" s="199">
        <f t="shared" si="9"/>
        <v>957.7</v>
      </c>
      <c r="H151" s="364">
        <v>497.07</v>
      </c>
      <c r="I151" s="523">
        <f>ROUND((C151+D151+E151)*('29_01_H_2020'!$O$14)*B151*12*(1+'29_01_H_2020'!$O$17),2)</f>
        <v>3606.26</v>
      </c>
      <c r="M151" s="535"/>
    </row>
    <row r="152" spans="1:13" s="201" customFormat="1">
      <c r="A152" s="188" t="s">
        <v>269</v>
      </c>
      <c r="B152" s="284">
        <v>1</v>
      </c>
      <c r="C152" s="90">
        <v>692</v>
      </c>
      <c r="D152" s="90"/>
      <c r="E152" s="90">
        <v>221.44</v>
      </c>
      <c r="F152" s="98">
        <v>913.44</v>
      </c>
      <c r="G152" s="199">
        <f t="shared" si="9"/>
        <v>913.44</v>
      </c>
      <c r="H152" s="364">
        <f t="shared" si="10"/>
        <v>1133.4876959999999</v>
      </c>
      <c r="I152" s="523">
        <f>ROUND((C152+D152+E152)*('29_01_H_2020'!$O$14)*B152*12*(1+'29_01_H_2020'!$O$17),2)</f>
        <v>3439.59</v>
      </c>
      <c r="M152" s="535"/>
    </row>
    <row r="153" spans="1:13" s="201" customFormat="1">
      <c r="A153" s="188" t="s">
        <v>269</v>
      </c>
      <c r="B153" s="284">
        <v>0.8</v>
      </c>
      <c r="C153" s="90">
        <v>692</v>
      </c>
      <c r="D153" s="90"/>
      <c r="E153" s="90">
        <v>138.4</v>
      </c>
      <c r="F153" s="98">
        <v>664.32</v>
      </c>
      <c r="G153" s="199">
        <f t="shared" si="9"/>
        <v>531.45600000000002</v>
      </c>
      <c r="H153" s="364">
        <f t="shared" si="10"/>
        <v>659.48375039999996</v>
      </c>
      <c r="I153" s="523">
        <f>ROUND((C153+D153+E153)*('29_01_H_2020'!$O$14)*B153*12*(1+'29_01_H_2020'!$O$17),2)</f>
        <v>2501.52</v>
      </c>
      <c r="M153" s="535"/>
    </row>
    <row r="154" spans="1:13" s="201" customFormat="1">
      <c r="A154" s="188" t="s">
        <v>269</v>
      </c>
      <c r="B154" s="284">
        <v>1</v>
      </c>
      <c r="C154" s="90">
        <v>692</v>
      </c>
      <c r="D154" s="90"/>
      <c r="E154" s="90"/>
      <c r="F154" s="98">
        <v>692</v>
      </c>
      <c r="G154" s="199">
        <f t="shared" si="9"/>
        <v>692</v>
      </c>
      <c r="H154" s="364">
        <f t="shared" si="10"/>
        <v>858.70279999999991</v>
      </c>
      <c r="I154" s="523">
        <f>ROUND((C154+D154+E154)*('29_01_H_2020'!$O$14)*B154*12*(1+'29_01_H_2020'!$O$17),2)</f>
        <v>2605.75</v>
      </c>
      <c r="M154" s="535"/>
    </row>
    <row r="155" spans="1:13" s="201" customFormat="1">
      <c r="A155" s="188" t="s">
        <v>269</v>
      </c>
      <c r="B155" s="284">
        <v>0.5</v>
      </c>
      <c r="C155" s="90">
        <v>692</v>
      </c>
      <c r="D155" s="90"/>
      <c r="E155" s="90">
        <v>242.2</v>
      </c>
      <c r="F155" s="98">
        <v>467.1</v>
      </c>
      <c r="G155" s="199">
        <f t="shared" si="9"/>
        <v>233.55</v>
      </c>
      <c r="H155" s="364">
        <f t="shared" si="10"/>
        <v>289.81219499999997</v>
      </c>
      <c r="I155" s="523">
        <f>ROUND((C155+D155+E155)*('29_01_H_2020'!$O$14)*B155*12*(1+'29_01_H_2020'!$O$17),2)</f>
        <v>1758.88</v>
      </c>
      <c r="M155" s="535"/>
    </row>
    <row r="156" spans="1:13" s="201" customFormat="1">
      <c r="A156" s="188" t="s">
        <v>269</v>
      </c>
      <c r="B156" s="284">
        <v>0.17499999999999999</v>
      </c>
      <c r="C156" s="90">
        <v>713.85</v>
      </c>
      <c r="D156" s="90"/>
      <c r="E156" s="90">
        <v>80.180000000000007</v>
      </c>
      <c r="F156" s="98">
        <v>138.96</v>
      </c>
      <c r="G156" s="199">
        <f t="shared" si="9"/>
        <v>24.318000000000001</v>
      </c>
      <c r="H156" s="364">
        <f t="shared" si="10"/>
        <v>30.176206199999999</v>
      </c>
      <c r="I156" s="523">
        <f>ROUND((C156+D156+E156)*('29_01_H_2020'!$O$14)*B156*12*(1+'29_01_H_2020'!$O$17),2)</f>
        <v>523.24</v>
      </c>
      <c r="M156" s="535"/>
    </row>
    <row r="157" spans="1:13" s="201" customFormat="1">
      <c r="A157" s="188" t="s">
        <v>269</v>
      </c>
      <c r="B157" s="284">
        <v>0.3</v>
      </c>
      <c r="C157" s="90">
        <v>692</v>
      </c>
      <c r="D157" s="90"/>
      <c r="E157" s="90">
        <v>20.76</v>
      </c>
      <c r="F157" s="98">
        <v>213.83</v>
      </c>
      <c r="G157" s="199">
        <f t="shared" si="9"/>
        <v>64.149000000000001</v>
      </c>
      <c r="H157" s="364">
        <f t="shared" si="10"/>
        <v>79.602494100000001</v>
      </c>
      <c r="I157" s="523">
        <f>ROUND((C157+D157+E157)*('29_01_H_2020'!$O$14)*B157*12*(1+'29_01_H_2020'!$O$17),2)</f>
        <v>805.18</v>
      </c>
      <c r="M157" s="535"/>
    </row>
    <row r="158" spans="1:13" s="201" customFormat="1">
      <c r="A158" s="188" t="s">
        <v>269</v>
      </c>
      <c r="B158" s="284">
        <v>0.92500000000000004</v>
      </c>
      <c r="C158" s="90">
        <v>692</v>
      </c>
      <c r="D158" s="90"/>
      <c r="E158" s="90">
        <v>89.96</v>
      </c>
      <c r="F158" s="98">
        <v>723.31</v>
      </c>
      <c r="G158" s="199"/>
      <c r="H158" s="364"/>
      <c r="I158" s="523">
        <f>ROUND((C158+D158+E158)*('29_01_H_2020'!$O$14)*B158*12*(1+'29_01_H_2020'!$O$17),2)</f>
        <v>2723.66</v>
      </c>
      <c r="M158" s="535"/>
    </row>
    <row r="159" spans="1:13" s="201" customFormat="1">
      <c r="A159" s="188" t="s">
        <v>269</v>
      </c>
      <c r="B159" s="284">
        <v>0.5</v>
      </c>
      <c r="C159" s="90">
        <v>691</v>
      </c>
      <c r="D159" s="90"/>
      <c r="E159" s="90">
        <v>6.29</v>
      </c>
      <c r="F159" s="98">
        <v>348.65</v>
      </c>
      <c r="G159" s="199">
        <f t="shared" si="9"/>
        <v>174.32499999999999</v>
      </c>
      <c r="H159" s="364">
        <f t="shared" si="10"/>
        <v>216.31989249999998</v>
      </c>
      <c r="I159" s="523">
        <f>ROUND((C159+D159+E159)*('29_01_H_2020'!$O$14)*B159*12*(1+'29_01_H_2020'!$O$17),2)</f>
        <v>1312.84</v>
      </c>
      <c r="M159" s="535"/>
    </row>
    <row r="160" spans="1:13" s="201" customFormat="1">
      <c r="A160" s="188" t="s">
        <v>269</v>
      </c>
      <c r="B160" s="284">
        <v>2</v>
      </c>
      <c r="C160" s="90">
        <v>638</v>
      </c>
      <c r="D160" s="90"/>
      <c r="E160" s="90"/>
      <c r="F160" s="98">
        <v>1276</v>
      </c>
      <c r="G160" s="199">
        <f t="shared" si="9"/>
        <v>2552</v>
      </c>
      <c r="H160" s="364">
        <v>638.80999999999995</v>
      </c>
      <c r="I160" s="523">
        <f>ROUND((C160+D160+E160)*('29_01_H_2020'!$O$14)*B160*12*(1+'29_01_H_2020'!$O$17),2)</f>
        <v>4804.83</v>
      </c>
      <c r="M160" s="535"/>
    </row>
    <row r="161" spans="1:15" s="201" customFormat="1">
      <c r="A161" s="188" t="s">
        <v>269</v>
      </c>
      <c r="B161" s="284">
        <v>1</v>
      </c>
      <c r="C161" s="90">
        <v>800</v>
      </c>
      <c r="D161" s="90"/>
      <c r="E161" s="90"/>
      <c r="F161" s="98">
        <v>800</v>
      </c>
      <c r="G161" s="199">
        <f t="shared" si="9"/>
        <v>800</v>
      </c>
      <c r="H161" s="364">
        <f t="shared" si="10"/>
        <v>992.71999999999991</v>
      </c>
      <c r="I161" s="523">
        <f>ROUND((C161+D161+E161)*('29_01_H_2020'!$O$14)*B161*12*(1+'29_01_H_2020'!$O$17),2)</f>
        <v>3012.43</v>
      </c>
      <c r="M161" s="535"/>
    </row>
    <row r="162" spans="1:15">
      <c r="A162" s="188" t="s">
        <v>269</v>
      </c>
      <c r="B162" s="284">
        <v>1.5</v>
      </c>
      <c r="C162" s="202">
        <v>692</v>
      </c>
      <c r="D162" s="90"/>
      <c r="E162" s="90">
        <v>173</v>
      </c>
      <c r="F162" s="98">
        <v>1297.5</v>
      </c>
      <c r="G162" s="199">
        <f t="shared" si="9"/>
        <v>1946.25</v>
      </c>
      <c r="H162" s="359">
        <f t="shared" si="10"/>
        <v>2415.1016249999998</v>
      </c>
      <c r="I162" s="523">
        <f>ROUND((C162+D162+E162)*('29_01_H_2020'!$O$14)*B162*12*(1+'29_01_H_2020'!$O$17),2)</f>
        <v>4885.79</v>
      </c>
      <c r="K162" s="201"/>
      <c r="L162" s="201"/>
      <c r="M162" s="535"/>
      <c r="N162" s="201"/>
      <c r="O162" s="201"/>
    </row>
    <row r="163" spans="1:15" ht="25.5">
      <c r="A163" s="182" t="s">
        <v>47</v>
      </c>
      <c r="B163" s="180"/>
      <c r="C163" s="204"/>
      <c r="D163" s="204"/>
      <c r="E163" s="204"/>
      <c r="F163" s="197">
        <f>SUM(F164:F167)</f>
        <v>3043.8199999999997</v>
      </c>
      <c r="G163" s="197">
        <f t="shared" ref="G163:H163" si="11">SUM(G164:G167)</f>
        <v>3602.884</v>
      </c>
      <c r="H163" s="197">
        <f t="shared" si="11"/>
        <v>4470.8187556000003</v>
      </c>
      <c r="I163" s="817">
        <f>ROUND((C163+D163+E163)*('29_01_H_2020'!$O$14)*B163*12*(1+'29_01_H_2020'!$O$17),2)</f>
        <v>0</v>
      </c>
      <c r="K163" s="201"/>
      <c r="L163" s="201"/>
      <c r="M163" s="201"/>
      <c r="N163" s="201"/>
      <c r="O163" s="201"/>
    </row>
    <row r="164" spans="1:15">
      <c r="A164" s="188" t="s">
        <v>225</v>
      </c>
      <c r="B164" s="284">
        <v>1</v>
      </c>
      <c r="C164" s="202">
        <v>826</v>
      </c>
      <c r="D164" s="90"/>
      <c r="E164" s="90"/>
      <c r="F164" s="98">
        <v>826</v>
      </c>
      <c r="G164" s="199">
        <f t="shared" ref="G164:G167" si="12">+F164*B164</f>
        <v>826</v>
      </c>
      <c r="H164" s="359">
        <f t="shared" ref="H164:H167" si="13">+G164*1.2409</f>
        <v>1024.9833999999998</v>
      </c>
      <c r="I164" s="523">
        <f>ROUND((C164+D164+E164)*('29_01_H_2020'!$O$14)*B164*12*(1+'29_01_H_2020'!$O$17),2)</f>
        <v>3110.34</v>
      </c>
      <c r="K164" s="201"/>
      <c r="L164" s="201"/>
      <c r="M164" s="535"/>
      <c r="N164" s="201"/>
      <c r="O164" s="201"/>
    </row>
    <row r="165" spans="1:15">
      <c r="A165" s="688" t="s">
        <v>225</v>
      </c>
      <c r="B165" s="689">
        <v>0.5</v>
      </c>
      <c r="C165" s="690">
        <v>692</v>
      </c>
      <c r="D165" s="607"/>
      <c r="E165" s="607">
        <v>69.2</v>
      </c>
      <c r="F165" s="691">
        <v>380.6</v>
      </c>
      <c r="G165" s="199">
        <f t="shared" si="12"/>
        <v>190.3</v>
      </c>
      <c r="H165" s="359">
        <f t="shared" si="13"/>
        <v>236.14327</v>
      </c>
      <c r="I165" s="523">
        <f>ROUND((C165+D165+E165)*('29_01_H_2020'!$O$14)*B165*12*(1+'29_01_H_2020'!$O$17),2)</f>
        <v>1433.16</v>
      </c>
      <c r="K165" s="201"/>
      <c r="L165" s="201"/>
      <c r="M165" s="535"/>
      <c r="N165" s="201"/>
      <c r="O165" s="201"/>
    </row>
    <row r="166" spans="1:15">
      <c r="A166" s="688" t="s">
        <v>357</v>
      </c>
      <c r="B166" s="689">
        <v>1.7</v>
      </c>
      <c r="C166" s="690">
        <v>614</v>
      </c>
      <c r="D166" s="607"/>
      <c r="E166" s="607">
        <v>15.72</v>
      </c>
      <c r="F166" s="691">
        <v>1070.52</v>
      </c>
      <c r="G166" s="199">
        <f t="shared" si="12"/>
        <v>1819.884</v>
      </c>
      <c r="H166" s="359">
        <f t="shared" si="13"/>
        <v>2258.2940555999999</v>
      </c>
      <c r="I166" s="523">
        <f>ROUND((C166+D166+E166)*('29_01_H_2020'!$O$14)*B166*12*(1+'29_01_H_2020'!$O$17),2)</f>
        <v>4031.1</v>
      </c>
      <c r="K166" s="201"/>
      <c r="L166" s="201"/>
      <c r="M166" s="535"/>
      <c r="N166" s="201"/>
      <c r="O166" s="201"/>
    </row>
    <row r="167" spans="1:15">
      <c r="A167" s="688" t="s">
        <v>357</v>
      </c>
      <c r="B167" s="689">
        <v>1</v>
      </c>
      <c r="C167" s="690">
        <v>697</v>
      </c>
      <c r="D167" s="607"/>
      <c r="E167" s="607">
        <v>69.7</v>
      </c>
      <c r="F167" s="691">
        <v>766.7</v>
      </c>
      <c r="G167" s="199">
        <f t="shared" si="12"/>
        <v>766.7</v>
      </c>
      <c r="H167" s="359">
        <f t="shared" si="13"/>
        <v>951.39802999999995</v>
      </c>
      <c r="I167" s="523">
        <f>ROUND((C167+D167+E167)*('29_01_H_2020'!$O$14)*B167*12*(1+'29_01_H_2020'!$O$17),2)</f>
        <v>2887.04</v>
      </c>
      <c r="K167" s="201"/>
      <c r="L167" s="201"/>
      <c r="M167" s="535"/>
      <c r="N167" s="201"/>
      <c r="O167" s="201"/>
    </row>
    <row r="168" spans="1:15" ht="15.75" thickBot="1">
      <c r="A168" s="207"/>
      <c r="B168" s="208"/>
      <c r="C168" s="208"/>
      <c r="D168" s="208"/>
      <c r="E168" s="208"/>
      <c r="F168" s="283">
        <f>F10+F77+F163</f>
        <v>150292.11000000002</v>
      </c>
      <c r="G168" s="209">
        <f>G10+G77+G163</f>
        <v>429345.30648999993</v>
      </c>
      <c r="H168" s="521">
        <f>H10+H77+H163</f>
        <v>522996.97225119115</v>
      </c>
      <c r="I168" s="530"/>
      <c r="K168" s="201"/>
      <c r="L168" s="201"/>
      <c r="M168" s="201"/>
      <c r="N168" s="201"/>
      <c r="O168" s="201"/>
    </row>
    <row r="169" spans="1:15" s="49" customFormat="1" ht="15.75" thickBot="1">
      <c r="A169" s="524" t="s">
        <v>55</v>
      </c>
      <c r="B169" s="525">
        <f>SUM(B9:B168)</f>
        <v>161.19900000000004</v>
      </c>
      <c r="C169" s="526" t="s">
        <v>215</v>
      </c>
      <c r="D169" s="526" t="s">
        <v>215</v>
      </c>
      <c r="E169" s="526" t="s">
        <v>215</v>
      </c>
      <c r="F169" s="527">
        <f>F163+F77+F10</f>
        <v>150292.10999999999</v>
      </c>
      <c r="G169" s="528">
        <f>G163+G77+G10</f>
        <v>429345.30648999999</v>
      </c>
      <c r="H169" s="529">
        <f>H163+H77+H10</f>
        <v>522996.97225119115</v>
      </c>
      <c r="I169" s="552">
        <f>SUM(I11:I76,I78:I162,I164:I167)</f>
        <v>565930.50999999989</v>
      </c>
      <c r="K169" s="536"/>
      <c r="L169" s="537"/>
      <c r="M169" s="537"/>
      <c r="N169" s="537"/>
      <c r="O169" s="537"/>
    </row>
    <row r="170" spans="1:15">
      <c r="C170" s="211"/>
      <c r="D170" s="211"/>
      <c r="E170" s="211"/>
      <c r="F170" s="210"/>
      <c r="I170" s="206"/>
      <c r="K170" s="201"/>
      <c r="L170" s="201"/>
      <c r="M170" s="201"/>
      <c r="N170" s="201"/>
      <c r="O170" s="201"/>
    </row>
    <row r="171" spans="1:15">
      <c r="A171" s="34"/>
      <c r="C171" s="211"/>
      <c r="D171" s="211"/>
      <c r="E171" s="211"/>
      <c r="F171" s="210"/>
      <c r="K171" s="201"/>
      <c r="L171" s="201"/>
      <c r="M171" s="201"/>
      <c r="N171" s="201"/>
      <c r="O171" s="201"/>
    </row>
    <row r="172" spans="1:15" hidden="1">
      <c r="B172" s="212"/>
      <c r="C172" s="211"/>
      <c r="D172" s="211"/>
      <c r="E172" s="211"/>
      <c r="F172" s="210"/>
      <c r="G172" s="211"/>
      <c r="H172" s="211"/>
      <c r="K172" s="201"/>
      <c r="L172" s="201"/>
      <c r="M172" s="201"/>
      <c r="N172" s="201"/>
      <c r="O172" s="201"/>
    </row>
    <row r="173" spans="1:15" hidden="1">
      <c r="B173" s="212"/>
      <c r="C173" s="211"/>
      <c r="D173" s="211"/>
      <c r="E173" s="211"/>
      <c r="F173" s="211"/>
      <c r="G173" s="211"/>
      <c r="H173" s="211"/>
      <c r="K173" s="201"/>
      <c r="L173" s="201"/>
      <c r="M173" s="201"/>
      <c r="N173" s="201"/>
      <c r="O173" s="201"/>
    </row>
    <row r="174" spans="1:15">
      <c r="B174" s="212"/>
      <c r="C174" s="212"/>
      <c r="D174" s="212"/>
      <c r="E174" s="212"/>
      <c r="F174" s="212"/>
      <c r="G174" s="212"/>
      <c r="H174" s="212"/>
      <c r="J174" s="802"/>
      <c r="K174" s="201"/>
      <c r="L174" s="201"/>
      <c r="M174" s="201"/>
      <c r="N174" s="201"/>
      <c r="O174" s="201"/>
    </row>
    <row r="175" spans="1:15">
      <c r="C175" s="211"/>
      <c r="D175" s="211"/>
      <c r="E175" s="211"/>
      <c r="F175" s="210"/>
      <c r="I175" s="807"/>
      <c r="K175" s="201"/>
      <c r="L175" s="201"/>
      <c r="M175" s="201"/>
      <c r="N175" s="201"/>
      <c r="O175" s="201"/>
    </row>
    <row r="176" spans="1:15">
      <c r="C176" s="211"/>
      <c r="D176" s="211"/>
      <c r="E176" s="211"/>
      <c r="F176" s="210"/>
      <c r="K176" s="201"/>
      <c r="L176" s="201"/>
      <c r="M176" s="201"/>
      <c r="N176" s="201"/>
      <c r="O176" s="201"/>
    </row>
    <row r="177" spans="3:6">
      <c r="C177" s="211"/>
      <c r="D177" s="211"/>
      <c r="E177" s="211"/>
      <c r="F177" s="210"/>
    </row>
    <row r="178" spans="3:6">
      <c r="C178" s="211"/>
      <c r="D178" s="211"/>
      <c r="E178" s="211"/>
      <c r="F178" s="210"/>
    </row>
    <row r="179" spans="3:6">
      <c r="C179" s="211"/>
      <c r="D179" s="211"/>
      <c r="E179" s="211"/>
      <c r="F179" s="210"/>
    </row>
    <row r="180" spans="3:6">
      <c r="C180" s="211"/>
      <c r="D180" s="211"/>
      <c r="E180" s="211"/>
      <c r="F180" s="210"/>
    </row>
    <row r="181" spans="3:6">
      <c r="C181" s="211"/>
      <c r="D181" s="211"/>
      <c r="E181" s="211"/>
      <c r="F181" s="210"/>
    </row>
    <row r="182" spans="3:6">
      <c r="C182" s="211"/>
      <c r="D182" s="211"/>
      <c r="E182" s="211"/>
      <c r="F182" s="210"/>
    </row>
    <row r="183" spans="3:6">
      <c r="C183" s="211"/>
      <c r="D183" s="211"/>
      <c r="E183" s="211"/>
      <c r="F183" s="210"/>
    </row>
    <row r="184" spans="3:6">
      <c r="C184" s="211"/>
      <c r="D184" s="211"/>
      <c r="E184" s="211"/>
      <c r="F184" s="210"/>
    </row>
    <row r="185" spans="3:6">
      <c r="C185" s="211"/>
      <c r="D185" s="211"/>
      <c r="E185" s="211"/>
      <c r="F185" s="210"/>
    </row>
  </sheetData>
  <mergeCells count="15">
    <mergeCell ref="H1:I1"/>
    <mergeCell ref="A2:F2"/>
    <mergeCell ref="A5:H5"/>
    <mergeCell ref="A6:A7"/>
    <mergeCell ref="B6:B7"/>
    <mergeCell ref="C6:C7"/>
    <mergeCell ref="D6:D7"/>
    <mergeCell ref="E6:E7"/>
    <mergeCell ref="F6:F7"/>
    <mergeCell ref="A9:H9"/>
    <mergeCell ref="A8:H8"/>
    <mergeCell ref="I6:I7"/>
    <mergeCell ref="A3:I3"/>
    <mergeCell ref="G6:G7"/>
    <mergeCell ref="H6:H7"/>
  </mergeCells>
  <pageMargins left="0.23622047244094491" right="0.23622047244094491" top="0.74803149606299213" bottom="0.7480314960629921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ADA54D-A358-4657-97B4-85A85512B519}">
  <dimension ref="A1:V25"/>
  <sheetViews>
    <sheetView topLeftCell="D1" zoomScale="90" zoomScaleNormal="90" workbookViewId="0">
      <selection activeCell="S23" sqref="S23"/>
    </sheetView>
  </sheetViews>
  <sheetFormatPr defaultRowHeight="12"/>
  <cols>
    <col min="1" max="1" width="9.7109375" style="953" customWidth="1"/>
    <col min="2" max="2" width="34" style="953" customWidth="1"/>
    <col min="3" max="4" width="15.5703125" style="953" customWidth="1"/>
    <col min="5" max="5" width="1.7109375" style="953" customWidth="1"/>
    <col min="6" max="7" width="15.5703125" style="953" customWidth="1"/>
    <col min="8" max="8" width="1.7109375" style="953" customWidth="1"/>
    <col min="9" max="10" width="15.5703125" style="953" customWidth="1"/>
    <col min="11" max="11" width="1.7109375" style="953" customWidth="1"/>
    <col min="12" max="13" width="15.5703125" style="953" customWidth="1"/>
    <col min="14" max="14" width="9.140625" style="953"/>
    <col min="15" max="15" width="0.28515625" style="953" customWidth="1"/>
    <col min="16" max="16" width="39.85546875" style="953" customWidth="1"/>
    <col min="17" max="17" width="19.28515625" style="953" customWidth="1"/>
    <col min="18" max="18" width="14.42578125" style="953" customWidth="1"/>
    <col min="19" max="19" width="17.5703125" style="953" customWidth="1"/>
    <col min="20" max="20" width="18" style="953" customWidth="1"/>
    <col min="21" max="21" width="11" style="953" customWidth="1"/>
    <col min="22" max="251" width="9.140625" style="953"/>
    <col min="252" max="252" width="9.7109375" style="953" customWidth="1"/>
    <col min="253" max="253" width="34" style="953" customWidth="1"/>
    <col min="254" max="257" width="15.5703125" style="953" customWidth="1"/>
    <col min="258" max="258" width="9.140625" style="953"/>
    <col min="259" max="261" width="27.85546875" style="953" customWidth="1"/>
    <col min="262" max="507" width="9.140625" style="953"/>
    <col min="508" max="508" width="9.7109375" style="953" customWidth="1"/>
    <col min="509" max="509" width="34" style="953" customWidth="1"/>
    <col min="510" max="513" width="15.5703125" style="953" customWidth="1"/>
    <col min="514" max="514" width="9.140625" style="953"/>
    <col min="515" max="517" width="27.85546875" style="953" customWidth="1"/>
    <col min="518" max="763" width="9.140625" style="953"/>
    <col min="764" max="764" width="9.7109375" style="953" customWidth="1"/>
    <col min="765" max="765" width="34" style="953" customWidth="1"/>
    <col min="766" max="769" width="15.5703125" style="953" customWidth="1"/>
    <col min="770" max="770" width="9.140625" style="953"/>
    <col min="771" max="773" width="27.85546875" style="953" customWidth="1"/>
    <col min="774" max="1019" width="9.140625" style="953"/>
    <col min="1020" max="1020" width="9.7109375" style="953" customWidth="1"/>
    <col min="1021" max="1021" width="34" style="953" customWidth="1"/>
    <col min="1022" max="1025" width="15.5703125" style="953" customWidth="1"/>
    <col min="1026" max="1026" width="9.140625" style="953"/>
    <col min="1027" max="1029" width="27.85546875" style="953" customWidth="1"/>
    <col min="1030" max="1275" width="9.140625" style="953"/>
    <col min="1276" max="1276" width="9.7109375" style="953" customWidth="1"/>
    <col min="1277" max="1277" width="34" style="953" customWidth="1"/>
    <col min="1278" max="1281" width="15.5703125" style="953" customWidth="1"/>
    <col min="1282" max="1282" width="9.140625" style="953"/>
    <col min="1283" max="1285" width="27.85546875" style="953" customWidth="1"/>
    <col min="1286" max="1531" width="9.140625" style="953"/>
    <col min="1532" max="1532" width="9.7109375" style="953" customWidth="1"/>
    <col min="1533" max="1533" width="34" style="953" customWidth="1"/>
    <col min="1534" max="1537" width="15.5703125" style="953" customWidth="1"/>
    <col min="1538" max="1538" width="9.140625" style="953"/>
    <col min="1539" max="1541" width="27.85546875" style="953" customWidth="1"/>
    <col min="1542" max="1787" width="9.140625" style="953"/>
    <col min="1788" max="1788" width="9.7109375" style="953" customWidth="1"/>
    <col min="1789" max="1789" width="34" style="953" customWidth="1"/>
    <col min="1790" max="1793" width="15.5703125" style="953" customWidth="1"/>
    <col min="1794" max="1794" width="9.140625" style="953"/>
    <col min="1795" max="1797" width="27.85546875" style="953" customWidth="1"/>
    <col min="1798" max="2043" width="9.140625" style="953"/>
    <col min="2044" max="2044" width="9.7109375" style="953" customWidth="1"/>
    <col min="2045" max="2045" width="34" style="953" customWidth="1"/>
    <col min="2046" max="2049" width="15.5703125" style="953" customWidth="1"/>
    <col min="2050" max="2050" width="9.140625" style="953"/>
    <col min="2051" max="2053" width="27.85546875" style="953" customWidth="1"/>
    <col min="2054" max="2299" width="9.140625" style="953"/>
    <col min="2300" max="2300" width="9.7109375" style="953" customWidth="1"/>
    <col min="2301" max="2301" width="34" style="953" customWidth="1"/>
    <col min="2302" max="2305" width="15.5703125" style="953" customWidth="1"/>
    <col min="2306" max="2306" width="9.140625" style="953"/>
    <col min="2307" max="2309" width="27.85546875" style="953" customWidth="1"/>
    <col min="2310" max="2555" width="9.140625" style="953"/>
    <col min="2556" max="2556" width="9.7109375" style="953" customWidth="1"/>
    <col min="2557" max="2557" width="34" style="953" customWidth="1"/>
    <col min="2558" max="2561" width="15.5703125" style="953" customWidth="1"/>
    <col min="2562" max="2562" width="9.140625" style="953"/>
    <col min="2563" max="2565" width="27.85546875" style="953" customWidth="1"/>
    <col min="2566" max="2811" width="9.140625" style="953"/>
    <col min="2812" max="2812" width="9.7109375" style="953" customWidth="1"/>
    <col min="2813" max="2813" width="34" style="953" customWidth="1"/>
    <col min="2814" max="2817" width="15.5703125" style="953" customWidth="1"/>
    <col min="2818" max="2818" width="9.140625" style="953"/>
    <col min="2819" max="2821" width="27.85546875" style="953" customWidth="1"/>
    <col min="2822" max="3067" width="9.140625" style="953"/>
    <col min="3068" max="3068" width="9.7109375" style="953" customWidth="1"/>
    <col min="3069" max="3069" width="34" style="953" customWidth="1"/>
    <col min="3070" max="3073" width="15.5703125" style="953" customWidth="1"/>
    <col min="3074" max="3074" width="9.140625" style="953"/>
    <col min="3075" max="3077" width="27.85546875" style="953" customWidth="1"/>
    <col min="3078" max="3323" width="9.140625" style="953"/>
    <col min="3324" max="3324" width="9.7109375" style="953" customWidth="1"/>
    <col min="3325" max="3325" width="34" style="953" customWidth="1"/>
    <col min="3326" max="3329" width="15.5703125" style="953" customWidth="1"/>
    <col min="3330" max="3330" width="9.140625" style="953"/>
    <col min="3331" max="3333" width="27.85546875" style="953" customWidth="1"/>
    <col min="3334" max="3579" width="9.140625" style="953"/>
    <col min="3580" max="3580" width="9.7109375" style="953" customWidth="1"/>
    <col min="3581" max="3581" width="34" style="953" customWidth="1"/>
    <col min="3582" max="3585" width="15.5703125" style="953" customWidth="1"/>
    <col min="3586" max="3586" width="9.140625" style="953"/>
    <col min="3587" max="3589" width="27.85546875" style="953" customWidth="1"/>
    <col min="3590" max="3835" width="9.140625" style="953"/>
    <col min="3836" max="3836" width="9.7109375" style="953" customWidth="1"/>
    <col min="3837" max="3837" width="34" style="953" customWidth="1"/>
    <col min="3838" max="3841" width="15.5703125" style="953" customWidth="1"/>
    <col min="3842" max="3842" width="9.140625" style="953"/>
    <col min="3843" max="3845" width="27.85546875" style="953" customWidth="1"/>
    <col min="3846" max="4091" width="9.140625" style="953"/>
    <col min="4092" max="4092" width="9.7109375" style="953" customWidth="1"/>
    <col min="4093" max="4093" width="34" style="953" customWidth="1"/>
    <col min="4094" max="4097" width="15.5703125" style="953" customWidth="1"/>
    <col min="4098" max="4098" width="9.140625" style="953"/>
    <col min="4099" max="4101" width="27.85546875" style="953" customWidth="1"/>
    <col min="4102" max="4347" width="9.140625" style="953"/>
    <col min="4348" max="4348" width="9.7109375" style="953" customWidth="1"/>
    <col min="4349" max="4349" width="34" style="953" customWidth="1"/>
    <col min="4350" max="4353" width="15.5703125" style="953" customWidth="1"/>
    <col min="4354" max="4354" width="9.140625" style="953"/>
    <col min="4355" max="4357" width="27.85546875" style="953" customWidth="1"/>
    <col min="4358" max="4603" width="9.140625" style="953"/>
    <col min="4604" max="4604" width="9.7109375" style="953" customWidth="1"/>
    <col min="4605" max="4605" width="34" style="953" customWidth="1"/>
    <col min="4606" max="4609" width="15.5703125" style="953" customWidth="1"/>
    <col min="4610" max="4610" width="9.140625" style="953"/>
    <col min="4611" max="4613" width="27.85546875" style="953" customWidth="1"/>
    <col min="4614" max="4859" width="9.140625" style="953"/>
    <col min="4860" max="4860" width="9.7109375" style="953" customWidth="1"/>
    <col min="4861" max="4861" width="34" style="953" customWidth="1"/>
    <col min="4862" max="4865" width="15.5703125" style="953" customWidth="1"/>
    <col min="4866" max="4866" width="9.140625" style="953"/>
    <col min="4867" max="4869" width="27.85546875" style="953" customWidth="1"/>
    <col min="4870" max="5115" width="9.140625" style="953"/>
    <col min="5116" max="5116" width="9.7109375" style="953" customWidth="1"/>
    <col min="5117" max="5117" width="34" style="953" customWidth="1"/>
    <col min="5118" max="5121" width="15.5703125" style="953" customWidth="1"/>
    <col min="5122" max="5122" width="9.140625" style="953"/>
    <col min="5123" max="5125" width="27.85546875" style="953" customWidth="1"/>
    <col min="5126" max="5371" width="9.140625" style="953"/>
    <col min="5372" max="5372" width="9.7109375" style="953" customWidth="1"/>
    <col min="5373" max="5373" width="34" style="953" customWidth="1"/>
    <col min="5374" max="5377" width="15.5703125" style="953" customWidth="1"/>
    <col min="5378" max="5378" width="9.140625" style="953"/>
    <col min="5379" max="5381" width="27.85546875" style="953" customWidth="1"/>
    <col min="5382" max="5627" width="9.140625" style="953"/>
    <col min="5628" max="5628" width="9.7109375" style="953" customWidth="1"/>
    <col min="5629" max="5629" width="34" style="953" customWidth="1"/>
    <col min="5630" max="5633" width="15.5703125" style="953" customWidth="1"/>
    <col min="5634" max="5634" width="9.140625" style="953"/>
    <col min="5635" max="5637" width="27.85546875" style="953" customWidth="1"/>
    <col min="5638" max="5883" width="9.140625" style="953"/>
    <col min="5884" max="5884" width="9.7109375" style="953" customWidth="1"/>
    <col min="5885" max="5885" width="34" style="953" customWidth="1"/>
    <col min="5886" max="5889" width="15.5703125" style="953" customWidth="1"/>
    <col min="5890" max="5890" width="9.140625" style="953"/>
    <col min="5891" max="5893" width="27.85546875" style="953" customWidth="1"/>
    <col min="5894" max="6139" width="9.140625" style="953"/>
    <col min="6140" max="6140" width="9.7109375" style="953" customWidth="1"/>
    <col min="6141" max="6141" width="34" style="953" customWidth="1"/>
    <col min="6142" max="6145" width="15.5703125" style="953" customWidth="1"/>
    <col min="6146" max="6146" width="9.140625" style="953"/>
    <col min="6147" max="6149" width="27.85546875" style="953" customWidth="1"/>
    <col min="6150" max="6395" width="9.140625" style="953"/>
    <col min="6396" max="6396" width="9.7109375" style="953" customWidth="1"/>
    <col min="6397" max="6397" width="34" style="953" customWidth="1"/>
    <col min="6398" max="6401" width="15.5703125" style="953" customWidth="1"/>
    <col min="6402" max="6402" width="9.140625" style="953"/>
    <col min="6403" max="6405" width="27.85546875" style="953" customWidth="1"/>
    <col min="6406" max="6651" width="9.140625" style="953"/>
    <col min="6652" max="6652" width="9.7109375" style="953" customWidth="1"/>
    <col min="6653" max="6653" width="34" style="953" customWidth="1"/>
    <col min="6654" max="6657" width="15.5703125" style="953" customWidth="1"/>
    <col min="6658" max="6658" width="9.140625" style="953"/>
    <col min="6659" max="6661" width="27.85546875" style="953" customWidth="1"/>
    <col min="6662" max="6907" width="9.140625" style="953"/>
    <col min="6908" max="6908" width="9.7109375" style="953" customWidth="1"/>
    <col min="6909" max="6909" width="34" style="953" customWidth="1"/>
    <col min="6910" max="6913" width="15.5703125" style="953" customWidth="1"/>
    <col min="6914" max="6914" width="9.140625" style="953"/>
    <col min="6915" max="6917" width="27.85546875" style="953" customWidth="1"/>
    <col min="6918" max="7163" width="9.140625" style="953"/>
    <col min="7164" max="7164" width="9.7109375" style="953" customWidth="1"/>
    <col min="7165" max="7165" width="34" style="953" customWidth="1"/>
    <col min="7166" max="7169" width="15.5703125" style="953" customWidth="1"/>
    <col min="7170" max="7170" width="9.140625" style="953"/>
    <col min="7171" max="7173" width="27.85546875" style="953" customWidth="1"/>
    <col min="7174" max="7419" width="9.140625" style="953"/>
    <col min="7420" max="7420" width="9.7109375" style="953" customWidth="1"/>
    <col min="7421" max="7421" width="34" style="953" customWidth="1"/>
    <col min="7422" max="7425" width="15.5703125" style="953" customWidth="1"/>
    <col min="7426" max="7426" width="9.140625" style="953"/>
    <col min="7427" max="7429" width="27.85546875" style="953" customWidth="1"/>
    <col min="7430" max="7675" width="9.140625" style="953"/>
    <col min="7676" max="7676" width="9.7109375" style="953" customWidth="1"/>
    <col min="7677" max="7677" width="34" style="953" customWidth="1"/>
    <col min="7678" max="7681" width="15.5703125" style="953" customWidth="1"/>
    <col min="7682" max="7682" width="9.140625" style="953"/>
    <col min="7683" max="7685" width="27.85546875" style="953" customWidth="1"/>
    <col min="7686" max="7931" width="9.140625" style="953"/>
    <col min="7932" max="7932" width="9.7109375" style="953" customWidth="1"/>
    <col min="7933" max="7933" width="34" style="953" customWidth="1"/>
    <col min="7934" max="7937" width="15.5703125" style="953" customWidth="1"/>
    <col min="7938" max="7938" width="9.140625" style="953"/>
    <col min="7939" max="7941" width="27.85546875" style="953" customWidth="1"/>
    <col min="7942" max="8187" width="9.140625" style="953"/>
    <col min="8188" max="8188" width="9.7109375" style="953" customWidth="1"/>
    <col min="8189" max="8189" width="34" style="953" customWidth="1"/>
    <col min="8190" max="8193" width="15.5703125" style="953" customWidth="1"/>
    <col min="8194" max="8194" width="9.140625" style="953"/>
    <col min="8195" max="8197" width="27.85546875" style="953" customWidth="1"/>
    <col min="8198" max="8443" width="9.140625" style="953"/>
    <col min="8444" max="8444" width="9.7109375" style="953" customWidth="1"/>
    <col min="8445" max="8445" width="34" style="953" customWidth="1"/>
    <col min="8446" max="8449" width="15.5703125" style="953" customWidth="1"/>
    <col min="8450" max="8450" width="9.140625" style="953"/>
    <col min="8451" max="8453" width="27.85546875" style="953" customWidth="1"/>
    <col min="8454" max="8699" width="9.140625" style="953"/>
    <col min="8700" max="8700" width="9.7109375" style="953" customWidth="1"/>
    <col min="8701" max="8701" width="34" style="953" customWidth="1"/>
    <col min="8702" max="8705" width="15.5703125" style="953" customWidth="1"/>
    <col min="8706" max="8706" width="9.140625" style="953"/>
    <col min="8707" max="8709" width="27.85546875" style="953" customWidth="1"/>
    <col min="8710" max="8955" width="9.140625" style="953"/>
    <col min="8956" max="8956" width="9.7109375" style="953" customWidth="1"/>
    <col min="8957" max="8957" width="34" style="953" customWidth="1"/>
    <col min="8958" max="8961" width="15.5703125" style="953" customWidth="1"/>
    <col min="8962" max="8962" width="9.140625" style="953"/>
    <col min="8963" max="8965" width="27.85546875" style="953" customWidth="1"/>
    <col min="8966" max="9211" width="9.140625" style="953"/>
    <col min="9212" max="9212" width="9.7109375" style="953" customWidth="1"/>
    <col min="9213" max="9213" width="34" style="953" customWidth="1"/>
    <col min="9214" max="9217" width="15.5703125" style="953" customWidth="1"/>
    <col min="9218" max="9218" width="9.140625" style="953"/>
    <col min="9219" max="9221" width="27.85546875" style="953" customWidth="1"/>
    <col min="9222" max="9467" width="9.140625" style="953"/>
    <col min="9468" max="9468" width="9.7109375" style="953" customWidth="1"/>
    <col min="9469" max="9469" width="34" style="953" customWidth="1"/>
    <col min="9470" max="9473" width="15.5703125" style="953" customWidth="1"/>
    <col min="9474" max="9474" width="9.140625" style="953"/>
    <col min="9475" max="9477" width="27.85546875" style="953" customWidth="1"/>
    <col min="9478" max="9723" width="9.140625" style="953"/>
    <col min="9724" max="9724" width="9.7109375" style="953" customWidth="1"/>
    <col min="9725" max="9725" width="34" style="953" customWidth="1"/>
    <col min="9726" max="9729" width="15.5703125" style="953" customWidth="1"/>
    <col min="9730" max="9730" width="9.140625" style="953"/>
    <col min="9731" max="9733" width="27.85546875" style="953" customWidth="1"/>
    <col min="9734" max="9979" width="9.140625" style="953"/>
    <col min="9980" max="9980" width="9.7109375" style="953" customWidth="1"/>
    <col min="9981" max="9981" width="34" style="953" customWidth="1"/>
    <col min="9982" max="9985" width="15.5703125" style="953" customWidth="1"/>
    <col min="9986" max="9986" width="9.140625" style="953"/>
    <col min="9987" max="9989" width="27.85546875" style="953" customWidth="1"/>
    <col min="9990" max="10235" width="9.140625" style="953"/>
    <col min="10236" max="10236" width="9.7109375" style="953" customWidth="1"/>
    <col min="10237" max="10237" width="34" style="953" customWidth="1"/>
    <col min="10238" max="10241" width="15.5703125" style="953" customWidth="1"/>
    <col min="10242" max="10242" width="9.140625" style="953"/>
    <col min="10243" max="10245" width="27.85546875" style="953" customWidth="1"/>
    <col min="10246" max="10491" width="9.140625" style="953"/>
    <col min="10492" max="10492" width="9.7109375" style="953" customWidth="1"/>
    <col min="10493" max="10493" width="34" style="953" customWidth="1"/>
    <col min="10494" max="10497" width="15.5703125" style="953" customWidth="1"/>
    <col min="10498" max="10498" width="9.140625" style="953"/>
    <col min="10499" max="10501" width="27.85546875" style="953" customWidth="1"/>
    <col min="10502" max="10747" width="9.140625" style="953"/>
    <col min="10748" max="10748" width="9.7109375" style="953" customWidth="1"/>
    <col min="10749" max="10749" width="34" style="953" customWidth="1"/>
    <col min="10750" max="10753" width="15.5703125" style="953" customWidth="1"/>
    <col min="10754" max="10754" width="9.140625" style="953"/>
    <col min="10755" max="10757" width="27.85546875" style="953" customWidth="1"/>
    <col min="10758" max="11003" width="9.140625" style="953"/>
    <col min="11004" max="11004" width="9.7109375" style="953" customWidth="1"/>
    <col min="11005" max="11005" width="34" style="953" customWidth="1"/>
    <col min="11006" max="11009" width="15.5703125" style="953" customWidth="1"/>
    <col min="11010" max="11010" width="9.140625" style="953"/>
    <col min="11011" max="11013" width="27.85546875" style="953" customWidth="1"/>
    <col min="11014" max="11259" width="9.140625" style="953"/>
    <col min="11260" max="11260" width="9.7109375" style="953" customWidth="1"/>
    <col min="11261" max="11261" width="34" style="953" customWidth="1"/>
    <col min="11262" max="11265" width="15.5703125" style="953" customWidth="1"/>
    <col min="11266" max="11266" width="9.140625" style="953"/>
    <col min="11267" max="11269" width="27.85546875" style="953" customWidth="1"/>
    <col min="11270" max="11515" width="9.140625" style="953"/>
    <col min="11516" max="11516" width="9.7109375" style="953" customWidth="1"/>
    <col min="11517" max="11517" width="34" style="953" customWidth="1"/>
    <col min="11518" max="11521" width="15.5703125" style="953" customWidth="1"/>
    <col min="11522" max="11522" width="9.140625" style="953"/>
    <col min="11523" max="11525" width="27.85546875" style="953" customWidth="1"/>
    <col min="11526" max="11771" width="9.140625" style="953"/>
    <col min="11772" max="11772" width="9.7109375" style="953" customWidth="1"/>
    <col min="11773" max="11773" width="34" style="953" customWidth="1"/>
    <col min="11774" max="11777" width="15.5703125" style="953" customWidth="1"/>
    <col min="11778" max="11778" width="9.140625" style="953"/>
    <col min="11779" max="11781" width="27.85546875" style="953" customWidth="1"/>
    <col min="11782" max="12027" width="9.140625" style="953"/>
    <col min="12028" max="12028" width="9.7109375" style="953" customWidth="1"/>
    <col min="12029" max="12029" width="34" style="953" customWidth="1"/>
    <col min="12030" max="12033" width="15.5703125" style="953" customWidth="1"/>
    <col min="12034" max="12034" width="9.140625" style="953"/>
    <col min="12035" max="12037" width="27.85546875" style="953" customWidth="1"/>
    <col min="12038" max="12283" width="9.140625" style="953"/>
    <col min="12284" max="12284" width="9.7109375" style="953" customWidth="1"/>
    <col min="12285" max="12285" width="34" style="953" customWidth="1"/>
    <col min="12286" max="12289" width="15.5703125" style="953" customWidth="1"/>
    <col min="12290" max="12290" width="9.140625" style="953"/>
    <col min="12291" max="12293" width="27.85546875" style="953" customWidth="1"/>
    <col min="12294" max="12539" width="9.140625" style="953"/>
    <col min="12540" max="12540" width="9.7109375" style="953" customWidth="1"/>
    <col min="12541" max="12541" width="34" style="953" customWidth="1"/>
    <col min="12542" max="12545" width="15.5703125" style="953" customWidth="1"/>
    <col min="12546" max="12546" width="9.140625" style="953"/>
    <col min="12547" max="12549" width="27.85546875" style="953" customWidth="1"/>
    <col min="12550" max="12795" width="9.140625" style="953"/>
    <col min="12796" max="12796" width="9.7109375" style="953" customWidth="1"/>
    <col min="12797" max="12797" width="34" style="953" customWidth="1"/>
    <col min="12798" max="12801" width="15.5703125" style="953" customWidth="1"/>
    <col min="12802" max="12802" width="9.140625" style="953"/>
    <col min="12803" max="12805" width="27.85546875" style="953" customWidth="1"/>
    <col min="12806" max="13051" width="9.140625" style="953"/>
    <col min="13052" max="13052" width="9.7109375" style="953" customWidth="1"/>
    <col min="13053" max="13053" width="34" style="953" customWidth="1"/>
    <col min="13054" max="13057" width="15.5703125" style="953" customWidth="1"/>
    <col min="13058" max="13058" width="9.140625" style="953"/>
    <col min="13059" max="13061" width="27.85546875" style="953" customWidth="1"/>
    <col min="13062" max="13307" width="9.140625" style="953"/>
    <col min="13308" max="13308" width="9.7109375" style="953" customWidth="1"/>
    <col min="13309" max="13309" width="34" style="953" customWidth="1"/>
    <col min="13310" max="13313" width="15.5703125" style="953" customWidth="1"/>
    <col min="13314" max="13314" width="9.140625" style="953"/>
    <col min="13315" max="13317" width="27.85546875" style="953" customWidth="1"/>
    <col min="13318" max="13563" width="9.140625" style="953"/>
    <col min="13564" max="13564" width="9.7109375" style="953" customWidth="1"/>
    <col min="13565" max="13565" width="34" style="953" customWidth="1"/>
    <col min="13566" max="13569" width="15.5703125" style="953" customWidth="1"/>
    <col min="13570" max="13570" width="9.140625" style="953"/>
    <col min="13571" max="13573" width="27.85546875" style="953" customWidth="1"/>
    <col min="13574" max="13819" width="9.140625" style="953"/>
    <col min="13820" max="13820" width="9.7109375" style="953" customWidth="1"/>
    <col min="13821" max="13821" width="34" style="953" customWidth="1"/>
    <col min="13822" max="13825" width="15.5703125" style="953" customWidth="1"/>
    <col min="13826" max="13826" width="9.140625" style="953"/>
    <col min="13827" max="13829" width="27.85546875" style="953" customWidth="1"/>
    <col min="13830" max="14075" width="9.140625" style="953"/>
    <col min="14076" max="14076" width="9.7109375" style="953" customWidth="1"/>
    <col min="14077" max="14077" width="34" style="953" customWidth="1"/>
    <col min="14078" max="14081" width="15.5703125" style="953" customWidth="1"/>
    <col min="14082" max="14082" width="9.140625" style="953"/>
    <col min="14083" max="14085" width="27.85546875" style="953" customWidth="1"/>
    <col min="14086" max="14331" width="9.140625" style="953"/>
    <col min="14332" max="14332" width="9.7109375" style="953" customWidth="1"/>
    <col min="14333" max="14333" width="34" style="953" customWidth="1"/>
    <col min="14334" max="14337" width="15.5703125" style="953" customWidth="1"/>
    <col min="14338" max="14338" width="9.140625" style="953"/>
    <col min="14339" max="14341" width="27.85546875" style="953" customWidth="1"/>
    <col min="14342" max="14587" width="9.140625" style="953"/>
    <col min="14588" max="14588" width="9.7109375" style="953" customWidth="1"/>
    <col min="14589" max="14589" width="34" style="953" customWidth="1"/>
    <col min="14590" max="14593" width="15.5703125" style="953" customWidth="1"/>
    <col min="14594" max="14594" width="9.140625" style="953"/>
    <col min="14595" max="14597" width="27.85546875" style="953" customWidth="1"/>
    <col min="14598" max="14843" width="9.140625" style="953"/>
    <col min="14844" max="14844" width="9.7109375" style="953" customWidth="1"/>
    <col min="14845" max="14845" width="34" style="953" customWidth="1"/>
    <col min="14846" max="14849" width="15.5703125" style="953" customWidth="1"/>
    <col min="14850" max="14850" width="9.140625" style="953"/>
    <col min="14851" max="14853" width="27.85546875" style="953" customWidth="1"/>
    <col min="14854" max="15099" width="9.140625" style="953"/>
    <col min="15100" max="15100" width="9.7109375" style="953" customWidth="1"/>
    <col min="15101" max="15101" width="34" style="953" customWidth="1"/>
    <col min="15102" max="15105" width="15.5703125" style="953" customWidth="1"/>
    <col min="15106" max="15106" width="9.140625" style="953"/>
    <col min="15107" max="15109" width="27.85546875" style="953" customWidth="1"/>
    <col min="15110" max="15355" width="9.140625" style="953"/>
    <col min="15356" max="15356" width="9.7109375" style="953" customWidth="1"/>
    <col min="15357" max="15357" width="34" style="953" customWidth="1"/>
    <col min="15358" max="15361" width="15.5703125" style="953" customWidth="1"/>
    <col min="15362" max="15362" width="9.140625" style="953"/>
    <col min="15363" max="15365" width="27.85546875" style="953" customWidth="1"/>
    <col min="15366" max="15611" width="9.140625" style="953"/>
    <col min="15612" max="15612" width="9.7109375" style="953" customWidth="1"/>
    <col min="15613" max="15613" width="34" style="953" customWidth="1"/>
    <col min="15614" max="15617" width="15.5703125" style="953" customWidth="1"/>
    <col min="15618" max="15618" width="9.140625" style="953"/>
    <col min="15619" max="15621" width="27.85546875" style="953" customWidth="1"/>
    <col min="15622" max="15867" width="9.140625" style="953"/>
    <col min="15868" max="15868" width="9.7109375" style="953" customWidth="1"/>
    <col min="15869" max="15869" width="34" style="953" customWidth="1"/>
    <col min="15870" max="15873" width="15.5703125" style="953" customWidth="1"/>
    <col min="15874" max="15874" width="9.140625" style="953"/>
    <col min="15875" max="15877" width="27.85546875" style="953" customWidth="1"/>
    <col min="15878" max="16123" width="9.140625" style="953"/>
    <col min="16124" max="16124" width="9.7109375" style="953" customWidth="1"/>
    <col min="16125" max="16125" width="34" style="953" customWidth="1"/>
    <col min="16126" max="16129" width="15.5703125" style="953" customWidth="1"/>
    <col min="16130" max="16130" width="9.140625" style="953"/>
    <col min="16131" max="16133" width="27.85546875" style="953" customWidth="1"/>
    <col min="16134" max="16384" width="9.140625" style="953"/>
  </cols>
  <sheetData>
    <row r="1" spans="1:22" ht="17.25" customHeight="1">
      <c r="A1" s="950"/>
      <c r="B1" s="951"/>
      <c r="C1" s="952"/>
      <c r="D1" s="952"/>
      <c r="E1" s="952"/>
      <c r="F1" s="952"/>
      <c r="G1" s="952"/>
      <c r="H1" s="952"/>
      <c r="I1" s="952"/>
      <c r="J1" s="952"/>
      <c r="K1" s="952"/>
      <c r="L1" s="952"/>
      <c r="M1" s="952"/>
      <c r="T1" s="1200" t="s">
        <v>738</v>
      </c>
      <c r="U1" s="1200"/>
    </row>
    <row r="2" spans="1:22">
      <c r="A2" s="952" t="s">
        <v>726</v>
      </c>
      <c r="C2" s="954"/>
      <c r="D2" s="954"/>
      <c r="F2" s="954"/>
      <c r="G2" s="954"/>
      <c r="I2" s="955"/>
      <c r="J2" s="955"/>
      <c r="K2" s="955"/>
      <c r="L2" s="955"/>
      <c r="M2" s="955"/>
    </row>
    <row r="3" spans="1:22">
      <c r="B3" s="956"/>
      <c r="C3" s="956"/>
      <c r="D3" s="956"/>
      <c r="E3" s="956"/>
      <c r="F3" s="956"/>
      <c r="G3" s="956"/>
      <c r="H3" s="956"/>
      <c r="I3" s="957"/>
      <c r="J3" s="957"/>
      <c r="K3" s="957"/>
      <c r="L3" s="957"/>
      <c r="M3" s="957"/>
    </row>
    <row r="4" spans="1:22" ht="78.75" customHeight="1">
      <c r="B4" s="956"/>
      <c r="C4" s="1250" t="s">
        <v>663</v>
      </c>
      <c r="D4" s="1250"/>
      <c r="E4" s="958"/>
      <c r="F4" s="1250" t="s">
        <v>664</v>
      </c>
      <c r="G4" s="1250"/>
      <c r="H4" s="958"/>
      <c r="I4" s="1251" t="s">
        <v>727</v>
      </c>
      <c r="J4" s="1251"/>
      <c r="K4" s="958"/>
      <c r="L4" s="1251" t="s">
        <v>728</v>
      </c>
      <c r="M4" s="1251"/>
      <c r="P4" s="809"/>
      <c r="Q4" s="809" t="s">
        <v>667</v>
      </c>
      <c r="R4" s="809" t="s">
        <v>668</v>
      </c>
      <c r="S4" s="809" t="s">
        <v>669</v>
      </c>
      <c r="T4" s="809" t="s">
        <v>670</v>
      </c>
      <c r="U4" s="809" t="s">
        <v>671</v>
      </c>
      <c r="V4" s="959"/>
    </row>
    <row r="5" spans="1:22" ht="81" customHeight="1">
      <c r="A5" s="960" t="s">
        <v>431</v>
      </c>
      <c r="B5" s="809"/>
      <c r="C5" s="961" t="s">
        <v>665</v>
      </c>
      <c r="D5" s="962" t="s">
        <v>666</v>
      </c>
      <c r="E5" s="963"/>
      <c r="F5" s="961" t="s">
        <v>665</v>
      </c>
      <c r="G5" s="962" t="s">
        <v>666</v>
      </c>
      <c r="H5" s="963"/>
      <c r="I5" s="961" t="s">
        <v>665</v>
      </c>
      <c r="J5" s="962" t="s">
        <v>666</v>
      </c>
      <c r="K5" s="963"/>
      <c r="L5" s="961" t="s">
        <v>665</v>
      </c>
      <c r="M5" s="962" t="s">
        <v>666</v>
      </c>
      <c r="P5" s="809"/>
      <c r="Q5" s="809">
        <v>2</v>
      </c>
      <c r="R5" s="809">
        <v>3</v>
      </c>
      <c r="S5" s="809">
        <v>4</v>
      </c>
      <c r="T5" s="809" t="s">
        <v>672</v>
      </c>
      <c r="U5" s="809">
        <v>6</v>
      </c>
      <c r="V5" s="959"/>
    </row>
    <row r="6" spans="1:22">
      <c r="A6" s="964"/>
      <c r="B6" s="965" t="s">
        <v>55</v>
      </c>
      <c r="C6" s="966">
        <v>2091.5100000000002</v>
      </c>
      <c r="D6" s="966">
        <v>2589.0899999999997</v>
      </c>
      <c r="E6" s="967"/>
      <c r="F6" s="966">
        <v>2274.4</v>
      </c>
      <c r="G6" s="966">
        <v>2826.3799999999997</v>
      </c>
      <c r="H6" s="967"/>
      <c r="I6" s="966">
        <v>2504.6676299999999</v>
      </c>
      <c r="J6" s="966">
        <v>3140.94</v>
      </c>
      <c r="K6" s="967"/>
      <c r="L6" s="966">
        <v>2712.5933930000001</v>
      </c>
      <c r="M6" s="966">
        <v>3364.66</v>
      </c>
      <c r="P6" s="961" t="s">
        <v>673</v>
      </c>
      <c r="Q6" s="968">
        <f>Q7+Q8</f>
        <v>844</v>
      </c>
      <c r="R6" s="968">
        <f>R7+R8</f>
        <v>207</v>
      </c>
      <c r="S6" s="968">
        <f>S7+S8</f>
        <v>223</v>
      </c>
      <c r="T6" s="961">
        <f>T7+T8</f>
        <v>860</v>
      </c>
      <c r="U6" s="969">
        <f>U7+U8</f>
        <v>849</v>
      </c>
      <c r="V6" s="970"/>
    </row>
    <row r="7" spans="1:22" ht="43.5" customHeight="1">
      <c r="A7" s="971" t="s">
        <v>418</v>
      </c>
      <c r="B7" s="972" t="s">
        <v>432</v>
      </c>
      <c r="C7" s="971">
        <v>108.14</v>
      </c>
      <c r="D7" s="971">
        <v>108.14</v>
      </c>
      <c r="E7" s="973"/>
      <c r="F7" s="971">
        <v>108.14</v>
      </c>
      <c r="G7" s="971">
        <v>108.14</v>
      </c>
      <c r="H7" s="973"/>
      <c r="I7" s="971">
        <v>108.14</v>
      </c>
      <c r="J7" s="971">
        <v>108.14</v>
      </c>
      <c r="K7" s="973"/>
      <c r="L7" s="971">
        <v>108.14</v>
      </c>
      <c r="M7" s="971">
        <v>108.14</v>
      </c>
      <c r="P7" s="974" t="s">
        <v>674</v>
      </c>
      <c r="Q7" s="975">
        <v>195</v>
      </c>
      <c r="R7" s="975">
        <v>57</v>
      </c>
      <c r="S7" s="975">
        <v>51</v>
      </c>
      <c r="T7" s="974">
        <v>189</v>
      </c>
      <c r="U7" s="976">
        <f>ROUNDUP((Q7*9+(Q7-R7+S7)*3)/12,0)</f>
        <v>194</v>
      </c>
      <c r="V7" s="977"/>
    </row>
    <row r="8" spans="1:22" ht="29.25" customHeight="1">
      <c r="A8" s="971" t="s">
        <v>419</v>
      </c>
      <c r="B8" s="972" t="s">
        <v>433</v>
      </c>
      <c r="C8" s="978">
        <v>1983.3700000000001</v>
      </c>
      <c r="D8" s="978">
        <v>2480.9499999999998</v>
      </c>
      <c r="E8" s="967"/>
      <c r="F8" s="978">
        <v>2166.2600000000002</v>
      </c>
      <c r="G8" s="978">
        <v>2718.24</v>
      </c>
      <c r="H8" s="967"/>
      <c r="I8" s="978">
        <v>2396.52763</v>
      </c>
      <c r="J8" s="978">
        <v>3032.8</v>
      </c>
      <c r="K8" s="967"/>
      <c r="L8" s="978">
        <v>2604.4533930000002</v>
      </c>
      <c r="M8" s="978">
        <v>3256.52</v>
      </c>
      <c r="P8" s="974" t="s">
        <v>665</v>
      </c>
      <c r="Q8" s="975">
        <v>649</v>
      </c>
      <c r="R8" s="975">
        <v>150</v>
      </c>
      <c r="S8" s="975">
        <v>172</v>
      </c>
      <c r="T8" s="974">
        <v>671</v>
      </c>
      <c r="U8" s="976">
        <f>ROUNDUP((Q8*9+(Q8-R8+S8)*3)/12,0)</f>
        <v>655</v>
      </c>
      <c r="V8" s="977"/>
    </row>
    <row r="9" spans="1:22" ht="50.25" customHeight="1">
      <c r="A9" s="979" t="s">
        <v>434</v>
      </c>
      <c r="B9" s="980" t="s">
        <v>435</v>
      </c>
      <c r="C9" s="981">
        <v>1664.92</v>
      </c>
      <c r="D9" s="981">
        <v>2162.5</v>
      </c>
      <c r="E9" s="967"/>
      <c r="F9" s="981">
        <v>1847.81</v>
      </c>
      <c r="G9" s="981">
        <v>2399.79</v>
      </c>
      <c r="H9" s="967"/>
      <c r="I9" s="981">
        <v>2079.2276299999999</v>
      </c>
      <c r="J9" s="981">
        <v>2715.5</v>
      </c>
      <c r="K9" s="967"/>
      <c r="L9" s="981">
        <v>2287.1533930000001</v>
      </c>
      <c r="M9" s="981">
        <v>2939.22</v>
      </c>
      <c r="P9" s="968" t="s">
        <v>675</v>
      </c>
      <c r="Q9" s="982">
        <f>Q10+Q11</f>
        <v>466</v>
      </c>
      <c r="R9" s="982">
        <f>R10+R11</f>
        <v>207</v>
      </c>
      <c r="S9" s="982">
        <f>S10+S11</f>
        <v>34</v>
      </c>
      <c r="T9" s="982">
        <f>T10+T11</f>
        <v>293</v>
      </c>
      <c r="U9" s="983">
        <f>U10+U11</f>
        <v>423</v>
      </c>
      <c r="V9" s="984"/>
    </row>
    <row r="10" spans="1:22" ht="35.25" customHeight="1">
      <c r="A10" s="985" t="s">
        <v>436</v>
      </c>
      <c r="B10" s="986" t="s">
        <v>437</v>
      </c>
      <c r="C10" s="987">
        <v>1341.7</v>
      </c>
      <c r="D10" s="987">
        <v>1742.69</v>
      </c>
      <c r="E10" s="988"/>
      <c r="F10" s="987">
        <v>1489.09</v>
      </c>
      <c r="G10" s="987">
        <v>1933.91</v>
      </c>
      <c r="H10" s="988"/>
      <c r="I10" s="987">
        <v>1682.35763</v>
      </c>
      <c r="J10" s="987">
        <v>2197.1799999999998</v>
      </c>
      <c r="K10" s="988"/>
      <c r="L10" s="987">
        <v>1850.5933930000001</v>
      </c>
      <c r="M10" s="987">
        <v>2378.1999999999998</v>
      </c>
      <c r="P10" s="974" t="s">
        <v>674</v>
      </c>
      <c r="Q10" s="989">
        <v>114</v>
      </c>
      <c r="R10" s="989">
        <v>57</v>
      </c>
      <c r="S10" s="989">
        <v>8</v>
      </c>
      <c r="T10" s="989">
        <v>65</v>
      </c>
      <c r="U10" s="990">
        <f>ROUNDUP((Q10*9+(Q10-R10+S10)*3)/12,0)</f>
        <v>102</v>
      </c>
      <c r="V10" s="991"/>
    </row>
    <row r="11" spans="1:22" s="954" customFormat="1" ht="24">
      <c r="A11" s="960" t="s">
        <v>438</v>
      </c>
      <c r="B11" s="992" t="s">
        <v>439</v>
      </c>
      <c r="C11" s="809">
        <v>1140</v>
      </c>
      <c r="D11" s="809">
        <v>1482</v>
      </c>
      <c r="E11" s="993"/>
      <c r="F11" s="809">
        <v>1254</v>
      </c>
      <c r="G11" s="809">
        <v>1630.2</v>
      </c>
      <c r="H11" s="993"/>
      <c r="I11" s="809">
        <v>1429.4459999999999</v>
      </c>
      <c r="J11" s="809">
        <v>1858.28</v>
      </c>
      <c r="K11" s="993"/>
      <c r="L11" s="809">
        <v>1572.3905999999999</v>
      </c>
      <c r="M11" s="809">
        <v>2044.11</v>
      </c>
      <c r="P11" s="974" t="s">
        <v>665</v>
      </c>
      <c r="Q11" s="989">
        <v>352</v>
      </c>
      <c r="R11" s="989">
        <v>150</v>
      </c>
      <c r="S11" s="989">
        <v>26</v>
      </c>
      <c r="T11" s="989">
        <v>228</v>
      </c>
      <c r="U11" s="990">
        <f>ROUNDUP((Q11*9+(Q11-R11+S11)*3)/12,0)</f>
        <v>321</v>
      </c>
      <c r="V11" s="991"/>
    </row>
    <row r="12" spans="1:22" ht="19.5" customHeight="1">
      <c r="A12" s="960" t="s">
        <v>440</v>
      </c>
      <c r="B12" s="992" t="s">
        <v>441</v>
      </c>
      <c r="C12" s="809">
        <v>201.7</v>
      </c>
      <c r="D12" s="809">
        <v>260.69</v>
      </c>
      <c r="E12" s="994"/>
      <c r="F12" s="809">
        <v>235.09</v>
      </c>
      <c r="G12" s="809">
        <v>303.70999999999998</v>
      </c>
      <c r="H12" s="994"/>
      <c r="I12" s="809">
        <v>252.91163</v>
      </c>
      <c r="J12" s="809">
        <v>338.9</v>
      </c>
      <c r="K12" s="994"/>
      <c r="L12" s="809">
        <v>278.20279300000004</v>
      </c>
      <c r="M12" s="809">
        <v>334.09</v>
      </c>
      <c r="P12" s="982" t="s">
        <v>676</v>
      </c>
      <c r="Q12" s="982">
        <f>Q13+Q14</f>
        <v>378</v>
      </c>
      <c r="R12" s="982">
        <f>R13+R14</f>
        <v>0</v>
      </c>
      <c r="S12" s="982">
        <f>S13+S14</f>
        <v>189</v>
      </c>
      <c r="T12" s="982">
        <f>T13+T14</f>
        <v>567</v>
      </c>
      <c r="U12" s="983">
        <f>U13+U14</f>
        <v>426</v>
      </c>
      <c r="V12" s="984"/>
    </row>
    <row r="13" spans="1:22" ht="38.25" customHeight="1">
      <c r="A13" s="985" t="s">
        <v>442</v>
      </c>
      <c r="B13" s="986" t="s">
        <v>443</v>
      </c>
      <c r="C13" s="987">
        <v>323.22000000000003</v>
      </c>
      <c r="D13" s="987">
        <v>419.81</v>
      </c>
      <c r="E13" s="988"/>
      <c r="F13" s="987">
        <v>358.71999999999997</v>
      </c>
      <c r="G13" s="987">
        <v>465.88</v>
      </c>
      <c r="H13" s="988"/>
      <c r="I13" s="987">
        <v>396.87</v>
      </c>
      <c r="J13" s="987">
        <v>518.32000000000005</v>
      </c>
      <c r="K13" s="988"/>
      <c r="L13" s="987">
        <v>436.56</v>
      </c>
      <c r="M13" s="987">
        <v>561.02</v>
      </c>
      <c r="P13" s="974" t="s">
        <v>674</v>
      </c>
      <c r="Q13" s="989">
        <v>81</v>
      </c>
      <c r="R13" s="989">
        <v>0</v>
      </c>
      <c r="S13" s="989">
        <v>43</v>
      </c>
      <c r="T13" s="989">
        <v>124</v>
      </c>
      <c r="U13" s="990">
        <f>ROUNDUP((Q13*9+(Q13-R13+S13)*3)/12,0)</f>
        <v>92</v>
      </c>
      <c r="V13" s="991"/>
    </row>
    <row r="14" spans="1:22" ht="29.25" customHeight="1">
      <c r="A14" s="979" t="s">
        <v>444</v>
      </c>
      <c r="B14" s="980" t="s">
        <v>445</v>
      </c>
      <c r="C14" s="981">
        <v>318.45000000000005</v>
      </c>
      <c r="D14" s="981">
        <v>318.45000000000005</v>
      </c>
      <c r="E14" s="967"/>
      <c r="F14" s="981">
        <v>318.45000000000005</v>
      </c>
      <c r="G14" s="981">
        <v>318.45000000000005</v>
      </c>
      <c r="H14" s="967"/>
      <c r="I14" s="981">
        <v>317.3</v>
      </c>
      <c r="J14" s="981">
        <v>317.3</v>
      </c>
      <c r="K14" s="967"/>
      <c r="L14" s="981">
        <v>317.3</v>
      </c>
      <c r="M14" s="981">
        <v>317.3</v>
      </c>
      <c r="P14" s="974" t="s">
        <v>665</v>
      </c>
      <c r="Q14" s="989">
        <v>297</v>
      </c>
      <c r="R14" s="989">
        <v>0</v>
      </c>
      <c r="S14" s="989">
        <v>146</v>
      </c>
      <c r="T14" s="989">
        <v>443</v>
      </c>
      <c r="U14" s="990">
        <f>ROUNDUP((Q14*9+(Q14-R14+S14)*3)/12,0)</f>
        <v>334</v>
      </c>
      <c r="V14" s="991"/>
    </row>
    <row r="15" spans="1:22">
      <c r="A15" s="985" t="s">
        <v>446</v>
      </c>
      <c r="B15" s="986" t="s">
        <v>447</v>
      </c>
      <c r="C15" s="987">
        <v>287.15000000000003</v>
      </c>
      <c r="D15" s="987">
        <v>287.15000000000003</v>
      </c>
      <c r="E15" s="988"/>
      <c r="F15" s="987">
        <v>287.15000000000003</v>
      </c>
      <c r="G15" s="987">
        <v>287.15000000000003</v>
      </c>
      <c r="H15" s="988"/>
      <c r="I15" s="987">
        <v>286</v>
      </c>
      <c r="J15" s="987">
        <v>286</v>
      </c>
      <c r="K15" s="988"/>
      <c r="L15" s="987">
        <v>286</v>
      </c>
      <c r="M15" s="987">
        <v>286</v>
      </c>
      <c r="P15" s="995"/>
      <c r="Q15" s="996"/>
      <c r="R15" s="996"/>
      <c r="S15" s="996"/>
      <c r="T15" s="995"/>
      <c r="U15" s="995"/>
      <c r="V15" s="995"/>
    </row>
    <row r="16" spans="1:22" ht="93" customHeight="1">
      <c r="A16" s="960" t="s">
        <v>448</v>
      </c>
      <c r="B16" s="992" t="s">
        <v>449</v>
      </c>
      <c r="C16" s="997">
        <v>255.72000000000003</v>
      </c>
      <c r="D16" s="997">
        <v>255.72000000000003</v>
      </c>
      <c r="E16" s="998"/>
      <c r="F16" s="997">
        <v>255.72000000000003</v>
      </c>
      <c r="G16" s="997">
        <v>255.72000000000003</v>
      </c>
      <c r="H16" s="998"/>
      <c r="I16" s="997">
        <v>254.69</v>
      </c>
      <c r="J16" s="997">
        <v>254.69</v>
      </c>
      <c r="K16" s="998"/>
      <c r="L16" s="997">
        <v>254.69</v>
      </c>
      <c r="M16" s="997">
        <v>254.69</v>
      </c>
      <c r="P16" s="1003"/>
      <c r="Q16" s="1004" t="s">
        <v>733</v>
      </c>
      <c r="R16" s="1004" t="s">
        <v>734</v>
      </c>
      <c r="S16" s="1004" t="s">
        <v>735</v>
      </c>
      <c r="T16" s="1005" t="s">
        <v>736</v>
      </c>
      <c r="U16" s="999"/>
      <c r="V16" s="999"/>
    </row>
    <row r="17" spans="1:22" ht="25.5">
      <c r="A17" s="960" t="s">
        <v>450</v>
      </c>
      <c r="B17" s="992" t="s">
        <v>451</v>
      </c>
      <c r="C17" s="960">
        <v>206.08</v>
      </c>
      <c r="D17" s="960">
        <v>206.08</v>
      </c>
      <c r="E17" s="1000"/>
      <c r="F17" s="960">
        <v>206.08</v>
      </c>
      <c r="G17" s="960">
        <v>206.08</v>
      </c>
      <c r="H17" s="1000"/>
      <c r="I17" s="960">
        <v>206.08</v>
      </c>
      <c r="J17" s="960">
        <v>206.08</v>
      </c>
      <c r="K17" s="1000"/>
      <c r="L17" s="960">
        <v>206.08</v>
      </c>
      <c r="M17" s="960">
        <v>206.08</v>
      </c>
      <c r="P17" s="1006" t="s">
        <v>729</v>
      </c>
      <c r="Q17" s="1008">
        <f>C6</f>
        <v>2091.5100000000002</v>
      </c>
      <c r="R17" s="1008">
        <f>I6</f>
        <v>2504.6676299999999</v>
      </c>
      <c r="S17" s="1008">
        <f>R17-Q17</f>
        <v>413.1576299999997</v>
      </c>
      <c r="T17" s="1009">
        <f>ROUND(S17*U14*12,0)</f>
        <v>1655936</v>
      </c>
      <c r="U17" s="999"/>
      <c r="V17" s="999"/>
    </row>
    <row r="18" spans="1:22" ht="49.5" customHeight="1">
      <c r="A18" s="960" t="s">
        <v>452</v>
      </c>
      <c r="B18" s="992" t="s">
        <v>453</v>
      </c>
      <c r="C18" s="997">
        <v>49.64</v>
      </c>
      <c r="D18" s="997">
        <v>49.64</v>
      </c>
      <c r="E18" s="998"/>
      <c r="F18" s="997">
        <v>49.64</v>
      </c>
      <c r="G18" s="997">
        <v>49.64</v>
      </c>
      <c r="H18" s="998"/>
      <c r="I18" s="997">
        <v>48.61</v>
      </c>
      <c r="J18" s="997">
        <v>48.61</v>
      </c>
      <c r="K18" s="998"/>
      <c r="L18" s="997">
        <v>48.61</v>
      </c>
      <c r="M18" s="997">
        <v>48.61</v>
      </c>
      <c r="P18" s="1006" t="s">
        <v>730</v>
      </c>
      <c r="Q18" s="1008">
        <f>D6</f>
        <v>2589.0899999999997</v>
      </c>
      <c r="R18" s="1008">
        <f>J6</f>
        <v>3140.94</v>
      </c>
      <c r="S18" s="1008">
        <f t="shared" ref="S18:S20" si="0">R18-Q18</f>
        <v>551.85000000000036</v>
      </c>
      <c r="T18" s="1009">
        <f>ROUND(S18*U13*12,0)</f>
        <v>609242</v>
      </c>
      <c r="U18" s="996"/>
      <c r="V18" s="996"/>
    </row>
    <row r="19" spans="1:22" ht="38.25">
      <c r="A19" s="960" t="s">
        <v>454</v>
      </c>
      <c r="B19" s="992" t="s">
        <v>455</v>
      </c>
      <c r="C19" s="997">
        <v>31.43</v>
      </c>
      <c r="D19" s="997">
        <v>31.43</v>
      </c>
      <c r="E19" s="998"/>
      <c r="F19" s="997">
        <v>31.43</v>
      </c>
      <c r="G19" s="997">
        <v>31.43</v>
      </c>
      <c r="H19" s="998"/>
      <c r="I19" s="997">
        <v>31.310000000000002</v>
      </c>
      <c r="J19" s="997">
        <v>31.310000000000002</v>
      </c>
      <c r="K19" s="998"/>
      <c r="L19" s="997">
        <v>31.310000000000002</v>
      </c>
      <c r="M19" s="997">
        <v>31.310000000000002</v>
      </c>
      <c r="P19" s="1007" t="s">
        <v>731</v>
      </c>
      <c r="Q19" s="1008">
        <f>F6</f>
        <v>2274.4</v>
      </c>
      <c r="R19" s="1008">
        <f>L6</f>
        <v>2712.5933930000001</v>
      </c>
      <c r="S19" s="1008">
        <f t="shared" si="0"/>
        <v>438.19339300000001</v>
      </c>
      <c r="T19" s="1009">
        <f>ROUND(S19*U11*12,0)</f>
        <v>1687921</v>
      </c>
      <c r="U19" s="1001"/>
      <c r="V19" s="1001"/>
    </row>
    <row r="20" spans="1:22" ht="76.5">
      <c r="A20" s="960" t="s">
        <v>456</v>
      </c>
      <c r="B20" s="992" t="s">
        <v>451</v>
      </c>
      <c r="C20" s="997">
        <v>25.330000000000002</v>
      </c>
      <c r="D20" s="997">
        <v>25.330000000000002</v>
      </c>
      <c r="E20" s="998"/>
      <c r="F20" s="997">
        <v>25.330000000000002</v>
      </c>
      <c r="G20" s="997">
        <v>25.330000000000002</v>
      </c>
      <c r="H20" s="998"/>
      <c r="I20" s="997">
        <v>25.330000000000002</v>
      </c>
      <c r="J20" s="997">
        <v>25.330000000000002</v>
      </c>
      <c r="K20" s="998"/>
      <c r="L20" s="997">
        <v>25.330000000000002</v>
      </c>
      <c r="M20" s="997">
        <v>25.330000000000002</v>
      </c>
      <c r="P20" s="1007" t="s">
        <v>732</v>
      </c>
      <c r="Q20" s="1008">
        <f>G6</f>
        <v>2826.3799999999997</v>
      </c>
      <c r="R20" s="1008">
        <f>M6</f>
        <v>3364.66</v>
      </c>
      <c r="S20" s="1008">
        <f t="shared" si="0"/>
        <v>538.2800000000002</v>
      </c>
      <c r="T20" s="1009">
        <f>ROUND(S20*U10*12,0)</f>
        <v>658855</v>
      </c>
      <c r="U20" s="1001"/>
      <c r="V20" s="1001"/>
    </row>
    <row r="21" spans="1:22" ht="19.5" customHeight="1">
      <c r="A21" s="960" t="s">
        <v>457</v>
      </c>
      <c r="B21" s="992" t="s">
        <v>453</v>
      </c>
      <c r="C21" s="997">
        <v>6.1</v>
      </c>
      <c r="D21" s="997">
        <v>6.1</v>
      </c>
      <c r="E21" s="998"/>
      <c r="F21" s="997">
        <v>6.1</v>
      </c>
      <c r="G21" s="997">
        <v>6.1</v>
      </c>
      <c r="H21" s="998"/>
      <c r="I21" s="997">
        <v>5.98</v>
      </c>
      <c r="J21" s="997">
        <v>5.98</v>
      </c>
      <c r="K21" s="998"/>
      <c r="L21" s="997">
        <v>5.98</v>
      </c>
      <c r="M21" s="997">
        <v>5.98</v>
      </c>
      <c r="P21" s="996"/>
      <c r="Q21" s="996"/>
      <c r="R21" s="996"/>
      <c r="S21" s="1265" t="s">
        <v>737</v>
      </c>
      <c r="T21" s="1265">
        <f>SUM(T17:T20)</f>
        <v>4611954</v>
      </c>
      <c r="U21" s="996"/>
      <c r="V21" s="996"/>
    </row>
    <row r="22" spans="1:22" ht="24">
      <c r="A22" s="985" t="s">
        <v>458</v>
      </c>
      <c r="B22" s="986" t="s">
        <v>459</v>
      </c>
      <c r="C22" s="987">
        <v>31.3</v>
      </c>
      <c r="D22" s="987">
        <v>31.3</v>
      </c>
      <c r="E22" s="988"/>
      <c r="F22" s="987">
        <v>31.3</v>
      </c>
      <c r="G22" s="987">
        <v>31.3</v>
      </c>
      <c r="H22" s="988"/>
      <c r="I22" s="987">
        <v>31.3</v>
      </c>
      <c r="J22" s="987">
        <v>31.3</v>
      </c>
      <c r="K22" s="988"/>
      <c r="L22" s="987">
        <v>31.3</v>
      </c>
      <c r="M22" s="987">
        <v>31.3</v>
      </c>
      <c r="P22" s="999"/>
      <c r="Q22" s="1001"/>
      <c r="R22" s="1001"/>
      <c r="S22" s="1001"/>
      <c r="T22" s="1001"/>
      <c r="U22" s="1001"/>
      <c r="V22" s="1001"/>
    </row>
    <row r="23" spans="1:22" ht="60">
      <c r="A23" s="960" t="s">
        <v>460</v>
      </c>
      <c r="B23" s="992" t="s">
        <v>461</v>
      </c>
      <c r="C23" s="960">
        <v>15.65</v>
      </c>
      <c r="D23" s="960">
        <v>15.65</v>
      </c>
      <c r="E23" s="1000"/>
      <c r="F23" s="960">
        <v>15.65</v>
      </c>
      <c r="G23" s="960">
        <v>15.65</v>
      </c>
      <c r="H23" s="1000"/>
      <c r="I23" s="960">
        <v>15.65</v>
      </c>
      <c r="J23" s="960">
        <v>15.65</v>
      </c>
      <c r="K23" s="1000"/>
      <c r="L23" s="960">
        <v>15.65</v>
      </c>
      <c r="M23" s="960">
        <v>15.65</v>
      </c>
      <c r="P23" s="999"/>
      <c r="Q23" s="1001"/>
      <c r="R23" s="1001"/>
      <c r="S23" s="1001"/>
      <c r="T23" s="1001"/>
      <c r="U23" s="1001"/>
      <c r="V23" s="1001"/>
    </row>
    <row r="24" spans="1:22" ht="108">
      <c r="A24" s="960" t="s">
        <v>462</v>
      </c>
      <c r="B24" s="992" t="s">
        <v>463</v>
      </c>
      <c r="C24" s="960">
        <v>15.65</v>
      </c>
      <c r="D24" s="960">
        <v>15.65</v>
      </c>
      <c r="E24" s="1000"/>
      <c r="F24" s="960">
        <v>15.65</v>
      </c>
      <c r="G24" s="960">
        <v>15.65</v>
      </c>
      <c r="H24" s="1000"/>
      <c r="I24" s="960">
        <v>15.65</v>
      </c>
      <c r="J24" s="960">
        <v>15.65</v>
      </c>
      <c r="K24" s="1000"/>
      <c r="L24" s="960">
        <v>15.65</v>
      </c>
      <c r="M24" s="960">
        <v>15.65</v>
      </c>
    </row>
    <row r="25" spans="1:22">
      <c r="A25" s="172"/>
      <c r="B25" s="1002"/>
      <c r="C25" s="172"/>
      <c r="D25" s="172"/>
      <c r="E25" s="172"/>
      <c r="F25" s="172"/>
      <c r="G25" s="172"/>
      <c r="H25" s="172"/>
      <c r="I25" s="172"/>
      <c r="J25" s="172"/>
      <c r="K25" s="172"/>
      <c r="L25" s="172"/>
      <c r="M25" s="172"/>
    </row>
  </sheetData>
  <mergeCells count="5">
    <mergeCell ref="T1:U1"/>
    <mergeCell ref="C4:D4"/>
    <mergeCell ref="F4:G4"/>
    <mergeCell ref="I4:J4"/>
    <mergeCell ref="L4:M4"/>
  </mergeCells>
  <pageMargins left="0.70866141732283472" right="0.70866141732283472" top="0.74803149606299213" bottom="0.74803149606299213" header="0.31496062992125984" footer="0.31496062992125984"/>
  <pageSetup paperSize="9" scale="65"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F0040-9501-4241-9C34-737AD02B34BC}">
  <dimension ref="A1:AB56"/>
  <sheetViews>
    <sheetView zoomScale="80" zoomScaleNormal="80" workbookViewId="0">
      <selection activeCell="Y4" sqref="Y4"/>
    </sheetView>
  </sheetViews>
  <sheetFormatPr defaultColWidth="9.140625" defaultRowHeight="15"/>
  <cols>
    <col min="1" max="1" width="5" style="342" customWidth="1"/>
    <col min="2" max="2" width="4.85546875" style="342" hidden="1" customWidth="1"/>
    <col min="3" max="3" width="15.85546875" style="342" customWidth="1"/>
    <col min="4" max="4" width="12.42578125" style="342" customWidth="1"/>
    <col min="5" max="5" width="17.140625" style="342" customWidth="1"/>
    <col min="6" max="6" width="12.42578125" style="342" customWidth="1"/>
    <col min="7" max="7" width="13.5703125" style="342" customWidth="1"/>
    <col min="8" max="8" width="12.42578125" style="342" customWidth="1"/>
    <col min="9" max="9" width="9.140625" style="342"/>
    <col min="10" max="11" width="15.5703125" style="342" customWidth="1"/>
    <col min="12" max="12" width="15.5703125" style="235" customWidth="1"/>
    <col min="13" max="13" width="2.5703125" style="342" customWidth="1"/>
    <col min="14" max="14" width="15.85546875" style="342" customWidth="1"/>
    <col min="15" max="15" width="12.85546875" style="342" customWidth="1"/>
    <col min="16" max="16" width="17.140625" style="342" customWidth="1"/>
    <col min="17" max="19" width="13.85546875" style="342" customWidth="1"/>
    <col min="20" max="20" width="13.28515625" style="342" customWidth="1"/>
    <col min="21" max="22" width="15.5703125" style="342" customWidth="1"/>
    <col min="23" max="23" width="15.5703125" style="235" customWidth="1"/>
    <col min="24" max="24" width="2.5703125" style="342" customWidth="1"/>
    <col min="25" max="25" width="17.85546875" style="744" customWidth="1"/>
    <col min="26" max="27" width="23.28515625" style="342" customWidth="1"/>
    <col min="28" max="16384" width="9.140625" style="342"/>
  </cols>
  <sheetData>
    <row r="1" spans="1:27">
      <c r="W1" s="1266" t="s">
        <v>743</v>
      </c>
      <c r="X1" s="1266"/>
      <c r="Y1" s="1266"/>
    </row>
    <row r="2" spans="1:27">
      <c r="Z2" s="744"/>
      <c r="AA2" s="744"/>
    </row>
    <row r="3" spans="1:27">
      <c r="B3" s="230"/>
      <c r="C3" s="1253" t="s">
        <v>656</v>
      </c>
      <c r="D3" s="1253"/>
      <c r="E3" s="1253"/>
      <c r="F3" s="1253"/>
      <c r="G3" s="1253"/>
      <c r="H3" s="1253"/>
      <c r="I3" s="1253"/>
      <c r="J3" s="1253"/>
      <c r="K3" s="1253"/>
      <c r="L3" s="1253"/>
      <c r="M3" s="1253"/>
      <c r="N3" s="1253"/>
      <c r="O3" s="1253"/>
      <c r="P3" s="1253"/>
      <c r="Q3" s="1253"/>
      <c r="R3" s="1253"/>
      <c r="S3" s="1253"/>
      <c r="T3" s="1253"/>
      <c r="U3" s="1253"/>
      <c r="V3" s="1253"/>
      <c r="W3" s="1253"/>
      <c r="X3" s="1253"/>
      <c r="Y3" s="1253"/>
    </row>
    <row r="4" spans="1:27" ht="43.5">
      <c r="B4" s="230"/>
      <c r="C4" s="1015">
        <v>1.1000000000000001</v>
      </c>
      <c r="D4" s="1015">
        <v>1.52</v>
      </c>
      <c r="E4" s="1015"/>
      <c r="F4" s="1015"/>
      <c r="G4" s="1016"/>
      <c r="H4" s="1016"/>
      <c r="I4" s="1016"/>
      <c r="J4" s="1016"/>
      <c r="K4" s="1016"/>
      <c r="L4" s="1017"/>
      <c r="M4" s="1016"/>
      <c r="N4" s="1018">
        <f>1+('29_01_H_2020'!O10-0.1)</f>
        <v>1.1538999999999999</v>
      </c>
      <c r="O4" s="1015">
        <v>1.52</v>
      </c>
      <c r="P4" s="230"/>
      <c r="S4" s="745"/>
      <c r="X4" s="230"/>
      <c r="Y4" s="745" t="s">
        <v>744</v>
      </c>
    </row>
    <row r="5" spans="1:27" s="238" customFormat="1" ht="22.5" customHeight="1">
      <c r="B5" s="230"/>
      <c r="C5" s="1254" t="s">
        <v>151</v>
      </c>
      <c r="D5" s="1256"/>
      <c r="E5" s="1256" t="s">
        <v>152</v>
      </c>
      <c r="F5" s="1256"/>
      <c r="G5" s="1254" t="s">
        <v>482</v>
      </c>
      <c r="H5" s="1254" t="s">
        <v>469</v>
      </c>
      <c r="I5" s="1254" t="s">
        <v>470</v>
      </c>
      <c r="J5" s="1254" t="s">
        <v>471</v>
      </c>
      <c r="K5" s="1260" t="s">
        <v>715</v>
      </c>
      <c r="L5" s="1254" t="s">
        <v>472</v>
      </c>
      <c r="M5" s="230"/>
      <c r="N5" s="1254" t="s">
        <v>151</v>
      </c>
      <c r="O5" s="1256"/>
      <c r="P5" s="1256" t="s">
        <v>152</v>
      </c>
      <c r="Q5" s="1256"/>
      <c r="R5" s="1254" t="s">
        <v>482</v>
      </c>
      <c r="S5" s="1254" t="s">
        <v>469</v>
      </c>
      <c r="T5" s="1254" t="s">
        <v>470</v>
      </c>
      <c r="U5" s="1254" t="s">
        <v>471</v>
      </c>
      <c r="V5" s="1260" t="s">
        <v>715</v>
      </c>
      <c r="W5" s="1254" t="s">
        <v>472</v>
      </c>
      <c r="X5" s="230"/>
      <c r="Y5" s="1257" t="s">
        <v>469</v>
      </c>
    </row>
    <row r="6" spans="1:27" s="238" customFormat="1" ht="63.75" customHeight="1">
      <c r="B6" s="230"/>
      <c r="C6" s="1254"/>
      <c r="D6" s="1256"/>
      <c r="E6" s="1256"/>
      <c r="F6" s="1256"/>
      <c r="G6" s="1254"/>
      <c r="H6" s="1254"/>
      <c r="I6" s="1254"/>
      <c r="J6" s="1254"/>
      <c r="K6" s="1260"/>
      <c r="L6" s="1254"/>
      <c r="M6" s="230"/>
      <c r="N6" s="1254"/>
      <c r="O6" s="1256"/>
      <c r="P6" s="1256"/>
      <c r="Q6" s="1256"/>
      <c r="R6" s="1254"/>
      <c r="S6" s="1254"/>
      <c r="T6" s="1254"/>
      <c r="U6" s="1254"/>
      <c r="V6" s="1260"/>
      <c r="W6" s="1254"/>
      <c r="X6" s="230"/>
      <c r="Y6" s="1257"/>
    </row>
    <row r="7" spans="1:27" s="239" customFormat="1" ht="14.25">
      <c r="B7" s="230"/>
      <c r="C7" s="911"/>
      <c r="D7" s="911"/>
      <c r="E7" s="911"/>
      <c r="F7" s="911"/>
      <c r="G7" s="911"/>
      <c r="H7" s="911"/>
      <c r="I7" s="911"/>
      <c r="J7" s="911"/>
      <c r="K7" s="911"/>
      <c r="L7" s="911"/>
      <c r="M7" s="230"/>
      <c r="N7" s="911"/>
      <c r="O7" s="911"/>
      <c r="P7" s="911"/>
      <c r="Q7" s="911"/>
      <c r="R7" s="911"/>
      <c r="S7" s="911"/>
      <c r="T7" s="911"/>
      <c r="U7" s="911"/>
      <c r="V7" s="911"/>
      <c r="W7" s="911"/>
      <c r="X7" s="230"/>
      <c r="Y7" s="915"/>
      <c r="Z7" s="249"/>
    </row>
    <row r="8" spans="1:27" s="240" customFormat="1" ht="33" customHeight="1">
      <c r="B8" s="230"/>
      <c r="C8" s="1255" t="s">
        <v>11</v>
      </c>
      <c r="D8" s="746"/>
      <c r="E8" s="746"/>
      <c r="F8" s="746"/>
      <c r="G8" s="747"/>
      <c r="H8" s="747"/>
      <c r="I8" s="747"/>
      <c r="J8" s="747"/>
      <c r="K8" s="747"/>
      <c r="L8" s="761"/>
      <c r="M8" s="230"/>
      <c r="N8" s="1255" t="s">
        <v>11</v>
      </c>
      <c r="O8" s="746"/>
      <c r="P8" s="746"/>
      <c r="Q8" s="746"/>
      <c r="R8" s="747"/>
      <c r="S8" s="747"/>
      <c r="T8" s="747"/>
      <c r="U8" s="747"/>
      <c r="V8" s="747"/>
      <c r="W8" s="761"/>
      <c r="X8" s="230"/>
      <c r="Y8" s="236"/>
    </row>
    <row r="9" spans="1:27" s="241" customFormat="1">
      <c r="A9" s="748"/>
      <c r="B9" s="749"/>
      <c r="C9" s="1255"/>
      <c r="D9" s="750"/>
      <c r="E9" s="750">
        <f>E10+E11+E12</f>
        <v>7825.49</v>
      </c>
      <c r="F9" s="750"/>
      <c r="G9" s="751"/>
      <c r="H9" s="751"/>
      <c r="I9" s="751"/>
      <c r="J9" s="751"/>
      <c r="K9" s="751"/>
      <c r="L9" s="751"/>
      <c r="M9" s="230"/>
      <c r="N9" s="1255"/>
      <c r="O9" s="750"/>
      <c r="P9" s="750">
        <f>P10+P11+P12</f>
        <v>7825.49</v>
      </c>
      <c r="Q9" s="750"/>
      <c r="R9" s="751"/>
      <c r="S9" s="751"/>
      <c r="T9" s="751"/>
      <c r="U9" s="751"/>
      <c r="V9" s="751"/>
      <c r="W9" s="751"/>
      <c r="X9" s="230"/>
      <c r="Y9" s="237"/>
      <c r="Z9" s="240"/>
    </row>
    <row r="10" spans="1:27" s="230" customFormat="1" ht="14.25">
      <c r="A10" s="752"/>
      <c r="B10" s="752"/>
      <c r="C10" s="754" t="s">
        <v>473</v>
      </c>
      <c r="D10" s="753"/>
      <c r="E10" s="901">
        <v>6069.62</v>
      </c>
      <c r="F10" s="753"/>
      <c r="G10" s="754">
        <v>1187</v>
      </c>
      <c r="H10" s="755">
        <f>ROUND(G10*$C$4,0)</f>
        <v>1306</v>
      </c>
      <c r="I10" s="756">
        <f>H10-G10</f>
        <v>119</v>
      </c>
      <c r="J10" s="756">
        <f>ROUND(I10*E10*12,0)</f>
        <v>8667417</v>
      </c>
      <c r="K10" s="756">
        <f>ROUND(J10*$D$4,0)</f>
        <v>13174474</v>
      </c>
      <c r="L10" s="756">
        <f>ROUND(K10*1.2359,0)</f>
        <v>16282332</v>
      </c>
      <c r="N10" s="754" t="s">
        <v>473</v>
      </c>
      <c r="O10" s="753"/>
      <c r="P10" s="901">
        <f t="shared" ref="P10:P12" si="0">E10</f>
        <v>6069.62</v>
      </c>
      <c r="Q10" s="753"/>
      <c r="R10" s="754">
        <v>1187</v>
      </c>
      <c r="S10" s="755">
        <f>ROUND(R10*$N$4,0)</f>
        <v>1370</v>
      </c>
      <c r="T10" s="756">
        <f>S10-R10</f>
        <v>183</v>
      </c>
      <c r="U10" s="756">
        <f>ROUND(T10*P10*12,0)</f>
        <v>13328886</v>
      </c>
      <c r="V10" s="756">
        <f>ROUND(U10*$O$4,0)</f>
        <v>20259907</v>
      </c>
      <c r="W10" s="756">
        <f>ROUND(V10*1.2359,0)</f>
        <v>25039219</v>
      </c>
      <c r="Y10" s="757">
        <f>G10+I10+T10</f>
        <v>1489</v>
      </c>
    </row>
    <row r="11" spans="1:27">
      <c r="A11" s="752"/>
      <c r="B11" s="752"/>
      <c r="C11" s="754" t="s">
        <v>474</v>
      </c>
      <c r="D11" s="753"/>
      <c r="E11" s="901">
        <f>599.43+1047.87</f>
        <v>1647.2999999999997</v>
      </c>
      <c r="F11" s="753"/>
      <c r="G11" s="754">
        <v>1045</v>
      </c>
      <c r="H11" s="755">
        <f>ROUND(G11*$C$4,0)</f>
        <v>1150</v>
      </c>
      <c r="I11" s="756">
        <f>H11-G11</f>
        <v>105</v>
      </c>
      <c r="J11" s="756">
        <f>ROUND(I11*E11*12,0)</f>
        <v>2075598</v>
      </c>
      <c r="K11" s="756">
        <f>ROUND(J11*$D$4,0)</f>
        <v>3154909</v>
      </c>
      <c r="L11" s="756">
        <f t="shared" ref="L11:L12" si="1">ROUND(K11*1.2359,0)</f>
        <v>3899152</v>
      </c>
      <c r="M11" s="230"/>
      <c r="N11" s="754" t="s">
        <v>474</v>
      </c>
      <c r="O11" s="753"/>
      <c r="P11" s="901">
        <f t="shared" si="0"/>
        <v>1647.2999999999997</v>
      </c>
      <c r="Q11" s="753"/>
      <c r="R11" s="754">
        <v>1045</v>
      </c>
      <c r="S11" s="755">
        <f>ROUND(R11*$N$4,0)</f>
        <v>1206</v>
      </c>
      <c r="T11" s="756">
        <f>S11-R11</f>
        <v>161</v>
      </c>
      <c r="U11" s="756">
        <f>ROUND(T11*P11*12,0)</f>
        <v>3182584</v>
      </c>
      <c r="V11" s="756">
        <f>ROUND(U11*$O$4,0)</f>
        <v>4837528</v>
      </c>
      <c r="W11" s="756">
        <f t="shared" ref="W11" si="2">ROUND(V11*1.2359,0)</f>
        <v>5978701</v>
      </c>
      <c r="X11" s="230"/>
      <c r="Y11" s="757">
        <f>G11+I11+T11</f>
        <v>1311</v>
      </c>
      <c r="Z11" s="230"/>
    </row>
    <row r="12" spans="1:27">
      <c r="A12" s="752"/>
      <c r="B12" s="752"/>
      <c r="C12" s="758" t="s">
        <v>475</v>
      </c>
      <c r="D12" s="753"/>
      <c r="E12" s="902">
        <f>108.57</f>
        <v>108.57</v>
      </c>
      <c r="F12" s="753"/>
      <c r="G12" s="758">
        <v>785</v>
      </c>
      <c r="H12" s="755">
        <f>ROUND(G12*$C$4,0)</f>
        <v>864</v>
      </c>
      <c r="I12" s="756">
        <f t="shared" ref="I12" si="3">H12-G12</f>
        <v>79</v>
      </c>
      <c r="J12" s="756">
        <f>ROUND(I12*E12*12,0)</f>
        <v>102924</v>
      </c>
      <c r="K12" s="756">
        <f>ROUND(J12*$D$4,0)</f>
        <v>156444</v>
      </c>
      <c r="L12" s="756">
        <f t="shared" si="1"/>
        <v>193349</v>
      </c>
      <c r="M12" s="230"/>
      <c r="N12" s="758" t="s">
        <v>475</v>
      </c>
      <c r="O12" s="753"/>
      <c r="P12" s="902">
        <f t="shared" si="0"/>
        <v>108.57</v>
      </c>
      <c r="Q12" s="753"/>
      <c r="R12" s="758">
        <v>785</v>
      </c>
      <c r="S12" s="755">
        <f>ROUND(R12*$N$4,0)</f>
        <v>906</v>
      </c>
      <c r="T12" s="756">
        <f t="shared" ref="T12" si="4">S12-R12</f>
        <v>121</v>
      </c>
      <c r="U12" s="756">
        <f>ROUND(T12*P12*12,0)</f>
        <v>157644</v>
      </c>
      <c r="V12" s="756">
        <f>ROUND(U12*$O$4,0)</f>
        <v>239619</v>
      </c>
      <c r="W12" s="756">
        <f>ROUND(V12*1.2359,0)</f>
        <v>296145</v>
      </c>
      <c r="X12" s="230"/>
      <c r="Y12" s="757">
        <f t="shared" ref="Y12" si="5">G12+I12+T12</f>
        <v>985</v>
      </c>
      <c r="Z12" s="230"/>
    </row>
    <row r="13" spans="1:27" s="242" customFormat="1" ht="14.25">
      <c r="A13" s="759"/>
      <c r="B13" s="749"/>
      <c r="C13" s="1255" t="s">
        <v>28</v>
      </c>
      <c r="D13" s="760"/>
      <c r="E13" s="760"/>
      <c r="F13" s="760"/>
      <c r="G13" s="761"/>
      <c r="H13" s="751"/>
      <c r="I13" s="751"/>
      <c r="J13" s="751"/>
      <c r="K13" s="751"/>
      <c r="L13" s="751"/>
      <c r="M13" s="230"/>
      <c r="N13" s="1255" t="s">
        <v>28</v>
      </c>
      <c r="O13" s="760"/>
      <c r="P13" s="760"/>
      <c r="Q13" s="760"/>
      <c r="R13" s="761"/>
      <c r="S13" s="751"/>
      <c r="T13" s="751"/>
      <c r="U13" s="751"/>
      <c r="V13" s="751"/>
      <c r="W13" s="751"/>
      <c r="X13" s="230"/>
      <c r="Y13" s="237"/>
      <c r="Z13" s="230"/>
    </row>
    <row r="14" spans="1:27" s="243" customFormat="1" ht="39" customHeight="1">
      <c r="A14" s="748"/>
      <c r="B14" s="749"/>
      <c r="C14" s="1255"/>
      <c r="D14" s="750"/>
      <c r="E14" s="750">
        <f>E15+E16+E17</f>
        <v>11304.244999999999</v>
      </c>
      <c r="F14" s="750"/>
      <c r="G14" s="751"/>
      <c r="H14" s="751"/>
      <c r="I14" s="751"/>
      <c r="J14" s="751"/>
      <c r="K14" s="751"/>
      <c r="L14" s="751"/>
      <c r="M14" s="230"/>
      <c r="N14" s="1255"/>
      <c r="O14" s="750"/>
      <c r="P14" s="750">
        <f>P15+P16+P17</f>
        <v>11304.244999999999</v>
      </c>
      <c r="Q14" s="750"/>
      <c r="R14" s="751"/>
      <c r="S14" s="751"/>
      <c r="T14" s="751"/>
      <c r="U14" s="751"/>
      <c r="V14" s="751"/>
      <c r="W14" s="751"/>
      <c r="X14" s="230"/>
      <c r="Y14" s="237"/>
      <c r="Z14" s="230"/>
    </row>
    <row r="15" spans="1:27" s="230" customFormat="1" ht="14.25">
      <c r="A15" s="752"/>
      <c r="B15" s="752"/>
      <c r="C15" s="754" t="s">
        <v>475</v>
      </c>
      <c r="D15" s="753"/>
      <c r="E15" s="903">
        <v>9320.17</v>
      </c>
      <c r="F15" s="753"/>
      <c r="G15" s="758">
        <v>785</v>
      </c>
      <c r="H15" s="755">
        <f>ROUND(G15*$C$4,0)</f>
        <v>864</v>
      </c>
      <c r="I15" s="756">
        <f>H15-G15</f>
        <v>79</v>
      </c>
      <c r="J15" s="756">
        <f>ROUND(I15*E15*12,0)</f>
        <v>8835521</v>
      </c>
      <c r="K15" s="756">
        <f>ROUND(J15*$D$4,0)</f>
        <v>13429992</v>
      </c>
      <c r="L15" s="756">
        <f t="shared" ref="L15:L16" si="6">ROUND(K15*1.2359,0)</f>
        <v>16598127</v>
      </c>
      <c r="N15" s="754" t="s">
        <v>475</v>
      </c>
      <c r="O15" s="753"/>
      <c r="P15" s="903">
        <f t="shared" ref="P15:P16" si="7">E15</f>
        <v>9320.17</v>
      </c>
      <c r="Q15" s="753"/>
      <c r="R15" s="758">
        <v>785</v>
      </c>
      <c r="S15" s="755">
        <f>ROUND(R15*$N$4,0)</f>
        <v>906</v>
      </c>
      <c r="T15" s="756">
        <f>S15-R15</f>
        <v>121</v>
      </c>
      <c r="U15" s="756">
        <f>ROUND(T15*P15*12,0)</f>
        <v>13532887</v>
      </c>
      <c r="V15" s="756">
        <f>ROUND(U15*$O$4,0)</f>
        <v>20569988</v>
      </c>
      <c r="W15" s="756">
        <f t="shared" ref="W15:W16" si="8">ROUND(V15*1.2359,0)</f>
        <v>25422448</v>
      </c>
      <c r="Y15" s="757">
        <f t="shared" ref="Y15:Y17" si="9">G15+I15+T15</f>
        <v>985</v>
      </c>
    </row>
    <row r="16" spans="1:27" s="230" customFormat="1" ht="14.25">
      <c r="A16" s="752"/>
      <c r="B16" s="752"/>
      <c r="C16" s="754" t="s">
        <v>476</v>
      </c>
      <c r="D16" s="753"/>
      <c r="E16" s="902">
        <f>355.2+1583.94</f>
        <v>1939.14</v>
      </c>
      <c r="F16" s="753"/>
      <c r="G16" s="754">
        <v>692</v>
      </c>
      <c r="H16" s="755">
        <f>ROUND(G16*$C$4,0)</f>
        <v>761</v>
      </c>
      <c r="I16" s="756">
        <f>H16-G16</f>
        <v>69</v>
      </c>
      <c r="J16" s="756">
        <f>ROUND(I16*E16*12,0)</f>
        <v>1605608</v>
      </c>
      <c r="K16" s="756">
        <f>ROUND(J16*$D$4,0)</f>
        <v>2440524</v>
      </c>
      <c r="L16" s="756">
        <f t="shared" si="6"/>
        <v>3016244</v>
      </c>
      <c r="N16" s="754" t="s">
        <v>476</v>
      </c>
      <c r="O16" s="753"/>
      <c r="P16" s="902">
        <f t="shared" si="7"/>
        <v>1939.14</v>
      </c>
      <c r="Q16" s="753"/>
      <c r="R16" s="754">
        <v>692</v>
      </c>
      <c r="S16" s="755">
        <f>ROUND(R16*$N$4,0)</f>
        <v>798</v>
      </c>
      <c r="T16" s="756">
        <f>S16-R16</f>
        <v>106</v>
      </c>
      <c r="U16" s="756">
        <f>ROUND(T16*P16*12,0)</f>
        <v>2466586</v>
      </c>
      <c r="V16" s="756">
        <f>ROUND(U16*$O$4,0)</f>
        <v>3749211</v>
      </c>
      <c r="W16" s="756">
        <f t="shared" si="8"/>
        <v>4633650</v>
      </c>
      <c r="Y16" s="757">
        <f t="shared" si="9"/>
        <v>867</v>
      </c>
    </row>
    <row r="17" spans="1:27" s="230" customFormat="1" ht="14.25">
      <c r="A17" s="752"/>
      <c r="B17" s="752"/>
      <c r="C17" s="754" t="s">
        <v>477</v>
      </c>
      <c r="D17" s="753"/>
      <c r="E17" s="901">
        <v>44.935000000000002</v>
      </c>
      <c r="F17" s="753"/>
      <c r="G17" s="754">
        <v>615</v>
      </c>
      <c r="H17" s="755">
        <f>ROUND(G17*$C$4,0)</f>
        <v>677</v>
      </c>
      <c r="I17" s="756">
        <f t="shared" ref="I17" si="10">H17-G17</f>
        <v>62</v>
      </c>
      <c r="J17" s="756">
        <f>ROUND(I17*E17*12,0)</f>
        <v>33432</v>
      </c>
      <c r="K17" s="756">
        <f>ROUND(J17*$D$4,0)</f>
        <v>50817</v>
      </c>
      <c r="L17" s="756">
        <f>ROUND(K17*1.2359,0)</f>
        <v>62805</v>
      </c>
      <c r="N17" s="754" t="s">
        <v>477</v>
      </c>
      <c r="O17" s="753"/>
      <c r="P17" s="901">
        <f>E17</f>
        <v>44.935000000000002</v>
      </c>
      <c r="Q17" s="753"/>
      <c r="R17" s="754">
        <v>615</v>
      </c>
      <c r="S17" s="755">
        <f>ROUND(R17*$N$4,0)</f>
        <v>710</v>
      </c>
      <c r="T17" s="756">
        <f t="shared" ref="T17" si="11">S17-R17</f>
        <v>95</v>
      </c>
      <c r="U17" s="756">
        <f>ROUND(T17*P17*12,0)</f>
        <v>51226</v>
      </c>
      <c r="V17" s="756">
        <f>ROUND(U17*$O$4,0)</f>
        <v>77864</v>
      </c>
      <c r="W17" s="756">
        <f>ROUND(V17*1.2359,0)</f>
        <v>96232</v>
      </c>
      <c r="Y17" s="757">
        <f t="shared" si="9"/>
        <v>772</v>
      </c>
    </row>
    <row r="18" spans="1:27" s="242" customFormat="1" ht="14.25">
      <c r="A18" s="759"/>
      <c r="B18" s="749"/>
      <c r="C18" s="1255" t="s">
        <v>47</v>
      </c>
      <c r="D18" s="760"/>
      <c r="E18" s="760"/>
      <c r="F18" s="760"/>
      <c r="G18" s="761"/>
      <c r="H18" s="751"/>
      <c r="I18" s="751"/>
      <c r="J18" s="751"/>
      <c r="K18" s="751"/>
      <c r="L18" s="751"/>
      <c r="M18" s="230"/>
      <c r="N18" s="1255" t="s">
        <v>47</v>
      </c>
      <c r="O18" s="760"/>
      <c r="P18" s="760"/>
      <c r="Q18" s="760"/>
      <c r="R18" s="761"/>
      <c r="S18" s="751"/>
      <c r="T18" s="751"/>
      <c r="U18" s="751"/>
      <c r="V18" s="751"/>
      <c r="W18" s="751"/>
      <c r="X18" s="230"/>
      <c r="Y18" s="237"/>
      <c r="Z18" s="230"/>
    </row>
    <row r="19" spans="1:27" s="242" customFormat="1" ht="14.25">
      <c r="A19" s="759"/>
      <c r="B19" s="749"/>
      <c r="C19" s="1255"/>
      <c r="D19" s="750"/>
      <c r="E19" s="750">
        <f>E20</f>
        <v>3040.3</v>
      </c>
      <c r="F19" s="750"/>
      <c r="G19" s="751">
        <f>G20</f>
        <v>576</v>
      </c>
      <c r="H19" s="751">
        <f>H20</f>
        <v>634</v>
      </c>
      <c r="I19" s="751">
        <f>I20</f>
        <v>58</v>
      </c>
      <c r="J19" s="751"/>
      <c r="K19" s="751"/>
      <c r="L19" s="751"/>
      <c r="M19" s="230"/>
      <c r="N19" s="1255"/>
      <c r="O19" s="750"/>
      <c r="P19" s="750">
        <f>P20</f>
        <v>3040.3</v>
      </c>
      <c r="Q19" s="750"/>
      <c r="R19" s="751">
        <f>R20</f>
        <v>576</v>
      </c>
      <c r="S19" s="751">
        <f>S20</f>
        <v>665</v>
      </c>
      <c r="T19" s="751">
        <f>T20</f>
        <v>89</v>
      </c>
      <c r="U19" s="751"/>
      <c r="V19" s="751"/>
      <c r="W19" s="751"/>
      <c r="X19" s="230"/>
      <c r="Y19" s="237">
        <f>Y20</f>
        <v>723</v>
      </c>
      <c r="Z19" s="230"/>
    </row>
    <row r="20" spans="1:27" s="230" customFormat="1" ht="14.25">
      <c r="A20" s="752"/>
      <c r="B20" s="752"/>
      <c r="C20" s="754" t="s">
        <v>478</v>
      </c>
      <c r="D20" s="750"/>
      <c r="E20" s="903">
        <v>3040.3</v>
      </c>
      <c r="F20" s="750"/>
      <c r="G20" s="754">
        <v>576</v>
      </c>
      <c r="H20" s="756">
        <f>ROUND(G20*$C$4,0)</f>
        <v>634</v>
      </c>
      <c r="I20" s="756">
        <f t="shared" ref="I20" si="12">H20-G20</f>
        <v>58</v>
      </c>
      <c r="J20" s="756">
        <f>ROUND(I20*E20*12,0)</f>
        <v>2116049</v>
      </c>
      <c r="K20" s="756">
        <f>ROUND(J20*$D$4,0)</f>
        <v>3216394</v>
      </c>
      <c r="L20" s="756">
        <f>ROUND(K20*1.2359,0)</f>
        <v>3975141</v>
      </c>
      <c r="N20" s="754" t="s">
        <v>478</v>
      </c>
      <c r="O20" s="750"/>
      <c r="P20" s="903">
        <f>E20</f>
        <v>3040.3</v>
      </c>
      <c r="Q20" s="750"/>
      <c r="R20" s="754">
        <v>576</v>
      </c>
      <c r="S20" s="756">
        <f>ROUND(R20*$N$4,0)</f>
        <v>665</v>
      </c>
      <c r="T20" s="756">
        <f t="shared" ref="T20" si="13">S20-R20</f>
        <v>89</v>
      </c>
      <c r="U20" s="756">
        <f>ROUND(T20*P20*12,0)</f>
        <v>3247040</v>
      </c>
      <c r="V20" s="756">
        <f>ROUND(U20*$O$4,0)</f>
        <v>4935501</v>
      </c>
      <c r="W20" s="756">
        <f>ROUND(V20*1.2359,0)</f>
        <v>6099786</v>
      </c>
      <c r="Y20" s="231">
        <f>G20+I20+T20</f>
        <v>723</v>
      </c>
    </row>
    <row r="21" spans="1:27" s="245" customFormat="1" ht="47.25">
      <c r="A21" s="762"/>
      <c r="B21" s="763"/>
      <c r="C21" s="912" t="s">
        <v>479</v>
      </c>
      <c r="D21" s="764"/>
      <c r="E21" s="764">
        <f>SUM(E19+E14+E9)</f>
        <v>22170.034999999996</v>
      </c>
      <c r="F21" s="764"/>
      <c r="G21" s="765"/>
      <c r="H21" s="766"/>
      <c r="I21" s="766"/>
      <c r="J21" s="766">
        <f>J10+J11+J12+J15+J16+J17+J20</f>
        <v>23436549</v>
      </c>
      <c r="K21" s="766">
        <f>K10+K11+K12+K15+K16+K17+K20</f>
        <v>35623554</v>
      </c>
      <c r="L21" s="232">
        <f>L10+L11+L12+L15+L16+L17+L20</f>
        <v>44027150</v>
      </c>
      <c r="M21" s="244"/>
      <c r="N21" s="912" t="s">
        <v>479</v>
      </c>
      <c r="O21" s="764"/>
      <c r="P21" s="764">
        <f>SUM(P19+P14+P9)</f>
        <v>22170.034999999996</v>
      </c>
      <c r="Q21" s="764"/>
      <c r="R21" s="765"/>
      <c r="S21" s="766"/>
      <c r="T21" s="766"/>
      <c r="U21" s="766">
        <f>U10+U11+U12+U15+U16+U17+U20</f>
        <v>35966853</v>
      </c>
      <c r="V21" s="766">
        <f>V10+V11+V12+V15+V16+V17+V20</f>
        <v>54669618</v>
      </c>
      <c r="W21" s="232">
        <f>W10+W11+W12+W15+W16+W17+W20</f>
        <v>67566181</v>
      </c>
      <c r="X21" s="244"/>
      <c r="Y21" s="232">
        <f>L21+W21</f>
        <v>111593331</v>
      </c>
      <c r="Z21" s="767"/>
    </row>
    <row r="22" spans="1:27" ht="35.25" customHeight="1">
      <c r="C22" s="1259" t="s">
        <v>657</v>
      </c>
      <c r="D22" s="1259"/>
      <c r="E22" s="1259"/>
      <c r="F22" s="1259"/>
      <c r="G22" s="1259"/>
      <c r="H22" s="1259"/>
      <c r="I22" s="1259"/>
      <c r="J22" s="1259"/>
      <c r="K22" s="1259"/>
      <c r="L22" s="913">
        <v>1439596</v>
      </c>
      <c r="N22" s="1259" t="s">
        <v>657</v>
      </c>
      <c r="O22" s="1259"/>
      <c r="P22" s="1259"/>
      <c r="Q22" s="1259"/>
      <c r="R22" s="1259"/>
      <c r="S22" s="1259"/>
      <c r="T22" s="1259"/>
      <c r="U22" s="1259"/>
      <c r="V22" s="1259"/>
      <c r="W22" s="913">
        <v>1439596</v>
      </c>
      <c r="Y22" s="914"/>
    </row>
    <row r="23" spans="1:27">
      <c r="C23" s="922"/>
      <c r="D23" s="923"/>
      <c r="E23" s="924"/>
      <c r="F23" s="923"/>
      <c r="G23" s="923"/>
      <c r="H23" s="925"/>
      <c r="I23" s="926"/>
      <c r="J23" s="927"/>
      <c r="K23" s="927"/>
      <c r="L23" s="928">
        <f>ROUNDUP((14395958+1439596)*0.1,0)</f>
        <v>1583556</v>
      </c>
      <c r="N23" s="922"/>
      <c r="O23" s="923"/>
      <c r="P23" s="924"/>
      <c r="Q23" s="923"/>
      <c r="R23" s="923"/>
      <c r="S23" s="925"/>
      <c r="T23" s="926"/>
      <c r="U23" s="927"/>
      <c r="V23" s="927"/>
      <c r="W23" s="914">
        <f>ROUNDUP((14395958+1439596)*('29_01_H_2020'!O10-0.1),0)</f>
        <v>2437092</v>
      </c>
      <c r="Y23" s="914">
        <f>L23+W23</f>
        <v>4020648</v>
      </c>
    </row>
    <row r="24" spans="1:27">
      <c r="C24" s="1262" t="s">
        <v>658</v>
      </c>
      <c r="D24" s="1263"/>
      <c r="E24" s="1263"/>
      <c r="F24" s="1263"/>
      <c r="G24" s="1263"/>
      <c r="H24" s="1263"/>
      <c r="I24" s="1263"/>
      <c r="J24" s="1263"/>
      <c r="K24" s="1264"/>
      <c r="L24" s="914">
        <f>L21+L23</f>
        <v>45610706</v>
      </c>
      <c r="N24" s="1262" t="s">
        <v>658</v>
      </c>
      <c r="O24" s="1263"/>
      <c r="P24" s="1263"/>
      <c r="Q24" s="1263"/>
      <c r="R24" s="1263"/>
      <c r="S24" s="1263"/>
      <c r="T24" s="1263"/>
      <c r="U24" s="1263"/>
      <c r="V24" s="1264"/>
      <c r="W24" s="914">
        <f>W21+W23</f>
        <v>70003273</v>
      </c>
      <c r="Y24" s="933" t="s">
        <v>740</v>
      </c>
    </row>
    <row r="25" spans="1:27">
      <c r="C25" s="234"/>
      <c r="D25" s="768"/>
      <c r="E25" s="768"/>
      <c r="F25" s="768"/>
      <c r="G25" s="768"/>
      <c r="H25" s="768"/>
      <c r="N25" s="234"/>
      <c r="O25" s="768"/>
      <c r="P25" s="768"/>
      <c r="Q25" s="768"/>
      <c r="R25" s="768"/>
      <c r="S25" s="768"/>
      <c r="AA25" s="769"/>
    </row>
    <row r="26" spans="1:27" ht="15.75">
      <c r="C26" s="770"/>
      <c r="D26" s="770"/>
      <c r="E26" s="904"/>
      <c r="F26" s="770"/>
      <c r="G26" s="896"/>
      <c r="H26" s="897"/>
      <c r="I26" s="898"/>
      <c r="K26" s="769"/>
      <c r="L26" s="770"/>
      <c r="N26" s="770"/>
      <c r="O26" s="770"/>
      <c r="P26" s="904"/>
      <c r="Q26" s="770"/>
      <c r="R26" s="770"/>
      <c r="S26" s="771"/>
      <c r="V26" s="769"/>
      <c r="W26" s="770"/>
    </row>
    <row r="27" spans="1:27" ht="15" customHeight="1">
      <c r="V27" s="769"/>
    </row>
    <row r="28" spans="1:27">
      <c r="C28" s="234"/>
      <c r="D28" s="768"/>
      <c r="E28" s="768"/>
      <c r="F28" s="768"/>
      <c r="G28" s="899"/>
      <c r="H28" s="900"/>
      <c r="I28" s="898"/>
      <c r="K28" s="769"/>
      <c r="N28" s="234"/>
      <c r="O28" s="768"/>
      <c r="P28" s="768"/>
      <c r="Q28" s="768"/>
      <c r="R28" s="768"/>
      <c r="S28" s="233"/>
      <c r="V28" s="769"/>
    </row>
    <row r="29" spans="1:27">
      <c r="B29" s="230"/>
      <c r="C29" s="1253" t="s">
        <v>659</v>
      </c>
      <c r="D29" s="1253"/>
      <c r="E29" s="1253"/>
      <c r="F29" s="1253"/>
      <c r="G29" s="1253"/>
      <c r="H29" s="1253"/>
      <c r="I29" s="1253"/>
      <c r="J29" s="1253"/>
      <c r="K29" s="1253"/>
      <c r="L29" s="1253"/>
      <c r="M29" s="1253"/>
      <c r="N29" s="1253"/>
      <c r="O29" s="1253"/>
      <c r="P29" s="1253"/>
      <c r="Q29" s="1253"/>
      <c r="R29" s="1253"/>
      <c r="S29" s="1253"/>
      <c r="T29" s="1253"/>
      <c r="U29" s="1253"/>
      <c r="V29" s="1253"/>
      <c r="W29" s="1253"/>
      <c r="X29" s="1253"/>
      <c r="Y29" s="1253"/>
    </row>
    <row r="30" spans="1:27">
      <c r="D30" s="772"/>
      <c r="E30" s="772"/>
      <c r="F30" s="772"/>
      <c r="G30" s="772"/>
      <c r="H30" s="772"/>
      <c r="O30" s="772"/>
      <c r="P30" s="772"/>
      <c r="Q30" s="772"/>
      <c r="R30" s="772"/>
      <c r="S30" s="772"/>
      <c r="AA30" s="233"/>
    </row>
    <row r="31" spans="1:27" s="238" customFormat="1" ht="37.5" customHeight="1">
      <c r="B31" s="230"/>
      <c r="C31" s="1254" t="s">
        <v>151</v>
      </c>
      <c r="D31" s="1256" t="s">
        <v>152</v>
      </c>
      <c r="E31" s="916"/>
      <c r="F31" s="916"/>
      <c r="G31" s="1254" t="s">
        <v>482</v>
      </c>
      <c r="H31" s="1254" t="s">
        <v>469</v>
      </c>
      <c r="I31" s="1254" t="s">
        <v>470</v>
      </c>
      <c r="J31" s="1254" t="s">
        <v>471</v>
      </c>
      <c r="K31" s="1260" t="s">
        <v>715</v>
      </c>
      <c r="L31" s="1254" t="s">
        <v>472</v>
      </c>
      <c r="M31" s="230"/>
      <c r="N31" s="1254" t="s">
        <v>151</v>
      </c>
      <c r="O31" s="1256" t="s">
        <v>152</v>
      </c>
      <c r="P31" s="916"/>
      <c r="Q31" s="916"/>
      <c r="R31" s="1254" t="s">
        <v>482</v>
      </c>
      <c r="S31" s="1254" t="s">
        <v>469</v>
      </c>
      <c r="T31" s="1254" t="s">
        <v>470</v>
      </c>
      <c r="U31" s="1254" t="s">
        <v>471</v>
      </c>
      <c r="V31" s="1260" t="s">
        <v>715</v>
      </c>
      <c r="W31" s="1254" t="s">
        <v>472</v>
      </c>
      <c r="X31" s="230"/>
      <c r="Y31" s="1010"/>
    </row>
    <row r="32" spans="1:27" s="238" customFormat="1" ht="37.5" customHeight="1">
      <c r="B32" s="230"/>
      <c r="C32" s="1254"/>
      <c r="D32" s="1256"/>
      <c r="E32" s="916"/>
      <c r="F32" s="916"/>
      <c r="G32" s="1254"/>
      <c r="H32" s="1254"/>
      <c r="I32" s="1254"/>
      <c r="J32" s="1254"/>
      <c r="K32" s="1260"/>
      <c r="L32" s="1254"/>
      <c r="M32" s="230"/>
      <c r="N32" s="1254"/>
      <c r="O32" s="1256"/>
      <c r="P32" s="916"/>
      <c r="Q32" s="916"/>
      <c r="R32" s="1254"/>
      <c r="S32" s="1254"/>
      <c r="T32" s="1254"/>
      <c r="U32" s="1254"/>
      <c r="V32" s="1260"/>
      <c r="W32" s="1254"/>
      <c r="X32" s="230"/>
      <c r="Y32" s="1010"/>
    </row>
    <row r="33" spans="2:28" s="247" customFormat="1" ht="29.25">
      <c r="B33" s="246"/>
      <c r="C33" s="917" t="s">
        <v>480</v>
      </c>
      <c r="D33" s="918">
        <v>10822.518</v>
      </c>
      <c r="E33" s="918"/>
      <c r="F33" s="918"/>
      <c r="G33" s="855"/>
      <c r="H33" s="855"/>
      <c r="I33" s="919">
        <f>I20</f>
        <v>58</v>
      </c>
      <c r="J33" s="920">
        <f>ROUND(I33*D33*12,0)</f>
        <v>7532473</v>
      </c>
      <c r="K33" s="920"/>
      <c r="L33" s="921">
        <f>ROUND(J33*1.2359,0)</f>
        <v>9309383</v>
      </c>
      <c r="M33" s="246"/>
      <c r="N33" s="917" t="s">
        <v>480</v>
      </c>
      <c r="O33" s="918">
        <v>10822.518</v>
      </c>
      <c r="P33" s="918"/>
      <c r="Q33" s="918"/>
      <c r="R33" s="855"/>
      <c r="S33" s="855"/>
      <c r="T33" s="919">
        <f>T20</f>
        <v>89</v>
      </c>
      <c r="U33" s="920">
        <f>ROUND(T33*O33*12,0)</f>
        <v>11558449</v>
      </c>
      <c r="V33" s="920"/>
      <c r="W33" s="921">
        <f>ROUND(U33*1.2359,0)</f>
        <v>14285087</v>
      </c>
      <c r="X33" s="246"/>
      <c r="Y33" s="921" t="s">
        <v>742</v>
      </c>
      <c r="Z33" s="773"/>
    </row>
    <row r="34" spans="2:28" s="247" customFormat="1">
      <c r="B34" s="246"/>
      <c r="C34" s="774"/>
      <c r="D34" s="905"/>
      <c r="E34" s="905"/>
      <c r="F34" s="905"/>
      <c r="G34" s="906"/>
      <c r="H34" s="906"/>
      <c r="I34" s="907"/>
      <c r="J34" s="908"/>
      <c r="K34" s="908"/>
      <c r="L34" s="909"/>
      <c r="M34" s="246"/>
      <c r="N34" s="774"/>
      <c r="O34" s="905"/>
      <c r="P34" s="905"/>
      <c r="Q34" s="905"/>
      <c r="R34" s="906"/>
      <c r="S34" s="906"/>
      <c r="T34" s="907"/>
      <c r="U34" s="908"/>
      <c r="V34" s="908"/>
      <c r="W34" s="909"/>
      <c r="X34" s="246"/>
      <c r="Y34" s="1011"/>
      <c r="Z34" s="773"/>
    </row>
    <row r="35" spans="2:28" s="247" customFormat="1">
      <c r="B35" s="246"/>
      <c r="C35" s="774"/>
      <c r="D35" s="775"/>
      <c r="E35" s="775"/>
      <c r="F35" s="775"/>
      <c r="G35" s="776"/>
      <c r="H35" s="776"/>
      <c r="I35" s="777"/>
      <c r="J35" s="778"/>
      <c r="K35" s="778"/>
      <c r="L35" s="779"/>
      <c r="M35" s="246"/>
      <c r="N35" s="774"/>
      <c r="O35" s="775"/>
      <c r="P35" s="775"/>
      <c r="Q35" s="775"/>
      <c r="R35" s="776"/>
      <c r="S35" s="776"/>
      <c r="T35" s="777"/>
      <c r="U35" s="778"/>
      <c r="V35" s="778"/>
      <c r="W35" s="779"/>
      <c r="X35" s="246"/>
      <c r="Y35" s="1011"/>
      <c r="Z35" s="773"/>
    </row>
    <row r="36" spans="2:28" ht="33" hidden="1" customHeight="1">
      <c r="C36" s="1258"/>
      <c r="D36" s="1258"/>
      <c r="E36" s="1258"/>
      <c r="F36" s="1258"/>
      <c r="G36" s="1258"/>
      <c r="H36" s="1258"/>
      <c r="I36" s="1258"/>
      <c r="J36" s="1258"/>
      <c r="K36" s="1258"/>
      <c r="L36" s="1258"/>
      <c r="N36" s="1258"/>
      <c r="O36" s="1258"/>
      <c r="P36" s="1258"/>
      <c r="Q36" s="1258"/>
      <c r="R36" s="1258"/>
      <c r="S36" s="1258"/>
      <c r="T36" s="1258"/>
      <c r="U36" s="1258"/>
      <c r="V36" s="1258"/>
      <c r="W36" s="1258"/>
      <c r="AA36" s="769"/>
    </row>
    <row r="37" spans="2:28" s="247" customFormat="1" ht="0.75" customHeight="1">
      <c r="B37" s="246"/>
      <c r="C37" s="774"/>
      <c r="D37" s="775"/>
      <c r="E37" s="775"/>
      <c r="F37" s="775"/>
      <c r="G37" s="776"/>
      <c r="H37" s="776"/>
      <c r="I37" s="777"/>
      <c r="J37" s="778"/>
      <c r="K37" s="778"/>
      <c r="L37" s="779"/>
      <c r="M37" s="246"/>
      <c r="N37" s="774"/>
      <c r="O37" s="775"/>
      <c r="P37" s="775"/>
      <c r="Q37" s="775"/>
      <c r="R37" s="776"/>
      <c r="S37" s="776"/>
      <c r="T37" s="777"/>
      <c r="U37" s="778"/>
      <c r="V37" s="778"/>
      <c r="W37" s="779"/>
      <c r="X37" s="246"/>
      <c r="Y37" s="1011"/>
      <c r="Z37" s="773"/>
    </row>
    <row r="38" spans="2:28" s="247" customFormat="1">
      <c r="B38" s="246"/>
      <c r="C38" s="774"/>
      <c r="D38" s="775"/>
      <c r="E38" s="775"/>
      <c r="F38" s="775"/>
      <c r="G38" s="776"/>
      <c r="H38" s="776"/>
      <c r="I38" s="777"/>
      <c r="J38" s="778"/>
      <c r="K38" s="778"/>
      <c r="L38" s="779"/>
      <c r="M38" s="246"/>
      <c r="N38" s="774"/>
      <c r="O38" s="775"/>
      <c r="P38" s="775"/>
      <c r="Q38" s="775"/>
      <c r="R38" s="776"/>
      <c r="S38" s="776"/>
      <c r="T38" s="777"/>
      <c r="U38" s="778"/>
      <c r="V38" s="778"/>
      <c r="W38" s="779"/>
      <c r="X38" s="246"/>
      <c r="Y38" s="1011"/>
      <c r="Z38" s="773"/>
    </row>
    <row r="39" spans="2:28">
      <c r="C39" s="780"/>
      <c r="D39" s="781"/>
      <c r="E39" s="781"/>
      <c r="F39" s="781"/>
      <c r="G39" s="782"/>
      <c r="H39" s="782"/>
      <c r="I39" s="781"/>
      <c r="J39" s="783"/>
      <c r="K39" s="783"/>
      <c r="L39" s="784"/>
      <c r="N39" s="780"/>
      <c r="O39" s="781"/>
      <c r="P39" s="781"/>
      <c r="Q39" s="781"/>
      <c r="R39" s="782"/>
      <c r="S39" s="782"/>
      <c r="T39" s="781"/>
      <c r="U39" s="783"/>
      <c r="V39" s="783"/>
      <c r="W39" s="784"/>
    </row>
    <row r="40" spans="2:28" ht="19.5">
      <c r="C40" s="1261" t="s">
        <v>660</v>
      </c>
      <c r="D40" s="1261"/>
      <c r="E40" s="1261"/>
      <c r="F40" s="1261"/>
      <c r="G40" s="1261"/>
      <c r="H40" s="1261"/>
      <c r="I40" s="1261"/>
      <c r="J40" s="1261"/>
      <c r="K40" s="1261"/>
      <c r="L40" s="1013">
        <f>L24+L33</f>
        <v>54920089</v>
      </c>
      <c r="N40" s="1261" t="s">
        <v>660</v>
      </c>
      <c r="O40" s="1261"/>
      <c r="P40" s="1261"/>
      <c r="Q40" s="1261"/>
      <c r="R40" s="1261"/>
      <c r="S40" s="1261"/>
      <c r="T40" s="1261"/>
      <c r="U40" s="1261"/>
      <c r="V40" s="1261"/>
      <c r="W40" s="1013">
        <f>W24+W33</f>
        <v>84288360</v>
      </c>
      <c r="Y40" s="1013">
        <f>L40+W40</f>
        <v>139208449</v>
      </c>
      <c r="Z40" s="785"/>
      <c r="AA40" s="786"/>
    </row>
    <row r="41" spans="2:28">
      <c r="C41" s="234"/>
      <c r="D41" s="768"/>
      <c r="E41" s="768"/>
      <c r="F41" s="768"/>
      <c r="G41" s="768"/>
      <c r="H41" s="768"/>
      <c r="L41" s="910"/>
      <c r="N41" s="234"/>
      <c r="O41" s="768"/>
      <c r="P41" s="768"/>
      <c r="Q41" s="768"/>
      <c r="R41" s="768"/>
      <c r="S41" s="768"/>
      <c r="W41" s="910"/>
      <c r="Z41" s="787"/>
      <c r="AA41" s="788"/>
    </row>
    <row r="42" spans="2:28" ht="15.75">
      <c r="C42" s="1252" t="s">
        <v>739</v>
      </c>
      <c r="D42" s="1252"/>
      <c r="E42" s="1252"/>
      <c r="F42" s="1252"/>
      <c r="G42" s="1252"/>
      <c r="H42" s="1252"/>
      <c r="I42" s="1252"/>
      <c r="J42" s="1252"/>
      <c r="K42" s="1252"/>
      <c r="L42" s="1252"/>
      <c r="M42" s="1252"/>
      <c r="N42" s="1252"/>
      <c r="O42" s="1252"/>
      <c r="P42" s="1252"/>
      <c r="Q42" s="1252"/>
      <c r="R42" s="1252"/>
      <c r="S42" s="1252"/>
      <c r="T42" s="1252"/>
      <c r="W42" s="772"/>
      <c r="Z42" s="789"/>
      <c r="AA42" s="790"/>
    </row>
    <row r="43" spans="2:28" ht="15.75">
      <c r="C43" s="1014" t="s">
        <v>741</v>
      </c>
      <c r="D43" s="248"/>
      <c r="E43" s="768"/>
      <c r="F43" s="772"/>
      <c r="G43" s="772"/>
      <c r="H43" s="772"/>
      <c r="L43" s="772"/>
      <c r="N43" s="791"/>
      <c r="O43" s="248"/>
      <c r="P43" s="768"/>
      <c r="Q43" s="772"/>
      <c r="R43" s="772"/>
      <c r="S43" s="772"/>
      <c r="W43" s="772"/>
      <c r="Y43" s="1012"/>
      <c r="AA43" s="233"/>
    </row>
    <row r="44" spans="2:28">
      <c r="C44" s="791"/>
      <c r="D44" s="248"/>
      <c r="E44" s="768"/>
      <c r="F44" s="772"/>
      <c r="G44" s="772"/>
      <c r="H44" s="772"/>
      <c r="L44" s="772"/>
      <c r="N44" s="791"/>
      <c r="O44" s="248"/>
      <c r="P44" s="768"/>
      <c r="Q44" s="772"/>
      <c r="R44" s="772"/>
      <c r="S44" s="772"/>
      <c r="W44" s="772"/>
      <c r="Y44" s="1012"/>
      <c r="AA44" s="233"/>
    </row>
    <row r="45" spans="2:28" hidden="1">
      <c r="D45" s="772"/>
      <c r="E45" s="772"/>
      <c r="F45" s="772"/>
      <c r="G45" s="772"/>
      <c r="H45" s="772"/>
      <c r="L45" s="772"/>
      <c r="O45" s="772"/>
      <c r="P45" s="772"/>
      <c r="Q45" s="772"/>
      <c r="R45" s="772"/>
      <c r="S45" s="772"/>
      <c r="W45" s="772"/>
      <c r="AA45" s="233"/>
    </row>
    <row r="46" spans="2:28" ht="15" hidden="1" customHeight="1">
      <c r="D46" s="772"/>
      <c r="E46" s="772"/>
      <c r="F46" s="772"/>
      <c r="G46" s="772"/>
      <c r="H46" s="772"/>
      <c r="L46" s="792"/>
      <c r="O46" s="772"/>
      <c r="P46" s="772"/>
      <c r="Q46" s="772"/>
      <c r="R46" s="772"/>
      <c r="S46" s="772"/>
      <c r="W46" s="792"/>
      <c r="AA46" s="233"/>
    </row>
    <row r="47" spans="2:28" hidden="1">
      <c r="G47" s="793"/>
      <c r="H47" s="793"/>
      <c r="R47" s="793"/>
      <c r="S47" s="793"/>
      <c r="AA47" s="233"/>
      <c r="AB47" s="794"/>
    </row>
    <row r="48" spans="2:28" ht="15" hidden="1" customHeight="1">
      <c r="G48" s="793"/>
      <c r="H48" s="793"/>
      <c r="R48" s="793"/>
      <c r="S48" s="793"/>
    </row>
    <row r="49" spans="4:25" hidden="1">
      <c r="G49" s="793"/>
      <c r="H49" s="793"/>
      <c r="L49" s="772"/>
      <c r="R49" s="793"/>
      <c r="S49" s="793"/>
      <c r="W49" s="772"/>
    </row>
    <row r="50" spans="4:25" hidden="1">
      <c r="G50" s="793"/>
      <c r="H50" s="793"/>
      <c r="J50" s="557"/>
      <c r="R50" s="793"/>
      <c r="S50" s="793"/>
      <c r="U50" s="557"/>
    </row>
    <row r="51" spans="4:25" ht="15" hidden="1" customHeight="1">
      <c r="D51" s="233"/>
      <c r="E51" s="233"/>
      <c r="F51" s="233"/>
      <c r="G51" s="793"/>
      <c r="H51" s="793"/>
      <c r="O51" s="233"/>
      <c r="P51" s="233"/>
      <c r="Q51" s="233"/>
      <c r="R51" s="793"/>
      <c r="S51" s="793"/>
    </row>
    <row r="52" spans="4:25">
      <c r="Q52" s="230"/>
    </row>
    <row r="53" spans="4:25">
      <c r="Y53" s="1012"/>
    </row>
    <row r="55" spans="4:25">
      <c r="Y55" s="1012"/>
    </row>
    <row r="56" spans="4:25">
      <c r="Y56" s="1012"/>
    </row>
  </sheetData>
  <mergeCells count="55">
    <mergeCell ref="W1:Y1"/>
    <mergeCell ref="C40:K40"/>
    <mergeCell ref="N40:V40"/>
    <mergeCell ref="C24:K24"/>
    <mergeCell ref="N24:V24"/>
    <mergeCell ref="C29:Y29"/>
    <mergeCell ref="C31:C32"/>
    <mergeCell ref="D31:D32"/>
    <mergeCell ref="G31:G32"/>
    <mergeCell ref="H31:H32"/>
    <mergeCell ref="I31:I32"/>
    <mergeCell ref="J31:J32"/>
    <mergeCell ref="K31:K32"/>
    <mergeCell ref="L31:L32"/>
    <mergeCell ref="N31:N32"/>
    <mergeCell ref="O31:O32"/>
    <mergeCell ref="R31:R32"/>
    <mergeCell ref="T5:T6"/>
    <mergeCell ref="C36:L36"/>
    <mergeCell ref="N36:W36"/>
    <mergeCell ref="C22:K22"/>
    <mergeCell ref="N22:V22"/>
    <mergeCell ref="V5:V6"/>
    <mergeCell ref="W5:W6"/>
    <mergeCell ref="S31:S32"/>
    <mergeCell ref="T31:T32"/>
    <mergeCell ref="U31:U32"/>
    <mergeCell ref="V31:V32"/>
    <mergeCell ref="W31:W32"/>
    <mergeCell ref="U5:U6"/>
    <mergeCell ref="K5:K6"/>
    <mergeCell ref="L5:L6"/>
    <mergeCell ref="N5:N6"/>
    <mergeCell ref="C8:C9"/>
    <mergeCell ref="N8:N9"/>
    <mergeCell ref="Q5:Q6"/>
    <mergeCell ref="R5:R6"/>
    <mergeCell ref="S5:S6"/>
    <mergeCell ref="O5:O6"/>
    <mergeCell ref="C42:T42"/>
    <mergeCell ref="C3:Y3"/>
    <mergeCell ref="J5:J6"/>
    <mergeCell ref="C13:C14"/>
    <mergeCell ref="N13:N14"/>
    <mergeCell ref="C18:C19"/>
    <mergeCell ref="N18:N19"/>
    <mergeCell ref="P5:P6"/>
    <mergeCell ref="H5:H6"/>
    <mergeCell ref="I5:I6"/>
    <mergeCell ref="C5:C6"/>
    <mergeCell ref="D5:D6"/>
    <mergeCell ref="E5:E6"/>
    <mergeCell ref="F5:F6"/>
    <mergeCell ref="G5:G6"/>
    <mergeCell ref="Y5:Y6"/>
  </mergeCells>
  <pageMargins left="0.23622047244094491" right="0.23622047244094491" top="0.74803149606299213" bottom="0.74803149606299213" header="0.31496062992125984" footer="0.31496062992125984"/>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3A15F3-ED32-4F97-B1A6-9E329E372FA7}">
  <sheetPr>
    <tabColor rgb="FF92D050"/>
  </sheetPr>
  <dimension ref="A1:W91"/>
  <sheetViews>
    <sheetView topLeftCell="A53" workbookViewId="0">
      <selection activeCell="B29" sqref="B29:D29"/>
    </sheetView>
  </sheetViews>
  <sheetFormatPr defaultColWidth="8.85546875" defaultRowHeight="12.75"/>
  <cols>
    <col min="1" max="1" width="1" style="711" customWidth="1"/>
    <col min="2" max="2" width="25.7109375" style="711" customWidth="1"/>
    <col min="3" max="3" width="13.7109375" style="711" customWidth="1"/>
    <col min="4" max="4" width="10.7109375" style="711" customWidth="1"/>
    <col min="5" max="8" width="14.28515625" style="711" customWidth="1"/>
    <col min="9" max="9" width="12.28515625" style="711" customWidth="1"/>
    <col min="10" max="11" width="8.85546875" style="711" customWidth="1"/>
    <col min="12" max="12" width="9.5703125" style="711" customWidth="1"/>
    <col min="13" max="13" width="8.85546875" style="711" customWidth="1"/>
    <col min="14" max="14" width="8.85546875" style="711"/>
    <col min="15" max="15" width="17.140625" style="711" customWidth="1"/>
    <col min="16" max="18" width="11.7109375" style="711" bestFit="1" customWidth="1"/>
    <col min="19" max="19" width="11.7109375" style="711" hidden="1" customWidth="1"/>
    <col min="20" max="26" width="0" style="711" hidden="1" customWidth="1"/>
    <col min="27" max="16384" width="8.85546875" style="711"/>
  </cols>
  <sheetData>
    <row r="1" spans="1:23" hidden="1">
      <c r="A1" s="710" t="s">
        <v>380</v>
      </c>
      <c r="B1" s="710" t="s">
        <v>381</v>
      </c>
      <c r="C1" s="710"/>
      <c r="D1" s="710" t="s">
        <v>382</v>
      </c>
      <c r="E1" s="710" t="s">
        <v>383</v>
      </c>
      <c r="F1" s="710" t="s">
        <v>384</v>
      </c>
      <c r="G1" s="710" t="s">
        <v>385</v>
      </c>
      <c r="K1" s="710" t="s">
        <v>384</v>
      </c>
      <c r="L1" s="710" t="s">
        <v>385</v>
      </c>
    </row>
    <row r="2" spans="1:23" ht="15.75" customHeight="1">
      <c r="B2" s="1059"/>
      <c r="C2" s="1059"/>
      <c r="D2" s="1059"/>
      <c r="E2" s="1059"/>
      <c r="F2" s="1059"/>
      <c r="G2" s="1059"/>
      <c r="H2" s="1059"/>
    </row>
    <row r="3" spans="1:23" ht="13.5" customHeight="1">
      <c r="A3" s="712"/>
      <c r="B3" s="713"/>
      <c r="C3" s="713"/>
      <c r="D3" s="713"/>
      <c r="E3" s="713"/>
      <c r="F3" s="713"/>
      <c r="G3" s="713"/>
      <c r="H3" s="818"/>
      <c r="K3" s="820"/>
      <c r="L3" s="821"/>
      <c r="M3" s="819"/>
      <c r="O3" s="714"/>
    </row>
    <row r="4" spans="1:23" ht="13.5" customHeight="1">
      <c r="A4" s="712"/>
      <c r="B4" s="1060" t="s">
        <v>386</v>
      </c>
      <c r="C4" s="1060"/>
      <c r="D4" s="1061" t="s">
        <v>387</v>
      </c>
      <c r="E4" s="1061"/>
      <c r="F4" s="1061"/>
      <c r="G4" s="1061"/>
      <c r="H4" s="714"/>
      <c r="I4" s="714"/>
      <c r="K4" s="822"/>
      <c r="L4" s="821"/>
      <c r="M4" s="819"/>
    </row>
    <row r="5" spans="1:23" ht="18.75" customHeight="1">
      <c r="A5" s="712"/>
      <c r="B5" s="1062" t="s">
        <v>388</v>
      </c>
      <c r="C5" s="1062"/>
      <c r="D5" s="1063" t="s">
        <v>389</v>
      </c>
      <c r="E5" s="1063"/>
      <c r="F5" s="1063"/>
      <c r="G5" s="1063"/>
      <c r="H5" s="1063"/>
      <c r="K5" s="823"/>
      <c r="L5" s="821"/>
      <c r="M5" s="819"/>
    </row>
    <row r="6" spans="1:23" ht="12.75" hidden="1" customHeight="1">
      <c r="A6" s="712"/>
      <c r="B6" s="715" t="s">
        <v>390</v>
      </c>
      <c r="C6" s="716" t="s">
        <v>391</v>
      </c>
      <c r="D6" s="717"/>
      <c r="E6" s="718"/>
      <c r="F6" s="718"/>
      <c r="G6" s="718"/>
      <c r="H6" s="857"/>
      <c r="J6" s="714"/>
      <c r="K6" s="823"/>
      <c r="L6" s="824">
        <f>ROUND(L3+L4+L5,0)</f>
        <v>0</v>
      </c>
      <c r="M6" s="819">
        <f>ROUND(L6,0)</f>
        <v>0</v>
      </c>
    </row>
    <row r="7" spans="1:23">
      <c r="A7" s="712"/>
      <c r="B7" s="712"/>
      <c r="C7" s="712"/>
      <c r="I7" s="825"/>
      <c r="J7" s="714"/>
    </row>
    <row r="8" spans="1:23" ht="61.5" customHeight="1">
      <c r="A8" s="1064"/>
      <c r="B8" s="1066"/>
      <c r="C8" s="1066"/>
      <c r="D8" s="1066"/>
      <c r="E8" s="214" t="s">
        <v>392</v>
      </c>
      <c r="F8" s="214" t="s">
        <v>417</v>
      </c>
      <c r="G8" s="214" t="s">
        <v>506</v>
      </c>
      <c r="H8" s="214" t="s">
        <v>393</v>
      </c>
      <c r="I8" s="719"/>
      <c r="J8" s="719"/>
      <c r="K8" s="719"/>
      <c r="L8" s="719"/>
      <c r="M8" s="719"/>
      <c r="O8" s="720" t="s">
        <v>500</v>
      </c>
    </row>
    <row r="9" spans="1:23">
      <c r="A9" s="1064"/>
      <c r="B9" s="1067" t="s">
        <v>421</v>
      </c>
      <c r="C9" s="1068"/>
      <c r="D9" s="1069"/>
      <c r="E9" s="929">
        <f>O10</f>
        <v>0.25390000000000001</v>
      </c>
      <c r="F9" s="256" t="s">
        <v>662</v>
      </c>
      <c r="G9" s="256" t="s">
        <v>662</v>
      </c>
      <c r="H9" s="256" t="s">
        <v>662</v>
      </c>
      <c r="I9" s="719"/>
      <c r="J9" s="719"/>
      <c r="K9" s="930"/>
      <c r="L9" s="930"/>
      <c r="M9" s="719"/>
    </row>
    <row r="10" spans="1:23" ht="15.75" customHeight="1">
      <c r="A10" s="1064"/>
      <c r="B10" s="1070" t="s">
        <v>394</v>
      </c>
      <c r="C10" s="1071"/>
      <c r="D10" s="1072"/>
      <c r="E10" s="252" t="e">
        <f>E11</f>
        <v>#REF!</v>
      </c>
      <c r="F10" s="252" t="e">
        <f t="shared" ref="F10:F73" si="0">E10</f>
        <v>#REF!</v>
      </c>
      <c r="G10" s="252" t="e">
        <f t="shared" ref="G10:G73" si="1">E10</f>
        <v>#REF!</v>
      </c>
      <c r="H10" s="252" t="e">
        <f t="shared" ref="H10:H73" si="2">G10</f>
        <v>#REF!</v>
      </c>
      <c r="I10" s="721"/>
      <c r="J10" s="1045" t="s">
        <v>502</v>
      </c>
      <c r="K10" s="1045"/>
      <c r="L10" s="1045"/>
      <c r="M10" s="1045"/>
      <c r="N10" s="1045"/>
      <c r="O10" s="931">
        <v>0.25390000000000001</v>
      </c>
      <c r="P10" s="1046" t="s">
        <v>505</v>
      </c>
      <c r="Q10" s="1046"/>
      <c r="R10" s="1046"/>
      <c r="S10" s="1047" t="s">
        <v>504</v>
      </c>
      <c r="T10" s="1047"/>
      <c r="U10" s="1047"/>
      <c r="V10" s="1047"/>
      <c r="W10" s="1047"/>
    </row>
    <row r="11" spans="1:23" s="724" customFormat="1" ht="13.5" customHeight="1">
      <c r="A11" s="1064"/>
      <c r="B11" s="1048" t="s">
        <v>395</v>
      </c>
      <c r="C11" s="1048"/>
      <c r="D11" s="1049"/>
      <c r="E11" s="254" t="e">
        <f>E13+E44+E47+E56+E66+E69</f>
        <v>#REF!</v>
      </c>
      <c r="F11" s="254" t="e">
        <f t="shared" si="0"/>
        <v>#REF!</v>
      </c>
      <c r="G11" s="254" t="e">
        <f t="shared" si="1"/>
        <v>#REF!</v>
      </c>
      <c r="H11" s="254" t="e">
        <f t="shared" si="2"/>
        <v>#REF!</v>
      </c>
      <c r="I11" s="723"/>
      <c r="J11" s="1045"/>
      <c r="K11" s="1045"/>
      <c r="L11" s="1045"/>
      <c r="M11" s="1045"/>
      <c r="N11" s="1045"/>
      <c r="O11" s="811"/>
      <c r="P11" s="1046"/>
      <c r="Q11" s="1046"/>
      <c r="R11" s="1046"/>
      <c r="S11" s="1047"/>
      <c r="T11" s="1047"/>
      <c r="U11" s="1047"/>
      <c r="V11" s="1047"/>
      <c r="W11" s="1047"/>
    </row>
    <row r="12" spans="1:23" s="725" customFormat="1" ht="13.5" customHeight="1">
      <c r="A12" s="1064"/>
      <c r="B12" s="1050" t="s">
        <v>481</v>
      </c>
      <c r="C12" s="1050"/>
      <c r="D12" s="1051"/>
      <c r="E12" s="255">
        <f>E24+E28+E30+E49+E51+E53+E68+E71+E73+E75+E58+E60+E62+E64+E46+1</f>
        <v>21910684.493999999</v>
      </c>
      <c r="F12" s="255">
        <f t="shared" si="0"/>
        <v>21910684.493999999</v>
      </c>
      <c r="G12" s="255">
        <f t="shared" si="1"/>
        <v>21910684.493999999</v>
      </c>
      <c r="H12" s="255">
        <f t="shared" si="2"/>
        <v>21910684.493999999</v>
      </c>
      <c r="I12" s="723"/>
      <c r="J12" s="1045"/>
      <c r="K12" s="1045"/>
      <c r="L12" s="1045"/>
      <c r="M12" s="1045"/>
      <c r="N12" s="1045"/>
      <c r="O12" s="811"/>
      <c r="P12" s="1046"/>
      <c r="Q12" s="1046"/>
      <c r="R12" s="1046"/>
      <c r="S12" s="1047"/>
      <c r="T12" s="1047"/>
      <c r="U12" s="1047"/>
      <c r="V12" s="1047"/>
      <c r="W12" s="1047"/>
    </row>
    <row r="13" spans="1:23" ht="13.5" customHeight="1">
      <c r="A13" s="1064"/>
      <c r="B13" s="1052" t="s">
        <v>397</v>
      </c>
      <c r="C13" s="1052"/>
      <c r="D13" s="1053"/>
      <c r="E13" s="252" t="e">
        <f>E14+E22+E25+E29</f>
        <v>#REF!</v>
      </c>
      <c r="F13" s="252" t="e">
        <f t="shared" si="0"/>
        <v>#REF!</v>
      </c>
      <c r="G13" s="252" t="e">
        <f t="shared" si="1"/>
        <v>#REF!</v>
      </c>
      <c r="H13" s="252" t="e">
        <f t="shared" si="2"/>
        <v>#REF!</v>
      </c>
      <c r="I13" s="726"/>
      <c r="O13" s="812"/>
      <c r="S13" s="1047"/>
      <c r="T13" s="1047"/>
      <c r="U13" s="1047"/>
      <c r="V13" s="1047"/>
      <c r="W13" s="1047"/>
    </row>
    <row r="14" spans="1:23" s="724" customFormat="1" ht="30.75" customHeight="1">
      <c r="A14" s="1064"/>
      <c r="B14" s="1036" t="s">
        <v>497</v>
      </c>
      <c r="C14" s="1036"/>
      <c r="D14" s="1037"/>
      <c r="E14" s="556">
        <f>E15+E21</f>
        <v>139208449</v>
      </c>
      <c r="F14" s="254">
        <f t="shared" si="0"/>
        <v>139208449</v>
      </c>
      <c r="G14" s="254">
        <f t="shared" si="1"/>
        <v>139208449</v>
      </c>
      <c r="H14" s="254">
        <f t="shared" si="2"/>
        <v>139208449</v>
      </c>
      <c r="I14" s="723"/>
      <c r="J14" s="1045" t="s">
        <v>501</v>
      </c>
      <c r="K14" s="1045"/>
      <c r="L14" s="1045"/>
      <c r="M14" s="1045"/>
      <c r="N14" s="1045"/>
      <c r="O14" s="931">
        <f>O10</f>
        <v>0.25390000000000001</v>
      </c>
      <c r="P14" s="1054" t="s">
        <v>503</v>
      </c>
      <c r="Q14" s="1054"/>
      <c r="R14" s="1054"/>
      <c r="S14" s="1047"/>
      <c r="T14" s="1047"/>
      <c r="U14" s="1047"/>
      <c r="V14" s="1047"/>
      <c r="W14" s="1047"/>
    </row>
    <row r="15" spans="1:23" s="728" customFormat="1" ht="13.5" customHeight="1">
      <c r="A15" s="1064"/>
      <c r="B15" s="1038" t="s">
        <v>398</v>
      </c>
      <c r="C15" s="1038"/>
      <c r="D15" s="1039"/>
      <c r="E15" s="797">
        <f>E16+E17+E18+E19+E20</f>
        <v>139122346</v>
      </c>
      <c r="F15" s="797">
        <f t="shared" si="0"/>
        <v>139122346</v>
      </c>
      <c r="G15" s="797">
        <f t="shared" si="1"/>
        <v>139122346</v>
      </c>
      <c r="H15" s="797">
        <f t="shared" si="2"/>
        <v>139122346</v>
      </c>
      <c r="I15" s="727"/>
      <c r="J15" s="1045"/>
      <c r="K15" s="1045"/>
      <c r="L15" s="1045"/>
      <c r="M15" s="1045"/>
      <c r="N15" s="1045"/>
      <c r="O15" s="722"/>
      <c r="P15" s="1054"/>
      <c r="Q15" s="1054"/>
      <c r="R15" s="1054"/>
      <c r="S15" s="1047"/>
      <c r="T15" s="1047"/>
      <c r="U15" s="1047"/>
      <c r="V15" s="1047"/>
      <c r="W15" s="1047"/>
    </row>
    <row r="16" spans="1:23" s="728" customFormat="1" ht="13.5" customHeight="1">
      <c r="A16" s="1064"/>
      <c r="B16" s="1055" t="s">
        <v>464</v>
      </c>
      <c r="C16" s="1056"/>
      <c r="D16" s="1057"/>
      <c r="E16" s="797">
        <f>KOPSAVILKUMS!D11</f>
        <v>24107578</v>
      </c>
      <c r="F16" s="797">
        <f t="shared" si="0"/>
        <v>24107578</v>
      </c>
      <c r="G16" s="797">
        <f t="shared" si="1"/>
        <v>24107578</v>
      </c>
      <c r="H16" s="798">
        <f t="shared" si="2"/>
        <v>24107578</v>
      </c>
      <c r="I16" s="727"/>
      <c r="J16" s="727"/>
      <c r="K16" s="729"/>
      <c r="L16" s="729"/>
      <c r="M16" s="730"/>
    </row>
    <row r="17" spans="1:23" s="728" customFormat="1" ht="13.5" customHeight="1">
      <c r="A17" s="1064"/>
      <c r="B17" s="1055" t="s">
        <v>465</v>
      </c>
      <c r="C17" s="1056"/>
      <c r="D17" s="1057"/>
      <c r="E17" s="797">
        <f>KOPSAVILKUMS!D13</f>
        <v>4678835</v>
      </c>
      <c r="F17" s="797">
        <f t="shared" si="0"/>
        <v>4678835</v>
      </c>
      <c r="G17" s="797">
        <f t="shared" si="1"/>
        <v>4678835</v>
      </c>
      <c r="H17" s="798">
        <f t="shared" si="2"/>
        <v>4678835</v>
      </c>
      <c r="I17" s="727"/>
      <c r="J17" s="727"/>
      <c r="K17" s="1058" t="s">
        <v>677</v>
      </c>
      <c r="L17" s="1058"/>
      <c r="M17" s="1058"/>
      <c r="N17" s="1058"/>
      <c r="O17" s="813">
        <v>0.2359</v>
      </c>
    </row>
    <row r="18" spans="1:23" s="728" customFormat="1" ht="13.5" customHeight="1">
      <c r="A18" s="1064"/>
      <c r="B18" s="1055" t="s">
        <v>466</v>
      </c>
      <c r="C18" s="1056"/>
      <c r="D18" s="1057"/>
      <c r="E18" s="797">
        <f>KOPSAVILKUMS!D15</f>
        <v>35279886</v>
      </c>
      <c r="F18" s="797">
        <f t="shared" si="0"/>
        <v>35279886</v>
      </c>
      <c r="G18" s="797">
        <f t="shared" si="1"/>
        <v>35279886</v>
      </c>
      <c r="H18" s="798">
        <f t="shared" si="2"/>
        <v>35279886</v>
      </c>
      <c r="I18" s="854"/>
      <c r="J18" s="727"/>
      <c r="K18" s="729"/>
      <c r="L18" s="729"/>
      <c r="M18" s="730"/>
      <c r="Q18" s="731"/>
      <c r="R18" s="731"/>
      <c r="S18" s="731"/>
    </row>
    <row r="19" spans="1:23" s="728" customFormat="1" ht="13.5" customHeight="1">
      <c r="A19" s="1064"/>
      <c r="B19" s="1055" t="s">
        <v>467</v>
      </c>
      <c r="C19" s="1056"/>
      <c r="D19" s="1057"/>
      <c r="E19" s="797">
        <f>KOPSAVILKUMS!D17</f>
        <v>49010090</v>
      </c>
      <c r="F19" s="797">
        <f t="shared" si="0"/>
        <v>49010090</v>
      </c>
      <c r="G19" s="797">
        <f t="shared" si="1"/>
        <v>49010090</v>
      </c>
      <c r="H19" s="798">
        <f t="shared" si="2"/>
        <v>49010090</v>
      </c>
      <c r="I19" s="727"/>
      <c r="J19" s="858"/>
      <c r="K19" s="859"/>
      <c r="L19" s="859"/>
      <c r="M19" s="860"/>
      <c r="N19" s="861"/>
      <c r="O19" s="861"/>
      <c r="P19" s="861"/>
      <c r="Q19" s="862"/>
      <c r="R19" s="863"/>
      <c r="S19" s="863"/>
      <c r="T19" s="861"/>
      <c r="U19" s="861"/>
      <c r="V19" s="861"/>
      <c r="W19" s="861"/>
    </row>
    <row r="20" spans="1:23" s="728" customFormat="1" ht="13.5" customHeight="1">
      <c r="A20" s="1064"/>
      <c r="B20" s="1055" t="s">
        <v>468</v>
      </c>
      <c r="C20" s="1056"/>
      <c r="D20" s="1057"/>
      <c r="E20" s="797">
        <f>KOPSAVILKUMS!D19</f>
        <v>26045957</v>
      </c>
      <c r="F20" s="797">
        <f t="shared" si="0"/>
        <v>26045957</v>
      </c>
      <c r="G20" s="797">
        <f t="shared" si="1"/>
        <v>26045957</v>
      </c>
      <c r="H20" s="798">
        <f t="shared" si="2"/>
        <v>26045957</v>
      </c>
      <c r="I20" s="727"/>
      <c r="J20" s="858"/>
      <c r="K20" s="859"/>
      <c r="L20" s="859"/>
      <c r="M20" s="861"/>
      <c r="N20" s="861"/>
      <c r="O20" s="861"/>
      <c r="P20" s="861"/>
      <c r="Q20" s="861"/>
      <c r="R20" s="861"/>
      <c r="S20" s="861"/>
      <c r="T20" s="861"/>
      <c r="U20" s="861"/>
      <c r="V20" s="861"/>
      <c r="W20" s="861"/>
    </row>
    <row r="21" spans="1:23" s="728" customFormat="1" ht="26.25" customHeight="1">
      <c r="A21" s="1064"/>
      <c r="B21" s="1038" t="s">
        <v>430</v>
      </c>
      <c r="C21" s="1038"/>
      <c r="D21" s="1039"/>
      <c r="E21" s="797">
        <f>KOPSAVILKUMS!D30</f>
        <v>86103</v>
      </c>
      <c r="F21" s="797">
        <f t="shared" si="0"/>
        <v>86103</v>
      </c>
      <c r="G21" s="797">
        <f t="shared" si="1"/>
        <v>86103</v>
      </c>
      <c r="H21" s="798">
        <f t="shared" si="2"/>
        <v>86103</v>
      </c>
      <c r="I21" s="727"/>
      <c r="J21" s="1044"/>
      <c r="K21" s="1044"/>
      <c r="L21" s="1044"/>
      <c r="M21" s="1044"/>
      <c r="N21" s="1044"/>
      <c r="O21" s="1044"/>
      <c r="P21" s="1044"/>
      <c r="Q21" s="864"/>
      <c r="R21" s="864"/>
      <c r="S21" s="864"/>
      <c r="T21" s="861"/>
      <c r="U21" s="861"/>
      <c r="V21" s="861"/>
      <c r="W21" s="861"/>
    </row>
    <row r="22" spans="1:23" s="724" customFormat="1" ht="13.5">
      <c r="A22" s="1064"/>
      <c r="B22" s="1036" t="s">
        <v>498</v>
      </c>
      <c r="C22" s="1036"/>
      <c r="D22" s="1037"/>
      <c r="E22" s="254" t="e">
        <f>E23</f>
        <v>#REF!</v>
      </c>
      <c r="F22" s="254" t="e">
        <f t="shared" si="0"/>
        <v>#REF!</v>
      </c>
      <c r="G22" s="254" t="e">
        <f t="shared" si="1"/>
        <v>#REF!</v>
      </c>
      <c r="H22" s="254" t="e">
        <f t="shared" si="2"/>
        <v>#REF!</v>
      </c>
      <c r="I22" s="723"/>
      <c r="J22" s="1033"/>
      <c r="K22" s="1033"/>
      <c r="L22" s="1033"/>
      <c r="M22" s="1033"/>
      <c r="N22" s="1033"/>
      <c r="O22" s="1033"/>
      <c r="P22" s="1033"/>
      <c r="Q22" s="865"/>
      <c r="R22" s="865"/>
      <c r="S22" s="865"/>
      <c r="T22" s="866"/>
      <c r="U22" s="866"/>
      <c r="V22" s="866"/>
      <c r="W22" s="866"/>
    </row>
    <row r="23" spans="1:23" s="728" customFormat="1" ht="13.5" customHeight="1">
      <c r="A23" s="1064"/>
      <c r="B23" s="1038" t="s">
        <v>399</v>
      </c>
      <c r="C23" s="1038"/>
      <c r="D23" s="1039"/>
      <c r="E23" s="797" t="e">
        <f>#REF!</f>
        <v>#REF!</v>
      </c>
      <c r="F23" s="797" t="e">
        <f t="shared" si="0"/>
        <v>#REF!</v>
      </c>
      <c r="G23" s="797" t="e">
        <f t="shared" si="1"/>
        <v>#REF!</v>
      </c>
      <c r="H23" s="797" t="e">
        <f t="shared" si="2"/>
        <v>#REF!</v>
      </c>
      <c r="I23" s="727"/>
      <c r="J23" s="1040"/>
      <c r="K23" s="1040"/>
      <c r="L23" s="1040"/>
      <c r="M23" s="1040"/>
      <c r="N23" s="1040"/>
      <c r="O23" s="1040"/>
      <c r="P23" s="1040"/>
      <c r="Q23" s="867"/>
      <c r="R23" s="867"/>
      <c r="S23" s="867"/>
      <c r="T23" s="1043"/>
      <c r="U23" s="1043"/>
      <c r="V23" s="1043"/>
      <c r="W23" s="1043"/>
    </row>
    <row r="24" spans="1:23" s="734" customFormat="1" ht="12">
      <c r="A24" s="1064"/>
      <c r="B24" s="1021" t="s">
        <v>396</v>
      </c>
      <c r="C24" s="1021"/>
      <c r="D24" s="1022"/>
      <c r="E24" s="251">
        <v>0</v>
      </c>
      <c r="F24" s="251">
        <f t="shared" si="0"/>
        <v>0</v>
      </c>
      <c r="G24" s="251">
        <f t="shared" si="1"/>
        <v>0</v>
      </c>
      <c r="H24" s="251">
        <f t="shared" si="2"/>
        <v>0</v>
      </c>
      <c r="I24" s="808"/>
      <c r="J24" s="868"/>
      <c r="K24" s="859"/>
      <c r="L24" s="859"/>
      <c r="M24" s="859"/>
      <c r="N24" s="869"/>
      <c r="O24" s="869"/>
      <c r="P24" s="870"/>
      <c r="Q24" s="869"/>
      <c r="R24" s="869"/>
      <c r="S24" s="869"/>
      <c r="T24" s="1043"/>
      <c r="U24" s="1043"/>
      <c r="V24" s="1043"/>
      <c r="W24" s="1043"/>
    </row>
    <row r="25" spans="1:23" s="724" customFormat="1" ht="30" hidden="1" customHeight="1">
      <c r="A25" s="1064"/>
      <c r="B25" s="1036" t="s">
        <v>400</v>
      </c>
      <c r="C25" s="1036"/>
      <c r="D25" s="1037"/>
      <c r="E25" s="222">
        <f>E26+E27</f>
        <v>0</v>
      </c>
      <c r="F25" s="222">
        <f t="shared" si="0"/>
        <v>0</v>
      </c>
      <c r="G25" s="222">
        <f t="shared" si="1"/>
        <v>0</v>
      </c>
      <c r="H25" s="222">
        <f t="shared" si="2"/>
        <v>0</v>
      </c>
      <c r="I25" s="723"/>
      <c r="J25" s="871"/>
      <c r="K25" s="872"/>
      <c r="L25" s="872"/>
      <c r="M25" s="872"/>
      <c r="N25" s="866"/>
      <c r="O25" s="866"/>
      <c r="P25" s="866"/>
      <c r="Q25" s="866"/>
      <c r="R25" s="866"/>
      <c r="S25" s="866"/>
      <c r="T25" s="1043"/>
      <c r="U25" s="1043"/>
      <c r="V25" s="1043"/>
      <c r="W25" s="1043"/>
    </row>
    <row r="26" spans="1:23" s="728" customFormat="1" ht="13.5" hidden="1" customHeight="1">
      <c r="A26" s="1064"/>
      <c r="B26" s="1038" t="s">
        <v>398</v>
      </c>
      <c r="C26" s="1038"/>
      <c r="D26" s="1039"/>
      <c r="E26" s="223">
        <v>0</v>
      </c>
      <c r="F26" s="223">
        <f t="shared" si="0"/>
        <v>0</v>
      </c>
      <c r="G26" s="223">
        <f t="shared" si="1"/>
        <v>0</v>
      </c>
      <c r="H26" s="225">
        <f t="shared" si="2"/>
        <v>0</v>
      </c>
      <c r="I26" s="727"/>
      <c r="J26" s="873"/>
      <c r="K26" s="859"/>
      <c r="L26" s="859"/>
      <c r="M26" s="860"/>
      <c r="N26" s="861"/>
      <c r="O26" s="861"/>
      <c r="P26" s="861"/>
      <c r="Q26" s="861"/>
      <c r="R26" s="861"/>
      <c r="S26" s="861"/>
      <c r="T26" s="1043"/>
      <c r="U26" s="1043"/>
      <c r="V26" s="1043"/>
      <c r="W26" s="1043"/>
    </row>
    <row r="27" spans="1:23" s="728" customFormat="1" ht="13.5" hidden="1" customHeight="1">
      <c r="A27" s="1064"/>
      <c r="B27" s="1038" t="s">
        <v>401</v>
      </c>
      <c r="C27" s="1038"/>
      <c r="D27" s="1039"/>
      <c r="E27" s="223">
        <v>0</v>
      </c>
      <c r="F27" s="223">
        <f t="shared" si="0"/>
        <v>0</v>
      </c>
      <c r="G27" s="223">
        <f t="shared" si="1"/>
        <v>0</v>
      </c>
      <c r="H27" s="225">
        <f t="shared" si="2"/>
        <v>0</v>
      </c>
      <c r="I27" s="727"/>
      <c r="J27" s="873"/>
      <c r="K27" s="859"/>
      <c r="L27" s="859"/>
      <c r="M27" s="860"/>
      <c r="N27" s="861"/>
      <c r="O27" s="861"/>
      <c r="P27" s="861"/>
      <c r="Q27" s="861"/>
      <c r="R27" s="861"/>
      <c r="S27" s="861"/>
      <c r="T27" s="1043"/>
      <c r="U27" s="1043"/>
      <c r="V27" s="1043"/>
      <c r="W27" s="1043"/>
    </row>
    <row r="28" spans="1:23" s="734" customFormat="1" ht="12" hidden="1" customHeight="1">
      <c r="A28" s="1064"/>
      <c r="B28" s="1021" t="s">
        <v>396</v>
      </c>
      <c r="C28" s="1021"/>
      <c r="D28" s="1022"/>
      <c r="E28" s="224">
        <f>E27</f>
        <v>0</v>
      </c>
      <c r="F28" s="224">
        <f t="shared" si="0"/>
        <v>0</v>
      </c>
      <c r="G28" s="224">
        <f t="shared" si="1"/>
        <v>0</v>
      </c>
      <c r="H28" s="224">
        <f t="shared" si="2"/>
        <v>0</v>
      </c>
      <c r="I28" s="808"/>
      <c r="J28" s="868"/>
      <c r="K28" s="859"/>
      <c r="L28" s="859"/>
      <c r="M28" s="859"/>
      <c r="N28" s="869"/>
      <c r="O28" s="869"/>
      <c r="P28" s="870"/>
      <c r="Q28" s="869"/>
      <c r="R28" s="869"/>
      <c r="S28" s="869"/>
      <c r="T28" s="1043"/>
      <c r="U28" s="1043"/>
      <c r="V28" s="1043"/>
      <c r="W28" s="1043"/>
    </row>
    <row r="29" spans="1:23" s="724" customFormat="1" ht="28.5" customHeight="1">
      <c r="A29" s="1064"/>
      <c r="B29" s="1036" t="s">
        <v>499</v>
      </c>
      <c r="C29" s="1036"/>
      <c r="D29" s="1037"/>
      <c r="E29" s="252">
        <f>E31+E33+E35+E37+E39+E41-1</f>
        <v>18221740.833999995</v>
      </c>
      <c r="F29" s="252">
        <f t="shared" si="0"/>
        <v>18221740.833999995</v>
      </c>
      <c r="G29" s="252">
        <f t="shared" si="1"/>
        <v>18221740.833999995</v>
      </c>
      <c r="H29" s="252">
        <f t="shared" si="2"/>
        <v>18221740.833999995</v>
      </c>
      <c r="I29" s="739"/>
      <c r="J29" s="1041"/>
      <c r="K29" s="1042"/>
      <c r="L29" s="1042"/>
      <c r="M29" s="1042"/>
      <c r="N29" s="1042"/>
      <c r="O29" s="1042"/>
      <c r="P29" s="1042"/>
      <c r="Q29" s="874"/>
      <c r="R29" s="874"/>
      <c r="S29" s="874"/>
      <c r="T29" s="1043"/>
      <c r="U29" s="1043"/>
      <c r="V29" s="1043"/>
      <c r="W29" s="1043"/>
    </row>
    <row r="30" spans="1:23" s="734" customFormat="1" ht="12">
      <c r="A30" s="1064"/>
      <c r="B30" s="1021" t="s">
        <v>396</v>
      </c>
      <c r="C30" s="1021"/>
      <c r="D30" s="1022"/>
      <c r="E30" s="251">
        <f>ROUNDUP(E32+E34+E36+E38+E40+E42,0)</f>
        <v>18121145</v>
      </c>
      <c r="F30" s="251">
        <f t="shared" si="0"/>
        <v>18121145</v>
      </c>
      <c r="G30" s="251">
        <f t="shared" si="1"/>
        <v>18121145</v>
      </c>
      <c r="H30" s="251">
        <f t="shared" si="2"/>
        <v>18121145</v>
      </c>
      <c r="I30" s="808"/>
      <c r="J30" s="868"/>
      <c r="K30" s="875"/>
      <c r="L30" s="875"/>
      <c r="M30" s="875"/>
      <c r="N30" s="869"/>
      <c r="O30" s="894"/>
      <c r="P30" s="870"/>
      <c r="Q30" s="869"/>
      <c r="R30" s="869"/>
      <c r="S30" s="869"/>
      <c r="T30" s="870"/>
      <c r="U30" s="870"/>
      <c r="V30" s="870"/>
      <c r="W30" s="870"/>
    </row>
    <row r="31" spans="1:23" s="728" customFormat="1" ht="12.75" customHeight="1">
      <c r="A31" s="1064"/>
      <c r="B31" s="1034" t="s">
        <v>402</v>
      </c>
      <c r="C31" s="1034"/>
      <c r="D31" s="1035"/>
      <c r="E31" s="685">
        <f>E32+'VM padotibas iest MK66'!Q103</f>
        <v>667028.60000000009</v>
      </c>
      <c r="F31" s="685">
        <f t="shared" si="0"/>
        <v>667028.60000000009</v>
      </c>
      <c r="G31" s="685">
        <f t="shared" si="1"/>
        <v>667028.60000000009</v>
      </c>
      <c r="H31" s="250">
        <f t="shared" si="2"/>
        <v>667028.60000000009</v>
      </c>
      <c r="I31" s="808"/>
      <c r="J31" s="1042"/>
      <c r="K31" s="1042"/>
      <c r="L31" s="1042"/>
      <c r="M31" s="1042"/>
      <c r="N31" s="1042"/>
      <c r="O31" s="1042"/>
      <c r="P31" s="1042"/>
      <c r="Q31" s="876"/>
      <c r="R31" s="876"/>
      <c r="S31" s="876"/>
      <c r="T31" s="861"/>
      <c r="U31" s="861"/>
      <c r="V31" s="861"/>
      <c r="W31" s="861"/>
    </row>
    <row r="32" spans="1:23" s="728" customFormat="1" ht="12.75" customHeight="1">
      <c r="A32" s="1064"/>
      <c r="B32" s="1021" t="s">
        <v>396</v>
      </c>
      <c r="C32" s="1021"/>
      <c r="D32" s="1022"/>
      <c r="E32" s="251">
        <f>'VM padotibas iest MK66'!Q87</f>
        <v>566431.60000000009</v>
      </c>
      <c r="F32" s="251">
        <f t="shared" si="0"/>
        <v>566431.60000000009</v>
      </c>
      <c r="G32" s="251">
        <f t="shared" si="1"/>
        <v>566431.60000000009</v>
      </c>
      <c r="H32" s="253">
        <f t="shared" si="2"/>
        <v>566431.60000000009</v>
      </c>
      <c r="I32" s="727"/>
      <c r="J32" s="1033"/>
      <c r="K32" s="1033"/>
      <c r="L32" s="1033"/>
      <c r="M32" s="1033"/>
      <c r="N32" s="1033"/>
      <c r="O32" s="1033"/>
      <c r="P32" s="1033"/>
      <c r="Q32" s="877"/>
      <c r="R32" s="877"/>
      <c r="S32" s="877"/>
      <c r="T32" s="861"/>
      <c r="U32" s="861"/>
      <c r="V32" s="861"/>
      <c r="W32" s="861"/>
    </row>
    <row r="33" spans="1:23" s="728" customFormat="1" ht="13.5" customHeight="1">
      <c r="A33" s="1064"/>
      <c r="B33" s="1034" t="s">
        <v>401</v>
      </c>
      <c r="C33" s="1034"/>
      <c r="D33" s="1035"/>
      <c r="E33" s="685">
        <f>'VM NMPD MK851'!G101+'VM padotibas iest MK66'!Q50</f>
        <v>15674046.34</v>
      </c>
      <c r="F33" s="685">
        <f t="shared" si="0"/>
        <v>15674046.34</v>
      </c>
      <c r="G33" s="685">
        <f t="shared" si="1"/>
        <v>15674046.34</v>
      </c>
      <c r="H33" s="250">
        <f t="shared" si="2"/>
        <v>15674046.34</v>
      </c>
      <c r="I33" s="723"/>
      <c r="J33" s="873"/>
      <c r="K33" s="878"/>
      <c r="L33" s="879"/>
      <c r="M33" s="879"/>
      <c r="N33" s="861"/>
      <c r="O33" s="880"/>
      <c r="P33" s="861"/>
      <c r="Q33" s="861"/>
      <c r="R33" s="861"/>
      <c r="S33" s="861"/>
      <c r="T33" s="861"/>
      <c r="U33" s="861"/>
      <c r="V33" s="861"/>
      <c r="W33" s="861"/>
    </row>
    <row r="34" spans="1:23" s="728" customFormat="1" ht="13.5" customHeight="1">
      <c r="A34" s="1064"/>
      <c r="B34" s="1021" t="s">
        <v>396</v>
      </c>
      <c r="C34" s="1021"/>
      <c r="D34" s="1022"/>
      <c r="E34" s="251">
        <f>E33</f>
        <v>15674046.34</v>
      </c>
      <c r="F34" s="251">
        <f t="shared" si="0"/>
        <v>15674046.34</v>
      </c>
      <c r="G34" s="251">
        <f t="shared" si="1"/>
        <v>15674046.34</v>
      </c>
      <c r="H34" s="251">
        <f t="shared" si="2"/>
        <v>15674046.34</v>
      </c>
      <c r="I34" s="723"/>
      <c r="J34" s="1042"/>
      <c r="K34" s="1042"/>
      <c r="L34" s="1042"/>
      <c r="M34" s="1042"/>
      <c r="N34" s="1042"/>
      <c r="O34" s="1042"/>
      <c r="P34" s="1042"/>
      <c r="Q34" s="876"/>
      <c r="R34" s="876"/>
      <c r="S34" s="876"/>
      <c r="T34" s="861"/>
      <c r="U34" s="861"/>
      <c r="V34" s="861"/>
      <c r="W34" s="861"/>
    </row>
    <row r="35" spans="1:23" s="728" customFormat="1" ht="13.5" customHeight="1">
      <c r="A35" s="1064"/>
      <c r="B35" s="1034" t="s">
        <v>403</v>
      </c>
      <c r="C35" s="1034"/>
      <c r="D35" s="1035"/>
      <c r="E35" s="685">
        <f>'VM padotibas iest MK66'!Q271</f>
        <v>708770.41399999976</v>
      </c>
      <c r="F35" s="685">
        <f t="shared" si="0"/>
        <v>708770.41399999976</v>
      </c>
      <c r="G35" s="685">
        <f t="shared" si="1"/>
        <v>708770.41399999976</v>
      </c>
      <c r="H35" s="250">
        <f t="shared" si="2"/>
        <v>708770.41399999976</v>
      </c>
      <c r="I35" s="727"/>
      <c r="J35" s="1033"/>
      <c r="K35" s="1033"/>
      <c r="L35" s="1033"/>
      <c r="M35" s="1033"/>
      <c r="N35" s="1033"/>
      <c r="O35" s="1033"/>
      <c r="P35" s="1033"/>
      <c r="Q35" s="877"/>
      <c r="R35" s="877"/>
      <c r="S35" s="877"/>
      <c r="T35" s="861"/>
      <c r="U35" s="861"/>
      <c r="V35" s="861"/>
      <c r="W35" s="861"/>
    </row>
    <row r="36" spans="1:23" s="728" customFormat="1" ht="13.5" customHeight="1">
      <c r="A36" s="1064"/>
      <c r="B36" s="1021" t="s">
        <v>396</v>
      </c>
      <c r="C36" s="1021"/>
      <c r="D36" s="1022"/>
      <c r="E36" s="251">
        <f>E35</f>
        <v>708770.41399999976</v>
      </c>
      <c r="F36" s="251">
        <f t="shared" si="0"/>
        <v>708770.41399999976</v>
      </c>
      <c r="G36" s="251">
        <f t="shared" si="1"/>
        <v>708770.41399999976</v>
      </c>
      <c r="H36" s="251">
        <f t="shared" si="2"/>
        <v>708770.41399999976</v>
      </c>
      <c r="I36" s="727"/>
      <c r="J36" s="873"/>
      <c r="K36" s="875"/>
      <c r="L36" s="875"/>
      <c r="M36" s="875"/>
      <c r="N36" s="861"/>
      <c r="O36" s="861"/>
      <c r="P36" s="861"/>
      <c r="Q36" s="861"/>
      <c r="R36" s="861"/>
      <c r="S36" s="861"/>
      <c r="T36" s="861"/>
      <c r="U36" s="861"/>
      <c r="V36" s="861"/>
      <c r="W36" s="861"/>
    </row>
    <row r="37" spans="1:23" s="728" customFormat="1" ht="25.5" customHeight="1">
      <c r="A37" s="1064"/>
      <c r="B37" s="1034" t="s">
        <v>430</v>
      </c>
      <c r="C37" s="1034"/>
      <c r="D37" s="1035"/>
      <c r="E37" s="685">
        <f>E38</f>
        <v>73508</v>
      </c>
      <c r="F37" s="685">
        <f t="shared" si="0"/>
        <v>73508</v>
      </c>
      <c r="G37" s="685">
        <f t="shared" si="1"/>
        <v>73508</v>
      </c>
      <c r="H37" s="685">
        <f t="shared" si="2"/>
        <v>73508</v>
      </c>
      <c r="I37" s="727"/>
      <c r="J37" s="873"/>
      <c r="K37" s="878"/>
      <c r="L37" s="878"/>
      <c r="M37" s="879"/>
      <c r="N37" s="861"/>
      <c r="O37" s="861"/>
      <c r="P37" s="861"/>
      <c r="Q37" s="861"/>
      <c r="R37" s="861"/>
      <c r="S37" s="861"/>
      <c r="T37" s="861"/>
      <c r="U37" s="861"/>
      <c r="V37" s="861"/>
      <c r="W37" s="861"/>
    </row>
    <row r="38" spans="1:23" s="728" customFormat="1" ht="15.75" customHeight="1">
      <c r="A38" s="1064"/>
      <c r="B38" s="1021" t="s">
        <v>396</v>
      </c>
      <c r="C38" s="1021"/>
      <c r="D38" s="1022"/>
      <c r="E38" s="251">
        <f>ROUND('VM padotibas iest MK66'!Q283,0)</f>
        <v>73508</v>
      </c>
      <c r="F38" s="251">
        <f t="shared" si="0"/>
        <v>73508</v>
      </c>
      <c r="G38" s="251">
        <f t="shared" si="1"/>
        <v>73508</v>
      </c>
      <c r="H38" s="251">
        <f t="shared" si="2"/>
        <v>73508</v>
      </c>
      <c r="I38" s="727"/>
      <c r="J38" s="736"/>
      <c r="K38" s="1020"/>
      <c r="L38" s="1020"/>
      <c r="M38" s="1020"/>
      <c r="N38" s="1020"/>
      <c r="O38" s="1020"/>
    </row>
    <row r="39" spans="1:23" s="728" customFormat="1" ht="13.5" customHeight="1">
      <c r="A39" s="1064"/>
      <c r="B39" s="1034" t="s">
        <v>404</v>
      </c>
      <c r="C39" s="1034"/>
      <c r="D39" s="1035"/>
      <c r="E39" s="685">
        <f>'VM padotibas iest MK66'!Q203</f>
        <v>775553.24</v>
      </c>
      <c r="F39" s="685">
        <f t="shared" si="0"/>
        <v>775553.24</v>
      </c>
      <c r="G39" s="685">
        <f t="shared" si="1"/>
        <v>775553.24</v>
      </c>
      <c r="H39" s="250">
        <f t="shared" si="2"/>
        <v>775553.24</v>
      </c>
      <c r="I39" s="727"/>
      <c r="J39" s="736"/>
      <c r="K39" s="878"/>
      <c r="L39" s="878"/>
      <c r="M39" s="879"/>
      <c r="N39" s="1028"/>
      <c r="O39" s="1028"/>
    </row>
    <row r="40" spans="1:23" s="728" customFormat="1" ht="13.5" customHeight="1">
      <c r="A40" s="1064"/>
      <c r="B40" s="1021" t="s">
        <v>396</v>
      </c>
      <c r="C40" s="1021"/>
      <c r="D40" s="1022"/>
      <c r="E40" s="251">
        <f>E39</f>
        <v>775553.24</v>
      </c>
      <c r="F40" s="251">
        <f t="shared" si="0"/>
        <v>775553.24</v>
      </c>
      <c r="G40" s="251">
        <f t="shared" si="1"/>
        <v>775553.24</v>
      </c>
      <c r="H40" s="251">
        <f t="shared" si="2"/>
        <v>775553.24</v>
      </c>
      <c r="I40" s="727"/>
      <c r="J40" s="736"/>
      <c r="K40" s="881"/>
      <c r="L40" s="875"/>
      <c r="M40" s="875"/>
      <c r="N40" s="861"/>
      <c r="O40" s="861"/>
    </row>
    <row r="41" spans="1:23" s="728" customFormat="1" ht="12.75" customHeight="1">
      <c r="A41" s="1064"/>
      <c r="B41" s="1034" t="s">
        <v>405</v>
      </c>
      <c r="C41" s="1034"/>
      <c r="D41" s="1035"/>
      <c r="E41" s="685">
        <f>'VM padotibas iest MK66'!Q235</f>
        <v>322835.24000000005</v>
      </c>
      <c r="F41" s="685">
        <f t="shared" si="0"/>
        <v>322835.24000000005</v>
      </c>
      <c r="G41" s="685">
        <f t="shared" si="1"/>
        <v>322835.24000000005</v>
      </c>
      <c r="H41" s="250">
        <f t="shared" si="2"/>
        <v>322835.24000000005</v>
      </c>
      <c r="I41" s="727"/>
      <c r="J41" s="736"/>
      <c r="K41" s="882"/>
      <c r="L41" s="883"/>
      <c r="M41" s="884"/>
      <c r="N41" s="1027"/>
      <c r="O41" s="1028"/>
    </row>
    <row r="42" spans="1:23" s="728" customFormat="1" ht="12.75" customHeight="1">
      <c r="A42" s="1064"/>
      <c r="B42" s="1021" t="s">
        <v>396</v>
      </c>
      <c r="C42" s="1021"/>
      <c r="D42" s="1022"/>
      <c r="E42" s="251">
        <f>E41</f>
        <v>322835.24000000005</v>
      </c>
      <c r="F42" s="251">
        <f t="shared" si="0"/>
        <v>322835.24000000005</v>
      </c>
      <c r="G42" s="251">
        <f t="shared" si="1"/>
        <v>322835.24000000005</v>
      </c>
      <c r="H42" s="251">
        <f t="shared" si="2"/>
        <v>322835.24000000005</v>
      </c>
      <c r="I42" s="727"/>
      <c r="J42" s="736"/>
      <c r="K42" s="882"/>
      <c r="L42" s="885"/>
      <c r="M42" s="886"/>
      <c r="N42" s="1027"/>
      <c r="O42" s="1028"/>
    </row>
    <row r="43" spans="1:23" s="737" customFormat="1" ht="30.75" customHeight="1">
      <c r="A43" s="1064"/>
      <c r="B43" s="1073" t="s">
        <v>661</v>
      </c>
      <c r="C43" s="1073"/>
      <c r="D43" s="1074"/>
      <c r="E43" s="252">
        <f>E44+E47+E56+E66+E69</f>
        <v>4962903.4220000012</v>
      </c>
      <c r="F43" s="252">
        <f t="shared" si="0"/>
        <v>4962903.4220000012</v>
      </c>
      <c r="G43" s="252">
        <f t="shared" si="1"/>
        <v>4962903.4220000012</v>
      </c>
      <c r="H43" s="252">
        <f t="shared" si="2"/>
        <v>4962903.4220000012</v>
      </c>
      <c r="I43" s="739"/>
      <c r="J43" s="735"/>
      <c r="K43" s="887"/>
      <c r="L43" s="888"/>
      <c r="M43" s="889"/>
      <c r="N43" s="1027"/>
      <c r="O43" s="1028"/>
    </row>
    <row r="44" spans="1:23" s="737" customFormat="1">
      <c r="A44" s="1064"/>
      <c r="B44" s="1025" t="s">
        <v>422</v>
      </c>
      <c r="C44" s="1025"/>
      <c r="D44" s="1026"/>
      <c r="E44" s="252">
        <f>E45</f>
        <v>760880.70400000049</v>
      </c>
      <c r="F44" s="252">
        <f t="shared" si="0"/>
        <v>760880.70400000049</v>
      </c>
      <c r="G44" s="252">
        <f t="shared" si="1"/>
        <v>760880.70400000049</v>
      </c>
      <c r="H44" s="252">
        <f t="shared" si="2"/>
        <v>760880.70400000049</v>
      </c>
      <c r="I44" s="739"/>
      <c r="J44" s="735"/>
      <c r="K44" s="887"/>
      <c r="L44" s="888"/>
      <c r="M44" s="889"/>
      <c r="N44" s="1027"/>
      <c r="O44" s="1028"/>
    </row>
    <row r="45" spans="1:23" s="737" customFormat="1" ht="28.5" customHeight="1">
      <c r="A45" s="1064"/>
      <c r="B45" s="1029" t="s">
        <v>230</v>
      </c>
      <c r="C45" s="1030"/>
      <c r="D45" s="1029"/>
      <c r="E45" s="250">
        <f>'Pārējās ministrijas MK66'!Q79+'Pārējās ministrijas MK509'!H155</f>
        <v>760880.70400000049</v>
      </c>
      <c r="F45" s="250">
        <f t="shared" si="0"/>
        <v>760880.70400000049</v>
      </c>
      <c r="G45" s="250">
        <f t="shared" si="1"/>
        <v>760880.70400000049</v>
      </c>
      <c r="H45" s="250">
        <f t="shared" si="2"/>
        <v>760880.70400000049</v>
      </c>
      <c r="I45" s="739"/>
      <c r="J45" s="735"/>
      <c r="K45" s="887"/>
      <c r="L45" s="888"/>
      <c r="M45" s="889"/>
      <c r="N45" s="1027"/>
      <c r="O45" s="1028"/>
    </row>
    <row r="46" spans="1:23" s="737" customFormat="1">
      <c r="A46" s="1064"/>
      <c r="B46" s="1021" t="s">
        <v>396</v>
      </c>
      <c r="C46" s="1021"/>
      <c r="D46" s="1022"/>
      <c r="E46" s="251">
        <f>E45</f>
        <v>760880.70400000049</v>
      </c>
      <c r="F46" s="251">
        <f t="shared" si="0"/>
        <v>760880.70400000049</v>
      </c>
      <c r="G46" s="251">
        <f t="shared" si="1"/>
        <v>760880.70400000049</v>
      </c>
      <c r="H46" s="251">
        <f t="shared" si="2"/>
        <v>760880.70400000049</v>
      </c>
      <c r="I46" s="739"/>
      <c r="J46" s="735"/>
      <c r="K46" s="875"/>
      <c r="L46" s="885"/>
      <c r="M46" s="890"/>
      <c r="N46" s="1027"/>
      <c r="O46" s="1028"/>
    </row>
    <row r="47" spans="1:23" ht="27" customHeight="1">
      <c r="A47" s="1064"/>
      <c r="B47" s="1031" t="s">
        <v>406</v>
      </c>
      <c r="C47" s="1031"/>
      <c r="D47" s="1032"/>
      <c r="E47" s="252">
        <f>E48+E50+E52+E54</f>
        <v>655375.17999999993</v>
      </c>
      <c r="F47" s="252">
        <f t="shared" si="0"/>
        <v>655375.17999999993</v>
      </c>
      <c r="G47" s="252">
        <f t="shared" si="1"/>
        <v>655375.17999999993</v>
      </c>
      <c r="H47" s="252">
        <f t="shared" si="2"/>
        <v>655375.17999999993</v>
      </c>
      <c r="I47" s="726"/>
      <c r="J47" s="738"/>
      <c r="K47" s="891"/>
      <c r="L47" s="888"/>
      <c r="M47" s="889"/>
      <c r="N47" s="1027"/>
      <c r="O47" s="1028"/>
    </row>
    <row r="48" spans="1:23" ht="13.5" customHeight="1">
      <c r="A48" s="1064"/>
      <c r="B48" s="1023" t="s">
        <v>407</v>
      </c>
      <c r="C48" s="1024"/>
      <c r="D48" s="1023"/>
      <c r="E48" s="250">
        <f>'Pārējās ministrijas MK66'!Q322</f>
        <v>1771.2739999999997</v>
      </c>
      <c r="F48" s="250">
        <f t="shared" si="0"/>
        <v>1771.2739999999997</v>
      </c>
      <c r="G48" s="250">
        <f t="shared" si="1"/>
        <v>1771.2739999999997</v>
      </c>
      <c r="H48" s="250">
        <f t="shared" si="2"/>
        <v>1771.2739999999997</v>
      </c>
      <c r="I48" s="726"/>
      <c r="J48" s="738"/>
      <c r="K48" s="887"/>
      <c r="L48" s="888"/>
      <c r="M48" s="889"/>
      <c r="N48" s="1027"/>
      <c r="O48" s="1028"/>
    </row>
    <row r="49" spans="1:16" s="734" customFormat="1">
      <c r="A49" s="1064"/>
      <c r="B49" s="1021" t="s">
        <v>396</v>
      </c>
      <c r="C49" s="1021"/>
      <c r="D49" s="1022"/>
      <c r="E49" s="251">
        <f>E48</f>
        <v>1771.2739999999997</v>
      </c>
      <c r="F49" s="251">
        <f t="shared" si="0"/>
        <v>1771.2739999999997</v>
      </c>
      <c r="G49" s="251">
        <f t="shared" si="1"/>
        <v>1771.2739999999997</v>
      </c>
      <c r="H49" s="251">
        <f t="shared" si="2"/>
        <v>1771.2739999999997</v>
      </c>
      <c r="I49" s="808"/>
      <c r="J49" s="732"/>
      <c r="K49" s="882"/>
      <c r="L49" s="885"/>
      <c r="M49" s="890"/>
      <c r="N49" s="1027"/>
      <c r="O49" s="1028"/>
      <c r="P49" s="733"/>
    </row>
    <row r="50" spans="1:16" ht="13.5" customHeight="1">
      <c r="A50" s="1064"/>
      <c r="B50" s="1023" t="s">
        <v>408</v>
      </c>
      <c r="C50" s="1024"/>
      <c r="D50" s="1023"/>
      <c r="E50" s="250">
        <f>'Pārējās ministrijas MK66'!Q296</f>
        <v>65388.925999999985</v>
      </c>
      <c r="F50" s="250">
        <f t="shared" si="0"/>
        <v>65388.925999999985</v>
      </c>
      <c r="G50" s="250">
        <f t="shared" si="1"/>
        <v>65388.925999999985</v>
      </c>
      <c r="H50" s="250">
        <f t="shared" si="2"/>
        <v>65388.925999999985</v>
      </c>
      <c r="I50" s="726"/>
      <c r="J50" s="738"/>
      <c r="K50" s="887"/>
      <c r="L50" s="888"/>
      <c r="M50" s="889"/>
      <c r="N50" s="1027"/>
      <c r="O50" s="1028"/>
    </row>
    <row r="51" spans="1:16" s="734" customFormat="1">
      <c r="A51" s="1064"/>
      <c r="B51" s="1021" t="s">
        <v>396</v>
      </c>
      <c r="C51" s="1021"/>
      <c r="D51" s="1022"/>
      <c r="E51" s="251">
        <f>E50</f>
        <v>65388.925999999985</v>
      </c>
      <c r="F51" s="251">
        <f t="shared" si="0"/>
        <v>65388.925999999985</v>
      </c>
      <c r="G51" s="251">
        <f t="shared" si="1"/>
        <v>65388.925999999985</v>
      </c>
      <c r="H51" s="251">
        <f t="shared" si="2"/>
        <v>65388.925999999985</v>
      </c>
      <c r="I51" s="808"/>
      <c r="J51" s="732"/>
      <c r="K51" s="882"/>
      <c r="L51" s="885"/>
      <c r="M51" s="890"/>
      <c r="N51" s="1027"/>
      <c r="O51" s="1028"/>
      <c r="P51" s="733"/>
    </row>
    <row r="52" spans="1:16" ht="13.5" customHeight="1">
      <c r="A52" s="1064"/>
      <c r="B52" s="1023" t="s">
        <v>348</v>
      </c>
      <c r="C52" s="1024"/>
      <c r="D52" s="1023"/>
      <c r="E52" s="250">
        <f>'Pārējās ministrijas MK66'!Q323</f>
        <v>22284.470000000005</v>
      </c>
      <c r="F52" s="250">
        <f t="shared" si="0"/>
        <v>22284.470000000005</v>
      </c>
      <c r="G52" s="250">
        <f t="shared" si="1"/>
        <v>22284.470000000005</v>
      </c>
      <c r="H52" s="250">
        <f t="shared" si="2"/>
        <v>22284.470000000005</v>
      </c>
      <c r="I52" s="726"/>
      <c r="J52" s="738"/>
      <c r="K52" s="887"/>
      <c r="L52" s="888"/>
      <c r="M52" s="889"/>
      <c r="N52" s="1027"/>
      <c r="O52" s="1028"/>
    </row>
    <row r="53" spans="1:16" s="734" customFormat="1">
      <c r="A53" s="1064"/>
      <c r="B53" s="1021" t="s">
        <v>396</v>
      </c>
      <c r="C53" s="1021"/>
      <c r="D53" s="1022"/>
      <c r="E53" s="251">
        <f>E52</f>
        <v>22284.470000000005</v>
      </c>
      <c r="F53" s="251">
        <f t="shared" si="0"/>
        <v>22284.470000000005</v>
      </c>
      <c r="G53" s="251">
        <f t="shared" si="1"/>
        <v>22284.470000000005</v>
      </c>
      <c r="H53" s="251">
        <f t="shared" si="2"/>
        <v>22284.470000000005</v>
      </c>
      <c r="I53" s="808"/>
      <c r="J53" s="732"/>
      <c r="K53" s="882"/>
      <c r="L53" s="885"/>
      <c r="M53" s="890"/>
      <c r="N53" s="1027"/>
      <c r="O53" s="1028"/>
      <c r="P53" s="733"/>
    </row>
    <row r="54" spans="1:16" ht="13.5" customHeight="1">
      <c r="A54" s="1064"/>
      <c r="B54" s="1023" t="s">
        <v>420</v>
      </c>
      <c r="C54" s="1024"/>
      <c r="D54" s="1023"/>
      <c r="E54" s="250">
        <f>IZM_pašv!I169</f>
        <v>565930.50999999989</v>
      </c>
      <c r="F54" s="250">
        <f t="shared" si="0"/>
        <v>565930.50999999989</v>
      </c>
      <c r="G54" s="250">
        <f t="shared" si="1"/>
        <v>565930.50999999989</v>
      </c>
      <c r="H54" s="250">
        <f t="shared" si="2"/>
        <v>565930.50999999989</v>
      </c>
      <c r="I54" s="726"/>
      <c r="J54" s="738"/>
      <c r="K54" s="879"/>
      <c r="L54" s="879"/>
      <c r="M54" s="879"/>
      <c r="N54" s="892"/>
      <c r="O54" s="892"/>
    </row>
    <row r="55" spans="1:16" s="734" customFormat="1" ht="12">
      <c r="A55" s="1064"/>
      <c r="B55" s="1021" t="s">
        <v>396</v>
      </c>
      <c r="C55" s="1021"/>
      <c r="D55" s="1022"/>
      <c r="E55" s="251">
        <v>0</v>
      </c>
      <c r="F55" s="251">
        <f t="shared" si="0"/>
        <v>0</v>
      </c>
      <c r="G55" s="251">
        <f t="shared" si="1"/>
        <v>0</v>
      </c>
      <c r="H55" s="251">
        <f t="shared" si="2"/>
        <v>0</v>
      </c>
      <c r="I55" s="808"/>
      <c r="J55" s="732"/>
      <c r="K55" s="875"/>
      <c r="L55" s="875"/>
      <c r="M55" s="875"/>
      <c r="N55" s="869"/>
      <c r="O55" s="869"/>
      <c r="P55" s="733"/>
    </row>
    <row r="56" spans="1:16" s="737" customFormat="1" ht="13.5" customHeight="1">
      <c r="A56" s="1064"/>
      <c r="B56" s="1025" t="s">
        <v>409</v>
      </c>
      <c r="C56" s="1025"/>
      <c r="D56" s="1026"/>
      <c r="E56" s="252">
        <f>E57+E59+E61+E63+E65</f>
        <v>2643232.3280000002</v>
      </c>
      <c r="F56" s="252">
        <f t="shared" si="0"/>
        <v>2643232.3280000002</v>
      </c>
      <c r="G56" s="252">
        <f t="shared" si="1"/>
        <v>2643232.3280000002</v>
      </c>
      <c r="H56" s="252">
        <f t="shared" si="2"/>
        <v>2643232.3280000002</v>
      </c>
      <c r="I56" s="739"/>
      <c r="J56" s="735"/>
      <c r="K56" s="891"/>
      <c r="L56" s="891"/>
      <c r="M56" s="891"/>
      <c r="N56" s="893"/>
      <c r="O56" s="893"/>
    </row>
    <row r="57" spans="1:16" ht="29.25" customHeight="1">
      <c r="A57" s="1064"/>
      <c r="B57" s="1023" t="s">
        <v>241</v>
      </c>
      <c r="C57" s="1024"/>
      <c r="D57" s="1023"/>
      <c r="E57" s="250">
        <f>'Pārējās ministrijas MK66'!Q82</f>
        <v>7532.0500000000011</v>
      </c>
      <c r="F57" s="250">
        <f t="shared" si="0"/>
        <v>7532.0500000000011</v>
      </c>
      <c r="G57" s="250">
        <f t="shared" si="1"/>
        <v>7532.0500000000011</v>
      </c>
      <c r="H57" s="250">
        <f t="shared" si="2"/>
        <v>7532.0500000000011</v>
      </c>
      <c r="I57" s="726"/>
      <c r="J57" s="738"/>
      <c r="K57" s="879"/>
      <c r="L57" s="879"/>
      <c r="M57" s="879"/>
      <c r="N57" s="892"/>
      <c r="O57" s="892"/>
    </row>
    <row r="58" spans="1:16" s="734" customFormat="1" ht="12">
      <c r="A58" s="1064"/>
      <c r="B58" s="1021" t="s">
        <v>396</v>
      </c>
      <c r="C58" s="1021"/>
      <c r="D58" s="1022"/>
      <c r="E58" s="251">
        <f>E57</f>
        <v>7532.0500000000011</v>
      </c>
      <c r="F58" s="251">
        <f t="shared" si="0"/>
        <v>7532.0500000000011</v>
      </c>
      <c r="G58" s="251">
        <f t="shared" si="1"/>
        <v>7532.0500000000011</v>
      </c>
      <c r="H58" s="251">
        <f t="shared" si="2"/>
        <v>7532.0500000000011</v>
      </c>
      <c r="I58" s="808"/>
      <c r="J58" s="732"/>
      <c r="K58" s="875"/>
      <c r="L58" s="875"/>
      <c r="M58" s="875"/>
      <c r="N58" s="869"/>
      <c r="O58" s="869"/>
      <c r="P58" s="733"/>
    </row>
    <row r="59" spans="1:16" ht="17.25" customHeight="1">
      <c r="A59" s="1064"/>
      <c r="B59" s="1023" t="s">
        <v>245</v>
      </c>
      <c r="C59" s="1024"/>
      <c r="D59" s="1023"/>
      <c r="E59" s="250">
        <f>ROUNDUP('Pārējās ministrijas MK66'!Q88,0)</f>
        <v>1507535</v>
      </c>
      <c r="F59" s="250">
        <f t="shared" si="0"/>
        <v>1507535</v>
      </c>
      <c r="G59" s="250">
        <f t="shared" si="1"/>
        <v>1507535</v>
      </c>
      <c r="H59" s="250">
        <f t="shared" si="2"/>
        <v>1507535</v>
      </c>
      <c r="I59" s="726"/>
      <c r="J59" s="738"/>
      <c r="K59" s="879"/>
      <c r="L59" s="879"/>
      <c r="M59" s="879"/>
      <c r="N59" s="892"/>
      <c r="O59" s="892"/>
    </row>
    <row r="60" spans="1:16" s="734" customFormat="1" ht="12">
      <c r="A60" s="1064"/>
      <c r="B60" s="1021" t="s">
        <v>396</v>
      </c>
      <c r="C60" s="1021"/>
      <c r="D60" s="1022"/>
      <c r="E60" s="251">
        <f>E59</f>
        <v>1507535</v>
      </c>
      <c r="F60" s="251">
        <f t="shared" si="0"/>
        <v>1507535</v>
      </c>
      <c r="G60" s="251">
        <f t="shared" si="1"/>
        <v>1507535</v>
      </c>
      <c r="H60" s="251">
        <f t="shared" si="2"/>
        <v>1507535</v>
      </c>
      <c r="I60" s="808"/>
      <c r="J60" s="732"/>
      <c r="K60" s="875"/>
      <c r="L60" s="875"/>
      <c r="M60" s="875"/>
      <c r="N60" s="869"/>
      <c r="O60" s="894"/>
      <c r="P60" s="733"/>
    </row>
    <row r="61" spans="1:16" ht="41.25" customHeight="1">
      <c r="A61" s="1064"/>
      <c r="B61" s="1023" t="s">
        <v>288</v>
      </c>
      <c r="C61" s="1024"/>
      <c r="D61" s="1023"/>
      <c r="E61" s="250">
        <f>'Pārējās ministrijas MK66'!Q202</f>
        <v>318051.29000000004</v>
      </c>
      <c r="F61" s="250">
        <f t="shared" si="0"/>
        <v>318051.29000000004</v>
      </c>
      <c r="G61" s="250">
        <f t="shared" si="1"/>
        <v>318051.29000000004</v>
      </c>
      <c r="H61" s="250">
        <f t="shared" si="2"/>
        <v>318051.29000000004</v>
      </c>
      <c r="I61" s="726"/>
      <c r="J61" s="738"/>
      <c r="K61" s="879"/>
      <c r="L61" s="879"/>
      <c r="M61" s="879"/>
      <c r="N61" s="892"/>
      <c r="O61" s="892"/>
    </row>
    <row r="62" spans="1:16" s="734" customFormat="1" ht="12">
      <c r="A62" s="1064"/>
      <c r="B62" s="1021" t="s">
        <v>396</v>
      </c>
      <c r="C62" s="1021"/>
      <c r="D62" s="1022"/>
      <c r="E62" s="251">
        <f>E61</f>
        <v>318051.29000000004</v>
      </c>
      <c r="F62" s="251">
        <f t="shared" si="0"/>
        <v>318051.29000000004</v>
      </c>
      <c r="G62" s="251">
        <f t="shared" si="1"/>
        <v>318051.29000000004</v>
      </c>
      <c r="H62" s="251">
        <f t="shared" si="2"/>
        <v>318051.29000000004</v>
      </c>
      <c r="I62" s="808"/>
      <c r="J62" s="732"/>
      <c r="K62" s="875"/>
      <c r="L62" s="875"/>
      <c r="M62" s="875"/>
      <c r="N62" s="869"/>
      <c r="O62" s="869"/>
      <c r="P62" s="733"/>
    </row>
    <row r="63" spans="1:16" ht="27.75" customHeight="1">
      <c r="A63" s="1064"/>
      <c r="B63" s="1023" t="s">
        <v>410</v>
      </c>
      <c r="C63" s="1024"/>
      <c r="D63" s="1023"/>
      <c r="E63" s="250">
        <f>'Pārējās ministrijas MK66'!Q242</f>
        <v>368769.32000000012</v>
      </c>
      <c r="F63" s="250">
        <f t="shared" si="0"/>
        <v>368769.32000000012</v>
      </c>
      <c r="G63" s="250">
        <f t="shared" si="1"/>
        <v>368769.32000000012</v>
      </c>
      <c r="H63" s="250">
        <f t="shared" si="2"/>
        <v>368769.32000000012</v>
      </c>
      <c r="I63" s="726"/>
      <c r="J63" s="738"/>
      <c r="K63" s="879"/>
      <c r="L63" s="879"/>
      <c r="M63" s="879"/>
      <c r="N63" s="892"/>
      <c r="O63" s="892"/>
    </row>
    <row r="64" spans="1:16" s="734" customFormat="1" ht="12">
      <c r="A64" s="1064"/>
      <c r="B64" s="1021" t="s">
        <v>396</v>
      </c>
      <c r="C64" s="1021"/>
      <c r="D64" s="1022"/>
      <c r="E64" s="251">
        <f>E63</f>
        <v>368769.32000000012</v>
      </c>
      <c r="F64" s="251">
        <f t="shared" si="0"/>
        <v>368769.32000000012</v>
      </c>
      <c r="G64" s="251">
        <f t="shared" si="1"/>
        <v>368769.32000000012</v>
      </c>
      <c r="H64" s="251">
        <f t="shared" si="2"/>
        <v>368769.32000000012</v>
      </c>
      <c r="I64" s="808"/>
      <c r="J64" s="732"/>
      <c r="K64" s="875"/>
      <c r="L64" s="875"/>
      <c r="M64" s="875"/>
      <c r="N64" s="869"/>
      <c r="O64" s="869"/>
      <c r="P64" s="733"/>
    </row>
    <row r="65" spans="1:16" ht="27.75" customHeight="1">
      <c r="A65" s="1064"/>
      <c r="B65" s="1023" t="s">
        <v>411</v>
      </c>
      <c r="C65" s="1024"/>
      <c r="D65" s="1023"/>
      <c r="E65" s="250">
        <f>LM_līgumorg_851!H139+LM_līgumorg_66!Q5</f>
        <v>441344.66800000001</v>
      </c>
      <c r="F65" s="250">
        <f t="shared" si="0"/>
        <v>441344.66800000001</v>
      </c>
      <c r="G65" s="250">
        <f t="shared" si="1"/>
        <v>441344.66800000001</v>
      </c>
      <c r="H65" s="250">
        <f t="shared" si="2"/>
        <v>441344.66800000001</v>
      </c>
      <c r="I65" s="726"/>
      <c r="J65" s="738"/>
      <c r="K65" s="879"/>
      <c r="L65" s="879"/>
      <c r="M65" s="879"/>
      <c r="N65" s="892"/>
      <c r="O65" s="892"/>
    </row>
    <row r="66" spans="1:16" ht="13.5" customHeight="1">
      <c r="A66" s="1064"/>
      <c r="B66" s="1025" t="s">
        <v>412</v>
      </c>
      <c r="C66" s="1025"/>
      <c r="D66" s="1026"/>
      <c r="E66" s="252">
        <f>E67</f>
        <v>677393</v>
      </c>
      <c r="F66" s="252">
        <f t="shared" si="0"/>
        <v>677393</v>
      </c>
      <c r="G66" s="252">
        <f t="shared" si="1"/>
        <v>677393</v>
      </c>
      <c r="H66" s="252">
        <f t="shared" si="2"/>
        <v>677393</v>
      </c>
      <c r="I66" s="726"/>
      <c r="J66" s="738"/>
      <c r="K66" s="895"/>
      <c r="L66" s="895"/>
      <c r="M66" s="895"/>
      <c r="N66" s="892"/>
      <c r="O66" s="892"/>
    </row>
    <row r="67" spans="1:16" ht="13.5" customHeight="1">
      <c r="A67" s="1064"/>
      <c r="B67" s="1023" t="s">
        <v>413</v>
      </c>
      <c r="C67" s="1024"/>
      <c r="D67" s="1023"/>
      <c r="E67" s="250">
        <f>'Pārējās ministrijas MK851'!G34</f>
        <v>677393</v>
      </c>
      <c r="F67" s="250">
        <f t="shared" si="0"/>
        <v>677393</v>
      </c>
      <c r="G67" s="250">
        <f t="shared" si="1"/>
        <v>677393</v>
      </c>
      <c r="H67" s="250">
        <f t="shared" si="2"/>
        <v>677393</v>
      </c>
      <c r="I67" s="726"/>
      <c r="J67" s="738"/>
      <c r="K67" s="879"/>
      <c r="L67" s="879"/>
      <c r="M67" s="879"/>
      <c r="N67" s="892"/>
      <c r="O67" s="892"/>
    </row>
    <row r="68" spans="1:16" s="734" customFormat="1" ht="12">
      <c r="A68" s="1064"/>
      <c r="B68" s="1021" t="s">
        <v>396</v>
      </c>
      <c r="C68" s="1021"/>
      <c r="D68" s="1022"/>
      <c r="E68" s="251">
        <f>E67</f>
        <v>677393</v>
      </c>
      <c r="F68" s="251">
        <f t="shared" si="0"/>
        <v>677393</v>
      </c>
      <c r="G68" s="251">
        <f t="shared" si="1"/>
        <v>677393</v>
      </c>
      <c r="H68" s="251">
        <f t="shared" si="2"/>
        <v>677393</v>
      </c>
      <c r="I68" s="808"/>
      <c r="J68" s="732"/>
      <c r="K68" s="875"/>
      <c r="L68" s="875"/>
      <c r="M68" s="875"/>
      <c r="N68" s="869"/>
      <c r="O68" s="869"/>
      <c r="P68" s="733"/>
    </row>
    <row r="69" spans="1:16" s="737" customFormat="1" ht="13.5" customHeight="1">
      <c r="A69" s="1064"/>
      <c r="B69" s="1025" t="s">
        <v>414</v>
      </c>
      <c r="C69" s="1025"/>
      <c r="D69" s="1026"/>
      <c r="E69" s="252">
        <f>E70+E72+E74</f>
        <v>226022.20999999988</v>
      </c>
      <c r="F69" s="252">
        <f t="shared" si="0"/>
        <v>226022.20999999988</v>
      </c>
      <c r="G69" s="252">
        <f t="shared" si="1"/>
        <v>226022.20999999988</v>
      </c>
      <c r="H69" s="252">
        <f t="shared" si="2"/>
        <v>226022.20999999988</v>
      </c>
      <c r="I69" s="739"/>
      <c r="J69" s="735"/>
      <c r="K69" s="895"/>
      <c r="L69" s="895"/>
      <c r="M69" s="895"/>
      <c r="N69" s="893"/>
      <c r="O69" s="893"/>
    </row>
    <row r="70" spans="1:16" ht="13.5" customHeight="1">
      <c r="A70" s="1065"/>
      <c r="B70" s="1023" t="s">
        <v>415</v>
      </c>
      <c r="C70" s="1024"/>
      <c r="D70" s="1023"/>
      <c r="E70" s="250">
        <f>'Pārējās ministrijas MK66'!Q260</f>
        <v>25233.409999999996</v>
      </c>
      <c r="F70" s="250">
        <f t="shared" si="0"/>
        <v>25233.409999999996</v>
      </c>
      <c r="G70" s="250">
        <f t="shared" si="1"/>
        <v>25233.409999999996</v>
      </c>
      <c r="H70" s="250">
        <f t="shared" si="2"/>
        <v>25233.409999999996</v>
      </c>
      <c r="K70" s="879"/>
      <c r="L70" s="879"/>
      <c r="M70" s="879"/>
      <c r="N70" s="892"/>
      <c r="O70" s="892"/>
    </row>
    <row r="71" spans="1:16" s="734" customFormat="1" ht="12">
      <c r="A71" s="740"/>
      <c r="B71" s="1021" t="s">
        <v>396</v>
      </c>
      <c r="C71" s="1021"/>
      <c r="D71" s="1022"/>
      <c r="E71" s="251">
        <f>E70</f>
        <v>25233.409999999996</v>
      </c>
      <c r="F71" s="251">
        <f t="shared" si="0"/>
        <v>25233.409999999996</v>
      </c>
      <c r="G71" s="251">
        <f t="shared" si="1"/>
        <v>25233.409999999996</v>
      </c>
      <c r="H71" s="251">
        <f t="shared" si="2"/>
        <v>25233.409999999996</v>
      </c>
      <c r="I71" s="808"/>
      <c r="J71" s="732"/>
      <c r="K71" s="875"/>
      <c r="L71" s="875"/>
      <c r="M71" s="875"/>
      <c r="N71" s="869"/>
      <c r="O71" s="869"/>
      <c r="P71" s="733"/>
    </row>
    <row r="72" spans="1:16" ht="13.5" customHeight="1">
      <c r="A72" s="740"/>
      <c r="B72" s="1023" t="s">
        <v>315</v>
      </c>
      <c r="C72" s="1024"/>
      <c r="D72" s="1023"/>
      <c r="E72" s="250">
        <f>'Pārējās ministrijas MK66'!Q269</f>
        <v>15645.609999999993</v>
      </c>
      <c r="F72" s="250">
        <f t="shared" si="0"/>
        <v>15645.609999999993</v>
      </c>
      <c r="G72" s="250">
        <f t="shared" si="1"/>
        <v>15645.609999999993</v>
      </c>
      <c r="H72" s="250">
        <f t="shared" si="2"/>
        <v>15645.609999999993</v>
      </c>
      <c r="K72" s="879"/>
      <c r="L72" s="879"/>
      <c r="M72" s="879"/>
      <c r="N72" s="892"/>
      <c r="O72" s="892"/>
    </row>
    <row r="73" spans="1:16" s="734" customFormat="1" ht="12">
      <c r="A73" s="740"/>
      <c r="B73" s="1021" t="s">
        <v>396</v>
      </c>
      <c r="C73" s="1021"/>
      <c r="D73" s="1022"/>
      <c r="E73" s="251">
        <f>E72</f>
        <v>15645.609999999993</v>
      </c>
      <c r="F73" s="251">
        <f t="shared" si="0"/>
        <v>15645.609999999993</v>
      </c>
      <c r="G73" s="251">
        <f t="shared" si="1"/>
        <v>15645.609999999993</v>
      </c>
      <c r="H73" s="251">
        <f t="shared" si="2"/>
        <v>15645.609999999993</v>
      </c>
      <c r="I73" s="808"/>
      <c r="J73" s="732"/>
      <c r="K73" s="875"/>
      <c r="L73" s="875"/>
      <c r="M73" s="875"/>
      <c r="N73" s="869"/>
      <c r="O73" s="869"/>
      <c r="P73" s="733"/>
    </row>
    <row r="74" spans="1:16" ht="13.5" customHeight="1">
      <c r="A74" s="740"/>
      <c r="B74" s="1023" t="s">
        <v>416</v>
      </c>
      <c r="C74" s="1024"/>
      <c r="D74" s="1023"/>
      <c r="E74" s="250">
        <f>E75+IEM_kapitsab_851!H53+'Pārējās ministrijas MK66'!Q281+'Pārējās ministrijas MK66'!Q282+'Pārējās ministrijas MK66'!Q283+'Pārējās ministrijas MK66'!Q284+'Pārējās ministrijas MK66'!Q285+'Pārējās ministrijas MK66'!Q286+'Pārējās ministrijas MK66'!Q287+'Pārējās ministrijas MK66'!Q288+'Pārējās ministrijas MK66'!Q289+'Pārējās ministrijas MK66'!Q290+'Pārējās ministrijas MK66'!Q291+'Pārējās ministrijas MK66'!Q292</f>
        <v>185143.18999999989</v>
      </c>
      <c r="F74" s="250">
        <f t="shared" ref="F74" si="3">E74</f>
        <v>185143.18999999989</v>
      </c>
      <c r="G74" s="250">
        <f t="shared" ref="G74" si="4">E74</f>
        <v>185143.18999999989</v>
      </c>
      <c r="H74" s="250">
        <f t="shared" ref="H74" si="5">G74</f>
        <v>185143.18999999989</v>
      </c>
      <c r="I74" s="726"/>
      <c r="K74" s="879"/>
      <c r="L74" s="879"/>
      <c r="M74" s="879"/>
      <c r="N74" s="892"/>
      <c r="O74" s="892"/>
    </row>
    <row r="75" spans="1:16" s="734" customFormat="1" ht="12">
      <c r="A75" s="740"/>
      <c r="B75" s="1021" t="s">
        <v>396</v>
      </c>
      <c r="C75" s="1021"/>
      <c r="D75" s="1022"/>
      <c r="E75" s="251">
        <f>'Pārējās ministrijas MK66'!Q276+'Pārējās ministrijas MK66'!Q277+'Pārējās ministrijas MK66'!Q278+'Pārējās ministrijas MK66'!Q279</f>
        <v>19053.440000000002</v>
      </c>
      <c r="F75" s="251">
        <f>E75</f>
        <v>19053.440000000002</v>
      </c>
      <c r="G75" s="251">
        <f>E75</f>
        <v>19053.440000000002</v>
      </c>
      <c r="H75" s="251">
        <f>G75</f>
        <v>19053.440000000002</v>
      </c>
      <c r="I75" s="808"/>
      <c r="J75" s="732"/>
      <c r="K75" s="875"/>
      <c r="L75" s="875"/>
      <c r="M75" s="875"/>
      <c r="N75" s="869"/>
      <c r="O75" s="869"/>
      <c r="P75" s="733"/>
    </row>
    <row r="77" spans="1:16">
      <c r="E77" s="714"/>
    </row>
    <row r="82" spans="4:7">
      <c r="D82" s="714"/>
      <c r="G82" s="714"/>
    </row>
    <row r="84" spans="4:7">
      <c r="E84" s="714"/>
      <c r="F84" s="714"/>
    </row>
    <row r="89" spans="4:7">
      <c r="F89" s="714"/>
    </row>
    <row r="91" spans="4:7">
      <c r="F91" s="714"/>
    </row>
  </sheetData>
  <mergeCells count="104">
    <mergeCell ref="B2:H2"/>
    <mergeCell ref="B4:C4"/>
    <mergeCell ref="D4:G4"/>
    <mergeCell ref="B5:C5"/>
    <mergeCell ref="D5:H5"/>
    <mergeCell ref="A8:A70"/>
    <mergeCell ref="B8:D8"/>
    <mergeCell ref="B9:D9"/>
    <mergeCell ref="B10:D10"/>
    <mergeCell ref="B16:D16"/>
    <mergeCell ref="B32:D32"/>
    <mergeCell ref="B42:D42"/>
    <mergeCell ref="B33:D33"/>
    <mergeCell ref="B34:D34"/>
    <mergeCell ref="B38:D38"/>
    <mergeCell ref="B39:D39"/>
    <mergeCell ref="B40:D40"/>
    <mergeCell ref="B41:D41"/>
    <mergeCell ref="B54:D54"/>
    <mergeCell ref="B43:D43"/>
    <mergeCell ref="B44:D44"/>
    <mergeCell ref="B60:D60"/>
    <mergeCell ref="B61:D61"/>
    <mergeCell ref="B35:D35"/>
    <mergeCell ref="T23:W29"/>
    <mergeCell ref="B24:D24"/>
    <mergeCell ref="B25:D25"/>
    <mergeCell ref="B26:D26"/>
    <mergeCell ref="B27:D27"/>
    <mergeCell ref="B28:D28"/>
    <mergeCell ref="J21:P21"/>
    <mergeCell ref="J10:N12"/>
    <mergeCell ref="P10:R12"/>
    <mergeCell ref="S10:W15"/>
    <mergeCell ref="B11:D11"/>
    <mergeCell ref="B12:D12"/>
    <mergeCell ref="B13:D13"/>
    <mergeCell ref="B14:D14"/>
    <mergeCell ref="J14:N15"/>
    <mergeCell ref="P14:R15"/>
    <mergeCell ref="B15:D15"/>
    <mergeCell ref="B17:D17"/>
    <mergeCell ref="B18:D18"/>
    <mergeCell ref="B19:D19"/>
    <mergeCell ref="B20:D20"/>
    <mergeCell ref="B21:D21"/>
    <mergeCell ref="K17:N17"/>
    <mergeCell ref="J35:P35"/>
    <mergeCell ref="B36:D36"/>
    <mergeCell ref="B37:D37"/>
    <mergeCell ref="J32:P32"/>
    <mergeCell ref="B22:D22"/>
    <mergeCell ref="J22:P22"/>
    <mergeCell ref="B23:D23"/>
    <mergeCell ref="J23:P23"/>
    <mergeCell ref="B29:D29"/>
    <mergeCell ref="J29:P29"/>
    <mergeCell ref="B30:D30"/>
    <mergeCell ref="B31:D31"/>
    <mergeCell ref="J31:P31"/>
    <mergeCell ref="J34:P34"/>
    <mergeCell ref="B63:D63"/>
    <mergeCell ref="B64:D64"/>
    <mergeCell ref="B65:D65"/>
    <mergeCell ref="B45:D45"/>
    <mergeCell ref="B46:D46"/>
    <mergeCell ref="B47:D47"/>
    <mergeCell ref="B48:D48"/>
    <mergeCell ref="B49:D49"/>
    <mergeCell ref="N39:O39"/>
    <mergeCell ref="N41:O41"/>
    <mergeCell ref="N42:O42"/>
    <mergeCell ref="N43:O43"/>
    <mergeCell ref="N53:O53"/>
    <mergeCell ref="N44:O44"/>
    <mergeCell ref="N45:O45"/>
    <mergeCell ref="N46:O46"/>
    <mergeCell ref="N47:O47"/>
    <mergeCell ref="N48:O48"/>
    <mergeCell ref="B62:D62"/>
    <mergeCell ref="K38:O38"/>
    <mergeCell ref="B73:D73"/>
    <mergeCell ref="B74:D74"/>
    <mergeCell ref="B75:D75"/>
    <mergeCell ref="B67:D67"/>
    <mergeCell ref="B68:D68"/>
    <mergeCell ref="B69:D69"/>
    <mergeCell ref="B70:D70"/>
    <mergeCell ref="B71:D71"/>
    <mergeCell ref="B72:D72"/>
    <mergeCell ref="B50:D50"/>
    <mergeCell ref="B51:D51"/>
    <mergeCell ref="B52:D52"/>
    <mergeCell ref="B53:D53"/>
    <mergeCell ref="B66:D66"/>
    <mergeCell ref="B55:D55"/>
    <mergeCell ref="B56:D56"/>
    <mergeCell ref="B57:D57"/>
    <mergeCell ref="B58:D58"/>
    <mergeCell ref="B59:D59"/>
    <mergeCell ref="N49:O49"/>
    <mergeCell ref="N50:O50"/>
    <mergeCell ref="N51:O51"/>
    <mergeCell ref="N52:O52"/>
  </mergeCells>
  <phoneticPr fontId="104" type="noConversion"/>
  <dataValidations count="3">
    <dataValidation type="whole" errorStyle="information" allowBlank="1" showInputMessage="1" showErrorMessage="1" error="Jāievada skaitlis" sqref="E10:H10" xr:uid="{54316FD0-20E5-4189-897B-1E7854C65D37}">
      <formula1>-1000000000000</formula1>
      <formula2>1000000000000</formula2>
    </dataValidation>
    <dataValidation errorStyle="information" allowBlank="1" showInputMessage="1" showErrorMessage="1" sqref="D5:H5" xr:uid="{BB2C0110-A120-42ED-9266-39010BEFEDDC}"/>
    <dataValidation type="whole" errorStyle="information" allowBlank="1" showInputMessage="1" showErrorMessage="1" error="Jāievada skaitlis" sqref="L41:L42 J10 J14 Q18:S18 L18:M19 K20:L20 J21:J22 K24:M30 K33:M33 J32 J35 K36:K75 L36:M37 M42 L39:M40 L43:M75 K16:K19 L16:M16 E11:H75" xr:uid="{94CBB079-0E11-4735-93FD-8B968249178E}">
      <formula1>-100000000000000</formula1>
      <formula2>100000000000000</formula2>
    </dataValidation>
  </dataValidations>
  <pageMargins left="0.70866141732283472" right="0.70866141732283472" top="0.74803149606299213" bottom="0.74803149606299213" header="0.31496062992125984" footer="0.31496062992125984"/>
  <pageSetup paperSize="9" scale="65" orientation="portrait" r:id="rId1"/>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iespējama kļūda" prompt="Izvēlieties no saraksta iestādi" xr:uid="{43CE8B08-63A3-429A-9006-DB78BFCF9E1A}">
          <x14:formula1>
            <xm:f>'\\vnozare.pri\vm\Redirect_profiles\VM_Sandra_Kasparenko\My Documents\Budzets_2019\Budzeta_projekts\Prioritarie_pasakumi_2019-2021\[VMvestp1_xx0818_PP_2019-2021 PROJ.xlsx]Šabloni'!#REF!</xm:f>
          </x14:formula1>
          <xm:sqref>D4:G4 K4:L4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80D4C-8B71-42EB-8AAE-3E53A94A8B83}">
  <dimension ref="A1:AV400"/>
  <sheetViews>
    <sheetView zoomScaleNormal="100" workbookViewId="0">
      <selection activeCell="P1" sqref="P1:Q1"/>
    </sheetView>
  </sheetViews>
  <sheetFormatPr defaultRowHeight="15"/>
  <cols>
    <col min="1" max="1" width="29.140625" customWidth="1"/>
    <col min="10" max="10" width="10.140625" bestFit="1" customWidth="1"/>
    <col min="17" max="17" width="13.5703125" bestFit="1" customWidth="1"/>
    <col min="18" max="18" width="7.28515625" customWidth="1"/>
    <col min="20" max="20" width="11.5703125" customWidth="1"/>
    <col min="24" max="24" width="11.28515625" customWidth="1"/>
    <col min="26" max="26" width="10.140625" customWidth="1"/>
    <col min="27" max="28" width="11.42578125" bestFit="1" customWidth="1"/>
    <col min="39" max="39" width="10" bestFit="1" customWidth="1"/>
    <col min="40" max="41" width="11.42578125" bestFit="1" customWidth="1"/>
  </cols>
  <sheetData>
    <row r="1" spans="1:47" ht="15.75">
      <c r="A1" s="30"/>
      <c r="B1" s="30"/>
      <c r="C1" s="30"/>
      <c r="D1" s="30"/>
      <c r="E1" s="30"/>
      <c r="F1" s="30"/>
      <c r="G1" s="30"/>
      <c r="P1" s="1116" t="s">
        <v>716</v>
      </c>
      <c r="Q1" s="1116"/>
    </row>
    <row r="2" spans="1:47" ht="15.75">
      <c r="A2" s="30"/>
      <c r="B2" s="30"/>
      <c r="C2" s="30"/>
      <c r="D2" s="30"/>
      <c r="E2" s="30"/>
      <c r="F2" s="30"/>
      <c r="G2" s="30"/>
      <c r="H2" s="66"/>
      <c r="I2" s="66"/>
    </row>
    <row r="3" spans="1:47" ht="15" customHeight="1">
      <c r="A3" s="1117" t="s">
        <v>494</v>
      </c>
      <c r="B3" s="1117"/>
      <c r="C3" s="1117"/>
      <c r="D3" s="1117"/>
      <c r="E3" s="1117"/>
      <c r="F3" s="1117"/>
      <c r="G3" s="1117"/>
      <c r="H3" s="1117"/>
      <c r="I3" s="1117"/>
      <c r="J3" s="1117"/>
      <c r="K3" s="1117"/>
      <c r="L3" s="1117"/>
      <c r="M3" s="1117"/>
      <c r="N3" s="1117"/>
      <c r="O3" s="1117"/>
      <c r="P3" s="1117"/>
      <c r="Q3" s="1117"/>
    </row>
    <row r="4" spans="1:47">
      <c r="A4" s="1117"/>
      <c r="B4" s="1117"/>
      <c r="C4" s="1117"/>
      <c r="D4" s="1117"/>
      <c r="E4" s="1117"/>
      <c r="F4" s="1117"/>
      <c r="G4" s="1117"/>
      <c r="H4" s="1117"/>
      <c r="I4" s="1117"/>
      <c r="J4" s="1117"/>
      <c r="K4" s="1117"/>
      <c r="L4" s="1117"/>
      <c r="M4" s="1117"/>
      <c r="N4" s="1117"/>
      <c r="O4" s="1117"/>
      <c r="P4" s="1117"/>
      <c r="Q4" s="1117"/>
      <c r="R4" s="152"/>
      <c r="S4" s="152"/>
      <c r="T4" s="152"/>
      <c r="U4" s="152"/>
      <c r="V4" s="152"/>
      <c r="W4" s="152"/>
      <c r="X4" s="152"/>
      <c r="Y4" s="152"/>
      <c r="Z4" s="152"/>
      <c r="AA4" s="152"/>
      <c r="AB4" s="152"/>
      <c r="AC4" s="152"/>
      <c r="AD4" s="152"/>
      <c r="AE4" s="152"/>
      <c r="AF4" s="152"/>
      <c r="AG4" s="152"/>
      <c r="AH4" s="152"/>
      <c r="AI4" s="152"/>
      <c r="AJ4" s="152"/>
      <c r="AK4" s="152"/>
      <c r="AL4" s="152"/>
      <c r="AM4" s="152"/>
      <c r="AN4" s="152"/>
      <c r="AO4" s="152"/>
      <c r="AP4" s="152"/>
      <c r="AQ4" s="152"/>
      <c r="AR4" s="152"/>
      <c r="AS4" s="152"/>
      <c r="AT4" s="152"/>
      <c r="AU4" s="152"/>
    </row>
    <row r="5" spans="1:47">
      <c r="A5" s="75"/>
      <c r="B5" s="75"/>
      <c r="C5" s="75"/>
      <c r="D5" s="75"/>
      <c r="E5" s="75"/>
      <c r="F5" s="75"/>
      <c r="G5" s="75"/>
      <c r="H5" s="75"/>
      <c r="I5" s="75"/>
      <c r="R5" s="152"/>
      <c r="S5" s="152"/>
      <c r="T5" s="152"/>
      <c r="U5" s="152"/>
      <c r="V5" s="152"/>
      <c r="W5" s="152"/>
      <c r="X5" s="152"/>
      <c r="Y5" s="152"/>
      <c r="Z5" s="152"/>
      <c r="AA5" s="152"/>
      <c r="AB5" s="152"/>
      <c r="AC5" s="152"/>
      <c r="AD5" s="152"/>
      <c r="AE5" s="152"/>
      <c r="AF5" s="152"/>
      <c r="AG5" s="152"/>
      <c r="AH5" s="152"/>
      <c r="AI5" s="152"/>
      <c r="AJ5" s="152"/>
      <c r="AK5" s="152"/>
      <c r="AL5" s="152"/>
      <c r="AM5" s="152"/>
      <c r="AN5" s="152"/>
      <c r="AO5" s="152"/>
      <c r="AP5" s="152"/>
      <c r="AQ5" s="152"/>
      <c r="AR5" s="152"/>
      <c r="AS5" s="152"/>
      <c r="AT5" s="152"/>
      <c r="AU5" s="152"/>
    </row>
    <row r="6" spans="1:47" ht="15.75" thickBot="1">
      <c r="A6" s="1117" t="s">
        <v>0</v>
      </c>
      <c r="B6" s="1117"/>
      <c r="C6" s="1117"/>
      <c r="D6" s="1117"/>
      <c r="E6" s="1117"/>
      <c r="F6" s="1117"/>
      <c r="G6" s="1117"/>
      <c r="H6" s="1117"/>
      <c r="I6" s="1117"/>
      <c r="J6" s="319"/>
      <c r="K6" s="319"/>
      <c r="L6" s="319"/>
      <c r="M6" s="319"/>
      <c r="N6" s="319"/>
      <c r="O6" s="319"/>
      <c r="P6" s="319"/>
      <c r="Q6" s="508" t="s">
        <v>489</v>
      </c>
      <c r="R6" s="152"/>
      <c r="S6" s="217"/>
      <c r="T6" s="217"/>
      <c r="U6" s="217"/>
      <c r="V6" s="217"/>
      <c r="W6" s="217"/>
      <c r="X6" s="217"/>
      <c r="Y6" s="217"/>
      <c r="Z6" s="217"/>
      <c r="AA6" s="217"/>
      <c r="AB6" s="217"/>
      <c r="AC6" s="217"/>
      <c r="AD6" s="152"/>
      <c r="AE6" s="217"/>
      <c r="AF6" s="217"/>
      <c r="AG6" s="217"/>
      <c r="AH6" s="217"/>
      <c r="AI6" s="217"/>
      <c r="AJ6" s="217"/>
      <c r="AK6" s="217"/>
      <c r="AL6" s="217"/>
      <c r="AM6" s="217"/>
      <c r="AN6" s="217"/>
      <c r="AO6" s="217"/>
      <c r="AP6" s="217"/>
      <c r="AQ6" s="217"/>
      <c r="AR6" s="217"/>
      <c r="AS6" s="217"/>
      <c r="AT6" s="152"/>
      <c r="AU6" s="152"/>
    </row>
    <row r="7" spans="1:47" ht="89.25" customHeight="1">
      <c r="A7" s="76" t="s">
        <v>1</v>
      </c>
      <c r="B7" s="77" t="s">
        <v>2</v>
      </c>
      <c r="C7" s="77" t="s">
        <v>3</v>
      </c>
      <c r="D7" s="77" t="s">
        <v>4</v>
      </c>
      <c r="E7" s="77" t="s">
        <v>5</v>
      </c>
      <c r="F7" s="78" t="s">
        <v>6</v>
      </c>
      <c r="G7" s="77" t="s">
        <v>7</v>
      </c>
      <c r="H7" s="77" t="s">
        <v>8</v>
      </c>
      <c r="I7" s="311" t="s">
        <v>9</v>
      </c>
      <c r="J7" s="553" t="s">
        <v>517</v>
      </c>
      <c r="K7" s="374" t="s">
        <v>483</v>
      </c>
      <c r="L7" s="554" t="s">
        <v>484</v>
      </c>
      <c r="M7" s="374" t="s">
        <v>485</v>
      </c>
      <c r="N7" s="374" t="s">
        <v>486</v>
      </c>
      <c r="O7" s="375" t="s">
        <v>487</v>
      </c>
      <c r="P7" s="375" t="s">
        <v>678</v>
      </c>
      <c r="Q7" s="376" t="s">
        <v>488</v>
      </c>
      <c r="R7" s="152"/>
      <c r="S7" s="41"/>
      <c r="T7" s="41"/>
      <c r="U7" s="41"/>
      <c r="V7" s="322"/>
      <c r="W7" s="41"/>
      <c r="X7" s="41"/>
      <c r="Y7" s="41"/>
      <c r="Z7" s="41"/>
      <c r="AA7" s="330"/>
      <c r="AB7" s="330"/>
      <c r="AC7" s="41"/>
      <c r="AD7" s="41"/>
      <c r="AE7" s="41"/>
      <c r="AF7" s="41"/>
      <c r="AG7" s="41"/>
      <c r="AH7" s="41"/>
      <c r="AI7" s="322"/>
      <c r="AJ7" s="41"/>
      <c r="AK7" s="41"/>
      <c r="AL7" s="41"/>
      <c r="AM7" s="41"/>
      <c r="AN7" s="330"/>
      <c r="AO7" s="330"/>
      <c r="AP7" s="41"/>
      <c r="AQ7" s="41"/>
      <c r="AR7" s="218"/>
      <c r="AS7" s="218"/>
      <c r="AT7" s="152"/>
      <c r="AU7" s="152"/>
    </row>
    <row r="8" spans="1:47">
      <c r="A8" s="1120" t="s">
        <v>311</v>
      </c>
      <c r="B8" s="1121"/>
      <c r="C8" s="1121"/>
      <c r="D8" s="1121"/>
      <c r="E8" s="1121"/>
      <c r="F8" s="1121"/>
      <c r="G8" s="1121"/>
      <c r="H8" s="1121"/>
      <c r="I8" s="1121"/>
      <c r="J8" s="399"/>
      <c r="K8" s="400"/>
      <c r="L8" s="400"/>
      <c r="M8" s="400"/>
      <c r="N8" s="400"/>
      <c r="O8" s="400"/>
      <c r="P8" s="400"/>
      <c r="Q8" s="401"/>
      <c r="R8" s="152"/>
      <c r="S8" s="323"/>
      <c r="T8" s="323"/>
      <c r="U8" s="323"/>
      <c r="V8" s="323"/>
      <c r="W8" s="323"/>
      <c r="X8" s="323"/>
      <c r="Y8" s="323"/>
      <c r="Z8" s="323"/>
      <c r="AA8" s="323"/>
      <c r="AB8" s="323"/>
      <c r="AC8" s="323"/>
      <c r="AD8" s="152"/>
      <c r="AE8" s="323"/>
      <c r="AF8" s="323"/>
      <c r="AG8" s="323"/>
      <c r="AH8" s="323"/>
      <c r="AI8" s="323"/>
      <c r="AJ8" s="323"/>
      <c r="AK8" s="323"/>
      <c r="AL8" s="323"/>
      <c r="AM8" s="323"/>
      <c r="AN8" s="323"/>
      <c r="AO8" s="323"/>
      <c r="AP8" s="323"/>
      <c r="AQ8" s="323"/>
      <c r="AR8" s="323"/>
      <c r="AS8" s="323"/>
      <c r="AT8" s="152"/>
      <c r="AU8" s="152"/>
    </row>
    <row r="9" spans="1:47" ht="15" customHeight="1">
      <c r="A9" s="1118" t="s">
        <v>230</v>
      </c>
      <c r="B9" s="1119"/>
      <c r="C9" s="1119"/>
      <c r="D9" s="1119"/>
      <c r="E9" s="1119"/>
      <c r="F9" s="1119"/>
      <c r="G9" s="1119"/>
      <c r="H9" s="1119"/>
      <c r="I9" s="1119"/>
      <c r="J9" s="377"/>
      <c r="K9" s="367"/>
      <c r="L9" s="367"/>
      <c r="M9" s="367"/>
      <c r="N9" s="367"/>
      <c r="O9" s="367"/>
      <c r="P9" s="367"/>
      <c r="Q9" s="378"/>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row>
    <row r="10" spans="1:47">
      <c r="A10" s="1124" t="s">
        <v>11</v>
      </c>
      <c r="B10" s="1125"/>
      <c r="C10" s="1125"/>
      <c r="D10" s="1125"/>
      <c r="E10" s="1125"/>
      <c r="F10" s="1125"/>
      <c r="G10" s="1125"/>
      <c r="H10" s="1125"/>
      <c r="I10" s="1126"/>
      <c r="J10" s="402"/>
      <c r="K10" s="403"/>
      <c r="L10" s="403"/>
      <c r="M10" s="403"/>
      <c r="N10" s="403"/>
      <c r="O10" s="383"/>
      <c r="P10" s="403"/>
      <c r="Q10" s="386"/>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row>
    <row r="11" spans="1:47">
      <c r="A11" s="97" t="s">
        <v>507</v>
      </c>
      <c r="B11" s="67">
        <v>5.0999999999999996</v>
      </c>
      <c r="C11" s="3" t="s">
        <v>21</v>
      </c>
      <c r="D11" s="257">
        <v>12</v>
      </c>
      <c r="E11" s="258">
        <v>3</v>
      </c>
      <c r="F11" s="4">
        <v>1647</v>
      </c>
      <c r="G11" s="183">
        <v>1647</v>
      </c>
      <c r="H11" s="183"/>
      <c r="I11" s="312">
        <v>1</v>
      </c>
      <c r="J11" s="379">
        <f>ROUND(G11*(1+'29_01_H_2020'!$O$14),2)</f>
        <v>2065.17</v>
      </c>
      <c r="K11" s="151">
        <f>L11-H11</f>
        <v>0</v>
      </c>
      <c r="L11" s="151">
        <f>ROUND(H11*(1+'29_01_H_2020'!$O$14),2)</f>
        <v>0</v>
      </c>
      <c r="M11" s="151">
        <f>(J11+L11)-(G11+H11)</f>
        <v>418.17000000000007</v>
      </c>
      <c r="N11" s="151">
        <f>M11*I11</f>
        <v>418.17000000000007</v>
      </c>
      <c r="O11" s="151">
        <f>N11*12</f>
        <v>5018.0400000000009</v>
      </c>
      <c r="P11" s="151">
        <f>ROUND(O11*'29_01_H_2020'!$O$17,2)</f>
        <v>1183.76</v>
      </c>
      <c r="Q11" s="380">
        <f>SUM(O11:P11)</f>
        <v>6201.8000000000011</v>
      </c>
      <c r="R11" s="152"/>
      <c r="S11" s="328"/>
      <c r="T11" s="328"/>
      <c r="U11" s="328"/>
      <c r="V11" s="328"/>
      <c r="W11" s="328"/>
      <c r="X11" s="328"/>
      <c r="Y11" s="328"/>
      <c r="Z11" s="328"/>
      <c r="AA11" s="328"/>
      <c r="AB11" s="328"/>
      <c r="AC11" s="329"/>
      <c r="AD11" s="152"/>
      <c r="AE11" s="152"/>
      <c r="AF11" s="328"/>
      <c r="AG11" s="328"/>
      <c r="AH11" s="328"/>
      <c r="AI11" s="328"/>
      <c r="AJ11" s="328"/>
      <c r="AK11" s="328"/>
      <c r="AL11" s="328"/>
      <c r="AM11" s="328"/>
      <c r="AN11" s="328"/>
      <c r="AO11" s="328"/>
      <c r="AP11" s="329"/>
      <c r="AQ11" s="152"/>
      <c r="AR11" s="152"/>
      <c r="AS11" s="152"/>
      <c r="AT11" s="152"/>
      <c r="AU11" s="152"/>
    </row>
    <row r="12" spans="1:47">
      <c r="A12" s="97" t="s">
        <v>508</v>
      </c>
      <c r="B12" s="67">
        <v>5.0999999999999996</v>
      </c>
      <c r="C12" s="3" t="s">
        <v>26</v>
      </c>
      <c r="D12" s="257">
        <v>10</v>
      </c>
      <c r="E12" s="258">
        <v>3</v>
      </c>
      <c r="F12" s="4">
        <v>1287</v>
      </c>
      <c r="G12" s="183">
        <v>1287</v>
      </c>
      <c r="H12" s="183"/>
      <c r="I12" s="312">
        <v>0.75</v>
      </c>
      <c r="J12" s="379">
        <f>ROUND(G12*(1+'29_01_H_2020'!$O$14),2)</f>
        <v>1613.77</v>
      </c>
      <c r="K12" s="151">
        <f t="shared" ref="K12:K36" si="0">L12-H12</f>
        <v>0</v>
      </c>
      <c r="L12" s="151">
        <f>ROUND(H12*(1+'29_01_H_2020'!$O$14),2)</f>
        <v>0</v>
      </c>
      <c r="M12" s="151">
        <f t="shared" ref="M12:M36" si="1">(J12+L12)-(G12+H12)</f>
        <v>326.77</v>
      </c>
      <c r="N12" s="151">
        <f t="shared" ref="N12:N36" si="2">M12*I12</f>
        <v>245.07749999999999</v>
      </c>
      <c r="O12" s="151">
        <f t="shared" ref="O12:O36" si="3">N12*12</f>
        <v>2940.93</v>
      </c>
      <c r="P12" s="151">
        <f>ROUND(O12*'29_01_H_2020'!$O$17,2)</f>
        <v>693.77</v>
      </c>
      <c r="Q12" s="380">
        <f t="shared" ref="Q12:Q36" si="4">SUM(O12:P12)</f>
        <v>3634.7</v>
      </c>
      <c r="R12" s="152"/>
      <c r="S12" s="328"/>
      <c r="T12" s="328"/>
      <c r="U12" s="328"/>
      <c r="V12" s="328"/>
      <c r="W12" s="328"/>
      <c r="X12" s="328"/>
      <c r="Y12" s="328"/>
      <c r="Z12" s="328"/>
      <c r="AA12" s="328"/>
      <c r="AB12" s="328"/>
      <c r="AC12" s="329"/>
      <c r="AD12" s="152"/>
      <c r="AE12" s="152"/>
      <c r="AF12" s="328"/>
      <c r="AG12" s="328"/>
      <c r="AH12" s="328"/>
      <c r="AI12" s="328"/>
      <c r="AJ12" s="328"/>
      <c r="AK12" s="328"/>
      <c r="AL12" s="328"/>
      <c r="AM12" s="328"/>
      <c r="AN12" s="328"/>
      <c r="AO12" s="328"/>
      <c r="AP12" s="329"/>
      <c r="AQ12" s="152"/>
      <c r="AR12" s="152"/>
      <c r="AS12" s="152"/>
      <c r="AT12" s="152"/>
      <c r="AU12" s="152"/>
    </row>
    <row r="13" spans="1:47">
      <c r="A13" s="97" t="s">
        <v>507</v>
      </c>
      <c r="B13" s="67">
        <v>5.0999999999999996</v>
      </c>
      <c r="C13" s="3" t="s">
        <v>21</v>
      </c>
      <c r="D13" s="257">
        <v>12</v>
      </c>
      <c r="E13" s="258">
        <v>3</v>
      </c>
      <c r="F13" s="4">
        <v>1647</v>
      </c>
      <c r="G13" s="183">
        <v>1647</v>
      </c>
      <c r="H13" s="183"/>
      <c r="I13" s="312">
        <v>0.3</v>
      </c>
      <c r="J13" s="379">
        <f>ROUND(G13*(1+'29_01_H_2020'!$O$14),2)</f>
        <v>2065.17</v>
      </c>
      <c r="K13" s="151">
        <f t="shared" si="0"/>
        <v>0</v>
      </c>
      <c r="L13" s="151">
        <f>ROUND(H13*(1+'29_01_H_2020'!$O$14),2)</f>
        <v>0</v>
      </c>
      <c r="M13" s="151">
        <f t="shared" si="1"/>
        <v>418.17000000000007</v>
      </c>
      <c r="N13" s="151">
        <f t="shared" si="2"/>
        <v>125.45100000000002</v>
      </c>
      <c r="O13" s="151">
        <f t="shared" si="3"/>
        <v>1505.4120000000003</v>
      </c>
      <c r="P13" s="151">
        <f>ROUND(O13*'29_01_H_2020'!$O$17,2)</f>
        <v>355.13</v>
      </c>
      <c r="Q13" s="380">
        <f t="shared" si="4"/>
        <v>1860.5420000000004</v>
      </c>
      <c r="R13" s="152"/>
      <c r="S13" s="328"/>
      <c r="T13" s="328"/>
      <c r="U13" s="328"/>
      <c r="V13" s="328"/>
      <c r="W13" s="328"/>
      <c r="X13" s="328"/>
      <c r="Y13" s="328"/>
      <c r="Z13" s="328"/>
      <c r="AA13" s="328"/>
      <c r="AB13" s="328"/>
      <c r="AC13" s="329"/>
      <c r="AD13" s="152"/>
      <c r="AE13" s="152"/>
      <c r="AF13" s="328"/>
      <c r="AG13" s="328"/>
      <c r="AH13" s="328"/>
      <c r="AI13" s="328"/>
      <c r="AJ13" s="328"/>
      <c r="AK13" s="328"/>
      <c r="AL13" s="328"/>
      <c r="AM13" s="328"/>
      <c r="AN13" s="328"/>
      <c r="AO13" s="328"/>
      <c r="AP13" s="329"/>
      <c r="AQ13" s="152"/>
      <c r="AR13" s="152"/>
      <c r="AS13" s="152"/>
      <c r="AT13" s="152"/>
      <c r="AU13" s="152"/>
    </row>
    <row r="14" spans="1:47">
      <c r="A14" s="97" t="s">
        <v>507</v>
      </c>
      <c r="B14" s="67">
        <v>5.0999999999999996</v>
      </c>
      <c r="C14" s="3" t="s">
        <v>21</v>
      </c>
      <c r="D14" s="257">
        <v>12</v>
      </c>
      <c r="E14" s="258">
        <v>3</v>
      </c>
      <c r="F14" s="4">
        <v>1647</v>
      </c>
      <c r="G14" s="183">
        <v>1647</v>
      </c>
      <c r="H14" s="183"/>
      <c r="I14" s="312">
        <v>0.2</v>
      </c>
      <c r="J14" s="379">
        <f>ROUND(G14*(1+'29_01_H_2020'!$O$14),2)</f>
        <v>2065.17</v>
      </c>
      <c r="K14" s="151">
        <f t="shared" si="0"/>
        <v>0</v>
      </c>
      <c r="L14" s="151">
        <f>ROUND(H14*(1+'29_01_H_2020'!$O$14),2)</f>
        <v>0</v>
      </c>
      <c r="M14" s="151">
        <f t="shared" si="1"/>
        <v>418.17000000000007</v>
      </c>
      <c r="N14" s="151">
        <f t="shared" si="2"/>
        <v>83.634000000000015</v>
      </c>
      <c r="O14" s="151">
        <f t="shared" si="3"/>
        <v>1003.6080000000002</v>
      </c>
      <c r="P14" s="151">
        <f>ROUND(O14*'29_01_H_2020'!$O$17,2)</f>
        <v>236.75</v>
      </c>
      <c r="Q14" s="380">
        <f t="shared" si="4"/>
        <v>1240.3580000000002</v>
      </c>
      <c r="R14" s="152"/>
      <c r="S14" s="328"/>
      <c r="T14" s="328"/>
      <c r="U14" s="328"/>
      <c r="V14" s="328"/>
      <c r="W14" s="328"/>
      <c r="X14" s="328"/>
      <c r="Y14" s="328"/>
      <c r="Z14" s="328"/>
      <c r="AA14" s="328"/>
      <c r="AB14" s="328"/>
      <c r="AC14" s="329"/>
      <c r="AD14" s="152"/>
      <c r="AE14" s="152"/>
      <c r="AF14" s="328"/>
      <c r="AG14" s="328"/>
      <c r="AH14" s="328"/>
      <c r="AI14" s="328"/>
      <c r="AJ14" s="328"/>
      <c r="AK14" s="328"/>
      <c r="AL14" s="328"/>
      <c r="AM14" s="328"/>
      <c r="AN14" s="328"/>
      <c r="AO14" s="328"/>
      <c r="AP14" s="329"/>
      <c r="AQ14" s="152"/>
      <c r="AR14" s="152"/>
      <c r="AS14" s="152"/>
      <c r="AT14" s="152"/>
      <c r="AU14" s="152"/>
    </row>
    <row r="15" spans="1:47">
      <c r="A15" s="97" t="s">
        <v>507</v>
      </c>
      <c r="B15" s="67">
        <v>5.0999999999999996</v>
      </c>
      <c r="C15" s="3" t="s">
        <v>21</v>
      </c>
      <c r="D15" s="257">
        <v>12</v>
      </c>
      <c r="E15" s="258">
        <v>3</v>
      </c>
      <c r="F15" s="4">
        <v>1647</v>
      </c>
      <c r="G15" s="183">
        <v>1647</v>
      </c>
      <c r="H15" s="183"/>
      <c r="I15" s="312">
        <v>0.3</v>
      </c>
      <c r="J15" s="379">
        <f>ROUND(G15*(1+'29_01_H_2020'!$O$14),2)</f>
        <v>2065.17</v>
      </c>
      <c r="K15" s="151">
        <f t="shared" si="0"/>
        <v>0</v>
      </c>
      <c r="L15" s="151">
        <f>ROUND(H15*(1+'29_01_H_2020'!$O$14),2)</f>
        <v>0</v>
      </c>
      <c r="M15" s="151">
        <f t="shared" si="1"/>
        <v>418.17000000000007</v>
      </c>
      <c r="N15" s="151">
        <f t="shared" si="2"/>
        <v>125.45100000000002</v>
      </c>
      <c r="O15" s="151">
        <f t="shared" si="3"/>
        <v>1505.4120000000003</v>
      </c>
      <c r="P15" s="151">
        <f>ROUND(O15*'29_01_H_2020'!$O$17,2)</f>
        <v>355.13</v>
      </c>
      <c r="Q15" s="380">
        <f t="shared" si="4"/>
        <v>1860.5420000000004</v>
      </c>
      <c r="R15" s="152"/>
      <c r="S15" s="328"/>
      <c r="T15" s="328"/>
      <c r="U15" s="328"/>
      <c r="V15" s="328"/>
      <c r="W15" s="328"/>
      <c r="X15" s="328"/>
      <c r="Y15" s="328"/>
      <c r="Z15" s="328"/>
      <c r="AA15" s="328"/>
      <c r="AB15" s="328"/>
      <c r="AC15" s="329"/>
      <c r="AD15" s="152"/>
      <c r="AE15" s="152"/>
      <c r="AF15" s="328"/>
      <c r="AG15" s="328"/>
      <c r="AH15" s="328"/>
      <c r="AI15" s="328"/>
      <c r="AJ15" s="328"/>
      <c r="AK15" s="328"/>
      <c r="AL15" s="328"/>
      <c r="AM15" s="328"/>
      <c r="AN15" s="328"/>
      <c r="AO15" s="328"/>
      <c r="AP15" s="329"/>
      <c r="AQ15" s="152"/>
      <c r="AR15" s="152"/>
      <c r="AS15" s="152"/>
      <c r="AT15" s="152"/>
      <c r="AU15" s="152"/>
    </row>
    <row r="16" spans="1:47">
      <c r="A16" s="97" t="s">
        <v>507</v>
      </c>
      <c r="B16" s="67">
        <v>5.0999999999999996</v>
      </c>
      <c r="C16" s="3" t="s">
        <v>21</v>
      </c>
      <c r="D16" s="257">
        <v>12</v>
      </c>
      <c r="E16" s="258">
        <v>3</v>
      </c>
      <c r="F16" s="4">
        <v>1647</v>
      </c>
      <c r="G16" s="183">
        <v>1647</v>
      </c>
      <c r="H16" s="183"/>
      <c r="I16" s="312">
        <v>0.6</v>
      </c>
      <c r="J16" s="379">
        <f>ROUND(G16*(1+'29_01_H_2020'!$O$14),2)</f>
        <v>2065.17</v>
      </c>
      <c r="K16" s="151">
        <f t="shared" si="0"/>
        <v>0</v>
      </c>
      <c r="L16" s="151">
        <f>ROUND(H16*(1+'29_01_H_2020'!$O$14),2)</f>
        <v>0</v>
      </c>
      <c r="M16" s="151">
        <f t="shared" si="1"/>
        <v>418.17000000000007</v>
      </c>
      <c r="N16" s="151">
        <f t="shared" si="2"/>
        <v>250.90200000000004</v>
      </c>
      <c r="O16" s="151">
        <f t="shared" si="3"/>
        <v>3010.8240000000005</v>
      </c>
      <c r="P16" s="151">
        <f>ROUND(O16*'29_01_H_2020'!$O$17,2)</f>
        <v>710.25</v>
      </c>
      <c r="Q16" s="380">
        <f t="shared" si="4"/>
        <v>3721.0740000000005</v>
      </c>
      <c r="R16" s="152"/>
      <c r="S16" s="328"/>
      <c r="T16" s="328"/>
      <c r="U16" s="328"/>
      <c r="V16" s="328"/>
      <c r="W16" s="328"/>
      <c r="X16" s="328"/>
      <c r="Y16" s="328"/>
      <c r="Z16" s="328"/>
      <c r="AA16" s="328"/>
      <c r="AB16" s="328"/>
      <c r="AC16" s="329"/>
      <c r="AD16" s="152"/>
      <c r="AE16" s="152"/>
      <c r="AF16" s="328"/>
      <c r="AG16" s="328"/>
      <c r="AH16" s="328"/>
      <c r="AI16" s="328"/>
      <c r="AJ16" s="328"/>
      <c r="AK16" s="328"/>
      <c r="AL16" s="328"/>
      <c r="AM16" s="328"/>
      <c r="AN16" s="328"/>
      <c r="AO16" s="328"/>
      <c r="AP16" s="329"/>
      <c r="AQ16" s="152"/>
      <c r="AR16" s="152"/>
      <c r="AS16" s="152"/>
      <c r="AT16" s="152"/>
      <c r="AU16" s="152"/>
    </row>
    <row r="17" spans="1:47">
      <c r="A17" s="97" t="s">
        <v>507</v>
      </c>
      <c r="B17" s="67">
        <v>5.0999999999999996</v>
      </c>
      <c r="C17" s="3" t="s">
        <v>21</v>
      </c>
      <c r="D17" s="257">
        <v>12</v>
      </c>
      <c r="E17" s="258">
        <v>3</v>
      </c>
      <c r="F17" s="4">
        <v>1647</v>
      </c>
      <c r="G17" s="183">
        <v>1647</v>
      </c>
      <c r="H17" s="183"/>
      <c r="I17" s="312">
        <v>0.8</v>
      </c>
      <c r="J17" s="379">
        <f>ROUND(G17*(1+'29_01_H_2020'!$O$14),2)</f>
        <v>2065.17</v>
      </c>
      <c r="K17" s="151">
        <f t="shared" si="0"/>
        <v>0</v>
      </c>
      <c r="L17" s="151">
        <f>ROUND(H17*(1+'29_01_H_2020'!$O$14),2)</f>
        <v>0</v>
      </c>
      <c r="M17" s="151">
        <f t="shared" si="1"/>
        <v>418.17000000000007</v>
      </c>
      <c r="N17" s="151">
        <f t="shared" si="2"/>
        <v>334.53600000000006</v>
      </c>
      <c r="O17" s="151">
        <f t="shared" si="3"/>
        <v>4014.4320000000007</v>
      </c>
      <c r="P17" s="151">
        <f>ROUND(O17*'29_01_H_2020'!$O$17,2)</f>
        <v>947</v>
      </c>
      <c r="Q17" s="380">
        <f t="shared" si="4"/>
        <v>4961.4320000000007</v>
      </c>
      <c r="R17" s="152"/>
      <c r="S17" s="328"/>
      <c r="T17" s="328"/>
      <c r="U17" s="328"/>
      <c r="V17" s="328"/>
      <c r="W17" s="328"/>
      <c r="X17" s="328"/>
      <c r="Y17" s="328"/>
      <c r="Z17" s="328"/>
      <c r="AA17" s="328"/>
      <c r="AB17" s="328"/>
      <c r="AC17" s="329"/>
      <c r="AD17" s="152"/>
      <c r="AE17" s="152"/>
      <c r="AF17" s="328"/>
      <c r="AG17" s="328"/>
      <c r="AH17" s="328"/>
      <c r="AI17" s="328"/>
      <c r="AJ17" s="328"/>
      <c r="AK17" s="328"/>
      <c r="AL17" s="328"/>
      <c r="AM17" s="328"/>
      <c r="AN17" s="328"/>
      <c r="AO17" s="328"/>
      <c r="AP17" s="329"/>
      <c r="AQ17" s="152"/>
      <c r="AR17" s="152"/>
      <c r="AS17" s="152"/>
      <c r="AT17" s="152"/>
      <c r="AU17" s="152"/>
    </row>
    <row r="18" spans="1:47">
      <c r="A18" s="97" t="s">
        <v>507</v>
      </c>
      <c r="B18" s="67">
        <v>5.0999999999999996</v>
      </c>
      <c r="C18" s="3" t="s">
        <v>21</v>
      </c>
      <c r="D18" s="257">
        <v>12</v>
      </c>
      <c r="E18" s="258">
        <v>3</v>
      </c>
      <c r="F18" s="4">
        <v>1647</v>
      </c>
      <c r="G18" s="183">
        <v>1647</v>
      </c>
      <c r="H18" s="183"/>
      <c r="I18" s="312">
        <v>0.4</v>
      </c>
      <c r="J18" s="379">
        <f>ROUND(G18*(1+'29_01_H_2020'!$O$14),2)</f>
        <v>2065.17</v>
      </c>
      <c r="K18" s="151">
        <f t="shared" si="0"/>
        <v>0</v>
      </c>
      <c r="L18" s="151">
        <f>ROUND(H18*(1+'29_01_H_2020'!$O$14),2)</f>
        <v>0</v>
      </c>
      <c r="M18" s="151">
        <f t="shared" si="1"/>
        <v>418.17000000000007</v>
      </c>
      <c r="N18" s="151">
        <f t="shared" si="2"/>
        <v>167.26800000000003</v>
      </c>
      <c r="O18" s="151">
        <f t="shared" si="3"/>
        <v>2007.2160000000003</v>
      </c>
      <c r="P18" s="151">
        <f>ROUND(O18*'29_01_H_2020'!$O$17,2)</f>
        <v>473.5</v>
      </c>
      <c r="Q18" s="380">
        <f t="shared" si="4"/>
        <v>2480.7160000000003</v>
      </c>
      <c r="R18" s="152"/>
      <c r="S18" s="328"/>
      <c r="T18" s="328"/>
      <c r="U18" s="328"/>
      <c r="V18" s="328"/>
      <c r="W18" s="328"/>
      <c r="X18" s="328"/>
      <c r="Y18" s="328"/>
      <c r="Z18" s="328"/>
      <c r="AA18" s="328"/>
      <c r="AB18" s="328"/>
      <c r="AC18" s="329"/>
      <c r="AD18" s="152"/>
      <c r="AE18" s="152"/>
      <c r="AF18" s="328"/>
      <c r="AG18" s="328"/>
      <c r="AH18" s="328"/>
      <c r="AI18" s="328"/>
      <c r="AJ18" s="328"/>
      <c r="AK18" s="328"/>
      <c r="AL18" s="328"/>
      <c r="AM18" s="328"/>
      <c r="AN18" s="328"/>
      <c r="AO18" s="328"/>
      <c r="AP18" s="329"/>
      <c r="AQ18" s="152"/>
      <c r="AR18" s="152"/>
      <c r="AS18" s="152"/>
      <c r="AT18" s="152"/>
      <c r="AU18" s="152"/>
    </row>
    <row r="19" spans="1:47">
      <c r="A19" s="97" t="s">
        <v>507</v>
      </c>
      <c r="B19" s="67">
        <v>5.0999999999999996</v>
      </c>
      <c r="C19" s="3" t="s">
        <v>21</v>
      </c>
      <c r="D19" s="257">
        <v>12</v>
      </c>
      <c r="E19" s="258">
        <v>3</v>
      </c>
      <c r="F19" s="4">
        <v>1647</v>
      </c>
      <c r="G19" s="183">
        <v>1647</v>
      </c>
      <c r="H19" s="183"/>
      <c r="I19" s="312">
        <v>0.4</v>
      </c>
      <c r="J19" s="379">
        <f>ROUND(G19*(1+'29_01_H_2020'!$O$14),2)</f>
        <v>2065.17</v>
      </c>
      <c r="K19" s="151">
        <f t="shared" si="0"/>
        <v>0</v>
      </c>
      <c r="L19" s="151">
        <f>ROUND(H19*(1+'29_01_H_2020'!$O$14),2)</f>
        <v>0</v>
      </c>
      <c r="M19" s="151">
        <f t="shared" si="1"/>
        <v>418.17000000000007</v>
      </c>
      <c r="N19" s="151">
        <f t="shared" si="2"/>
        <v>167.26800000000003</v>
      </c>
      <c r="O19" s="151">
        <f t="shared" si="3"/>
        <v>2007.2160000000003</v>
      </c>
      <c r="P19" s="151">
        <f>ROUND(O19*'29_01_H_2020'!$O$17,2)</f>
        <v>473.5</v>
      </c>
      <c r="Q19" s="380">
        <f t="shared" si="4"/>
        <v>2480.7160000000003</v>
      </c>
      <c r="R19" s="152"/>
      <c r="S19" s="328"/>
      <c r="T19" s="328"/>
      <c r="U19" s="328"/>
      <c r="V19" s="328"/>
      <c r="W19" s="328"/>
      <c r="X19" s="328"/>
      <c r="Y19" s="328"/>
      <c r="Z19" s="328"/>
      <c r="AA19" s="328"/>
      <c r="AB19" s="328"/>
      <c r="AC19" s="329"/>
      <c r="AD19" s="152"/>
      <c r="AE19" s="152"/>
      <c r="AF19" s="328"/>
      <c r="AG19" s="328"/>
      <c r="AH19" s="328"/>
      <c r="AI19" s="328"/>
      <c r="AJ19" s="328"/>
      <c r="AK19" s="328"/>
      <c r="AL19" s="328"/>
      <c r="AM19" s="328"/>
      <c r="AN19" s="328"/>
      <c r="AO19" s="328"/>
      <c r="AP19" s="329"/>
      <c r="AQ19" s="152"/>
      <c r="AR19" s="152"/>
      <c r="AS19" s="152"/>
      <c r="AT19" s="152"/>
      <c r="AU19" s="152"/>
    </row>
    <row r="20" spans="1:47">
      <c r="A20" s="97" t="s">
        <v>507</v>
      </c>
      <c r="B20" s="67">
        <v>5.0999999999999996</v>
      </c>
      <c r="C20" s="3" t="s">
        <v>21</v>
      </c>
      <c r="D20" s="257">
        <v>12</v>
      </c>
      <c r="E20" s="258">
        <v>3</v>
      </c>
      <c r="F20" s="4">
        <v>1647</v>
      </c>
      <c r="G20" s="183">
        <v>1647</v>
      </c>
      <c r="H20" s="183"/>
      <c r="I20" s="312">
        <v>0.4</v>
      </c>
      <c r="J20" s="379">
        <f>ROUND(G20*(1+'29_01_H_2020'!$O$14),2)</f>
        <v>2065.17</v>
      </c>
      <c r="K20" s="151">
        <f t="shared" si="0"/>
        <v>0</v>
      </c>
      <c r="L20" s="151">
        <f>ROUND(H20*(1+'29_01_H_2020'!$O$14),2)</f>
        <v>0</v>
      </c>
      <c r="M20" s="151">
        <f t="shared" si="1"/>
        <v>418.17000000000007</v>
      </c>
      <c r="N20" s="151">
        <f t="shared" si="2"/>
        <v>167.26800000000003</v>
      </c>
      <c r="O20" s="151">
        <f t="shared" si="3"/>
        <v>2007.2160000000003</v>
      </c>
      <c r="P20" s="151">
        <f>ROUND(O20*'29_01_H_2020'!$O$17,2)</f>
        <v>473.5</v>
      </c>
      <c r="Q20" s="380">
        <f t="shared" si="4"/>
        <v>2480.7160000000003</v>
      </c>
      <c r="R20" s="152"/>
      <c r="S20" s="328"/>
      <c r="T20" s="328"/>
      <c r="U20" s="328"/>
      <c r="V20" s="328"/>
      <c r="W20" s="328"/>
      <c r="X20" s="328"/>
      <c r="Y20" s="328"/>
      <c r="Z20" s="328"/>
      <c r="AA20" s="328"/>
      <c r="AB20" s="328"/>
      <c r="AC20" s="329"/>
      <c r="AD20" s="152"/>
      <c r="AE20" s="152"/>
      <c r="AF20" s="328"/>
      <c r="AG20" s="328"/>
      <c r="AH20" s="328"/>
      <c r="AI20" s="328"/>
      <c r="AJ20" s="328"/>
      <c r="AK20" s="328"/>
      <c r="AL20" s="328"/>
      <c r="AM20" s="328"/>
      <c r="AN20" s="328"/>
      <c r="AO20" s="328"/>
      <c r="AP20" s="329"/>
      <c r="AQ20" s="152"/>
      <c r="AR20" s="152"/>
      <c r="AS20" s="152"/>
      <c r="AT20" s="152"/>
      <c r="AU20" s="152"/>
    </row>
    <row r="21" spans="1:47">
      <c r="A21" s="97" t="s">
        <v>507</v>
      </c>
      <c r="B21" s="67">
        <v>5.0999999999999996</v>
      </c>
      <c r="C21" s="3" t="s">
        <v>21</v>
      </c>
      <c r="D21" s="257">
        <v>12</v>
      </c>
      <c r="E21" s="258">
        <v>3</v>
      </c>
      <c r="F21" s="4">
        <v>1647</v>
      </c>
      <c r="G21" s="183">
        <v>1647</v>
      </c>
      <c r="H21" s="183"/>
      <c r="I21" s="312">
        <v>0.8</v>
      </c>
      <c r="J21" s="379">
        <f>ROUND(G21*(1+'29_01_H_2020'!$O$14),2)</f>
        <v>2065.17</v>
      </c>
      <c r="K21" s="151">
        <f t="shared" si="0"/>
        <v>0</v>
      </c>
      <c r="L21" s="151">
        <f>ROUND(H21*(1+'29_01_H_2020'!$O$14),2)</f>
        <v>0</v>
      </c>
      <c r="M21" s="151">
        <f t="shared" si="1"/>
        <v>418.17000000000007</v>
      </c>
      <c r="N21" s="151">
        <f t="shared" si="2"/>
        <v>334.53600000000006</v>
      </c>
      <c r="O21" s="151">
        <f t="shared" si="3"/>
        <v>4014.4320000000007</v>
      </c>
      <c r="P21" s="151">
        <f>ROUND(O21*'29_01_H_2020'!$O$17,2)</f>
        <v>947</v>
      </c>
      <c r="Q21" s="380">
        <f t="shared" si="4"/>
        <v>4961.4320000000007</v>
      </c>
      <c r="R21" s="152"/>
      <c r="S21" s="328"/>
      <c r="T21" s="328"/>
      <c r="U21" s="328"/>
      <c r="V21" s="328"/>
      <c r="W21" s="328"/>
      <c r="X21" s="328"/>
      <c r="Y21" s="328"/>
      <c r="Z21" s="328"/>
      <c r="AA21" s="328"/>
      <c r="AB21" s="328"/>
      <c r="AC21" s="329"/>
      <c r="AD21" s="152"/>
      <c r="AE21" s="152"/>
      <c r="AF21" s="328"/>
      <c r="AG21" s="328"/>
      <c r="AH21" s="328"/>
      <c r="AI21" s="328"/>
      <c r="AJ21" s="328"/>
      <c r="AK21" s="328"/>
      <c r="AL21" s="328"/>
      <c r="AM21" s="328"/>
      <c r="AN21" s="328"/>
      <c r="AO21" s="328"/>
      <c r="AP21" s="329"/>
      <c r="AQ21" s="152"/>
      <c r="AR21" s="152"/>
      <c r="AS21" s="152"/>
      <c r="AT21" s="152"/>
      <c r="AU21" s="152"/>
    </row>
    <row r="22" spans="1:47">
      <c r="A22" s="97" t="s">
        <v>507</v>
      </c>
      <c r="B22" s="67">
        <v>5.0999999999999996</v>
      </c>
      <c r="C22" s="3" t="s">
        <v>21</v>
      </c>
      <c r="D22" s="257">
        <v>12</v>
      </c>
      <c r="E22" s="258">
        <v>3</v>
      </c>
      <c r="F22" s="4">
        <v>1647</v>
      </c>
      <c r="G22" s="183">
        <v>1647</v>
      </c>
      <c r="H22" s="183"/>
      <c r="I22" s="312">
        <v>0.2</v>
      </c>
      <c r="J22" s="379">
        <f>ROUND(G22*(1+'29_01_H_2020'!$O$14),2)</f>
        <v>2065.17</v>
      </c>
      <c r="K22" s="151">
        <f t="shared" si="0"/>
        <v>0</v>
      </c>
      <c r="L22" s="151">
        <f>ROUND(H22*(1+'29_01_H_2020'!$O$14),2)</f>
        <v>0</v>
      </c>
      <c r="M22" s="151">
        <f t="shared" si="1"/>
        <v>418.17000000000007</v>
      </c>
      <c r="N22" s="151">
        <f t="shared" si="2"/>
        <v>83.634000000000015</v>
      </c>
      <c r="O22" s="151">
        <f t="shared" si="3"/>
        <v>1003.6080000000002</v>
      </c>
      <c r="P22" s="151">
        <f>ROUND(O22*'29_01_H_2020'!$O$17,2)</f>
        <v>236.75</v>
      </c>
      <c r="Q22" s="380">
        <f t="shared" si="4"/>
        <v>1240.3580000000002</v>
      </c>
      <c r="R22" s="152"/>
      <c r="S22" s="328"/>
      <c r="T22" s="328"/>
      <c r="U22" s="328"/>
      <c r="V22" s="328"/>
      <c r="W22" s="328"/>
      <c r="X22" s="328"/>
      <c r="Y22" s="328"/>
      <c r="Z22" s="328"/>
      <c r="AA22" s="328"/>
      <c r="AB22" s="328"/>
      <c r="AC22" s="329"/>
      <c r="AD22" s="152"/>
      <c r="AE22" s="152"/>
      <c r="AF22" s="328"/>
      <c r="AG22" s="328"/>
      <c r="AH22" s="328"/>
      <c r="AI22" s="328"/>
      <c r="AJ22" s="328"/>
      <c r="AK22" s="328"/>
      <c r="AL22" s="328"/>
      <c r="AM22" s="328"/>
      <c r="AN22" s="328"/>
      <c r="AO22" s="328"/>
      <c r="AP22" s="329"/>
      <c r="AQ22" s="152"/>
      <c r="AR22" s="152"/>
      <c r="AS22" s="152"/>
      <c r="AT22" s="152"/>
      <c r="AU22" s="152"/>
    </row>
    <row r="23" spans="1:47">
      <c r="A23" s="97" t="s">
        <v>507</v>
      </c>
      <c r="B23" s="67">
        <v>5.0999999999999996</v>
      </c>
      <c r="C23" s="3" t="s">
        <v>21</v>
      </c>
      <c r="D23" s="257">
        <v>12</v>
      </c>
      <c r="E23" s="258">
        <v>3</v>
      </c>
      <c r="F23" s="4">
        <v>1647</v>
      </c>
      <c r="G23" s="183">
        <v>1647</v>
      </c>
      <c r="H23" s="183"/>
      <c r="I23" s="312">
        <v>1</v>
      </c>
      <c r="J23" s="379">
        <f>ROUND(G23*(1+'29_01_H_2020'!$O$14),2)</f>
        <v>2065.17</v>
      </c>
      <c r="K23" s="151">
        <f t="shared" si="0"/>
        <v>0</v>
      </c>
      <c r="L23" s="151">
        <f>ROUND(H23*(1+'29_01_H_2020'!$O$14),2)</f>
        <v>0</v>
      </c>
      <c r="M23" s="151">
        <f t="shared" si="1"/>
        <v>418.17000000000007</v>
      </c>
      <c r="N23" s="151">
        <f t="shared" si="2"/>
        <v>418.17000000000007</v>
      </c>
      <c r="O23" s="151">
        <f t="shared" si="3"/>
        <v>5018.0400000000009</v>
      </c>
      <c r="P23" s="151">
        <f>ROUND(O23*'29_01_H_2020'!$O$17,2)</f>
        <v>1183.76</v>
      </c>
      <c r="Q23" s="380">
        <f t="shared" si="4"/>
        <v>6201.8000000000011</v>
      </c>
      <c r="R23" s="152"/>
      <c r="S23" s="328"/>
      <c r="T23" s="328"/>
      <c r="U23" s="328"/>
      <c r="V23" s="328"/>
      <c r="W23" s="328"/>
      <c r="X23" s="328"/>
      <c r="Y23" s="328"/>
      <c r="Z23" s="328"/>
      <c r="AA23" s="328"/>
      <c r="AB23" s="328"/>
      <c r="AC23" s="329"/>
      <c r="AD23" s="152"/>
      <c r="AE23" s="152"/>
      <c r="AF23" s="328"/>
      <c r="AG23" s="328"/>
      <c r="AH23" s="328"/>
      <c r="AI23" s="328"/>
      <c r="AJ23" s="328"/>
      <c r="AK23" s="328"/>
      <c r="AL23" s="328"/>
      <c r="AM23" s="328"/>
      <c r="AN23" s="328"/>
      <c r="AO23" s="328"/>
      <c r="AP23" s="329"/>
      <c r="AQ23" s="152"/>
      <c r="AR23" s="152"/>
      <c r="AS23" s="152"/>
      <c r="AT23" s="152"/>
      <c r="AU23" s="152"/>
    </row>
    <row r="24" spans="1:47">
      <c r="A24" s="97" t="s">
        <v>507</v>
      </c>
      <c r="B24" s="67">
        <v>5.0999999999999996</v>
      </c>
      <c r="C24" s="3" t="s">
        <v>21</v>
      </c>
      <c r="D24" s="257">
        <v>12</v>
      </c>
      <c r="E24" s="258">
        <v>3</v>
      </c>
      <c r="F24" s="4">
        <v>1647</v>
      </c>
      <c r="G24" s="183">
        <v>1647</v>
      </c>
      <c r="H24" s="183"/>
      <c r="I24" s="312">
        <v>0.3</v>
      </c>
      <c r="J24" s="379">
        <f>ROUND(G24*(1+'29_01_H_2020'!$O$14),2)</f>
        <v>2065.17</v>
      </c>
      <c r="K24" s="151">
        <f t="shared" si="0"/>
        <v>0</v>
      </c>
      <c r="L24" s="151">
        <f>ROUND(H24*(1+'29_01_H_2020'!$O$14),2)</f>
        <v>0</v>
      </c>
      <c r="M24" s="151">
        <f t="shared" si="1"/>
        <v>418.17000000000007</v>
      </c>
      <c r="N24" s="151">
        <f t="shared" si="2"/>
        <v>125.45100000000002</v>
      </c>
      <c r="O24" s="151">
        <f t="shared" si="3"/>
        <v>1505.4120000000003</v>
      </c>
      <c r="P24" s="151">
        <f>ROUND(O24*'29_01_H_2020'!$O$17,2)</f>
        <v>355.13</v>
      </c>
      <c r="Q24" s="380">
        <f t="shared" si="4"/>
        <v>1860.5420000000004</v>
      </c>
      <c r="R24" s="152"/>
      <c r="S24" s="328"/>
      <c r="T24" s="328"/>
      <c r="U24" s="328"/>
      <c r="V24" s="328"/>
      <c r="W24" s="328"/>
      <c r="X24" s="328"/>
      <c r="Y24" s="328"/>
      <c r="Z24" s="328"/>
      <c r="AA24" s="328"/>
      <c r="AB24" s="328"/>
      <c r="AC24" s="329"/>
      <c r="AD24" s="152"/>
      <c r="AE24" s="152"/>
      <c r="AF24" s="328"/>
      <c r="AG24" s="328"/>
      <c r="AH24" s="328"/>
      <c r="AI24" s="328"/>
      <c r="AJ24" s="328"/>
      <c r="AK24" s="328"/>
      <c r="AL24" s="328"/>
      <c r="AM24" s="328"/>
      <c r="AN24" s="328"/>
      <c r="AO24" s="328"/>
      <c r="AP24" s="329"/>
      <c r="AQ24" s="152"/>
      <c r="AR24" s="152"/>
      <c r="AS24" s="152"/>
      <c r="AT24" s="152"/>
      <c r="AU24" s="152"/>
    </row>
    <row r="25" spans="1:47">
      <c r="A25" s="97" t="s">
        <v>507</v>
      </c>
      <c r="B25" s="67">
        <v>5.0999999999999996</v>
      </c>
      <c r="C25" s="3" t="s">
        <v>21</v>
      </c>
      <c r="D25" s="257">
        <v>12</v>
      </c>
      <c r="E25" s="258">
        <v>3</v>
      </c>
      <c r="F25" s="4">
        <v>1647</v>
      </c>
      <c r="G25" s="183">
        <v>1647</v>
      </c>
      <c r="H25" s="183"/>
      <c r="I25" s="312">
        <v>0.8</v>
      </c>
      <c r="J25" s="379">
        <f>ROUND(G25*(1+'29_01_H_2020'!$O$14),2)</f>
        <v>2065.17</v>
      </c>
      <c r="K25" s="151">
        <f t="shared" si="0"/>
        <v>0</v>
      </c>
      <c r="L25" s="151">
        <f>ROUND(H25*(1+'29_01_H_2020'!$O$14),2)</f>
        <v>0</v>
      </c>
      <c r="M25" s="151">
        <f t="shared" si="1"/>
        <v>418.17000000000007</v>
      </c>
      <c r="N25" s="151">
        <f t="shared" si="2"/>
        <v>334.53600000000006</v>
      </c>
      <c r="O25" s="151">
        <f t="shared" si="3"/>
        <v>4014.4320000000007</v>
      </c>
      <c r="P25" s="151">
        <f>ROUND(O25*'29_01_H_2020'!$O$17,2)</f>
        <v>947</v>
      </c>
      <c r="Q25" s="380">
        <f t="shared" si="4"/>
        <v>4961.4320000000007</v>
      </c>
      <c r="R25" s="152"/>
      <c r="S25" s="328"/>
      <c r="T25" s="328"/>
      <c r="U25" s="328"/>
      <c r="V25" s="328"/>
      <c r="W25" s="328"/>
      <c r="X25" s="328"/>
      <c r="Y25" s="328"/>
      <c r="Z25" s="328"/>
      <c r="AA25" s="328"/>
      <c r="AB25" s="328"/>
      <c r="AC25" s="329"/>
      <c r="AD25" s="152"/>
      <c r="AE25" s="152"/>
      <c r="AF25" s="328"/>
      <c r="AG25" s="328"/>
      <c r="AH25" s="328"/>
      <c r="AI25" s="328"/>
      <c r="AJ25" s="328"/>
      <c r="AK25" s="328"/>
      <c r="AL25" s="328"/>
      <c r="AM25" s="328"/>
      <c r="AN25" s="328"/>
      <c r="AO25" s="328"/>
      <c r="AP25" s="329"/>
      <c r="AQ25" s="152"/>
      <c r="AR25" s="152"/>
      <c r="AS25" s="152"/>
      <c r="AT25" s="152"/>
      <c r="AU25" s="152"/>
    </row>
    <row r="26" spans="1:47">
      <c r="A26" s="97" t="s">
        <v>507</v>
      </c>
      <c r="B26" s="67">
        <v>5.0999999999999996</v>
      </c>
      <c r="C26" s="3" t="s">
        <v>21</v>
      </c>
      <c r="D26" s="257">
        <v>12</v>
      </c>
      <c r="E26" s="258">
        <v>3</v>
      </c>
      <c r="F26" s="4">
        <v>1647</v>
      </c>
      <c r="G26" s="183">
        <v>1647</v>
      </c>
      <c r="H26" s="183"/>
      <c r="I26" s="312">
        <v>1</v>
      </c>
      <c r="J26" s="379">
        <f>ROUND(G26*(1+'29_01_H_2020'!$O$14),2)</f>
        <v>2065.17</v>
      </c>
      <c r="K26" s="151">
        <f t="shared" si="0"/>
        <v>0</v>
      </c>
      <c r="L26" s="151">
        <f>ROUND(H26*(1+'29_01_H_2020'!$O$14),2)</f>
        <v>0</v>
      </c>
      <c r="M26" s="151">
        <f t="shared" si="1"/>
        <v>418.17000000000007</v>
      </c>
      <c r="N26" s="151">
        <f t="shared" si="2"/>
        <v>418.17000000000007</v>
      </c>
      <c r="O26" s="151">
        <f t="shared" si="3"/>
        <v>5018.0400000000009</v>
      </c>
      <c r="P26" s="151">
        <f>ROUND(O26*'29_01_H_2020'!$O$17,2)</f>
        <v>1183.76</v>
      </c>
      <c r="Q26" s="380">
        <f t="shared" si="4"/>
        <v>6201.8000000000011</v>
      </c>
      <c r="R26" s="152"/>
      <c r="S26" s="328"/>
      <c r="T26" s="328"/>
      <c r="U26" s="328"/>
      <c r="V26" s="328"/>
      <c r="W26" s="328"/>
      <c r="X26" s="328"/>
      <c r="Y26" s="328"/>
      <c r="Z26" s="328"/>
      <c r="AA26" s="328"/>
      <c r="AB26" s="328"/>
      <c r="AC26" s="329"/>
      <c r="AD26" s="152"/>
      <c r="AE26" s="152"/>
      <c r="AF26" s="328"/>
      <c r="AG26" s="328"/>
      <c r="AH26" s="328"/>
      <c r="AI26" s="328"/>
      <c r="AJ26" s="328"/>
      <c r="AK26" s="328"/>
      <c r="AL26" s="328"/>
      <c r="AM26" s="328"/>
      <c r="AN26" s="328"/>
      <c r="AO26" s="328"/>
      <c r="AP26" s="329"/>
      <c r="AQ26" s="152"/>
      <c r="AR26" s="152"/>
      <c r="AS26" s="152"/>
      <c r="AT26" s="152"/>
      <c r="AU26" s="152"/>
    </row>
    <row r="27" spans="1:47">
      <c r="A27" s="97" t="s">
        <v>507</v>
      </c>
      <c r="B27" s="67">
        <v>5.0999999999999996</v>
      </c>
      <c r="C27" s="3" t="s">
        <v>21</v>
      </c>
      <c r="D27" s="257">
        <v>12</v>
      </c>
      <c r="E27" s="258">
        <v>3</v>
      </c>
      <c r="F27" s="4">
        <v>1647</v>
      </c>
      <c r="G27" s="183">
        <v>1647</v>
      </c>
      <c r="H27" s="183"/>
      <c r="I27" s="312">
        <v>0.8</v>
      </c>
      <c r="J27" s="379">
        <f>ROUND(G27*(1+'29_01_H_2020'!$O$14),2)</f>
        <v>2065.17</v>
      </c>
      <c r="K27" s="151">
        <f t="shared" si="0"/>
        <v>0</v>
      </c>
      <c r="L27" s="151">
        <f>ROUND(H27*(1+'29_01_H_2020'!$O$14),2)</f>
        <v>0</v>
      </c>
      <c r="M27" s="151">
        <f t="shared" si="1"/>
        <v>418.17000000000007</v>
      </c>
      <c r="N27" s="151">
        <f t="shared" si="2"/>
        <v>334.53600000000006</v>
      </c>
      <c r="O27" s="151">
        <f t="shared" si="3"/>
        <v>4014.4320000000007</v>
      </c>
      <c r="P27" s="151">
        <f>ROUND(O27*'29_01_H_2020'!$O$17,2)</f>
        <v>947</v>
      </c>
      <c r="Q27" s="380">
        <f t="shared" si="4"/>
        <v>4961.4320000000007</v>
      </c>
      <c r="R27" s="152"/>
      <c r="S27" s="328"/>
      <c r="T27" s="328"/>
      <c r="U27" s="328"/>
      <c r="V27" s="328"/>
      <c r="W27" s="328"/>
      <c r="X27" s="328"/>
      <c r="Y27" s="328"/>
      <c r="Z27" s="328"/>
      <c r="AA27" s="328"/>
      <c r="AB27" s="328"/>
      <c r="AC27" s="329"/>
      <c r="AD27" s="152"/>
      <c r="AE27" s="152"/>
      <c r="AF27" s="328"/>
      <c r="AG27" s="328"/>
      <c r="AH27" s="328"/>
      <c r="AI27" s="328"/>
      <c r="AJ27" s="328"/>
      <c r="AK27" s="328"/>
      <c r="AL27" s="328"/>
      <c r="AM27" s="328"/>
      <c r="AN27" s="328"/>
      <c r="AO27" s="328"/>
      <c r="AP27" s="329"/>
      <c r="AQ27" s="152"/>
      <c r="AR27" s="152"/>
      <c r="AS27" s="152"/>
      <c r="AT27" s="152"/>
      <c r="AU27" s="152"/>
    </row>
    <row r="28" spans="1:47">
      <c r="A28" s="97" t="s">
        <v>507</v>
      </c>
      <c r="B28" s="67">
        <v>5.0999999999999996</v>
      </c>
      <c r="C28" s="3" t="s">
        <v>21</v>
      </c>
      <c r="D28" s="257">
        <v>12</v>
      </c>
      <c r="E28" s="258">
        <v>3</v>
      </c>
      <c r="F28" s="4">
        <v>1647</v>
      </c>
      <c r="G28" s="183">
        <v>1647</v>
      </c>
      <c r="H28" s="183"/>
      <c r="I28" s="312">
        <v>1</v>
      </c>
      <c r="J28" s="379">
        <f>ROUND(G28*(1+'29_01_H_2020'!$O$14),2)</f>
        <v>2065.17</v>
      </c>
      <c r="K28" s="151">
        <f t="shared" si="0"/>
        <v>0</v>
      </c>
      <c r="L28" s="151">
        <f>ROUND(H28*(1+'29_01_H_2020'!$O$14),2)</f>
        <v>0</v>
      </c>
      <c r="M28" s="151">
        <f t="shared" si="1"/>
        <v>418.17000000000007</v>
      </c>
      <c r="N28" s="151">
        <f t="shared" si="2"/>
        <v>418.17000000000007</v>
      </c>
      <c r="O28" s="151">
        <f t="shared" si="3"/>
        <v>5018.0400000000009</v>
      </c>
      <c r="P28" s="151">
        <f>ROUND(O28*'29_01_H_2020'!$O$17,2)</f>
        <v>1183.76</v>
      </c>
      <c r="Q28" s="380">
        <f t="shared" si="4"/>
        <v>6201.8000000000011</v>
      </c>
      <c r="R28" s="152"/>
      <c r="S28" s="328"/>
      <c r="T28" s="328"/>
      <c r="U28" s="328"/>
      <c r="V28" s="328"/>
      <c r="W28" s="328"/>
      <c r="X28" s="328"/>
      <c r="Y28" s="328"/>
      <c r="Z28" s="328"/>
      <c r="AA28" s="328"/>
      <c r="AB28" s="328"/>
      <c r="AC28" s="329"/>
      <c r="AD28" s="152"/>
      <c r="AE28" s="152"/>
      <c r="AF28" s="328"/>
      <c r="AG28" s="328"/>
      <c r="AH28" s="328"/>
      <c r="AI28" s="328"/>
      <c r="AJ28" s="328"/>
      <c r="AK28" s="328"/>
      <c r="AL28" s="328"/>
      <c r="AM28" s="328"/>
      <c r="AN28" s="328"/>
      <c r="AO28" s="328"/>
      <c r="AP28" s="329"/>
      <c r="AQ28" s="152"/>
      <c r="AR28" s="152"/>
      <c r="AS28" s="152"/>
      <c r="AT28" s="152"/>
      <c r="AU28" s="152"/>
    </row>
    <row r="29" spans="1:47">
      <c r="A29" s="97" t="s">
        <v>507</v>
      </c>
      <c r="B29" s="67">
        <v>5.0999999999999996</v>
      </c>
      <c r="C29" s="3" t="s">
        <v>21</v>
      </c>
      <c r="D29" s="257">
        <v>12</v>
      </c>
      <c r="E29" s="258">
        <v>3</v>
      </c>
      <c r="F29" s="4">
        <v>1647</v>
      </c>
      <c r="G29" s="183">
        <v>1647</v>
      </c>
      <c r="H29" s="183"/>
      <c r="I29" s="312">
        <v>1</v>
      </c>
      <c r="J29" s="379">
        <f>ROUND(G29*(1+'29_01_H_2020'!$O$14),2)</f>
        <v>2065.17</v>
      </c>
      <c r="K29" s="151">
        <f t="shared" si="0"/>
        <v>0</v>
      </c>
      <c r="L29" s="151">
        <f>ROUND(H29*(1+'29_01_H_2020'!$O$14),2)</f>
        <v>0</v>
      </c>
      <c r="M29" s="151">
        <f t="shared" si="1"/>
        <v>418.17000000000007</v>
      </c>
      <c r="N29" s="151">
        <f t="shared" si="2"/>
        <v>418.17000000000007</v>
      </c>
      <c r="O29" s="151">
        <f t="shared" si="3"/>
        <v>5018.0400000000009</v>
      </c>
      <c r="P29" s="151">
        <f>ROUND(O29*'29_01_H_2020'!$O$17,2)</f>
        <v>1183.76</v>
      </c>
      <c r="Q29" s="380">
        <f t="shared" si="4"/>
        <v>6201.8000000000011</v>
      </c>
      <c r="R29" s="152"/>
      <c r="S29" s="328"/>
      <c r="T29" s="328"/>
      <c r="U29" s="328"/>
      <c r="V29" s="328"/>
      <c r="W29" s="328"/>
      <c r="X29" s="328"/>
      <c r="Y29" s="328"/>
      <c r="Z29" s="328"/>
      <c r="AA29" s="328"/>
      <c r="AB29" s="328"/>
      <c r="AC29" s="329"/>
      <c r="AD29" s="152"/>
      <c r="AE29" s="152"/>
      <c r="AF29" s="328"/>
      <c r="AG29" s="328"/>
      <c r="AH29" s="328"/>
      <c r="AI29" s="328"/>
      <c r="AJ29" s="328"/>
      <c r="AK29" s="328"/>
      <c r="AL29" s="328"/>
      <c r="AM29" s="328"/>
      <c r="AN29" s="328"/>
      <c r="AO29" s="328"/>
      <c r="AP29" s="329"/>
      <c r="AQ29" s="152"/>
      <c r="AR29" s="152"/>
      <c r="AS29" s="152"/>
      <c r="AT29" s="152"/>
      <c r="AU29" s="152"/>
    </row>
    <row r="30" spans="1:47">
      <c r="A30" s="97" t="s">
        <v>507</v>
      </c>
      <c r="B30" s="67">
        <v>5.0999999999999996</v>
      </c>
      <c r="C30" s="3" t="s">
        <v>21</v>
      </c>
      <c r="D30" s="257">
        <v>12</v>
      </c>
      <c r="E30" s="258">
        <v>3</v>
      </c>
      <c r="F30" s="4">
        <v>1647</v>
      </c>
      <c r="G30" s="183">
        <v>1647</v>
      </c>
      <c r="H30" s="183"/>
      <c r="I30" s="312">
        <v>0.6</v>
      </c>
      <c r="J30" s="379">
        <f>ROUND(G30*(1+'29_01_H_2020'!$O$14),2)</f>
        <v>2065.17</v>
      </c>
      <c r="K30" s="151">
        <f t="shared" si="0"/>
        <v>0</v>
      </c>
      <c r="L30" s="151">
        <f>ROUND(H30*(1+'29_01_H_2020'!$O$14),2)</f>
        <v>0</v>
      </c>
      <c r="M30" s="151">
        <f t="shared" si="1"/>
        <v>418.17000000000007</v>
      </c>
      <c r="N30" s="151">
        <f t="shared" si="2"/>
        <v>250.90200000000004</v>
      </c>
      <c r="O30" s="151">
        <f t="shared" si="3"/>
        <v>3010.8240000000005</v>
      </c>
      <c r="P30" s="151">
        <f>ROUND(O30*'29_01_H_2020'!$O$17,2)</f>
        <v>710.25</v>
      </c>
      <c r="Q30" s="380">
        <f t="shared" si="4"/>
        <v>3721.0740000000005</v>
      </c>
      <c r="R30" s="152"/>
      <c r="S30" s="328"/>
      <c r="T30" s="328"/>
      <c r="U30" s="328"/>
      <c r="V30" s="328"/>
      <c r="W30" s="328"/>
      <c r="X30" s="328"/>
      <c r="Y30" s="328"/>
      <c r="Z30" s="328"/>
      <c r="AA30" s="328"/>
      <c r="AB30" s="328"/>
      <c r="AC30" s="329"/>
      <c r="AD30" s="152"/>
      <c r="AE30" s="152"/>
      <c r="AF30" s="328"/>
      <c r="AG30" s="328"/>
      <c r="AH30" s="328"/>
      <c r="AI30" s="328"/>
      <c r="AJ30" s="328"/>
      <c r="AK30" s="328"/>
      <c r="AL30" s="328"/>
      <c r="AM30" s="328"/>
      <c r="AN30" s="328"/>
      <c r="AO30" s="328"/>
      <c r="AP30" s="329"/>
      <c r="AQ30" s="152"/>
      <c r="AR30" s="152"/>
      <c r="AS30" s="152"/>
      <c r="AT30" s="152"/>
      <c r="AU30" s="152"/>
    </row>
    <row r="31" spans="1:47">
      <c r="A31" s="97" t="s">
        <v>508</v>
      </c>
      <c r="B31" s="67">
        <v>5.0999999999999996</v>
      </c>
      <c r="C31" s="3" t="s">
        <v>26</v>
      </c>
      <c r="D31" s="257">
        <v>10</v>
      </c>
      <c r="E31" s="258">
        <v>2</v>
      </c>
      <c r="F31" s="4">
        <v>1115</v>
      </c>
      <c r="G31" s="183">
        <v>1115</v>
      </c>
      <c r="H31" s="183"/>
      <c r="I31" s="312">
        <v>0.5</v>
      </c>
      <c r="J31" s="379">
        <f>ROUND(G31*(1+'29_01_H_2020'!$O$14),2)</f>
        <v>1398.1</v>
      </c>
      <c r="K31" s="151">
        <f t="shared" si="0"/>
        <v>0</v>
      </c>
      <c r="L31" s="151">
        <f>ROUND(H31*(1+'29_01_H_2020'!$O$14),2)</f>
        <v>0</v>
      </c>
      <c r="M31" s="151">
        <f t="shared" si="1"/>
        <v>283.09999999999991</v>
      </c>
      <c r="N31" s="151">
        <f t="shared" si="2"/>
        <v>141.54999999999995</v>
      </c>
      <c r="O31" s="151">
        <f t="shared" si="3"/>
        <v>1698.5999999999995</v>
      </c>
      <c r="P31" s="151">
        <f>ROUND(O31*'29_01_H_2020'!$O$17,2)</f>
        <v>400.7</v>
      </c>
      <c r="Q31" s="380">
        <f t="shared" si="4"/>
        <v>2099.2999999999993</v>
      </c>
      <c r="R31" s="152"/>
      <c r="S31" s="328"/>
      <c r="T31" s="328"/>
      <c r="U31" s="328"/>
      <c r="V31" s="328"/>
      <c r="W31" s="328"/>
      <c r="X31" s="328"/>
      <c r="Y31" s="328"/>
      <c r="Z31" s="328"/>
      <c r="AA31" s="328"/>
      <c r="AB31" s="328"/>
      <c r="AC31" s="329"/>
      <c r="AD31" s="152"/>
      <c r="AE31" s="152"/>
      <c r="AF31" s="328"/>
      <c r="AG31" s="328"/>
      <c r="AH31" s="328"/>
      <c r="AI31" s="328"/>
      <c r="AJ31" s="328"/>
      <c r="AK31" s="328"/>
      <c r="AL31" s="328"/>
      <c r="AM31" s="328"/>
      <c r="AN31" s="328"/>
      <c r="AO31" s="328"/>
      <c r="AP31" s="329"/>
      <c r="AQ31" s="152"/>
      <c r="AR31" s="152"/>
      <c r="AS31" s="152"/>
      <c r="AT31" s="152"/>
      <c r="AU31" s="152"/>
    </row>
    <row r="32" spans="1:47">
      <c r="A32" s="97" t="s">
        <v>508</v>
      </c>
      <c r="B32" s="67">
        <v>5.0999999999999996</v>
      </c>
      <c r="C32" s="3" t="s">
        <v>26</v>
      </c>
      <c r="D32" s="257">
        <v>10</v>
      </c>
      <c r="E32" s="258">
        <v>2</v>
      </c>
      <c r="F32" s="4">
        <v>1115</v>
      </c>
      <c r="G32" s="183">
        <v>1115</v>
      </c>
      <c r="H32" s="183"/>
      <c r="I32" s="312">
        <v>0.2</v>
      </c>
      <c r="J32" s="379">
        <f>ROUND(G32*(1+'29_01_H_2020'!$O$14),2)</f>
        <v>1398.1</v>
      </c>
      <c r="K32" s="151">
        <f t="shared" si="0"/>
        <v>0</v>
      </c>
      <c r="L32" s="151">
        <f>ROUND(H32*(1+'29_01_H_2020'!$O$14),2)</f>
        <v>0</v>
      </c>
      <c r="M32" s="151">
        <f t="shared" si="1"/>
        <v>283.09999999999991</v>
      </c>
      <c r="N32" s="151">
        <f t="shared" si="2"/>
        <v>56.619999999999983</v>
      </c>
      <c r="O32" s="151">
        <f t="shared" si="3"/>
        <v>679.43999999999983</v>
      </c>
      <c r="P32" s="151">
        <f>ROUND(O32*'29_01_H_2020'!$O$17,2)</f>
        <v>160.28</v>
      </c>
      <c r="Q32" s="380">
        <f t="shared" si="4"/>
        <v>839.7199999999998</v>
      </c>
      <c r="R32" s="152"/>
      <c r="S32" s="328"/>
      <c r="T32" s="328"/>
      <c r="U32" s="328"/>
      <c r="V32" s="328"/>
      <c r="W32" s="328"/>
      <c r="X32" s="328"/>
      <c r="Y32" s="328"/>
      <c r="Z32" s="328"/>
      <c r="AA32" s="328"/>
      <c r="AB32" s="328"/>
      <c r="AC32" s="329"/>
      <c r="AD32" s="152"/>
      <c r="AE32" s="152"/>
      <c r="AF32" s="328"/>
      <c r="AG32" s="328"/>
      <c r="AH32" s="328"/>
      <c r="AI32" s="328"/>
      <c r="AJ32" s="328"/>
      <c r="AK32" s="328"/>
      <c r="AL32" s="328"/>
      <c r="AM32" s="328"/>
      <c r="AN32" s="328"/>
      <c r="AO32" s="328"/>
      <c r="AP32" s="329"/>
      <c r="AQ32" s="152"/>
      <c r="AR32" s="152"/>
      <c r="AS32" s="152"/>
      <c r="AT32" s="152"/>
      <c r="AU32" s="152"/>
    </row>
    <row r="33" spans="1:47">
      <c r="A33" s="97" t="s">
        <v>508</v>
      </c>
      <c r="B33" s="67">
        <v>5.0999999999999996</v>
      </c>
      <c r="C33" s="3" t="s">
        <v>26</v>
      </c>
      <c r="D33" s="257">
        <v>10</v>
      </c>
      <c r="E33" s="258">
        <v>3</v>
      </c>
      <c r="F33" s="4">
        <v>1287</v>
      </c>
      <c r="G33" s="183">
        <v>1287</v>
      </c>
      <c r="H33" s="183"/>
      <c r="I33" s="312">
        <v>1</v>
      </c>
      <c r="J33" s="379">
        <f>ROUND(G33*(1+'29_01_H_2020'!$O$14),2)</f>
        <v>1613.77</v>
      </c>
      <c r="K33" s="151">
        <f t="shared" si="0"/>
        <v>0</v>
      </c>
      <c r="L33" s="151">
        <f>ROUND(H33*(1+'29_01_H_2020'!$O$14),2)</f>
        <v>0</v>
      </c>
      <c r="M33" s="151">
        <f t="shared" si="1"/>
        <v>326.77</v>
      </c>
      <c r="N33" s="151">
        <f t="shared" si="2"/>
        <v>326.77</v>
      </c>
      <c r="O33" s="151">
        <f t="shared" si="3"/>
        <v>3921.24</v>
      </c>
      <c r="P33" s="151">
        <f>ROUND(O33*'29_01_H_2020'!$O$17,2)</f>
        <v>925.02</v>
      </c>
      <c r="Q33" s="380">
        <f t="shared" si="4"/>
        <v>4846.26</v>
      </c>
      <c r="R33" s="152"/>
      <c r="S33" s="328"/>
      <c r="T33" s="328"/>
      <c r="U33" s="328"/>
      <c r="V33" s="328"/>
      <c r="W33" s="328"/>
      <c r="X33" s="328"/>
      <c r="Y33" s="328"/>
      <c r="Z33" s="328"/>
      <c r="AA33" s="328"/>
      <c r="AB33" s="328"/>
      <c r="AC33" s="329"/>
      <c r="AD33" s="152"/>
      <c r="AE33" s="152"/>
      <c r="AF33" s="328"/>
      <c r="AG33" s="328"/>
      <c r="AH33" s="328"/>
      <c r="AI33" s="328"/>
      <c r="AJ33" s="328"/>
      <c r="AK33" s="328"/>
      <c r="AL33" s="328"/>
      <c r="AM33" s="328"/>
      <c r="AN33" s="328"/>
      <c r="AO33" s="328"/>
      <c r="AP33" s="329"/>
      <c r="AQ33" s="152"/>
      <c r="AR33" s="152"/>
      <c r="AS33" s="152"/>
      <c r="AT33" s="152"/>
      <c r="AU33" s="152"/>
    </row>
    <row r="34" spans="1:47">
      <c r="A34" s="97" t="s">
        <v>508</v>
      </c>
      <c r="B34" s="67">
        <v>5.0999999999999996</v>
      </c>
      <c r="C34" s="3" t="s">
        <v>26</v>
      </c>
      <c r="D34" s="257">
        <v>10</v>
      </c>
      <c r="E34" s="258">
        <v>3</v>
      </c>
      <c r="F34" s="4">
        <v>1287</v>
      </c>
      <c r="G34" s="183">
        <v>1287</v>
      </c>
      <c r="H34" s="183"/>
      <c r="I34" s="312">
        <v>1</v>
      </c>
      <c r="J34" s="379">
        <f>ROUND(G34*(1+'29_01_H_2020'!$O$14),2)</f>
        <v>1613.77</v>
      </c>
      <c r="K34" s="151">
        <f t="shared" si="0"/>
        <v>0</v>
      </c>
      <c r="L34" s="151">
        <f>ROUND(H34*(1+'29_01_H_2020'!$O$14),2)</f>
        <v>0</v>
      </c>
      <c r="M34" s="151">
        <f t="shared" si="1"/>
        <v>326.77</v>
      </c>
      <c r="N34" s="151">
        <f t="shared" si="2"/>
        <v>326.77</v>
      </c>
      <c r="O34" s="151">
        <f t="shared" si="3"/>
        <v>3921.24</v>
      </c>
      <c r="P34" s="151">
        <f>ROUND(O34*'29_01_H_2020'!$O$17,2)</f>
        <v>925.02</v>
      </c>
      <c r="Q34" s="380">
        <f t="shared" si="4"/>
        <v>4846.26</v>
      </c>
      <c r="R34" s="152"/>
      <c r="S34" s="328"/>
      <c r="T34" s="328"/>
      <c r="U34" s="328"/>
      <c r="V34" s="328"/>
      <c r="W34" s="328"/>
      <c r="X34" s="328"/>
      <c r="Y34" s="328"/>
      <c r="Z34" s="328"/>
      <c r="AA34" s="328"/>
      <c r="AB34" s="328"/>
      <c r="AC34" s="329"/>
      <c r="AD34" s="152"/>
      <c r="AE34" s="152"/>
      <c r="AF34" s="328"/>
      <c r="AG34" s="328"/>
      <c r="AH34" s="328"/>
      <c r="AI34" s="328"/>
      <c r="AJ34" s="328"/>
      <c r="AK34" s="328"/>
      <c r="AL34" s="328"/>
      <c r="AM34" s="328"/>
      <c r="AN34" s="328"/>
      <c r="AO34" s="328"/>
      <c r="AP34" s="329"/>
      <c r="AQ34" s="152"/>
      <c r="AR34" s="152"/>
      <c r="AS34" s="152"/>
      <c r="AT34" s="152"/>
      <c r="AU34" s="152"/>
    </row>
    <row r="35" spans="1:47">
      <c r="A35" s="97" t="s">
        <v>508</v>
      </c>
      <c r="B35" s="67">
        <v>5.0999999999999996</v>
      </c>
      <c r="C35" s="3" t="s">
        <v>26</v>
      </c>
      <c r="D35" s="257">
        <v>10</v>
      </c>
      <c r="E35" s="258">
        <v>3</v>
      </c>
      <c r="F35" s="4">
        <v>1287</v>
      </c>
      <c r="G35" s="183">
        <v>1287</v>
      </c>
      <c r="H35" s="183"/>
      <c r="I35" s="312">
        <v>1</v>
      </c>
      <c r="J35" s="379">
        <f>ROUND(G35*(1+'29_01_H_2020'!$O$14),2)</f>
        <v>1613.77</v>
      </c>
      <c r="K35" s="151">
        <f t="shared" si="0"/>
        <v>0</v>
      </c>
      <c r="L35" s="151">
        <f>ROUND(H35*(1+'29_01_H_2020'!$O$14),2)</f>
        <v>0</v>
      </c>
      <c r="M35" s="151">
        <f t="shared" si="1"/>
        <v>326.77</v>
      </c>
      <c r="N35" s="151">
        <f t="shared" si="2"/>
        <v>326.77</v>
      </c>
      <c r="O35" s="151">
        <f t="shared" si="3"/>
        <v>3921.24</v>
      </c>
      <c r="P35" s="151">
        <f>ROUND(O35*'29_01_H_2020'!$O$17,2)</f>
        <v>925.02</v>
      </c>
      <c r="Q35" s="380">
        <f t="shared" si="4"/>
        <v>4846.26</v>
      </c>
      <c r="R35" s="152"/>
      <c r="S35" s="328"/>
      <c r="T35" s="328"/>
      <c r="U35" s="328"/>
      <c r="V35" s="328"/>
      <c r="W35" s="328"/>
      <c r="X35" s="328"/>
      <c r="Y35" s="328"/>
      <c r="Z35" s="328"/>
      <c r="AA35" s="328"/>
      <c r="AB35" s="328"/>
      <c r="AC35" s="329"/>
      <c r="AD35" s="152"/>
      <c r="AE35" s="152"/>
      <c r="AF35" s="328"/>
      <c r="AG35" s="328"/>
      <c r="AH35" s="328"/>
      <c r="AI35" s="328"/>
      <c r="AJ35" s="328"/>
      <c r="AK35" s="328"/>
      <c r="AL35" s="328"/>
      <c r="AM35" s="328"/>
      <c r="AN35" s="328"/>
      <c r="AO35" s="328"/>
      <c r="AP35" s="329"/>
      <c r="AQ35" s="152"/>
      <c r="AR35" s="152"/>
      <c r="AS35" s="152"/>
      <c r="AT35" s="152"/>
      <c r="AU35" s="152"/>
    </row>
    <row r="36" spans="1:47">
      <c r="A36" s="97" t="s">
        <v>508</v>
      </c>
      <c r="B36" s="67">
        <v>5.0999999999999996</v>
      </c>
      <c r="C36" s="3" t="s">
        <v>26</v>
      </c>
      <c r="D36" s="258">
        <v>10</v>
      </c>
      <c r="E36" s="258">
        <v>3</v>
      </c>
      <c r="F36" s="4">
        <v>1287</v>
      </c>
      <c r="G36" s="183">
        <v>1287</v>
      </c>
      <c r="H36" s="183"/>
      <c r="I36" s="312">
        <v>0.6</v>
      </c>
      <c r="J36" s="379">
        <f>ROUND(G36*(1+'29_01_H_2020'!$O$14),2)</f>
        <v>1613.77</v>
      </c>
      <c r="K36" s="151">
        <f t="shared" si="0"/>
        <v>0</v>
      </c>
      <c r="L36" s="151">
        <f>ROUND(H36*(1+'29_01_H_2020'!$O$14),2)</f>
        <v>0</v>
      </c>
      <c r="M36" s="151">
        <f t="shared" si="1"/>
        <v>326.77</v>
      </c>
      <c r="N36" s="151">
        <f t="shared" si="2"/>
        <v>196.06199999999998</v>
      </c>
      <c r="O36" s="151">
        <f t="shared" si="3"/>
        <v>2352.7439999999997</v>
      </c>
      <c r="P36" s="151">
        <f>ROUND(O36*'29_01_H_2020'!$O$17,2)</f>
        <v>555.01</v>
      </c>
      <c r="Q36" s="380">
        <f t="shared" si="4"/>
        <v>2907.7539999999999</v>
      </c>
      <c r="R36" s="152"/>
      <c r="S36" s="328"/>
      <c r="T36" s="328"/>
      <c r="U36" s="328"/>
      <c r="V36" s="328"/>
      <c r="W36" s="328"/>
      <c r="X36" s="328"/>
      <c r="Y36" s="328"/>
      <c r="Z36" s="328"/>
      <c r="AA36" s="328"/>
      <c r="AB36" s="328"/>
      <c r="AC36" s="329"/>
      <c r="AD36" s="152"/>
      <c r="AE36" s="152"/>
      <c r="AF36" s="328"/>
      <c r="AG36" s="328"/>
      <c r="AH36" s="328"/>
      <c r="AI36" s="328"/>
      <c r="AJ36" s="328"/>
      <c r="AK36" s="328"/>
      <c r="AL36" s="328"/>
      <c r="AM36" s="328"/>
      <c r="AN36" s="328"/>
      <c r="AO36" s="328"/>
      <c r="AP36" s="329"/>
      <c r="AQ36" s="152"/>
      <c r="AR36" s="152"/>
      <c r="AS36" s="152"/>
      <c r="AT36" s="152"/>
      <c r="AU36" s="152"/>
    </row>
    <row r="37" spans="1:47" s="333" customFormat="1">
      <c r="A37" s="97" t="s">
        <v>508</v>
      </c>
      <c r="B37" s="67">
        <v>5.0999999999999996</v>
      </c>
      <c r="C37" s="334" t="s">
        <v>26</v>
      </c>
      <c r="D37" s="258">
        <v>10</v>
      </c>
      <c r="E37" s="258">
        <v>3</v>
      </c>
      <c r="F37" s="4">
        <v>1287</v>
      </c>
      <c r="G37" s="345">
        <v>1287</v>
      </c>
      <c r="H37" s="345"/>
      <c r="I37" s="344">
        <v>1</v>
      </c>
      <c r="J37" s="379">
        <f>ROUND(G37*(1+'29_01_H_2020'!$O$14),2)</f>
        <v>1613.77</v>
      </c>
      <c r="K37" s="151">
        <f t="shared" ref="K37:K40" si="5">L37-H37</f>
        <v>0</v>
      </c>
      <c r="L37" s="151">
        <f>ROUND(H37*(1+'29_01_H_2020'!$O$14),2)</f>
        <v>0</v>
      </c>
      <c r="M37" s="151">
        <f t="shared" ref="M37:M40" si="6">(J37+L37)-(G37+H37)</f>
        <v>326.77</v>
      </c>
      <c r="N37" s="151">
        <f t="shared" ref="N37:N40" si="7">M37*I37</f>
        <v>326.77</v>
      </c>
      <c r="O37" s="151">
        <f t="shared" ref="O37:O40" si="8">N37*12</f>
        <v>3921.24</v>
      </c>
      <c r="P37" s="151">
        <f>ROUND(O37*'29_01_H_2020'!$O$17,2)</f>
        <v>925.02</v>
      </c>
      <c r="Q37" s="380">
        <f t="shared" ref="Q37:Q40" si="9">SUM(O37:P37)</f>
        <v>4846.26</v>
      </c>
      <c r="R37" s="152"/>
      <c r="S37" s="328"/>
      <c r="T37" s="328"/>
      <c r="U37" s="328"/>
      <c r="V37" s="328"/>
      <c r="W37" s="328"/>
      <c r="X37" s="328"/>
      <c r="Y37" s="328"/>
      <c r="Z37" s="328"/>
      <c r="AA37" s="328"/>
      <c r="AB37" s="328"/>
      <c r="AC37" s="329"/>
      <c r="AD37" s="152"/>
      <c r="AE37" s="152"/>
      <c r="AF37" s="328"/>
      <c r="AG37" s="328"/>
      <c r="AH37" s="328"/>
      <c r="AI37" s="328"/>
      <c r="AJ37" s="328"/>
      <c r="AK37" s="328"/>
      <c r="AL37" s="328"/>
      <c r="AM37" s="328"/>
      <c r="AN37" s="328"/>
      <c r="AO37" s="328"/>
      <c r="AP37" s="329"/>
      <c r="AQ37" s="152"/>
      <c r="AR37" s="152"/>
      <c r="AS37" s="152"/>
      <c r="AT37" s="152"/>
      <c r="AU37" s="152"/>
    </row>
    <row r="38" spans="1:47" s="333" customFormat="1">
      <c r="A38" s="97" t="s">
        <v>508</v>
      </c>
      <c r="B38" s="67">
        <v>5.0999999999999996</v>
      </c>
      <c r="C38" s="334" t="s">
        <v>26</v>
      </c>
      <c r="D38" s="258">
        <v>10</v>
      </c>
      <c r="E38" s="258">
        <v>3</v>
      </c>
      <c r="F38" s="4">
        <v>1287</v>
      </c>
      <c r="G38" s="345">
        <v>1287</v>
      </c>
      <c r="H38" s="345"/>
      <c r="I38" s="344">
        <v>0.4</v>
      </c>
      <c r="J38" s="379">
        <f>ROUND(G38*(1+'29_01_H_2020'!$O$14),2)</f>
        <v>1613.77</v>
      </c>
      <c r="K38" s="151">
        <f t="shared" si="5"/>
        <v>0</v>
      </c>
      <c r="L38" s="151">
        <f>ROUND(H38*(1+'29_01_H_2020'!$O$14),2)</f>
        <v>0</v>
      </c>
      <c r="M38" s="151">
        <f t="shared" si="6"/>
        <v>326.77</v>
      </c>
      <c r="N38" s="151">
        <f t="shared" si="7"/>
        <v>130.708</v>
      </c>
      <c r="O38" s="151">
        <f t="shared" si="8"/>
        <v>1568.4960000000001</v>
      </c>
      <c r="P38" s="151">
        <f>ROUND(O38*'29_01_H_2020'!$O$17,2)</f>
        <v>370.01</v>
      </c>
      <c r="Q38" s="380">
        <f t="shared" si="9"/>
        <v>1938.5060000000001</v>
      </c>
      <c r="R38" s="152"/>
      <c r="S38" s="328"/>
      <c r="T38" s="328"/>
      <c r="U38" s="328"/>
      <c r="V38" s="328"/>
      <c r="W38" s="328"/>
      <c r="X38" s="328"/>
      <c r="Y38" s="328"/>
      <c r="Z38" s="328"/>
      <c r="AA38" s="328"/>
      <c r="AB38" s="328"/>
      <c r="AC38" s="329"/>
      <c r="AD38" s="152"/>
      <c r="AE38" s="152"/>
      <c r="AF38" s="328"/>
      <c r="AG38" s="328"/>
      <c r="AH38" s="328"/>
      <c r="AI38" s="328"/>
      <c r="AJ38" s="328"/>
      <c r="AK38" s="328"/>
      <c r="AL38" s="328"/>
      <c r="AM38" s="328"/>
      <c r="AN38" s="328"/>
      <c r="AO38" s="328"/>
      <c r="AP38" s="329"/>
      <c r="AQ38" s="152"/>
      <c r="AR38" s="152"/>
      <c r="AS38" s="152"/>
      <c r="AT38" s="152"/>
      <c r="AU38" s="152"/>
    </row>
    <row r="39" spans="1:47" s="333" customFormat="1">
      <c r="A39" s="97" t="s">
        <v>508</v>
      </c>
      <c r="B39" s="67">
        <v>5.0999999999999996</v>
      </c>
      <c r="C39" s="334" t="s">
        <v>26</v>
      </c>
      <c r="D39" s="258">
        <v>10</v>
      </c>
      <c r="E39" s="258">
        <v>3</v>
      </c>
      <c r="F39" s="4">
        <v>1287</v>
      </c>
      <c r="G39" s="345">
        <v>1287</v>
      </c>
      <c r="H39" s="345"/>
      <c r="I39" s="344">
        <v>1</v>
      </c>
      <c r="J39" s="379">
        <f>ROUND(G39*(1+'29_01_H_2020'!$O$14),2)</f>
        <v>1613.77</v>
      </c>
      <c r="K39" s="151">
        <f t="shared" si="5"/>
        <v>0</v>
      </c>
      <c r="L39" s="151">
        <f>ROUND(H39*(1+'29_01_H_2020'!$O$14),2)</f>
        <v>0</v>
      </c>
      <c r="M39" s="151">
        <f t="shared" si="6"/>
        <v>326.77</v>
      </c>
      <c r="N39" s="151">
        <f t="shared" si="7"/>
        <v>326.77</v>
      </c>
      <c r="O39" s="151">
        <f t="shared" si="8"/>
        <v>3921.24</v>
      </c>
      <c r="P39" s="151">
        <f>ROUND(O39*'29_01_H_2020'!$O$17,2)</f>
        <v>925.02</v>
      </c>
      <c r="Q39" s="380">
        <f t="shared" si="9"/>
        <v>4846.26</v>
      </c>
      <c r="R39" s="152"/>
      <c r="S39" s="328"/>
      <c r="T39" s="328"/>
      <c r="U39" s="328"/>
      <c r="V39" s="328"/>
      <c r="W39" s="328"/>
      <c r="X39" s="328"/>
      <c r="Y39" s="328"/>
      <c r="Z39" s="328"/>
      <c r="AA39" s="328"/>
      <c r="AB39" s="328"/>
      <c r="AC39" s="329"/>
      <c r="AD39" s="152"/>
      <c r="AE39" s="152"/>
      <c r="AF39" s="328"/>
      <c r="AG39" s="328"/>
      <c r="AH39" s="328"/>
      <c r="AI39" s="328"/>
      <c r="AJ39" s="328"/>
      <c r="AK39" s="328"/>
      <c r="AL39" s="328"/>
      <c r="AM39" s="328"/>
      <c r="AN39" s="328"/>
      <c r="AO39" s="328"/>
      <c r="AP39" s="329"/>
      <c r="AQ39" s="152"/>
      <c r="AR39" s="152"/>
      <c r="AS39" s="152"/>
      <c r="AT39" s="152"/>
      <c r="AU39" s="152"/>
    </row>
    <row r="40" spans="1:47" s="333" customFormat="1">
      <c r="A40" s="97" t="s">
        <v>508</v>
      </c>
      <c r="B40" s="67">
        <v>5.0999999999999996</v>
      </c>
      <c r="C40" s="334" t="s">
        <v>26</v>
      </c>
      <c r="D40" s="258">
        <v>10</v>
      </c>
      <c r="E40" s="258">
        <v>3</v>
      </c>
      <c r="F40" s="4">
        <v>1287</v>
      </c>
      <c r="G40" s="345">
        <v>1287</v>
      </c>
      <c r="H40" s="345"/>
      <c r="I40" s="344">
        <v>0.75</v>
      </c>
      <c r="J40" s="379">
        <f>ROUND(G40*(1+'29_01_H_2020'!$O$14),2)</f>
        <v>1613.77</v>
      </c>
      <c r="K40" s="151">
        <f t="shared" si="5"/>
        <v>0</v>
      </c>
      <c r="L40" s="151">
        <f>ROUND(H40*(1+'29_01_H_2020'!$O$14),2)</f>
        <v>0</v>
      </c>
      <c r="M40" s="151">
        <f t="shared" si="6"/>
        <v>326.77</v>
      </c>
      <c r="N40" s="151">
        <f t="shared" si="7"/>
        <v>245.07749999999999</v>
      </c>
      <c r="O40" s="151">
        <f t="shared" si="8"/>
        <v>2940.93</v>
      </c>
      <c r="P40" s="151">
        <f>ROUND(O40*'29_01_H_2020'!$O$17,2)</f>
        <v>693.77</v>
      </c>
      <c r="Q40" s="380">
        <f t="shared" si="9"/>
        <v>3634.7</v>
      </c>
      <c r="R40" s="152"/>
      <c r="S40" s="328"/>
      <c r="T40" s="328"/>
      <c r="U40" s="328"/>
      <c r="V40" s="328"/>
      <c r="W40" s="328"/>
      <c r="X40" s="328"/>
      <c r="Y40" s="328"/>
      <c r="Z40" s="328"/>
      <c r="AA40" s="328"/>
      <c r="AB40" s="328"/>
      <c r="AC40" s="329"/>
      <c r="AD40" s="152"/>
      <c r="AE40" s="152"/>
      <c r="AF40" s="328"/>
      <c r="AG40" s="328"/>
      <c r="AH40" s="328"/>
      <c r="AI40" s="328"/>
      <c r="AJ40" s="328"/>
      <c r="AK40" s="328"/>
      <c r="AL40" s="328"/>
      <c r="AM40" s="328"/>
      <c r="AN40" s="328"/>
      <c r="AO40" s="328"/>
      <c r="AP40" s="329"/>
      <c r="AQ40" s="152"/>
      <c r="AR40" s="152"/>
      <c r="AS40" s="152"/>
      <c r="AT40" s="152"/>
      <c r="AU40" s="152"/>
    </row>
    <row r="41" spans="1:47">
      <c r="A41" s="11" t="s">
        <v>55</v>
      </c>
      <c r="B41" s="8" t="s">
        <v>52</v>
      </c>
      <c r="C41" s="9" t="s">
        <v>52</v>
      </c>
      <c r="D41" s="9" t="s">
        <v>52</v>
      </c>
      <c r="E41" s="9" t="s">
        <v>52</v>
      </c>
      <c r="F41" s="10" t="s">
        <v>52</v>
      </c>
      <c r="G41" s="10" t="s">
        <v>52</v>
      </c>
      <c r="H41" s="10" t="s">
        <v>52</v>
      </c>
      <c r="I41" s="313">
        <f>SUM(I11:I40)</f>
        <v>20.100000000000001</v>
      </c>
      <c r="J41" s="404"/>
      <c r="K41" s="405"/>
      <c r="L41" s="405"/>
      <c r="M41" s="405"/>
      <c r="N41" s="405"/>
      <c r="O41" s="405"/>
      <c r="P41" s="405"/>
      <c r="Q41" s="406"/>
      <c r="R41" s="152"/>
      <c r="S41" s="152"/>
      <c r="T41" s="152"/>
      <c r="U41" s="152"/>
      <c r="V41" s="152"/>
      <c r="W41" s="152"/>
      <c r="X41" s="152"/>
      <c r="Y41" s="152"/>
      <c r="Z41" s="152"/>
      <c r="AA41" s="152"/>
      <c r="AB41" s="152"/>
      <c r="AC41" s="152"/>
      <c r="AD41" s="152"/>
      <c r="AE41" s="152"/>
      <c r="AF41" s="152"/>
      <c r="AG41" s="152"/>
      <c r="AH41" s="152"/>
      <c r="AI41" s="152"/>
      <c r="AJ41" s="152"/>
      <c r="AK41" s="152"/>
      <c r="AL41" s="152"/>
      <c r="AM41" s="152"/>
      <c r="AN41" s="152"/>
      <c r="AO41" s="152"/>
      <c r="AP41" s="152"/>
      <c r="AQ41" s="152"/>
      <c r="AR41" s="152"/>
      <c r="AS41" s="152"/>
      <c r="AT41" s="152"/>
      <c r="AU41" s="152"/>
    </row>
    <row r="42" spans="1:47">
      <c r="A42" s="1127" t="s">
        <v>28</v>
      </c>
      <c r="B42" s="1128"/>
      <c r="C42" s="1128"/>
      <c r="D42" s="1128"/>
      <c r="E42" s="1128"/>
      <c r="F42" s="1128"/>
      <c r="G42" s="1128"/>
      <c r="H42" s="1128"/>
      <c r="I42" s="1129"/>
      <c r="J42" s="385"/>
      <c r="K42" s="383"/>
      <c r="L42" s="383"/>
      <c r="M42" s="383"/>
      <c r="N42" s="383"/>
      <c r="O42" s="383"/>
      <c r="P42" s="383"/>
      <c r="Q42" s="386"/>
      <c r="R42" s="152"/>
      <c r="S42" s="152"/>
      <c r="T42" s="152"/>
      <c r="U42" s="152"/>
      <c r="V42" s="152"/>
      <c r="W42" s="152"/>
      <c r="X42" s="152"/>
      <c r="Y42" s="152"/>
      <c r="Z42" s="152"/>
      <c r="AA42" s="152"/>
      <c r="AB42" s="152"/>
      <c r="AC42" s="152"/>
      <c r="AD42" s="152"/>
      <c r="AE42" s="152"/>
      <c r="AF42" s="152"/>
      <c r="AG42" s="152"/>
      <c r="AH42" s="152"/>
      <c r="AI42" s="152"/>
      <c r="AJ42" s="152"/>
      <c r="AK42" s="152"/>
      <c r="AL42" s="152"/>
      <c r="AM42" s="152"/>
      <c r="AN42" s="152"/>
      <c r="AO42" s="152"/>
      <c r="AP42" s="152"/>
      <c r="AQ42" s="152"/>
      <c r="AR42" s="152"/>
      <c r="AS42" s="152"/>
      <c r="AT42" s="152"/>
      <c r="AU42" s="152"/>
    </row>
    <row r="43" spans="1:47">
      <c r="A43" s="138" t="s">
        <v>509</v>
      </c>
      <c r="B43" s="68">
        <v>5.2</v>
      </c>
      <c r="C43" s="69" t="s">
        <v>19</v>
      </c>
      <c r="D43" s="257">
        <v>8</v>
      </c>
      <c r="E43" s="258">
        <v>3</v>
      </c>
      <c r="F43" s="4">
        <v>1093</v>
      </c>
      <c r="G43" s="297">
        <v>1093</v>
      </c>
      <c r="H43" s="297"/>
      <c r="I43" s="314">
        <v>1</v>
      </c>
      <c r="J43" s="379">
        <f>ROUND(G43*(1+'29_01_H_2020'!$O$10),2)</f>
        <v>1370.51</v>
      </c>
      <c r="K43" s="151">
        <f t="shared" ref="K43:K63" si="10">L43-H43</f>
        <v>0</v>
      </c>
      <c r="L43" s="151">
        <f>ROUND(H43*(1+'29_01_H_2020'!$O$10),2)</f>
        <v>0</v>
      </c>
      <c r="M43" s="151">
        <f t="shared" ref="M43:M63" si="11">(J43+L43)-(G43+H43)</f>
        <v>277.51</v>
      </c>
      <c r="N43" s="151">
        <f t="shared" ref="N43:N63" si="12">M43*I43</f>
        <v>277.51</v>
      </c>
      <c r="O43" s="151">
        <f t="shared" ref="O43:O63" si="13">N43*12</f>
        <v>3330.12</v>
      </c>
      <c r="P43" s="151">
        <f>ROUND(O43*'29_01_H_2020'!$O$17,2)</f>
        <v>785.58</v>
      </c>
      <c r="Q43" s="380">
        <f t="shared" ref="Q43" si="14">SUM(O43:P43)</f>
        <v>4115.7</v>
      </c>
      <c r="R43" s="152"/>
      <c r="S43" s="328"/>
      <c r="T43" s="328"/>
      <c r="U43" s="328"/>
      <c r="V43" s="328"/>
      <c r="W43" s="328"/>
      <c r="X43" s="328"/>
      <c r="Y43" s="328"/>
      <c r="Z43" s="328"/>
      <c r="AA43" s="328"/>
      <c r="AB43" s="328"/>
      <c r="AC43" s="329"/>
      <c r="AD43" s="152"/>
      <c r="AE43" s="152"/>
      <c r="AF43" s="328"/>
      <c r="AG43" s="328"/>
      <c r="AH43" s="328"/>
      <c r="AI43" s="328"/>
      <c r="AJ43" s="328"/>
      <c r="AK43" s="328"/>
      <c r="AL43" s="328"/>
      <c r="AM43" s="328"/>
      <c r="AN43" s="328"/>
      <c r="AO43" s="328"/>
      <c r="AP43" s="329"/>
      <c r="AQ43" s="152"/>
      <c r="AR43" s="152"/>
      <c r="AS43" s="152"/>
      <c r="AT43" s="152"/>
      <c r="AU43" s="152"/>
    </row>
    <row r="44" spans="1:47">
      <c r="A44" s="138" t="s">
        <v>510</v>
      </c>
      <c r="B44" s="68">
        <v>5.0999999999999996</v>
      </c>
      <c r="C44" s="69" t="s">
        <v>37</v>
      </c>
      <c r="D44" s="257">
        <v>8</v>
      </c>
      <c r="E44" s="258">
        <v>3</v>
      </c>
      <c r="F44" s="4">
        <v>1093</v>
      </c>
      <c r="G44" s="297">
        <v>1093</v>
      </c>
      <c r="H44" s="297"/>
      <c r="I44" s="314">
        <v>1</v>
      </c>
      <c r="J44" s="379">
        <f>ROUND(G44*(1+'29_01_H_2020'!$O$10),2)</f>
        <v>1370.51</v>
      </c>
      <c r="K44" s="151">
        <f t="shared" si="10"/>
        <v>0</v>
      </c>
      <c r="L44" s="151">
        <f>ROUND(H44*(1+'29_01_H_2020'!$O$10),2)</f>
        <v>0</v>
      </c>
      <c r="M44" s="151">
        <f t="shared" si="11"/>
        <v>277.51</v>
      </c>
      <c r="N44" s="151">
        <f t="shared" si="12"/>
        <v>277.51</v>
      </c>
      <c r="O44" s="151">
        <f t="shared" si="13"/>
        <v>3330.12</v>
      </c>
      <c r="P44" s="151">
        <f>ROUND(O44*'29_01_H_2020'!$O$17,2)</f>
        <v>785.58</v>
      </c>
      <c r="Q44" s="380">
        <f t="shared" ref="Q44:Q63" si="15">SUM(O44:P44)</f>
        <v>4115.7</v>
      </c>
      <c r="R44" s="152"/>
      <c r="S44" s="328"/>
      <c r="T44" s="328"/>
      <c r="U44" s="328"/>
      <c r="V44" s="328"/>
      <c r="W44" s="328"/>
      <c r="X44" s="328"/>
      <c r="Y44" s="328"/>
      <c r="Z44" s="328"/>
      <c r="AA44" s="328"/>
      <c r="AB44" s="328"/>
      <c r="AC44" s="329"/>
      <c r="AD44" s="152"/>
      <c r="AE44" s="152"/>
      <c r="AF44" s="328"/>
      <c r="AG44" s="328"/>
      <c r="AH44" s="328"/>
      <c r="AI44" s="328"/>
      <c r="AJ44" s="328"/>
      <c r="AK44" s="328"/>
      <c r="AL44" s="328"/>
      <c r="AM44" s="328"/>
      <c r="AN44" s="328"/>
      <c r="AO44" s="328"/>
      <c r="AP44" s="329"/>
      <c r="AQ44" s="152"/>
      <c r="AR44" s="152"/>
      <c r="AS44" s="152"/>
      <c r="AT44" s="152"/>
      <c r="AU44" s="152"/>
    </row>
    <row r="45" spans="1:47">
      <c r="A45" s="138" t="s">
        <v>509</v>
      </c>
      <c r="B45" s="68">
        <v>5.2</v>
      </c>
      <c r="C45" s="69" t="s">
        <v>19</v>
      </c>
      <c r="D45" s="257">
        <v>8</v>
      </c>
      <c r="E45" s="258">
        <v>1</v>
      </c>
      <c r="F45" s="4">
        <v>745</v>
      </c>
      <c r="G45" s="297">
        <v>745</v>
      </c>
      <c r="H45" s="297"/>
      <c r="I45" s="314">
        <v>1</v>
      </c>
      <c r="J45" s="379">
        <f>ROUND(G45*(1+'29_01_H_2020'!$O$10),2)</f>
        <v>934.16</v>
      </c>
      <c r="K45" s="151">
        <f t="shared" si="10"/>
        <v>0</v>
      </c>
      <c r="L45" s="151">
        <f>ROUND(H45*(1+'29_01_H_2020'!$O$10),2)</f>
        <v>0</v>
      </c>
      <c r="M45" s="151">
        <f t="shared" si="11"/>
        <v>189.15999999999997</v>
      </c>
      <c r="N45" s="151">
        <f t="shared" si="12"/>
        <v>189.15999999999997</v>
      </c>
      <c r="O45" s="151">
        <f t="shared" si="13"/>
        <v>2269.9199999999996</v>
      </c>
      <c r="P45" s="151">
        <f>ROUND(O45*'29_01_H_2020'!$O$17,2)</f>
        <v>535.47</v>
      </c>
      <c r="Q45" s="380">
        <f t="shared" si="15"/>
        <v>2805.3899999999994</v>
      </c>
      <c r="R45" s="152"/>
      <c r="S45" s="328"/>
      <c r="T45" s="328"/>
      <c r="U45" s="328"/>
      <c r="V45" s="328"/>
      <c r="W45" s="328"/>
      <c r="X45" s="328"/>
      <c r="Y45" s="328"/>
      <c r="Z45" s="328"/>
      <c r="AA45" s="328"/>
      <c r="AB45" s="328"/>
      <c r="AC45" s="329"/>
      <c r="AD45" s="152"/>
      <c r="AE45" s="152"/>
      <c r="AF45" s="328"/>
      <c r="AG45" s="328"/>
      <c r="AH45" s="328"/>
      <c r="AI45" s="328"/>
      <c r="AJ45" s="328"/>
      <c r="AK45" s="328"/>
      <c r="AL45" s="328"/>
      <c r="AM45" s="328"/>
      <c r="AN45" s="328"/>
      <c r="AO45" s="328"/>
      <c r="AP45" s="329"/>
      <c r="AQ45" s="152"/>
      <c r="AR45" s="152"/>
      <c r="AS45" s="152"/>
      <c r="AT45" s="152"/>
      <c r="AU45" s="152"/>
    </row>
    <row r="46" spans="1:47">
      <c r="A46" s="138" t="s">
        <v>509</v>
      </c>
      <c r="B46" s="68">
        <v>5.2</v>
      </c>
      <c r="C46" s="69" t="s">
        <v>19</v>
      </c>
      <c r="D46" s="257">
        <v>8</v>
      </c>
      <c r="E46" s="258">
        <v>3</v>
      </c>
      <c r="F46" s="4">
        <v>1093</v>
      </c>
      <c r="G46" s="297">
        <v>1093</v>
      </c>
      <c r="H46" s="297"/>
      <c r="I46" s="314">
        <v>1</v>
      </c>
      <c r="J46" s="379">
        <f>ROUND(G46*(1+'29_01_H_2020'!$O$10),2)</f>
        <v>1370.51</v>
      </c>
      <c r="K46" s="151">
        <f t="shared" si="10"/>
        <v>0</v>
      </c>
      <c r="L46" s="151">
        <f>ROUND(H46*(1+'29_01_H_2020'!$O$10),2)</f>
        <v>0</v>
      </c>
      <c r="M46" s="151">
        <f t="shared" si="11"/>
        <v>277.51</v>
      </c>
      <c r="N46" s="151">
        <f t="shared" si="12"/>
        <v>277.51</v>
      </c>
      <c r="O46" s="151">
        <f t="shared" si="13"/>
        <v>3330.12</v>
      </c>
      <c r="P46" s="151">
        <f>ROUND(O46*'29_01_H_2020'!$O$17,2)</f>
        <v>785.58</v>
      </c>
      <c r="Q46" s="380">
        <f t="shared" si="15"/>
        <v>4115.7</v>
      </c>
      <c r="R46" s="152"/>
      <c r="S46" s="328"/>
      <c r="T46" s="328"/>
      <c r="U46" s="328"/>
      <c r="V46" s="328"/>
      <c r="W46" s="328"/>
      <c r="X46" s="328"/>
      <c r="Y46" s="328"/>
      <c r="Z46" s="328"/>
      <c r="AA46" s="328"/>
      <c r="AB46" s="328"/>
      <c r="AC46" s="329"/>
      <c r="AD46" s="152"/>
      <c r="AE46" s="152"/>
      <c r="AF46" s="328"/>
      <c r="AG46" s="328"/>
      <c r="AH46" s="328"/>
      <c r="AI46" s="328"/>
      <c r="AJ46" s="328"/>
      <c r="AK46" s="328"/>
      <c r="AL46" s="328"/>
      <c r="AM46" s="328"/>
      <c r="AN46" s="328"/>
      <c r="AO46" s="328"/>
      <c r="AP46" s="329"/>
      <c r="AQ46" s="152"/>
      <c r="AR46" s="152"/>
      <c r="AS46" s="152"/>
      <c r="AT46" s="152"/>
      <c r="AU46" s="152"/>
    </row>
    <row r="47" spans="1:47">
      <c r="A47" s="138" t="s">
        <v>509</v>
      </c>
      <c r="B47" s="68">
        <v>5.2</v>
      </c>
      <c r="C47" s="69" t="s">
        <v>19</v>
      </c>
      <c r="D47" s="257">
        <v>8</v>
      </c>
      <c r="E47" s="258">
        <v>3</v>
      </c>
      <c r="F47" s="4">
        <v>1093</v>
      </c>
      <c r="G47" s="297">
        <v>1093</v>
      </c>
      <c r="H47" s="297"/>
      <c r="I47" s="314">
        <v>1</v>
      </c>
      <c r="J47" s="379">
        <f>ROUND(G47*(1+'29_01_H_2020'!$O$10),2)</f>
        <v>1370.51</v>
      </c>
      <c r="K47" s="151">
        <f t="shared" si="10"/>
        <v>0</v>
      </c>
      <c r="L47" s="151">
        <f>ROUND(H47*(1+'29_01_H_2020'!$O$10),2)</f>
        <v>0</v>
      </c>
      <c r="M47" s="151">
        <f t="shared" si="11"/>
        <v>277.51</v>
      </c>
      <c r="N47" s="151">
        <f t="shared" si="12"/>
        <v>277.51</v>
      </c>
      <c r="O47" s="151">
        <f t="shared" si="13"/>
        <v>3330.12</v>
      </c>
      <c r="P47" s="151">
        <f>ROUND(O47*'29_01_H_2020'!$O$17,2)</f>
        <v>785.58</v>
      </c>
      <c r="Q47" s="380">
        <f t="shared" si="15"/>
        <v>4115.7</v>
      </c>
      <c r="R47" s="152"/>
      <c r="S47" s="328"/>
      <c r="T47" s="328"/>
      <c r="U47" s="328"/>
      <c r="V47" s="328"/>
      <c r="W47" s="328"/>
      <c r="X47" s="328"/>
      <c r="Y47" s="328"/>
      <c r="Z47" s="328"/>
      <c r="AA47" s="328"/>
      <c r="AB47" s="328"/>
      <c r="AC47" s="329"/>
      <c r="AD47" s="152"/>
      <c r="AE47" s="152"/>
      <c r="AF47" s="328"/>
      <c r="AG47" s="328"/>
      <c r="AH47" s="328"/>
      <c r="AI47" s="328"/>
      <c r="AJ47" s="328"/>
      <c r="AK47" s="328"/>
      <c r="AL47" s="328"/>
      <c r="AM47" s="328"/>
      <c r="AN47" s="328"/>
      <c r="AO47" s="328"/>
      <c r="AP47" s="329"/>
      <c r="AQ47" s="152"/>
      <c r="AR47" s="152"/>
      <c r="AS47" s="152"/>
      <c r="AT47" s="152"/>
      <c r="AU47" s="152"/>
    </row>
    <row r="48" spans="1:47">
      <c r="A48" s="138" t="s">
        <v>509</v>
      </c>
      <c r="B48" s="68">
        <v>5.2</v>
      </c>
      <c r="C48" s="69" t="s">
        <v>19</v>
      </c>
      <c r="D48" s="257">
        <v>8</v>
      </c>
      <c r="E48" s="258">
        <v>3</v>
      </c>
      <c r="F48" s="4">
        <v>1093</v>
      </c>
      <c r="G48" s="297">
        <v>1093</v>
      </c>
      <c r="H48" s="297"/>
      <c r="I48" s="314">
        <v>1</v>
      </c>
      <c r="J48" s="379">
        <f>ROUND(G48*(1+'29_01_H_2020'!$O$10),2)</f>
        <v>1370.51</v>
      </c>
      <c r="K48" s="151">
        <f t="shared" si="10"/>
        <v>0</v>
      </c>
      <c r="L48" s="151">
        <f>ROUND(H48*(1+'29_01_H_2020'!$O$10),2)</f>
        <v>0</v>
      </c>
      <c r="M48" s="151">
        <f t="shared" si="11"/>
        <v>277.51</v>
      </c>
      <c r="N48" s="151">
        <f t="shared" si="12"/>
        <v>277.51</v>
      </c>
      <c r="O48" s="151">
        <f t="shared" si="13"/>
        <v>3330.12</v>
      </c>
      <c r="P48" s="151">
        <f>ROUND(O48*'29_01_H_2020'!$O$17,2)</f>
        <v>785.58</v>
      </c>
      <c r="Q48" s="380">
        <f t="shared" si="15"/>
        <v>4115.7</v>
      </c>
      <c r="R48" s="152"/>
      <c r="S48" s="328"/>
      <c r="T48" s="328"/>
      <c r="U48" s="328"/>
      <c r="V48" s="328"/>
      <c r="W48" s="328"/>
      <c r="X48" s="328"/>
      <c r="Y48" s="328"/>
      <c r="Z48" s="328"/>
      <c r="AA48" s="328"/>
      <c r="AB48" s="328"/>
      <c r="AC48" s="329"/>
      <c r="AD48" s="152"/>
      <c r="AE48" s="152"/>
      <c r="AF48" s="328"/>
      <c r="AG48" s="328"/>
      <c r="AH48" s="328"/>
      <c r="AI48" s="328"/>
      <c r="AJ48" s="328"/>
      <c r="AK48" s="328"/>
      <c r="AL48" s="328"/>
      <c r="AM48" s="328"/>
      <c r="AN48" s="328"/>
      <c r="AO48" s="328"/>
      <c r="AP48" s="329"/>
      <c r="AQ48" s="152"/>
      <c r="AR48" s="152"/>
      <c r="AS48" s="152"/>
      <c r="AT48" s="152"/>
      <c r="AU48" s="152"/>
    </row>
    <row r="49" spans="1:47">
      <c r="A49" s="138" t="s">
        <v>509</v>
      </c>
      <c r="B49" s="68">
        <v>5.2</v>
      </c>
      <c r="C49" s="69" t="s">
        <v>19</v>
      </c>
      <c r="D49" s="257">
        <v>8</v>
      </c>
      <c r="E49" s="258">
        <v>3</v>
      </c>
      <c r="F49" s="4">
        <v>1093</v>
      </c>
      <c r="G49" s="297">
        <v>1093</v>
      </c>
      <c r="H49" s="297"/>
      <c r="I49" s="314">
        <v>1</v>
      </c>
      <c r="J49" s="379">
        <f>ROUND(G49*(1+'29_01_H_2020'!$O$10),2)</f>
        <v>1370.51</v>
      </c>
      <c r="K49" s="151">
        <f t="shared" si="10"/>
        <v>0</v>
      </c>
      <c r="L49" s="151">
        <f>ROUND(H49*(1+'29_01_H_2020'!$O$10),2)</f>
        <v>0</v>
      </c>
      <c r="M49" s="151">
        <f t="shared" si="11"/>
        <v>277.51</v>
      </c>
      <c r="N49" s="151">
        <f t="shared" si="12"/>
        <v>277.51</v>
      </c>
      <c r="O49" s="151">
        <f t="shared" si="13"/>
        <v>3330.12</v>
      </c>
      <c r="P49" s="151">
        <f>ROUND(O49*'29_01_H_2020'!$O$17,2)</f>
        <v>785.58</v>
      </c>
      <c r="Q49" s="380">
        <f t="shared" si="15"/>
        <v>4115.7</v>
      </c>
      <c r="R49" s="152"/>
      <c r="S49" s="328"/>
      <c r="T49" s="328"/>
      <c r="U49" s="328"/>
      <c r="V49" s="328"/>
      <c r="W49" s="328"/>
      <c r="X49" s="328"/>
      <c r="Y49" s="328"/>
      <c r="Z49" s="328"/>
      <c r="AA49" s="328"/>
      <c r="AB49" s="328"/>
      <c r="AC49" s="329"/>
      <c r="AD49" s="152"/>
      <c r="AE49" s="152"/>
      <c r="AF49" s="328"/>
      <c r="AG49" s="328"/>
      <c r="AH49" s="328"/>
      <c r="AI49" s="328"/>
      <c r="AJ49" s="328"/>
      <c r="AK49" s="328"/>
      <c r="AL49" s="328"/>
      <c r="AM49" s="328"/>
      <c r="AN49" s="328"/>
      <c r="AO49" s="328"/>
      <c r="AP49" s="329"/>
      <c r="AQ49" s="152"/>
      <c r="AR49" s="152"/>
      <c r="AS49" s="152"/>
      <c r="AT49" s="152"/>
      <c r="AU49" s="152"/>
    </row>
    <row r="50" spans="1:47">
      <c r="A50" s="138" t="s">
        <v>511</v>
      </c>
      <c r="B50" s="67">
        <v>5.0999999999999996</v>
      </c>
      <c r="C50" s="3" t="s">
        <v>37</v>
      </c>
      <c r="D50" s="257">
        <v>8</v>
      </c>
      <c r="E50" s="258">
        <v>3</v>
      </c>
      <c r="F50" s="4">
        <v>1093</v>
      </c>
      <c r="G50" s="183">
        <v>1093</v>
      </c>
      <c r="H50" s="183"/>
      <c r="I50" s="312">
        <v>1</v>
      </c>
      <c r="J50" s="379">
        <f>ROUND(G50*(1+'29_01_H_2020'!$O$10),2)</f>
        <v>1370.51</v>
      </c>
      <c r="K50" s="151">
        <f t="shared" si="10"/>
        <v>0</v>
      </c>
      <c r="L50" s="151">
        <f>ROUND(H50*(1+'29_01_H_2020'!$O$10),2)</f>
        <v>0</v>
      </c>
      <c r="M50" s="151">
        <f t="shared" si="11"/>
        <v>277.51</v>
      </c>
      <c r="N50" s="151">
        <f t="shared" si="12"/>
        <v>277.51</v>
      </c>
      <c r="O50" s="151">
        <f t="shared" si="13"/>
        <v>3330.12</v>
      </c>
      <c r="P50" s="151">
        <f>ROUND(O50*'29_01_H_2020'!$O$17,2)</f>
        <v>785.58</v>
      </c>
      <c r="Q50" s="380">
        <f t="shared" si="15"/>
        <v>4115.7</v>
      </c>
      <c r="R50" s="152"/>
      <c r="S50" s="328"/>
      <c r="T50" s="328"/>
      <c r="U50" s="328"/>
      <c r="V50" s="328"/>
      <c r="W50" s="328"/>
      <c r="X50" s="328"/>
      <c r="Y50" s="328"/>
      <c r="Z50" s="328"/>
      <c r="AA50" s="328"/>
      <c r="AB50" s="328"/>
      <c r="AC50" s="329"/>
      <c r="AD50" s="152"/>
      <c r="AE50" s="152"/>
      <c r="AF50" s="328"/>
      <c r="AG50" s="328"/>
      <c r="AH50" s="328"/>
      <c r="AI50" s="328"/>
      <c r="AJ50" s="328"/>
      <c r="AK50" s="328"/>
      <c r="AL50" s="328"/>
      <c r="AM50" s="328"/>
      <c r="AN50" s="328"/>
      <c r="AO50" s="328"/>
      <c r="AP50" s="329"/>
      <c r="AQ50" s="152"/>
      <c r="AR50" s="152"/>
      <c r="AS50" s="152"/>
      <c r="AT50" s="152"/>
      <c r="AU50" s="152"/>
    </row>
    <row r="51" spans="1:47">
      <c r="A51" s="138" t="s">
        <v>509</v>
      </c>
      <c r="B51" s="67">
        <v>5.2</v>
      </c>
      <c r="C51" s="3" t="s">
        <v>19</v>
      </c>
      <c r="D51" s="257">
        <v>8</v>
      </c>
      <c r="E51" s="258">
        <v>3</v>
      </c>
      <c r="F51" s="4">
        <v>1093</v>
      </c>
      <c r="G51" s="183">
        <v>1093</v>
      </c>
      <c r="H51" s="183"/>
      <c r="I51" s="312">
        <v>1</v>
      </c>
      <c r="J51" s="379">
        <f>ROUND(G51*(1+'29_01_H_2020'!$O$10),2)</f>
        <v>1370.51</v>
      </c>
      <c r="K51" s="151">
        <f t="shared" si="10"/>
        <v>0</v>
      </c>
      <c r="L51" s="151">
        <f>ROUND(H51*(1+'29_01_H_2020'!$O$10),2)</f>
        <v>0</v>
      </c>
      <c r="M51" s="151">
        <f t="shared" si="11"/>
        <v>277.51</v>
      </c>
      <c r="N51" s="151">
        <f t="shared" si="12"/>
        <v>277.51</v>
      </c>
      <c r="O51" s="151">
        <f t="shared" si="13"/>
        <v>3330.12</v>
      </c>
      <c r="P51" s="151">
        <f>ROUND(O51*'29_01_H_2020'!$O$17,2)</f>
        <v>785.58</v>
      </c>
      <c r="Q51" s="380">
        <f t="shared" si="15"/>
        <v>4115.7</v>
      </c>
      <c r="R51" s="152"/>
      <c r="S51" s="328"/>
      <c r="T51" s="328"/>
      <c r="U51" s="328"/>
      <c r="V51" s="328"/>
      <c r="W51" s="328"/>
      <c r="X51" s="328"/>
      <c r="Y51" s="328"/>
      <c r="Z51" s="328"/>
      <c r="AA51" s="328"/>
      <c r="AB51" s="328"/>
      <c r="AC51" s="329"/>
      <c r="AD51" s="152"/>
      <c r="AE51" s="152"/>
      <c r="AF51" s="328"/>
      <c r="AG51" s="328"/>
      <c r="AH51" s="328"/>
      <c r="AI51" s="328"/>
      <c r="AJ51" s="328"/>
      <c r="AK51" s="328"/>
      <c r="AL51" s="328"/>
      <c r="AM51" s="328"/>
      <c r="AN51" s="328"/>
      <c r="AO51" s="328"/>
      <c r="AP51" s="329"/>
      <c r="AQ51" s="152"/>
      <c r="AR51" s="152"/>
      <c r="AS51" s="152"/>
      <c r="AT51" s="152"/>
      <c r="AU51" s="152"/>
    </row>
    <row r="52" spans="1:47">
      <c r="A52" s="138" t="s">
        <v>509</v>
      </c>
      <c r="B52" s="67">
        <v>5.2</v>
      </c>
      <c r="C52" s="3" t="s">
        <v>19</v>
      </c>
      <c r="D52" s="257">
        <v>8</v>
      </c>
      <c r="E52" s="258">
        <v>2</v>
      </c>
      <c r="F52" s="4">
        <v>920</v>
      </c>
      <c r="G52" s="183">
        <v>920</v>
      </c>
      <c r="H52" s="183"/>
      <c r="I52" s="312">
        <v>0.75</v>
      </c>
      <c r="J52" s="379">
        <f>ROUND(G52*(1+'29_01_H_2020'!$O$10),2)</f>
        <v>1153.5899999999999</v>
      </c>
      <c r="K52" s="151">
        <f t="shared" si="10"/>
        <v>0</v>
      </c>
      <c r="L52" s="151">
        <f>ROUND(H52*(1+'29_01_H_2020'!$O$10),2)</f>
        <v>0</v>
      </c>
      <c r="M52" s="151">
        <f t="shared" si="11"/>
        <v>233.58999999999992</v>
      </c>
      <c r="N52" s="151">
        <f t="shared" si="12"/>
        <v>175.19249999999994</v>
      </c>
      <c r="O52" s="151">
        <f t="shared" si="13"/>
        <v>2102.3099999999995</v>
      </c>
      <c r="P52" s="151">
        <f>ROUND(O52*'29_01_H_2020'!$O$17,2)</f>
        <v>495.93</v>
      </c>
      <c r="Q52" s="380">
        <f t="shared" si="15"/>
        <v>2598.2399999999993</v>
      </c>
      <c r="R52" s="152"/>
      <c r="S52" s="328"/>
      <c r="T52" s="328"/>
      <c r="U52" s="328"/>
      <c r="V52" s="328"/>
      <c r="W52" s="328"/>
      <c r="X52" s="328"/>
      <c r="Y52" s="328"/>
      <c r="Z52" s="328"/>
      <c r="AA52" s="328"/>
      <c r="AB52" s="328"/>
      <c r="AC52" s="329"/>
      <c r="AD52" s="152"/>
      <c r="AE52" s="152"/>
      <c r="AF52" s="328"/>
      <c r="AG52" s="328"/>
      <c r="AH52" s="328"/>
      <c r="AI52" s="328"/>
      <c r="AJ52" s="328"/>
      <c r="AK52" s="328"/>
      <c r="AL52" s="328"/>
      <c r="AM52" s="328"/>
      <c r="AN52" s="328"/>
      <c r="AO52" s="328"/>
      <c r="AP52" s="329"/>
      <c r="AQ52" s="152"/>
      <c r="AR52" s="152"/>
      <c r="AS52" s="152"/>
      <c r="AT52" s="152"/>
      <c r="AU52" s="152"/>
    </row>
    <row r="53" spans="1:47">
      <c r="A53" s="138" t="s">
        <v>509</v>
      </c>
      <c r="B53" s="67">
        <v>5.2</v>
      </c>
      <c r="C53" s="3" t="s">
        <v>19</v>
      </c>
      <c r="D53" s="257">
        <v>8</v>
      </c>
      <c r="E53" s="258">
        <v>3</v>
      </c>
      <c r="F53" s="4">
        <v>1093</v>
      </c>
      <c r="G53" s="183">
        <v>1093</v>
      </c>
      <c r="H53" s="183"/>
      <c r="I53" s="312">
        <v>1</v>
      </c>
      <c r="J53" s="379">
        <f>ROUND(G53*(1+'29_01_H_2020'!$O$10),2)</f>
        <v>1370.51</v>
      </c>
      <c r="K53" s="151">
        <f t="shared" si="10"/>
        <v>0</v>
      </c>
      <c r="L53" s="151">
        <f>ROUND(H53*(1+'29_01_H_2020'!$O$10),2)</f>
        <v>0</v>
      </c>
      <c r="M53" s="151">
        <f t="shared" si="11"/>
        <v>277.51</v>
      </c>
      <c r="N53" s="151">
        <f t="shared" si="12"/>
        <v>277.51</v>
      </c>
      <c r="O53" s="151">
        <f t="shared" si="13"/>
        <v>3330.12</v>
      </c>
      <c r="P53" s="151">
        <f>ROUND(O53*'29_01_H_2020'!$O$17,2)</f>
        <v>785.58</v>
      </c>
      <c r="Q53" s="380">
        <f t="shared" si="15"/>
        <v>4115.7</v>
      </c>
      <c r="R53" s="152"/>
      <c r="S53" s="328"/>
      <c r="T53" s="328"/>
      <c r="U53" s="328"/>
      <c r="V53" s="328"/>
      <c r="W53" s="328"/>
      <c r="X53" s="328"/>
      <c r="Y53" s="328"/>
      <c r="Z53" s="328"/>
      <c r="AA53" s="328"/>
      <c r="AB53" s="328"/>
      <c r="AC53" s="329"/>
      <c r="AD53" s="152"/>
      <c r="AE53" s="152"/>
      <c r="AF53" s="328"/>
      <c r="AG53" s="328"/>
      <c r="AH53" s="328"/>
      <c r="AI53" s="328"/>
      <c r="AJ53" s="328"/>
      <c r="AK53" s="328"/>
      <c r="AL53" s="328"/>
      <c r="AM53" s="328"/>
      <c r="AN53" s="328"/>
      <c r="AO53" s="328"/>
      <c r="AP53" s="329"/>
      <c r="AQ53" s="152"/>
      <c r="AR53" s="152"/>
      <c r="AS53" s="152"/>
      <c r="AT53" s="152"/>
      <c r="AU53" s="152"/>
    </row>
    <row r="54" spans="1:47">
      <c r="A54" s="138" t="s">
        <v>512</v>
      </c>
      <c r="B54" s="67">
        <v>5.2</v>
      </c>
      <c r="C54" s="3" t="s">
        <v>26</v>
      </c>
      <c r="D54" s="257">
        <v>7</v>
      </c>
      <c r="E54" s="258">
        <v>3</v>
      </c>
      <c r="F54" s="4">
        <v>996</v>
      </c>
      <c r="G54" s="183">
        <v>996</v>
      </c>
      <c r="H54" s="183"/>
      <c r="I54" s="312">
        <v>1</v>
      </c>
      <c r="J54" s="379">
        <f>ROUND(G54*(1+'29_01_H_2020'!$O$10),2)</f>
        <v>1248.8800000000001</v>
      </c>
      <c r="K54" s="151">
        <f t="shared" si="10"/>
        <v>0</v>
      </c>
      <c r="L54" s="151">
        <f>ROUND(H54*(1+'29_01_H_2020'!$O$10),2)</f>
        <v>0</v>
      </c>
      <c r="M54" s="151">
        <f t="shared" si="11"/>
        <v>252.88000000000011</v>
      </c>
      <c r="N54" s="151">
        <f t="shared" si="12"/>
        <v>252.88000000000011</v>
      </c>
      <c r="O54" s="151">
        <f t="shared" si="13"/>
        <v>3034.5600000000013</v>
      </c>
      <c r="P54" s="151">
        <f>ROUND(O54*'29_01_H_2020'!$O$17,2)</f>
        <v>715.85</v>
      </c>
      <c r="Q54" s="380">
        <f t="shared" si="15"/>
        <v>3750.4100000000012</v>
      </c>
      <c r="R54" s="152"/>
      <c r="S54" s="328"/>
      <c r="T54" s="328"/>
      <c r="U54" s="328"/>
      <c r="V54" s="328"/>
      <c r="W54" s="328"/>
      <c r="X54" s="328"/>
      <c r="Y54" s="328"/>
      <c r="Z54" s="328"/>
      <c r="AA54" s="328"/>
      <c r="AB54" s="328"/>
      <c r="AC54" s="329"/>
      <c r="AD54" s="152"/>
      <c r="AE54" s="152"/>
      <c r="AF54" s="328"/>
      <c r="AG54" s="328"/>
      <c r="AH54" s="328"/>
      <c r="AI54" s="328"/>
      <c r="AJ54" s="328"/>
      <c r="AK54" s="328"/>
      <c r="AL54" s="328"/>
      <c r="AM54" s="328"/>
      <c r="AN54" s="328"/>
      <c r="AO54" s="328"/>
      <c r="AP54" s="329"/>
      <c r="AQ54" s="152"/>
      <c r="AR54" s="152"/>
      <c r="AS54" s="152"/>
      <c r="AT54" s="152"/>
      <c r="AU54" s="152"/>
    </row>
    <row r="55" spans="1:47">
      <c r="A55" s="138" t="s">
        <v>509</v>
      </c>
      <c r="B55" s="67">
        <v>5.2</v>
      </c>
      <c r="C55" s="3" t="s">
        <v>19</v>
      </c>
      <c r="D55" s="257">
        <v>8</v>
      </c>
      <c r="E55" s="258">
        <v>3</v>
      </c>
      <c r="F55" s="4">
        <v>1093</v>
      </c>
      <c r="G55" s="183">
        <v>1093</v>
      </c>
      <c r="H55" s="183"/>
      <c r="I55" s="312">
        <v>1</v>
      </c>
      <c r="J55" s="379">
        <f>ROUND(G55*(1+'29_01_H_2020'!$O$10),2)</f>
        <v>1370.51</v>
      </c>
      <c r="K55" s="151">
        <f t="shared" si="10"/>
        <v>0</v>
      </c>
      <c r="L55" s="151">
        <f>ROUND(H55*(1+'29_01_H_2020'!$O$10),2)</f>
        <v>0</v>
      </c>
      <c r="M55" s="151">
        <f t="shared" si="11"/>
        <v>277.51</v>
      </c>
      <c r="N55" s="151">
        <f t="shared" si="12"/>
        <v>277.51</v>
      </c>
      <c r="O55" s="151">
        <f t="shared" si="13"/>
        <v>3330.12</v>
      </c>
      <c r="P55" s="151">
        <f>ROUND(O55*'29_01_H_2020'!$O$17,2)</f>
        <v>785.58</v>
      </c>
      <c r="Q55" s="380">
        <f t="shared" si="15"/>
        <v>4115.7</v>
      </c>
      <c r="R55" s="152"/>
      <c r="S55" s="328"/>
      <c r="T55" s="328"/>
      <c r="U55" s="328"/>
      <c r="V55" s="328"/>
      <c r="W55" s="328"/>
      <c r="X55" s="328"/>
      <c r="Y55" s="328"/>
      <c r="Z55" s="328"/>
      <c r="AA55" s="328"/>
      <c r="AB55" s="328"/>
      <c r="AC55" s="329"/>
      <c r="AD55" s="152"/>
      <c r="AE55" s="152"/>
      <c r="AF55" s="328"/>
      <c r="AG55" s="328"/>
      <c r="AH55" s="328"/>
      <c r="AI55" s="328"/>
      <c r="AJ55" s="328"/>
      <c r="AK55" s="328"/>
      <c r="AL55" s="328"/>
      <c r="AM55" s="328"/>
      <c r="AN55" s="328"/>
      <c r="AO55" s="328"/>
      <c r="AP55" s="329"/>
      <c r="AQ55" s="152"/>
      <c r="AR55" s="152"/>
      <c r="AS55" s="152"/>
      <c r="AT55" s="152"/>
      <c r="AU55" s="152"/>
    </row>
    <row r="56" spans="1:47">
      <c r="A56" s="138" t="s">
        <v>509</v>
      </c>
      <c r="B56" s="67">
        <v>5.2</v>
      </c>
      <c r="C56" s="3" t="s">
        <v>19</v>
      </c>
      <c r="D56" s="257">
        <v>8</v>
      </c>
      <c r="E56" s="258">
        <v>3</v>
      </c>
      <c r="F56" s="4">
        <v>1093</v>
      </c>
      <c r="G56" s="183">
        <v>1093</v>
      </c>
      <c r="H56" s="183"/>
      <c r="I56" s="312">
        <v>1</v>
      </c>
      <c r="J56" s="379">
        <f>ROUND(G56*(1+'29_01_H_2020'!$O$10),2)</f>
        <v>1370.51</v>
      </c>
      <c r="K56" s="151">
        <f t="shared" si="10"/>
        <v>0</v>
      </c>
      <c r="L56" s="151">
        <f>ROUND(H56*(1+'29_01_H_2020'!$O$10),2)</f>
        <v>0</v>
      </c>
      <c r="M56" s="151">
        <f t="shared" si="11"/>
        <v>277.51</v>
      </c>
      <c r="N56" s="151">
        <f t="shared" si="12"/>
        <v>277.51</v>
      </c>
      <c r="O56" s="151">
        <f t="shared" si="13"/>
        <v>3330.12</v>
      </c>
      <c r="P56" s="151">
        <f>ROUND(O56*'29_01_H_2020'!$O$17,2)</f>
        <v>785.58</v>
      </c>
      <c r="Q56" s="380">
        <f t="shared" si="15"/>
        <v>4115.7</v>
      </c>
      <c r="R56" s="152"/>
      <c r="S56" s="328"/>
      <c r="T56" s="328"/>
      <c r="U56" s="328"/>
      <c r="V56" s="328"/>
      <c r="W56" s="328"/>
      <c r="X56" s="328"/>
      <c r="Y56" s="328"/>
      <c r="Z56" s="328"/>
      <c r="AA56" s="328"/>
      <c r="AB56" s="328"/>
      <c r="AC56" s="329"/>
      <c r="AD56" s="152"/>
      <c r="AE56" s="152"/>
      <c r="AF56" s="328"/>
      <c r="AG56" s="328"/>
      <c r="AH56" s="328"/>
      <c r="AI56" s="328"/>
      <c r="AJ56" s="328"/>
      <c r="AK56" s="328"/>
      <c r="AL56" s="328"/>
      <c r="AM56" s="328"/>
      <c r="AN56" s="328"/>
      <c r="AO56" s="328"/>
      <c r="AP56" s="329"/>
      <c r="AQ56" s="152"/>
      <c r="AR56" s="152"/>
      <c r="AS56" s="152"/>
      <c r="AT56" s="152"/>
      <c r="AU56" s="152"/>
    </row>
    <row r="57" spans="1:47">
      <c r="A57" s="138" t="s">
        <v>509</v>
      </c>
      <c r="B57" s="67">
        <v>5.2</v>
      </c>
      <c r="C57" s="3" t="s">
        <v>19</v>
      </c>
      <c r="D57" s="257">
        <v>8</v>
      </c>
      <c r="E57" s="258">
        <v>3</v>
      </c>
      <c r="F57" s="4">
        <v>1093</v>
      </c>
      <c r="G57" s="183">
        <v>1093</v>
      </c>
      <c r="H57" s="183"/>
      <c r="I57" s="312">
        <v>1</v>
      </c>
      <c r="J57" s="379">
        <f>ROUND(G57*(1+'29_01_H_2020'!$O$10),2)</f>
        <v>1370.51</v>
      </c>
      <c r="K57" s="151">
        <f t="shared" si="10"/>
        <v>0</v>
      </c>
      <c r="L57" s="151">
        <f>ROUND(H57*(1+'29_01_H_2020'!$O$10),2)</f>
        <v>0</v>
      </c>
      <c r="M57" s="151">
        <f t="shared" si="11"/>
        <v>277.51</v>
      </c>
      <c r="N57" s="151">
        <f t="shared" si="12"/>
        <v>277.51</v>
      </c>
      <c r="O57" s="151">
        <f t="shared" si="13"/>
        <v>3330.12</v>
      </c>
      <c r="P57" s="151">
        <f>ROUND(O57*'29_01_H_2020'!$O$17,2)</f>
        <v>785.58</v>
      </c>
      <c r="Q57" s="380">
        <f t="shared" si="15"/>
        <v>4115.7</v>
      </c>
      <c r="R57" s="152"/>
      <c r="S57" s="328"/>
      <c r="T57" s="328"/>
      <c r="U57" s="328"/>
      <c r="V57" s="328"/>
      <c r="W57" s="328"/>
      <c r="X57" s="328"/>
      <c r="Y57" s="328"/>
      <c r="Z57" s="328"/>
      <c r="AA57" s="328"/>
      <c r="AB57" s="328"/>
      <c r="AC57" s="329"/>
      <c r="AD57" s="152"/>
      <c r="AE57" s="152"/>
      <c r="AF57" s="328"/>
      <c r="AG57" s="328"/>
      <c r="AH57" s="328"/>
      <c r="AI57" s="328"/>
      <c r="AJ57" s="328"/>
      <c r="AK57" s="328"/>
      <c r="AL57" s="328"/>
      <c r="AM57" s="328"/>
      <c r="AN57" s="328"/>
      <c r="AO57" s="328"/>
      <c r="AP57" s="329"/>
      <c r="AQ57" s="152"/>
      <c r="AR57" s="152"/>
      <c r="AS57" s="152"/>
      <c r="AT57" s="152"/>
      <c r="AU57" s="152"/>
    </row>
    <row r="58" spans="1:47">
      <c r="A58" s="138" t="s">
        <v>509</v>
      </c>
      <c r="B58" s="67">
        <v>5.2</v>
      </c>
      <c r="C58" s="3" t="s">
        <v>19</v>
      </c>
      <c r="D58" s="257">
        <v>8</v>
      </c>
      <c r="E58" s="258">
        <v>3</v>
      </c>
      <c r="F58" s="4">
        <v>1093</v>
      </c>
      <c r="G58" s="183">
        <v>1093</v>
      </c>
      <c r="H58" s="183"/>
      <c r="I58" s="312">
        <v>1</v>
      </c>
      <c r="J58" s="379">
        <f>ROUND(G58*(1+'29_01_H_2020'!$O$10),2)</f>
        <v>1370.51</v>
      </c>
      <c r="K58" s="151">
        <f t="shared" si="10"/>
        <v>0</v>
      </c>
      <c r="L58" s="151">
        <f>ROUND(H58*(1+'29_01_H_2020'!$O$10),2)</f>
        <v>0</v>
      </c>
      <c r="M58" s="151">
        <f t="shared" si="11"/>
        <v>277.51</v>
      </c>
      <c r="N58" s="151">
        <f t="shared" si="12"/>
        <v>277.51</v>
      </c>
      <c r="O58" s="151">
        <f t="shared" si="13"/>
        <v>3330.12</v>
      </c>
      <c r="P58" s="151">
        <f>ROUND(O58*'29_01_H_2020'!$O$17,2)</f>
        <v>785.58</v>
      </c>
      <c r="Q58" s="380">
        <f t="shared" si="15"/>
        <v>4115.7</v>
      </c>
      <c r="R58" s="152"/>
      <c r="S58" s="328"/>
      <c r="T58" s="328"/>
      <c r="U58" s="328"/>
      <c r="V58" s="328"/>
      <c r="W58" s="328"/>
      <c r="X58" s="328"/>
      <c r="Y58" s="328"/>
      <c r="Z58" s="328"/>
      <c r="AA58" s="328"/>
      <c r="AB58" s="328"/>
      <c r="AC58" s="329"/>
      <c r="AD58" s="152"/>
      <c r="AE58" s="152"/>
      <c r="AF58" s="328"/>
      <c r="AG58" s="328"/>
      <c r="AH58" s="328"/>
      <c r="AI58" s="328"/>
      <c r="AJ58" s="328"/>
      <c r="AK58" s="328"/>
      <c r="AL58" s="328"/>
      <c r="AM58" s="328"/>
      <c r="AN58" s="328"/>
      <c r="AO58" s="328"/>
      <c r="AP58" s="329"/>
      <c r="AQ58" s="152"/>
      <c r="AR58" s="152"/>
      <c r="AS58" s="152"/>
      <c r="AT58" s="152"/>
      <c r="AU58" s="152"/>
    </row>
    <row r="59" spans="1:47">
      <c r="A59" s="138" t="s">
        <v>511</v>
      </c>
      <c r="B59" s="67">
        <v>5.0999999999999996</v>
      </c>
      <c r="C59" s="3" t="s">
        <v>37</v>
      </c>
      <c r="D59" s="257">
        <v>8</v>
      </c>
      <c r="E59" s="258">
        <v>3</v>
      </c>
      <c r="F59" s="4">
        <v>1093</v>
      </c>
      <c r="G59" s="183">
        <v>1093</v>
      </c>
      <c r="H59" s="183"/>
      <c r="I59" s="312">
        <v>1</v>
      </c>
      <c r="J59" s="379">
        <f>ROUND(G59*(1+'29_01_H_2020'!$O$10),2)</f>
        <v>1370.51</v>
      </c>
      <c r="K59" s="151">
        <f t="shared" si="10"/>
        <v>0</v>
      </c>
      <c r="L59" s="151">
        <f>ROUND(H59*(1+'29_01_H_2020'!$O$10),2)</f>
        <v>0</v>
      </c>
      <c r="M59" s="151">
        <f t="shared" si="11"/>
        <v>277.51</v>
      </c>
      <c r="N59" s="151">
        <f t="shared" si="12"/>
        <v>277.51</v>
      </c>
      <c r="O59" s="151">
        <f t="shared" si="13"/>
        <v>3330.12</v>
      </c>
      <c r="P59" s="151">
        <f>ROUND(O59*'29_01_H_2020'!$O$17,2)</f>
        <v>785.58</v>
      </c>
      <c r="Q59" s="380">
        <f t="shared" si="15"/>
        <v>4115.7</v>
      </c>
      <c r="R59" s="152"/>
      <c r="S59" s="328"/>
      <c r="T59" s="328"/>
      <c r="U59" s="328"/>
      <c r="V59" s="328"/>
      <c r="W59" s="328"/>
      <c r="X59" s="328"/>
      <c r="Y59" s="328"/>
      <c r="Z59" s="328"/>
      <c r="AA59" s="328"/>
      <c r="AB59" s="328"/>
      <c r="AC59" s="329"/>
      <c r="AD59" s="152"/>
      <c r="AE59" s="152"/>
      <c r="AF59" s="328"/>
      <c r="AG59" s="328"/>
      <c r="AH59" s="328"/>
      <c r="AI59" s="328"/>
      <c r="AJ59" s="328"/>
      <c r="AK59" s="328"/>
      <c r="AL59" s="328"/>
      <c r="AM59" s="328"/>
      <c r="AN59" s="328"/>
      <c r="AO59" s="328"/>
      <c r="AP59" s="329"/>
      <c r="AQ59" s="152"/>
      <c r="AR59" s="152"/>
      <c r="AS59" s="152"/>
      <c r="AT59" s="152"/>
      <c r="AU59" s="152"/>
    </row>
    <row r="60" spans="1:47">
      <c r="A60" s="138" t="s">
        <v>511</v>
      </c>
      <c r="B60" s="67">
        <v>5.0999999999999996</v>
      </c>
      <c r="C60" s="3" t="s">
        <v>37</v>
      </c>
      <c r="D60" s="257">
        <v>8</v>
      </c>
      <c r="E60" s="258">
        <v>3</v>
      </c>
      <c r="F60" s="4">
        <v>1093</v>
      </c>
      <c r="G60" s="183">
        <v>1093</v>
      </c>
      <c r="H60" s="183"/>
      <c r="I60" s="312">
        <v>1</v>
      </c>
      <c r="J60" s="379">
        <f>ROUND(G60*(1+'29_01_H_2020'!$O$10),2)</f>
        <v>1370.51</v>
      </c>
      <c r="K60" s="151">
        <f t="shared" si="10"/>
        <v>0</v>
      </c>
      <c r="L60" s="151">
        <f>ROUND(H60*(1+'29_01_H_2020'!$O$10),2)</f>
        <v>0</v>
      </c>
      <c r="M60" s="151">
        <f t="shared" si="11"/>
        <v>277.51</v>
      </c>
      <c r="N60" s="151">
        <f t="shared" si="12"/>
        <v>277.51</v>
      </c>
      <c r="O60" s="151">
        <f t="shared" si="13"/>
        <v>3330.12</v>
      </c>
      <c r="P60" s="151">
        <f>ROUND(O60*'29_01_H_2020'!$O$17,2)</f>
        <v>785.58</v>
      </c>
      <c r="Q60" s="380">
        <f t="shared" si="15"/>
        <v>4115.7</v>
      </c>
      <c r="R60" s="152"/>
      <c r="S60" s="328"/>
      <c r="T60" s="328"/>
      <c r="U60" s="328"/>
      <c r="V60" s="328"/>
      <c r="W60" s="328"/>
      <c r="X60" s="328"/>
      <c r="Y60" s="328"/>
      <c r="Z60" s="328"/>
      <c r="AA60" s="328"/>
      <c r="AB60" s="328"/>
      <c r="AC60" s="329"/>
      <c r="AD60" s="152"/>
      <c r="AE60" s="152"/>
      <c r="AF60" s="328"/>
      <c r="AG60" s="328"/>
      <c r="AH60" s="328"/>
      <c r="AI60" s="328"/>
      <c r="AJ60" s="328"/>
      <c r="AK60" s="328"/>
      <c r="AL60" s="328"/>
      <c r="AM60" s="328"/>
      <c r="AN60" s="328"/>
      <c r="AO60" s="328"/>
      <c r="AP60" s="329"/>
      <c r="AQ60" s="152"/>
      <c r="AR60" s="152"/>
      <c r="AS60" s="152"/>
      <c r="AT60" s="152"/>
      <c r="AU60" s="152"/>
    </row>
    <row r="61" spans="1:47">
      <c r="A61" s="138" t="s">
        <v>509</v>
      </c>
      <c r="B61" s="67">
        <v>5.2</v>
      </c>
      <c r="C61" s="3" t="s">
        <v>19</v>
      </c>
      <c r="D61" s="257">
        <v>8</v>
      </c>
      <c r="E61" s="258">
        <v>3</v>
      </c>
      <c r="F61" s="4">
        <v>1093</v>
      </c>
      <c r="G61" s="183">
        <v>1093</v>
      </c>
      <c r="H61" s="183"/>
      <c r="I61" s="312">
        <v>1</v>
      </c>
      <c r="J61" s="379">
        <f>ROUND(G61*(1+'29_01_H_2020'!$O$10),2)</f>
        <v>1370.51</v>
      </c>
      <c r="K61" s="151">
        <f t="shared" si="10"/>
        <v>0</v>
      </c>
      <c r="L61" s="151">
        <f>ROUND(H61*(1+'29_01_H_2020'!$O$10),2)</f>
        <v>0</v>
      </c>
      <c r="M61" s="151">
        <f t="shared" si="11"/>
        <v>277.51</v>
      </c>
      <c r="N61" s="151">
        <f t="shared" si="12"/>
        <v>277.51</v>
      </c>
      <c r="O61" s="151">
        <f t="shared" si="13"/>
        <v>3330.12</v>
      </c>
      <c r="P61" s="151">
        <f>ROUND(O61*'29_01_H_2020'!$O$17,2)</f>
        <v>785.58</v>
      </c>
      <c r="Q61" s="380">
        <f t="shared" si="15"/>
        <v>4115.7</v>
      </c>
      <c r="R61" s="152"/>
      <c r="S61" s="328"/>
      <c r="T61" s="328"/>
      <c r="U61" s="328"/>
      <c r="V61" s="328"/>
      <c r="W61" s="328"/>
      <c r="X61" s="328"/>
      <c r="Y61" s="328"/>
      <c r="Z61" s="328"/>
      <c r="AA61" s="328"/>
      <c r="AB61" s="328"/>
      <c r="AC61" s="329"/>
      <c r="AD61" s="152"/>
      <c r="AE61" s="152"/>
      <c r="AF61" s="328"/>
      <c r="AG61" s="328"/>
      <c r="AH61" s="328"/>
      <c r="AI61" s="328"/>
      <c r="AJ61" s="328"/>
      <c r="AK61" s="328"/>
      <c r="AL61" s="328"/>
      <c r="AM61" s="328"/>
      <c r="AN61" s="328"/>
      <c r="AO61" s="328"/>
      <c r="AP61" s="329"/>
      <c r="AQ61" s="152"/>
      <c r="AR61" s="152"/>
      <c r="AS61" s="152"/>
      <c r="AT61" s="152"/>
      <c r="AU61" s="152"/>
    </row>
    <row r="62" spans="1:47">
      <c r="A62" s="138" t="s">
        <v>509</v>
      </c>
      <c r="B62" s="67">
        <v>5.2</v>
      </c>
      <c r="C62" s="3" t="s">
        <v>19</v>
      </c>
      <c r="D62" s="257">
        <v>8</v>
      </c>
      <c r="E62" s="258">
        <v>3</v>
      </c>
      <c r="F62" s="4">
        <v>1093</v>
      </c>
      <c r="G62" s="183">
        <v>1093</v>
      </c>
      <c r="H62" s="183"/>
      <c r="I62" s="312">
        <v>1</v>
      </c>
      <c r="J62" s="379">
        <f>ROUND(G62*(1+'29_01_H_2020'!$O$10),2)</f>
        <v>1370.51</v>
      </c>
      <c r="K62" s="151">
        <f t="shared" si="10"/>
        <v>0</v>
      </c>
      <c r="L62" s="151">
        <f>ROUND(H62*(1+'29_01_H_2020'!$O$10),2)</f>
        <v>0</v>
      </c>
      <c r="M62" s="151">
        <f t="shared" si="11"/>
        <v>277.51</v>
      </c>
      <c r="N62" s="151">
        <f t="shared" si="12"/>
        <v>277.51</v>
      </c>
      <c r="O62" s="151">
        <f t="shared" si="13"/>
        <v>3330.12</v>
      </c>
      <c r="P62" s="151">
        <f>ROUND(O62*'29_01_H_2020'!$O$17,2)</f>
        <v>785.58</v>
      </c>
      <c r="Q62" s="380">
        <f t="shared" si="15"/>
        <v>4115.7</v>
      </c>
      <c r="R62" s="152"/>
      <c r="S62" s="328"/>
      <c r="T62" s="328"/>
      <c r="U62" s="328"/>
      <c r="V62" s="328"/>
      <c r="W62" s="328"/>
      <c r="X62" s="328"/>
      <c r="Y62" s="328"/>
      <c r="Z62" s="328"/>
      <c r="AA62" s="328"/>
      <c r="AB62" s="328"/>
      <c r="AC62" s="329"/>
      <c r="AD62" s="152"/>
      <c r="AE62" s="152"/>
      <c r="AF62" s="328"/>
      <c r="AG62" s="328"/>
      <c r="AH62" s="328"/>
      <c r="AI62" s="328"/>
      <c r="AJ62" s="328"/>
      <c r="AK62" s="328"/>
      <c r="AL62" s="328"/>
      <c r="AM62" s="328"/>
      <c r="AN62" s="328"/>
      <c r="AO62" s="328"/>
      <c r="AP62" s="329"/>
      <c r="AQ62" s="152"/>
      <c r="AR62" s="152"/>
      <c r="AS62" s="152"/>
      <c r="AT62" s="152"/>
      <c r="AU62" s="152"/>
    </row>
    <row r="63" spans="1:47">
      <c r="A63" s="558" t="s">
        <v>513</v>
      </c>
      <c r="B63" s="67">
        <v>5.3</v>
      </c>
      <c r="C63" s="3" t="s">
        <v>285</v>
      </c>
      <c r="D63" s="257">
        <v>9</v>
      </c>
      <c r="E63" s="258">
        <v>3</v>
      </c>
      <c r="F63" s="4">
        <v>1190</v>
      </c>
      <c r="G63" s="183">
        <v>1190</v>
      </c>
      <c r="H63" s="183"/>
      <c r="I63" s="312">
        <v>1</v>
      </c>
      <c r="J63" s="379">
        <f>ROUND(G63*(1+'29_01_H_2020'!$O$10),2)</f>
        <v>1492.14</v>
      </c>
      <c r="K63" s="151">
        <f t="shared" si="10"/>
        <v>0</v>
      </c>
      <c r="L63" s="151">
        <f>ROUND(H63*(1+'29_01_H_2020'!$O$10),2)</f>
        <v>0</v>
      </c>
      <c r="M63" s="151">
        <f t="shared" si="11"/>
        <v>302.1400000000001</v>
      </c>
      <c r="N63" s="151">
        <f t="shared" si="12"/>
        <v>302.1400000000001</v>
      </c>
      <c r="O63" s="151">
        <f t="shared" si="13"/>
        <v>3625.6800000000012</v>
      </c>
      <c r="P63" s="151">
        <f>ROUND(O63*'29_01_H_2020'!$O$17,2)</f>
        <v>855.3</v>
      </c>
      <c r="Q63" s="380">
        <f t="shared" si="15"/>
        <v>4480.9800000000014</v>
      </c>
      <c r="R63" s="152"/>
      <c r="S63" s="328"/>
      <c r="T63" s="328"/>
      <c r="U63" s="328"/>
      <c r="V63" s="328"/>
      <c r="W63" s="328"/>
      <c r="X63" s="328"/>
      <c r="Y63" s="328"/>
      <c r="Z63" s="328"/>
      <c r="AA63" s="328"/>
      <c r="AB63" s="328"/>
      <c r="AC63" s="329"/>
      <c r="AD63" s="152"/>
      <c r="AE63" s="152"/>
      <c r="AF63" s="328"/>
      <c r="AG63" s="328"/>
      <c r="AH63" s="328"/>
      <c r="AI63" s="328"/>
      <c r="AJ63" s="328"/>
      <c r="AK63" s="328"/>
      <c r="AL63" s="328"/>
      <c r="AM63" s="328"/>
      <c r="AN63" s="328"/>
      <c r="AO63" s="328"/>
      <c r="AP63" s="329"/>
      <c r="AQ63" s="152"/>
      <c r="AR63" s="152"/>
      <c r="AS63" s="152"/>
      <c r="AT63" s="152"/>
      <c r="AU63" s="152"/>
    </row>
    <row r="64" spans="1:47" s="333" customFormat="1">
      <c r="A64" s="558" t="s">
        <v>511</v>
      </c>
      <c r="B64" s="67">
        <v>5.0999999999999996</v>
      </c>
      <c r="C64" s="334" t="s">
        <v>37</v>
      </c>
      <c r="D64" s="257">
        <v>8</v>
      </c>
      <c r="E64" s="258">
        <v>3</v>
      </c>
      <c r="F64" s="4">
        <v>1093</v>
      </c>
      <c r="G64" s="345">
        <v>1093</v>
      </c>
      <c r="H64" s="345"/>
      <c r="I64" s="344">
        <v>1</v>
      </c>
      <c r="J64" s="379">
        <f>ROUND(G64*(1+'29_01_H_2020'!$O$10),2)</f>
        <v>1370.51</v>
      </c>
      <c r="K64" s="151">
        <f t="shared" ref="K64:K77" si="16">L64-H64</f>
        <v>0</v>
      </c>
      <c r="L64" s="151">
        <f>ROUND(H64*(1+'29_01_H_2020'!$O$10),2)</f>
        <v>0</v>
      </c>
      <c r="M64" s="151">
        <f t="shared" ref="M64:M77" si="17">(J64+L64)-(G64+H64)</f>
        <v>277.51</v>
      </c>
      <c r="N64" s="151">
        <f t="shared" ref="N64:N77" si="18">M64*I64</f>
        <v>277.51</v>
      </c>
      <c r="O64" s="151">
        <f t="shared" ref="O64:O77" si="19">N64*12</f>
        <v>3330.12</v>
      </c>
      <c r="P64" s="151">
        <f>ROUND(O64*'29_01_H_2020'!$O$17,2)</f>
        <v>785.58</v>
      </c>
      <c r="Q64" s="380">
        <f t="shared" ref="Q64:Q77" si="20">SUM(O64:P64)</f>
        <v>4115.7</v>
      </c>
      <c r="R64" s="152"/>
      <c r="S64" s="328"/>
      <c r="T64" s="328"/>
      <c r="U64" s="328"/>
      <c r="V64" s="328"/>
      <c r="W64" s="328"/>
      <c r="X64" s="328"/>
      <c r="Y64" s="328"/>
      <c r="Z64" s="328"/>
      <c r="AA64" s="328"/>
      <c r="AB64" s="328"/>
      <c r="AC64" s="329"/>
      <c r="AD64" s="152"/>
      <c r="AE64" s="152"/>
      <c r="AF64" s="328"/>
      <c r="AG64" s="328"/>
      <c r="AH64" s="328"/>
      <c r="AI64" s="328"/>
      <c r="AJ64" s="328"/>
      <c r="AK64" s="328"/>
      <c r="AL64" s="328"/>
      <c r="AM64" s="328"/>
      <c r="AN64" s="328"/>
      <c r="AO64" s="328"/>
      <c r="AP64" s="329"/>
      <c r="AQ64" s="152"/>
      <c r="AR64" s="152"/>
      <c r="AS64" s="152"/>
      <c r="AT64" s="152"/>
      <c r="AU64" s="152"/>
    </row>
    <row r="65" spans="1:47" s="333" customFormat="1">
      <c r="A65" s="558" t="s">
        <v>512</v>
      </c>
      <c r="B65" s="67">
        <v>5.2</v>
      </c>
      <c r="C65" s="334" t="s">
        <v>26</v>
      </c>
      <c r="D65" s="257">
        <v>7</v>
      </c>
      <c r="E65" s="258">
        <v>3</v>
      </c>
      <c r="F65" s="4">
        <v>996</v>
      </c>
      <c r="G65" s="345">
        <v>996</v>
      </c>
      <c r="H65" s="345"/>
      <c r="I65" s="344">
        <v>1</v>
      </c>
      <c r="J65" s="379">
        <f>ROUND(G65*(1+'29_01_H_2020'!$O$10),2)</f>
        <v>1248.8800000000001</v>
      </c>
      <c r="K65" s="151">
        <f t="shared" si="16"/>
        <v>0</v>
      </c>
      <c r="L65" s="151">
        <f>ROUND(H65*(1+'29_01_H_2020'!$O$10),2)</f>
        <v>0</v>
      </c>
      <c r="M65" s="151">
        <f t="shared" si="17"/>
        <v>252.88000000000011</v>
      </c>
      <c r="N65" s="151">
        <f t="shared" si="18"/>
        <v>252.88000000000011</v>
      </c>
      <c r="O65" s="151">
        <f t="shared" si="19"/>
        <v>3034.5600000000013</v>
      </c>
      <c r="P65" s="151">
        <f>ROUND(O65*'29_01_H_2020'!$O$17,2)</f>
        <v>715.85</v>
      </c>
      <c r="Q65" s="380">
        <f t="shared" si="20"/>
        <v>3750.4100000000012</v>
      </c>
      <c r="R65" s="152"/>
      <c r="S65" s="328"/>
      <c r="T65" s="328"/>
      <c r="U65" s="328"/>
      <c r="V65" s="328"/>
      <c r="W65" s="328"/>
      <c r="X65" s="328"/>
      <c r="Y65" s="328"/>
      <c r="Z65" s="328"/>
      <c r="AA65" s="328"/>
      <c r="AB65" s="328"/>
      <c r="AC65" s="329"/>
      <c r="AD65" s="152"/>
      <c r="AE65" s="152"/>
      <c r="AF65" s="328"/>
      <c r="AG65" s="328"/>
      <c r="AH65" s="328"/>
      <c r="AI65" s="328"/>
      <c r="AJ65" s="328"/>
      <c r="AK65" s="328"/>
      <c r="AL65" s="328"/>
      <c r="AM65" s="328"/>
      <c r="AN65" s="328"/>
      <c r="AO65" s="328"/>
      <c r="AP65" s="329"/>
      <c r="AQ65" s="152"/>
      <c r="AR65" s="152"/>
      <c r="AS65" s="152"/>
      <c r="AT65" s="152"/>
      <c r="AU65" s="152"/>
    </row>
    <row r="66" spans="1:47" s="333" customFormat="1">
      <c r="A66" s="558" t="s">
        <v>512</v>
      </c>
      <c r="B66" s="67">
        <v>5.2</v>
      </c>
      <c r="C66" s="334" t="s">
        <v>26</v>
      </c>
      <c r="D66" s="257">
        <v>7</v>
      </c>
      <c r="E66" s="258">
        <v>3</v>
      </c>
      <c r="F66" s="4">
        <v>996</v>
      </c>
      <c r="G66" s="345">
        <v>996</v>
      </c>
      <c r="H66" s="345"/>
      <c r="I66" s="344">
        <v>1</v>
      </c>
      <c r="J66" s="379">
        <f>ROUND(G66*(1+'29_01_H_2020'!$O$10),2)</f>
        <v>1248.8800000000001</v>
      </c>
      <c r="K66" s="151">
        <f t="shared" si="16"/>
        <v>0</v>
      </c>
      <c r="L66" s="151">
        <f>ROUND(H66*(1+'29_01_H_2020'!$O$10),2)</f>
        <v>0</v>
      </c>
      <c r="M66" s="151">
        <f t="shared" si="17"/>
        <v>252.88000000000011</v>
      </c>
      <c r="N66" s="151">
        <f t="shared" si="18"/>
        <v>252.88000000000011</v>
      </c>
      <c r="O66" s="151">
        <f t="shared" si="19"/>
        <v>3034.5600000000013</v>
      </c>
      <c r="P66" s="151">
        <f>ROUND(O66*'29_01_H_2020'!$O$17,2)</f>
        <v>715.85</v>
      </c>
      <c r="Q66" s="380">
        <f t="shared" si="20"/>
        <v>3750.4100000000012</v>
      </c>
      <c r="R66" s="152"/>
      <c r="S66" s="328"/>
      <c r="T66" s="328"/>
      <c r="U66" s="328"/>
      <c r="V66" s="328"/>
      <c r="W66" s="328"/>
      <c r="X66" s="328"/>
      <c r="Y66" s="328"/>
      <c r="Z66" s="328"/>
      <c r="AA66" s="328"/>
      <c r="AB66" s="328"/>
      <c r="AC66" s="329"/>
      <c r="AD66" s="152"/>
      <c r="AE66" s="152"/>
      <c r="AF66" s="328"/>
      <c r="AG66" s="328"/>
      <c r="AH66" s="328"/>
      <c r="AI66" s="328"/>
      <c r="AJ66" s="328"/>
      <c r="AK66" s="328"/>
      <c r="AL66" s="328"/>
      <c r="AM66" s="328"/>
      <c r="AN66" s="328"/>
      <c r="AO66" s="328"/>
      <c r="AP66" s="329"/>
      <c r="AQ66" s="152"/>
      <c r="AR66" s="152"/>
      <c r="AS66" s="152"/>
      <c r="AT66" s="152"/>
      <c r="AU66" s="152"/>
    </row>
    <row r="67" spans="1:47" s="333" customFormat="1">
      <c r="A67" s="558" t="s">
        <v>514</v>
      </c>
      <c r="B67" s="67">
        <v>5.0999999999999996</v>
      </c>
      <c r="C67" s="334" t="s">
        <v>228</v>
      </c>
      <c r="D67" s="257">
        <v>8</v>
      </c>
      <c r="E67" s="258">
        <v>3</v>
      </c>
      <c r="F67" s="4">
        <v>1093</v>
      </c>
      <c r="G67" s="345">
        <v>1093</v>
      </c>
      <c r="H67" s="345"/>
      <c r="I67" s="344">
        <v>1</v>
      </c>
      <c r="J67" s="379">
        <f>ROUND(G67*(1+'29_01_H_2020'!$O$10),2)</f>
        <v>1370.51</v>
      </c>
      <c r="K67" s="151">
        <f t="shared" si="16"/>
        <v>0</v>
      </c>
      <c r="L67" s="151">
        <f>ROUND(H67*(1+'29_01_H_2020'!$O$10),2)</f>
        <v>0</v>
      </c>
      <c r="M67" s="151">
        <f t="shared" si="17"/>
        <v>277.51</v>
      </c>
      <c r="N67" s="151">
        <f t="shared" si="18"/>
        <v>277.51</v>
      </c>
      <c r="O67" s="151">
        <f t="shared" si="19"/>
        <v>3330.12</v>
      </c>
      <c r="P67" s="151">
        <f>ROUND(O67*'29_01_H_2020'!$O$17,2)</f>
        <v>785.58</v>
      </c>
      <c r="Q67" s="380">
        <f t="shared" si="20"/>
        <v>4115.7</v>
      </c>
      <c r="R67" s="152"/>
      <c r="S67" s="328"/>
      <c r="T67" s="328"/>
      <c r="U67" s="328"/>
      <c r="V67" s="328"/>
      <c r="W67" s="328"/>
      <c r="X67" s="328"/>
      <c r="Y67" s="328"/>
      <c r="Z67" s="328"/>
      <c r="AA67" s="328"/>
      <c r="AB67" s="328"/>
      <c r="AC67" s="329"/>
      <c r="AD67" s="152"/>
      <c r="AE67" s="152"/>
      <c r="AF67" s="328"/>
      <c r="AG67" s="328"/>
      <c r="AH67" s="328"/>
      <c r="AI67" s="328"/>
      <c r="AJ67" s="328"/>
      <c r="AK67" s="328"/>
      <c r="AL67" s="328"/>
      <c r="AM67" s="328"/>
      <c r="AN67" s="328"/>
      <c r="AO67" s="328"/>
      <c r="AP67" s="329"/>
      <c r="AQ67" s="152"/>
      <c r="AR67" s="152"/>
      <c r="AS67" s="152"/>
      <c r="AT67" s="152"/>
      <c r="AU67" s="152"/>
    </row>
    <row r="68" spans="1:47" s="333" customFormat="1">
      <c r="A68" s="558" t="s">
        <v>514</v>
      </c>
      <c r="B68" s="67">
        <v>5.0999999999999996</v>
      </c>
      <c r="C68" s="334" t="s">
        <v>228</v>
      </c>
      <c r="D68" s="257">
        <v>8</v>
      </c>
      <c r="E68" s="258">
        <v>3</v>
      </c>
      <c r="F68" s="4">
        <v>1093</v>
      </c>
      <c r="G68" s="345">
        <v>1093</v>
      </c>
      <c r="H68" s="345"/>
      <c r="I68" s="344">
        <v>0.9</v>
      </c>
      <c r="J68" s="379">
        <f>ROUND(G68*(1+'29_01_H_2020'!$O$10),2)</f>
        <v>1370.51</v>
      </c>
      <c r="K68" s="151">
        <f t="shared" si="16"/>
        <v>0</v>
      </c>
      <c r="L68" s="151">
        <f>ROUND(H68*(1+'29_01_H_2020'!$O$10),2)</f>
        <v>0</v>
      </c>
      <c r="M68" s="151">
        <f t="shared" si="17"/>
        <v>277.51</v>
      </c>
      <c r="N68" s="151">
        <f t="shared" si="18"/>
        <v>249.75899999999999</v>
      </c>
      <c r="O68" s="151">
        <f t="shared" si="19"/>
        <v>2997.1079999999997</v>
      </c>
      <c r="P68" s="151">
        <f>ROUND(O68*'29_01_H_2020'!$O$17,2)</f>
        <v>707.02</v>
      </c>
      <c r="Q68" s="380">
        <f t="shared" si="20"/>
        <v>3704.1279999999997</v>
      </c>
      <c r="R68" s="152"/>
      <c r="S68" s="328"/>
      <c r="T68" s="328"/>
      <c r="U68" s="328"/>
      <c r="V68" s="328"/>
      <c r="W68" s="328"/>
      <c r="X68" s="328"/>
      <c r="Y68" s="328"/>
      <c r="Z68" s="328"/>
      <c r="AA68" s="328"/>
      <c r="AB68" s="328"/>
      <c r="AC68" s="329"/>
      <c r="AD68" s="152"/>
      <c r="AE68" s="152"/>
      <c r="AF68" s="328"/>
      <c r="AG68" s="328"/>
      <c r="AH68" s="328"/>
      <c r="AI68" s="328"/>
      <c r="AJ68" s="328"/>
      <c r="AK68" s="328"/>
      <c r="AL68" s="328"/>
      <c r="AM68" s="328"/>
      <c r="AN68" s="328"/>
      <c r="AO68" s="328"/>
      <c r="AP68" s="329"/>
      <c r="AQ68" s="152"/>
      <c r="AR68" s="152"/>
      <c r="AS68" s="152"/>
      <c r="AT68" s="152"/>
      <c r="AU68" s="152"/>
    </row>
    <row r="69" spans="1:47" s="333" customFormat="1">
      <c r="A69" s="558" t="s">
        <v>515</v>
      </c>
      <c r="B69" s="67">
        <v>5.0999999999999996</v>
      </c>
      <c r="C69" s="334" t="s">
        <v>228</v>
      </c>
      <c r="D69" s="257">
        <v>8</v>
      </c>
      <c r="E69" s="258">
        <v>3</v>
      </c>
      <c r="F69" s="4">
        <v>1093</v>
      </c>
      <c r="G69" s="345">
        <v>1093</v>
      </c>
      <c r="H69" s="345"/>
      <c r="I69" s="344">
        <v>0.8</v>
      </c>
      <c r="J69" s="379">
        <f>ROUND(G69*(1+'29_01_H_2020'!$O$10),2)</f>
        <v>1370.51</v>
      </c>
      <c r="K69" s="151">
        <f t="shared" si="16"/>
        <v>0</v>
      </c>
      <c r="L69" s="151">
        <f>ROUND(H69*(1+'29_01_H_2020'!$O$10),2)</f>
        <v>0</v>
      </c>
      <c r="M69" s="151">
        <f t="shared" si="17"/>
        <v>277.51</v>
      </c>
      <c r="N69" s="151">
        <f t="shared" si="18"/>
        <v>222.00800000000001</v>
      </c>
      <c r="O69" s="151">
        <f t="shared" si="19"/>
        <v>2664.096</v>
      </c>
      <c r="P69" s="151">
        <f>ROUND(O69*'29_01_H_2020'!$O$17,2)</f>
        <v>628.46</v>
      </c>
      <c r="Q69" s="380">
        <f t="shared" si="20"/>
        <v>3292.556</v>
      </c>
      <c r="R69" s="152"/>
      <c r="S69" s="328"/>
      <c r="T69" s="328"/>
      <c r="U69" s="328"/>
      <c r="V69" s="328"/>
      <c r="W69" s="328"/>
      <c r="X69" s="328"/>
      <c r="Y69" s="328"/>
      <c r="Z69" s="328"/>
      <c r="AA69" s="328"/>
      <c r="AB69" s="328"/>
      <c r="AC69" s="329"/>
      <c r="AD69" s="152"/>
      <c r="AE69" s="152"/>
      <c r="AF69" s="328"/>
      <c r="AG69" s="328"/>
      <c r="AH69" s="328"/>
      <c r="AI69" s="328"/>
      <c r="AJ69" s="328"/>
      <c r="AK69" s="328"/>
      <c r="AL69" s="328"/>
      <c r="AM69" s="328"/>
      <c r="AN69" s="328"/>
      <c r="AO69" s="328"/>
      <c r="AP69" s="329"/>
      <c r="AQ69" s="152"/>
      <c r="AR69" s="152"/>
      <c r="AS69" s="152"/>
      <c r="AT69" s="152"/>
      <c r="AU69" s="152"/>
    </row>
    <row r="70" spans="1:47" s="333" customFormat="1">
      <c r="A70" s="558" t="s">
        <v>515</v>
      </c>
      <c r="B70" s="67">
        <v>5.0999999999999996</v>
      </c>
      <c r="C70" s="334" t="s">
        <v>228</v>
      </c>
      <c r="D70" s="257">
        <v>8</v>
      </c>
      <c r="E70" s="258">
        <v>3</v>
      </c>
      <c r="F70" s="4">
        <v>1093</v>
      </c>
      <c r="G70" s="345">
        <v>1093</v>
      </c>
      <c r="H70" s="345"/>
      <c r="I70" s="344">
        <v>0.2</v>
      </c>
      <c r="J70" s="379">
        <f>ROUND(G70*(1+'29_01_H_2020'!$O$10),2)</f>
        <v>1370.51</v>
      </c>
      <c r="K70" s="151">
        <f t="shared" si="16"/>
        <v>0</v>
      </c>
      <c r="L70" s="151">
        <f>ROUND(H70*(1+'29_01_H_2020'!$O$10),2)</f>
        <v>0</v>
      </c>
      <c r="M70" s="151">
        <f t="shared" si="17"/>
        <v>277.51</v>
      </c>
      <c r="N70" s="151">
        <f t="shared" si="18"/>
        <v>55.502000000000002</v>
      </c>
      <c r="O70" s="151">
        <f t="shared" si="19"/>
        <v>666.024</v>
      </c>
      <c r="P70" s="151">
        <f>ROUND(O70*'29_01_H_2020'!$O$17,2)</f>
        <v>157.12</v>
      </c>
      <c r="Q70" s="380">
        <f t="shared" si="20"/>
        <v>823.14400000000001</v>
      </c>
      <c r="R70" s="152"/>
      <c r="S70" s="328"/>
      <c r="T70" s="328"/>
      <c r="U70" s="328"/>
      <c r="V70" s="328"/>
      <c r="W70" s="328"/>
      <c r="X70" s="328"/>
      <c r="Y70" s="328"/>
      <c r="Z70" s="328"/>
      <c r="AA70" s="328"/>
      <c r="AB70" s="328"/>
      <c r="AC70" s="329"/>
      <c r="AD70" s="152"/>
      <c r="AE70" s="152"/>
      <c r="AF70" s="328"/>
      <c r="AG70" s="328"/>
      <c r="AH70" s="328"/>
      <c r="AI70" s="328"/>
      <c r="AJ70" s="328"/>
      <c r="AK70" s="328"/>
      <c r="AL70" s="328"/>
      <c r="AM70" s="328"/>
      <c r="AN70" s="328"/>
      <c r="AO70" s="328"/>
      <c r="AP70" s="329"/>
      <c r="AQ70" s="152"/>
      <c r="AR70" s="152"/>
      <c r="AS70" s="152"/>
      <c r="AT70" s="152"/>
      <c r="AU70" s="152"/>
    </row>
    <row r="71" spans="1:47" s="333" customFormat="1">
      <c r="A71" s="558" t="s">
        <v>509</v>
      </c>
      <c r="B71" s="67">
        <v>5.2</v>
      </c>
      <c r="C71" s="334" t="s">
        <v>19</v>
      </c>
      <c r="D71" s="257">
        <v>8</v>
      </c>
      <c r="E71" s="258">
        <v>3</v>
      </c>
      <c r="F71" s="4">
        <v>1093</v>
      </c>
      <c r="G71" s="345">
        <v>1093</v>
      </c>
      <c r="H71" s="345"/>
      <c r="I71" s="344">
        <v>1</v>
      </c>
      <c r="J71" s="379">
        <f>ROUND(G71*(1+'29_01_H_2020'!$O$10),2)</f>
        <v>1370.51</v>
      </c>
      <c r="K71" s="151">
        <f t="shared" si="16"/>
        <v>0</v>
      </c>
      <c r="L71" s="151">
        <f>ROUND(H71*(1+'29_01_H_2020'!$O$10),2)</f>
        <v>0</v>
      </c>
      <c r="M71" s="151">
        <f t="shared" si="17"/>
        <v>277.51</v>
      </c>
      <c r="N71" s="151">
        <f t="shared" si="18"/>
        <v>277.51</v>
      </c>
      <c r="O71" s="151">
        <f t="shared" si="19"/>
        <v>3330.12</v>
      </c>
      <c r="P71" s="151">
        <f>ROUND(O71*'29_01_H_2020'!$O$17,2)</f>
        <v>785.58</v>
      </c>
      <c r="Q71" s="380">
        <f t="shared" si="20"/>
        <v>4115.7</v>
      </c>
      <c r="R71" s="152"/>
      <c r="S71" s="328"/>
      <c r="T71" s="328"/>
      <c r="U71" s="328"/>
      <c r="V71" s="328"/>
      <c r="W71" s="328"/>
      <c r="X71" s="328"/>
      <c r="Y71" s="328"/>
      <c r="Z71" s="328"/>
      <c r="AA71" s="328"/>
      <c r="AB71" s="328"/>
      <c r="AC71" s="329"/>
      <c r="AD71" s="152"/>
      <c r="AE71" s="152"/>
      <c r="AF71" s="328"/>
      <c r="AG71" s="328"/>
      <c r="AH71" s="328"/>
      <c r="AI71" s="328"/>
      <c r="AJ71" s="328"/>
      <c r="AK71" s="328"/>
      <c r="AL71" s="328"/>
      <c r="AM71" s="328"/>
      <c r="AN71" s="328"/>
      <c r="AO71" s="328"/>
      <c r="AP71" s="329"/>
      <c r="AQ71" s="152"/>
      <c r="AR71" s="152"/>
      <c r="AS71" s="152"/>
      <c r="AT71" s="152"/>
      <c r="AU71" s="152"/>
    </row>
    <row r="72" spans="1:47" s="333" customFormat="1">
      <c r="A72" s="558" t="s">
        <v>513</v>
      </c>
      <c r="B72" s="67">
        <v>5.3</v>
      </c>
      <c r="C72" s="334" t="s">
        <v>285</v>
      </c>
      <c r="D72" s="257">
        <v>9</v>
      </c>
      <c r="E72" s="258">
        <v>3</v>
      </c>
      <c r="F72" s="4">
        <v>1190</v>
      </c>
      <c r="G72" s="345">
        <v>1190</v>
      </c>
      <c r="H72" s="345"/>
      <c r="I72" s="344">
        <v>1</v>
      </c>
      <c r="J72" s="379">
        <f>ROUND(G72*(1+'29_01_H_2020'!$O$10),2)</f>
        <v>1492.14</v>
      </c>
      <c r="K72" s="151">
        <f t="shared" si="16"/>
        <v>0</v>
      </c>
      <c r="L72" s="151">
        <f>ROUND(H72*(1+'29_01_H_2020'!$O$10),2)</f>
        <v>0</v>
      </c>
      <c r="M72" s="151">
        <f t="shared" si="17"/>
        <v>302.1400000000001</v>
      </c>
      <c r="N72" s="151">
        <f t="shared" si="18"/>
        <v>302.1400000000001</v>
      </c>
      <c r="O72" s="151">
        <f t="shared" si="19"/>
        <v>3625.6800000000012</v>
      </c>
      <c r="P72" s="151">
        <f>ROUND(O72*'29_01_H_2020'!$O$17,2)</f>
        <v>855.3</v>
      </c>
      <c r="Q72" s="380">
        <f t="shared" si="20"/>
        <v>4480.9800000000014</v>
      </c>
      <c r="R72" s="152"/>
      <c r="S72" s="328"/>
      <c r="T72" s="328"/>
      <c r="U72" s="328"/>
      <c r="V72" s="328"/>
      <c r="W72" s="328"/>
      <c r="X72" s="328"/>
      <c r="Y72" s="328"/>
      <c r="Z72" s="328"/>
      <c r="AA72" s="328"/>
      <c r="AB72" s="328"/>
      <c r="AC72" s="329"/>
      <c r="AD72" s="152"/>
      <c r="AE72" s="152"/>
      <c r="AF72" s="328"/>
      <c r="AG72" s="328"/>
      <c r="AH72" s="328"/>
      <c r="AI72" s="328"/>
      <c r="AJ72" s="328"/>
      <c r="AK72" s="328"/>
      <c r="AL72" s="328"/>
      <c r="AM72" s="328"/>
      <c r="AN72" s="328"/>
      <c r="AO72" s="328"/>
      <c r="AP72" s="329"/>
      <c r="AQ72" s="152"/>
      <c r="AR72" s="152"/>
      <c r="AS72" s="152"/>
      <c r="AT72" s="152"/>
      <c r="AU72" s="152"/>
    </row>
    <row r="73" spans="1:47" s="333" customFormat="1">
      <c r="A73" s="558" t="s">
        <v>516</v>
      </c>
      <c r="B73" s="67">
        <v>5.2</v>
      </c>
      <c r="C73" s="334" t="s">
        <v>49</v>
      </c>
      <c r="D73" s="257">
        <v>5</v>
      </c>
      <c r="E73" s="258">
        <v>3</v>
      </c>
      <c r="F73" s="4">
        <v>802</v>
      </c>
      <c r="G73" s="345">
        <v>802</v>
      </c>
      <c r="H73" s="345"/>
      <c r="I73" s="344">
        <v>1</v>
      </c>
      <c r="J73" s="379">
        <f>ROUND(G73*(1+'29_01_H_2020'!$O$10),2)</f>
        <v>1005.63</v>
      </c>
      <c r="K73" s="151">
        <f t="shared" si="16"/>
        <v>0</v>
      </c>
      <c r="L73" s="151">
        <f>ROUND(H73*(1+'29_01_H_2020'!$O$10),2)</f>
        <v>0</v>
      </c>
      <c r="M73" s="151">
        <f t="shared" si="17"/>
        <v>203.63</v>
      </c>
      <c r="N73" s="151">
        <f t="shared" si="18"/>
        <v>203.63</v>
      </c>
      <c r="O73" s="151">
        <f t="shared" si="19"/>
        <v>2443.56</v>
      </c>
      <c r="P73" s="151">
        <f>ROUND(O73*'29_01_H_2020'!$O$17,2)</f>
        <v>576.44000000000005</v>
      </c>
      <c r="Q73" s="380">
        <f t="shared" si="20"/>
        <v>3020</v>
      </c>
      <c r="R73" s="152"/>
      <c r="S73" s="328"/>
      <c r="T73" s="328"/>
      <c r="U73" s="328"/>
      <c r="V73" s="328"/>
      <c r="W73" s="328"/>
      <c r="X73" s="328"/>
      <c r="Y73" s="328"/>
      <c r="Z73" s="328"/>
      <c r="AA73" s="328"/>
      <c r="AB73" s="328"/>
      <c r="AC73" s="329"/>
      <c r="AD73" s="152"/>
      <c r="AE73" s="152"/>
      <c r="AF73" s="328"/>
      <c r="AG73" s="328"/>
      <c r="AH73" s="328"/>
      <c r="AI73" s="328"/>
      <c r="AJ73" s="328"/>
      <c r="AK73" s="328"/>
      <c r="AL73" s="328"/>
      <c r="AM73" s="328"/>
      <c r="AN73" s="328"/>
      <c r="AO73" s="328"/>
      <c r="AP73" s="329"/>
      <c r="AQ73" s="152"/>
      <c r="AR73" s="152"/>
      <c r="AS73" s="152"/>
      <c r="AT73" s="152"/>
      <c r="AU73" s="152"/>
    </row>
    <row r="74" spans="1:47" s="333" customFormat="1">
      <c r="A74" s="558" t="s">
        <v>516</v>
      </c>
      <c r="B74" s="67">
        <v>5.2</v>
      </c>
      <c r="C74" s="334" t="s">
        <v>49</v>
      </c>
      <c r="D74" s="257">
        <v>5</v>
      </c>
      <c r="E74" s="258">
        <v>3</v>
      </c>
      <c r="F74" s="4">
        <v>802</v>
      </c>
      <c r="G74" s="345">
        <v>802</v>
      </c>
      <c r="H74" s="345"/>
      <c r="I74" s="344">
        <v>1</v>
      </c>
      <c r="J74" s="379">
        <f>ROUND(G74*(1+'29_01_H_2020'!$O$10),2)</f>
        <v>1005.63</v>
      </c>
      <c r="K74" s="151">
        <f t="shared" si="16"/>
        <v>0</v>
      </c>
      <c r="L74" s="151">
        <f>ROUND(H74*(1+'29_01_H_2020'!$O$10),2)</f>
        <v>0</v>
      </c>
      <c r="M74" s="151">
        <f t="shared" si="17"/>
        <v>203.63</v>
      </c>
      <c r="N74" s="151">
        <f t="shared" si="18"/>
        <v>203.63</v>
      </c>
      <c r="O74" s="151">
        <f t="shared" si="19"/>
        <v>2443.56</v>
      </c>
      <c r="P74" s="151">
        <f>ROUND(O74*'29_01_H_2020'!$O$17,2)</f>
        <v>576.44000000000005</v>
      </c>
      <c r="Q74" s="380">
        <f t="shared" si="20"/>
        <v>3020</v>
      </c>
      <c r="R74" s="152"/>
      <c r="S74" s="328"/>
      <c r="T74" s="328"/>
      <c r="U74" s="328"/>
      <c r="V74" s="328"/>
      <c r="W74" s="328"/>
      <c r="X74" s="328"/>
      <c r="Y74" s="328"/>
      <c r="Z74" s="328"/>
      <c r="AA74" s="328"/>
      <c r="AB74" s="328"/>
      <c r="AC74" s="329"/>
      <c r="AD74" s="152"/>
      <c r="AE74" s="152"/>
      <c r="AF74" s="328"/>
      <c r="AG74" s="328"/>
      <c r="AH74" s="328"/>
      <c r="AI74" s="328"/>
      <c r="AJ74" s="328"/>
      <c r="AK74" s="328"/>
      <c r="AL74" s="328"/>
      <c r="AM74" s="328"/>
      <c r="AN74" s="328"/>
      <c r="AO74" s="328"/>
      <c r="AP74" s="329"/>
      <c r="AQ74" s="152"/>
      <c r="AR74" s="152"/>
      <c r="AS74" s="152"/>
      <c r="AT74" s="152"/>
      <c r="AU74" s="152"/>
    </row>
    <row r="75" spans="1:47" s="333" customFormat="1">
      <c r="A75" s="558" t="s">
        <v>516</v>
      </c>
      <c r="B75" s="67">
        <v>5.2</v>
      </c>
      <c r="C75" s="334" t="s">
        <v>49</v>
      </c>
      <c r="D75" s="257">
        <v>5</v>
      </c>
      <c r="E75" s="258">
        <v>3</v>
      </c>
      <c r="F75" s="4">
        <v>802</v>
      </c>
      <c r="G75" s="345">
        <v>802</v>
      </c>
      <c r="H75" s="345"/>
      <c r="I75" s="344">
        <v>1</v>
      </c>
      <c r="J75" s="379">
        <f>ROUND(G75*(1+'29_01_H_2020'!$O$10),2)</f>
        <v>1005.63</v>
      </c>
      <c r="K75" s="151">
        <f t="shared" si="16"/>
        <v>0</v>
      </c>
      <c r="L75" s="151">
        <f>ROUND(H75*(1+'29_01_H_2020'!$O$10),2)</f>
        <v>0</v>
      </c>
      <c r="M75" s="151">
        <f t="shared" si="17"/>
        <v>203.63</v>
      </c>
      <c r="N75" s="151">
        <f t="shared" si="18"/>
        <v>203.63</v>
      </c>
      <c r="O75" s="151">
        <f t="shared" si="19"/>
        <v>2443.56</v>
      </c>
      <c r="P75" s="151">
        <f>ROUND(O75*'29_01_H_2020'!$O$17,2)</f>
        <v>576.44000000000005</v>
      </c>
      <c r="Q75" s="380">
        <f t="shared" si="20"/>
        <v>3020</v>
      </c>
      <c r="R75" s="152"/>
      <c r="S75" s="328"/>
      <c r="T75" s="328"/>
      <c r="U75" s="328"/>
      <c r="V75" s="328"/>
      <c r="W75" s="328"/>
      <c r="X75" s="328"/>
      <c r="Y75" s="328"/>
      <c r="Z75" s="328"/>
      <c r="AA75" s="328"/>
      <c r="AB75" s="328"/>
      <c r="AC75" s="329"/>
      <c r="AD75" s="152"/>
      <c r="AE75" s="152"/>
      <c r="AF75" s="328"/>
      <c r="AG75" s="328"/>
      <c r="AH75" s="328"/>
      <c r="AI75" s="328"/>
      <c r="AJ75" s="328"/>
      <c r="AK75" s="328"/>
      <c r="AL75" s="328"/>
      <c r="AM75" s="328"/>
      <c r="AN75" s="328"/>
      <c r="AO75" s="328"/>
      <c r="AP75" s="329"/>
      <c r="AQ75" s="152"/>
      <c r="AR75" s="152"/>
      <c r="AS75" s="152"/>
      <c r="AT75" s="152"/>
      <c r="AU75" s="152"/>
    </row>
    <row r="76" spans="1:47" s="333" customFormat="1">
      <c r="A76" s="558" t="s">
        <v>516</v>
      </c>
      <c r="B76" s="67">
        <v>5.2</v>
      </c>
      <c r="C76" s="334" t="s">
        <v>49</v>
      </c>
      <c r="D76" s="257">
        <v>5</v>
      </c>
      <c r="E76" s="258">
        <v>3</v>
      </c>
      <c r="F76" s="4">
        <v>802</v>
      </c>
      <c r="G76" s="345">
        <v>802</v>
      </c>
      <c r="H76" s="345"/>
      <c r="I76" s="344">
        <v>1</v>
      </c>
      <c r="J76" s="379">
        <f>ROUND(G76*(1+'29_01_H_2020'!$O$10),2)</f>
        <v>1005.63</v>
      </c>
      <c r="K76" s="151">
        <f t="shared" si="16"/>
        <v>0</v>
      </c>
      <c r="L76" s="151">
        <f>ROUND(H76*(1+'29_01_H_2020'!$O$10),2)</f>
        <v>0</v>
      </c>
      <c r="M76" s="151">
        <f t="shared" si="17"/>
        <v>203.63</v>
      </c>
      <c r="N76" s="151">
        <f t="shared" si="18"/>
        <v>203.63</v>
      </c>
      <c r="O76" s="151">
        <f t="shared" si="19"/>
        <v>2443.56</v>
      </c>
      <c r="P76" s="151">
        <f>ROUND(O76*'29_01_H_2020'!$O$17,2)</f>
        <v>576.44000000000005</v>
      </c>
      <c r="Q76" s="380">
        <f t="shared" si="20"/>
        <v>3020</v>
      </c>
      <c r="R76" s="152"/>
      <c r="S76" s="328"/>
      <c r="T76" s="328"/>
      <c r="U76" s="328"/>
      <c r="V76" s="328"/>
      <c r="W76" s="328"/>
      <c r="X76" s="328"/>
      <c r="Y76" s="328"/>
      <c r="Z76" s="328"/>
      <c r="AA76" s="328"/>
      <c r="AB76" s="328"/>
      <c r="AC76" s="329"/>
      <c r="AD76" s="152"/>
      <c r="AE76" s="152"/>
      <c r="AF76" s="328"/>
      <c r="AG76" s="328"/>
      <c r="AH76" s="328"/>
      <c r="AI76" s="328"/>
      <c r="AJ76" s="328"/>
      <c r="AK76" s="328"/>
      <c r="AL76" s="328"/>
      <c r="AM76" s="328"/>
      <c r="AN76" s="328"/>
      <c r="AO76" s="328"/>
      <c r="AP76" s="329"/>
      <c r="AQ76" s="152"/>
      <c r="AR76" s="152"/>
      <c r="AS76" s="152"/>
      <c r="AT76" s="152"/>
      <c r="AU76" s="152"/>
    </row>
    <row r="77" spans="1:47" s="333" customFormat="1">
      <c r="A77" s="558" t="s">
        <v>510</v>
      </c>
      <c r="B77" s="67">
        <v>5.0999999999999996</v>
      </c>
      <c r="C77" s="334" t="s">
        <v>37</v>
      </c>
      <c r="D77" s="257">
        <v>8</v>
      </c>
      <c r="E77" s="258">
        <v>3</v>
      </c>
      <c r="F77" s="4">
        <v>1093</v>
      </c>
      <c r="G77" s="345">
        <v>1093</v>
      </c>
      <c r="H77" s="345"/>
      <c r="I77" s="344">
        <v>1</v>
      </c>
      <c r="J77" s="379">
        <f>ROUND(G77*(1+'29_01_H_2020'!$O$10),2)</f>
        <v>1370.51</v>
      </c>
      <c r="K77" s="151">
        <f t="shared" si="16"/>
        <v>0</v>
      </c>
      <c r="L77" s="151">
        <f>ROUND(H77*(1+'29_01_H_2020'!$O$10),2)</f>
        <v>0</v>
      </c>
      <c r="M77" s="151">
        <f t="shared" si="17"/>
        <v>277.51</v>
      </c>
      <c r="N77" s="151">
        <f t="shared" si="18"/>
        <v>277.51</v>
      </c>
      <c r="O77" s="151">
        <f t="shared" si="19"/>
        <v>3330.12</v>
      </c>
      <c r="P77" s="151">
        <f>ROUND(O77*'29_01_H_2020'!$O$17,2)</f>
        <v>785.58</v>
      </c>
      <c r="Q77" s="380">
        <f t="shared" si="20"/>
        <v>4115.7</v>
      </c>
      <c r="R77" s="152"/>
      <c r="S77" s="328"/>
      <c r="T77" s="328"/>
      <c r="U77" s="328"/>
      <c r="V77" s="328"/>
      <c r="W77" s="328"/>
      <c r="X77" s="328"/>
      <c r="Y77" s="328"/>
      <c r="Z77" s="328"/>
      <c r="AA77" s="328"/>
      <c r="AB77" s="328"/>
      <c r="AC77" s="329"/>
      <c r="AD77" s="152"/>
      <c r="AE77" s="152"/>
      <c r="AF77" s="328"/>
      <c r="AG77" s="328"/>
      <c r="AH77" s="328"/>
      <c r="AI77" s="328"/>
      <c r="AJ77" s="328"/>
      <c r="AK77" s="328"/>
      <c r="AL77" s="328"/>
      <c r="AM77" s="328"/>
      <c r="AN77" s="328"/>
      <c r="AO77" s="328"/>
      <c r="AP77" s="329"/>
      <c r="AQ77" s="152"/>
      <c r="AR77" s="152"/>
      <c r="AS77" s="152"/>
      <c r="AT77" s="152"/>
      <c r="AU77" s="152"/>
    </row>
    <row r="78" spans="1:47" ht="15.75" thickBot="1">
      <c r="A78" s="11" t="s">
        <v>55</v>
      </c>
      <c r="B78" s="8" t="s">
        <v>52</v>
      </c>
      <c r="C78" s="9" t="s">
        <v>52</v>
      </c>
      <c r="D78" s="9" t="s">
        <v>52</v>
      </c>
      <c r="E78" s="9" t="s">
        <v>52</v>
      </c>
      <c r="F78" s="10" t="s">
        <v>52</v>
      </c>
      <c r="G78" s="10" t="s">
        <v>52</v>
      </c>
      <c r="H78" s="10" t="s">
        <v>52</v>
      </c>
      <c r="I78" s="313">
        <f>SUM(I43:I77)</f>
        <v>33.65</v>
      </c>
      <c r="J78" s="404"/>
      <c r="K78" s="405"/>
      <c r="L78" s="405"/>
      <c r="M78" s="405"/>
      <c r="N78" s="405"/>
      <c r="O78" s="405"/>
      <c r="P78" s="405"/>
      <c r="Q78" s="406"/>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52"/>
      <c r="AP78" s="152"/>
      <c r="AQ78" s="152"/>
      <c r="AR78" s="152"/>
      <c r="AS78" s="152"/>
      <c r="AT78" s="152"/>
      <c r="AU78" s="152"/>
    </row>
    <row r="79" spans="1:47" ht="15.75" thickBot="1">
      <c r="A79" s="79" t="s">
        <v>57</v>
      </c>
      <c r="B79" s="80"/>
      <c r="C79" s="80"/>
      <c r="D79" s="80"/>
      <c r="E79" s="80"/>
      <c r="F79" s="80"/>
      <c r="G79" s="80"/>
      <c r="H79" s="80"/>
      <c r="I79" s="315">
        <f>SUM(I41,I78)</f>
        <v>53.75</v>
      </c>
      <c r="J79" s="424"/>
      <c r="K79" s="425"/>
      <c r="L79" s="425"/>
      <c r="M79" s="425"/>
      <c r="N79" s="425"/>
      <c r="O79" s="425"/>
      <c r="P79" s="426"/>
      <c r="Q79" s="427">
        <f>SUM(Q11:Q40,Q43:Q77,)</f>
        <v>245033.69400000022</v>
      </c>
      <c r="R79" s="152"/>
      <c r="S79" s="152"/>
      <c r="T79" s="152"/>
      <c r="U79" s="152"/>
      <c r="V79" s="152"/>
      <c r="W79" s="152"/>
      <c r="X79" s="152"/>
      <c r="Y79" s="324"/>
      <c r="Z79" s="325"/>
      <c r="AA79" s="325"/>
      <c r="AB79" s="325"/>
      <c r="AC79" s="152"/>
      <c r="AD79" s="152"/>
      <c r="AE79" s="152"/>
      <c r="AF79" s="152"/>
      <c r="AG79" s="152"/>
      <c r="AH79" s="152"/>
      <c r="AI79" s="152"/>
      <c r="AJ79" s="152"/>
      <c r="AK79" s="152"/>
      <c r="AL79" s="324"/>
      <c r="AM79" s="325"/>
      <c r="AN79" s="325"/>
      <c r="AO79" s="325"/>
      <c r="AP79" s="152"/>
      <c r="AQ79" s="152"/>
      <c r="AR79" s="152"/>
      <c r="AS79" s="152"/>
      <c r="AT79" s="152"/>
      <c r="AU79" s="152"/>
    </row>
    <row r="80" spans="1:47" ht="15.75" thickBot="1">
      <c r="A80" s="70"/>
      <c r="B80" s="71"/>
      <c r="C80" s="71"/>
      <c r="D80" s="71"/>
      <c r="E80" s="71"/>
      <c r="F80" s="72"/>
      <c r="G80" s="71"/>
      <c r="H80" s="73"/>
      <c r="I80" s="74"/>
      <c r="J80" s="394"/>
      <c r="K80" s="395"/>
      <c r="L80" s="395"/>
      <c r="M80" s="395"/>
      <c r="N80" s="395"/>
      <c r="O80" s="395"/>
      <c r="P80" s="395"/>
      <c r="Q80" s="423"/>
      <c r="R80" s="152"/>
      <c r="S80" s="152"/>
      <c r="T80" s="152"/>
      <c r="U80" s="152"/>
      <c r="V80" s="152"/>
      <c r="W80" s="152"/>
      <c r="X80" s="152"/>
      <c r="Y80" s="152"/>
      <c r="Z80" s="152"/>
      <c r="AA80" s="152"/>
      <c r="AB80" s="326"/>
      <c r="AC80" s="152"/>
      <c r="AD80" s="152"/>
      <c r="AE80" s="152"/>
      <c r="AF80" s="152"/>
      <c r="AG80" s="152"/>
      <c r="AH80" s="152"/>
      <c r="AI80" s="152"/>
      <c r="AJ80" s="152"/>
      <c r="AK80" s="152"/>
      <c r="AL80" s="152"/>
      <c r="AM80" s="152"/>
      <c r="AN80" s="152"/>
      <c r="AO80" s="326"/>
      <c r="AP80" s="152"/>
      <c r="AQ80" s="152"/>
      <c r="AR80" s="152"/>
      <c r="AS80" s="152"/>
      <c r="AT80" s="152"/>
      <c r="AU80" s="152"/>
    </row>
    <row r="81" spans="1:47" ht="15" customHeight="1">
      <c r="A81" s="1092" t="s">
        <v>240</v>
      </c>
      <c r="B81" s="1093"/>
      <c r="C81" s="1093"/>
      <c r="D81" s="1093"/>
      <c r="E81" s="1093"/>
      <c r="F81" s="1093"/>
      <c r="G81" s="1093"/>
      <c r="H81" s="1093"/>
      <c r="I81" s="1094"/>
      <c r="J81" s="409"/>
      <c r="K81" s="410"/>
      <c r="L81" s="410"/>
      <c r="M81" s="410"/>
      <c r="N81" s="410"/>
      <c r="O81" s="410"/>
      <c r="P81" s="410"/>
      <c r="Q81" s="411"/>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row>
    <row r="82" spans="1:47">
      <c r="A82" s="1103" t="s">
        <v>241</v>
      </c>
      <c r="B82" s="1104"/>
      <c r="C82" s="1104"/>
      <c r="D82" s="1104"/>
      <c r="E82" s="1104"/>
      <c r="F82" s="1104"/>
      <c r="G82" s="1104"/>
      <c r="H82" s="1104"/>
      <c r="I82" s="1105"/>
      <c r="J82" s="384"/>
      <c r="K82" s="382"/>
      <c r="L82" s="382"/>
      <c r="M82" s="382"/>
      <c r="N82" s="382"/>
      <c r="O82" s="382"/>
      <c r="P82" s="382"/>
      <c r="Q82" s="549">
        <f>SUM(Q84:Q85)</f>
        <v>7532.0500000000011</v>
      </c>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row>
    <row r="83" spans="1:47">
      <c r="A83" s="1101" t="s">
        <v>11</v>
      </c>
      <c r="B83" s="1102"/>
      <c r="C83" s="1102"/>
      <c r="D83" s="1102"/>
      <c r="E83" s="1102"/>
      <c r="F83" s="1102"/>
      <c r="G83" s="1102"/>
      <c r="H83" s="1102"/>
      <c r="I83" s="1102"/>
      <c r="J83" s="385"/>
      <c r="K83" s="383"/>
      <c r="L83" s="383"/>
      <c r="M83" s="383"/>
      <c r="N83" s="383"/>
      <c r="O83" s="383"/>
      <c r="P83" s="383"/>
      <c r="Q83" s="386"/>
      <c r="R83" s="152"/>
      <c r="S83" s="152"/>
      <c r="T83" s="152"/>
      <c r="U83" s="152"/>
      <c r="V83" s="152"/>
      <c r="W83" s="152"/>
      <c r="X83" s="152"/>
      <c r="Y83" s="152"/>
      <c r="Z83" s="152"/>
      <c r="AA83" s="152"/>
      <c r="AB83" s="152"/>
      <c r="AC83" s="152"/>
      <c r="AD83" s="152"/>
      <c r="AE83" s="152"/>
      <c r="AF83" s="152"/>
      <c r="AG83" s="152"/>
      <c r="AH83" s="152"/>
      <c r="AI83" s="152"/>
      <c r="AJ83" s="152"/>
      <c r="AK83" s="152"/>
      <c r="AL83" s="152"/>
      <c r="AM83" s="152"/>
      <c r="AN83" s="152"/>
      <c r="AO83" s="152"/>
      <c r="AP83" s="152"/>
      <c r="AQ83" s="152"/>
      <c r="AR83" s="152"/>
      <c r="AS83" s="152"/>
    </row>
    <row r="84" spans="1:47">
      <c r="A84" s="5" t="s">
        <v>242</v>
      </c>
      <c r="B84" s="2">
        <v>10</v>
      </c>
      <c r="C84" s="3" t="s">
        <v>26</v>
      </c>
      <c r="D84" s="258">
        <v>10</v>
      </c>
      <c r="E84" s="258">
        <v>3</v>
      </c>
      <c r="F84" s="263">
        <v>1287</v>
      </c>
      <c r="G84" s="90">
        <v>1287</v>
      </c>
      <c r="H84" s="90">
        <v>64.349999999999994</v>
      </c>
      <c r="I84" s="359">
        <v>1</v>
      </c>
      <c r="J84" s="379">
        <f>ROUND(G84*(1+'29_01_H_2020'!$O$14),2)</f>
        <v>1613.77</v>
      </c>
      <c r="K84" s="151">
        <f>L84-H84</f>
        <v>16.340000000000003</v>
      </c>
      <c r="L84" s="151">
        <f>ROUND(H84*(1+'29_01_H_2020'!$O$14),2)</f>
        <v>80.69</v>
      </c>
      <c r="M84" s="151">
        <f>(J84+L84)-(G84+H84)</f>
        <v>343.11000000000013</v>
      </c>
      <c r="N84" s="151">
        <f>M84*I84</f>
        <v>343.11000000000013</v>
      </c>
      <c r="O84" s="151">
        <f t="shared" ref="O84:O85" si="21">N84*12</f>
        <v>4117.3200000000015</v>
      </c>
      <c r="P84" s="151">
        <f>ROUND(O84*'29_01_H_2020'!$O$17,2)</f>
        <v>971.28</v>
      </c>
      <c r="Q84" s="380">
        <f t="shared" ref="Q84" si="22">SUM(O84:P84)</f>
        <v>5088.6000000000013</v>
      </c>
      <c r="R84" s="152"/>
      <c r="S84" s="328"/>
      <c r="T84" s="328"/>
      <c r="U84" s="328"/>
      <c r="V84" s="328"/>
      <c r="W84" s="328"/>
      <c r="X84" s="328"/>
      <c r="Y84" s="328"/>
      <c r="Z84" s="328"/>
      <c r="AA84" s="328"/>
      <c r="AB84" s="328"/>
      <c r="AC84" s="329"/>
      <c r="AD84" s="152"/>
      <c r="AE84" s="152"/>
      <c r="AF84" s="328"/>
      <c r="AG84" s="328"/>
      <c r="AH84" s="328"/>
      <c r="AI84" s="328"/>
      <c r="AJ84" s="328"/>
      <c r="AK84" s="328"/>
      <c r="AL84" s="328"/>
      <c r="AM84" s="328"/>
      <c r="AN84" s="328"/>
      <c r="AO84" s="328"/>
      <c r="AP84" s="329"/>
      <c r="AQ84" s="152"/>
      <c r="AR84" s="152"/>
      <c r="AS84" s="152"/>
    </row>
    <row r="85" spans="1:47">
      <c r="A85" s="5" t="s">
        <v>243</v>
      </c>
      <c r="B85" s="2">
        <v>10</v>
      </c>
      <c r="C85" s="3" t="s">
        <v>26</v>
      </c>
      <c r="D85" s="258">
        <v>10</v>
      </c>
      <c r="E85" s="258">
        <v>3</v>
      </c>
      <c r="F85" s="263">
        <v>1287</v>
      </c>
      <c r="G85" s="90">
        <v>1236</v>
      </c>
      <c r="H85" s="90">
        <v>61.8</v>
      </c>
      <c r="I85" s="359">
        <v>0.5</v>
      </c>
      <c r="J85" s="379">
        <f>ROUND(G85*(1+'29_01_H_2020'!$O$14),2)</f>
        <v>1549.82</v>
      </c>
      <c r="K85" s="151">
        <f>L85-H85</f>
        <v>15.689999999999998</v>
      </c>
      <c r="L85" s="151">
        <f>ROUND(H85*(1+'29_01_H_2020'!$O$14),2)</f>
        <v>77.489999999999995</v>
      </c>
      <c r="M85" s="151">
        <f>(J85+L85)-(G85+H85)</f>
        <v>329.51</v>
      </c>
      <c r="N85" s="151">
        <f>M85*I85</f>
        <v>164.755</v>
      </c>
      <c r="O85" s="151">
        <f t="shared" si="21"/>
        <v>1977.06</v>
      </c>
      <c r="P85" s="151">
        <f>ROUND(O85*'29_01_H_2020'!$O$17,2)</f>
        <v>466.39</v>
      </c>
      <c r="Q85" s="380">
        <f t="shared" ref="Q85" si="23">SUM(O85:P85)</f>
        <v>2443.4499999999998</v>
      </c>
      <c r="R85" s="152"/>
      <c r="S85" s="328"/>
      <c r="T85" s="328"/>
      <c r="U85" s="328"/>
      <c r="V85" s="328"/>
      <c r="W85" s="328"/>
      <c r="X85" s="328"/>
      <c r="Y85" s="328"/>
      <c r="Z85" s="328"/>
      <c r="AA85" s="328"/>
      <c r="AB85" s="328"/>
      <c r="AC85" s="329"/>
      <c r="AD85" s="152"/>
      <c r="AE85" s="152"/>
      <c r="AF85" s="328"/>
      <c r="AG85" s="328"/>
      <c r="AH85" s="328"/>
      <c r="AI85" s="328"/>
      <c r="AJ85" s="328"/>
      <c r="AK85" s="328"/>
      <c r="AL85" s="328"/>
      <c r="AM85" s="328"/>
      <c r="AN85" s="328"/>
      <c r="AO85" s="328"/>
      <c r="AP85" s="329"/>
      <c r="AQ85" s="152"/>
      <c r="AR85" s="152"/>
      <c r="AS85" s="152"/>
    </row>
    <row r="86" spans="1:47">
      <c r="A86" s="11" t="s">
        <v>55</v>
      </c>
      <c r="B86" s="8" t="s">
        <v>52</v>
      </c>
      <c r="C86" s="9" t="s">
        <v>52</v>
      </c>
      <c r="D86" s="9" t="s">
        <v>52</v>
      </c>
      <c r="E86" s="9" t="s">
        <v>52</v>
      </c>
      <c r="F86" s="10" t="s">
        <v>52</v>
      </c>
      <c r="G86" s="10" t="s">
        <v>52</v>
      </c>
      <c r="H86" s="10" t="s">
        <v>52</v>
      </c>
      <c r="I86" s="360">
        <f>SUM(I84:I85)</f>
        <v>1.5</v>
      </c>
      <c r="J86" s="404"/>
      <c r="K86" s="405"/>
      <c r="L86" s="405"/>
      <c r="M86" s="405"/>
      <c r="N86" s="405"/>
      <c r="O86" s="405"/>
      <c r="P86" s="405"/>
      <c r="Q86" s="412"/>
      <c r="R86" s="152"/>
      <c r="S86" s="152"/>
      <c r="T86" s="152"/>
      <c r="U86" s="152"/>
      <c r="V86" s="152"/>
      <c r="W86" s="152"/>
      <c r="X86" s="152"/>
      <c r="Y86" s="152"/>
      <c r="Z86" s="328"/>
      <c r="AA86" s="152"/>
      <c r="AB86" s="152"/>
      <c r="AC86" s="152"/>
      <c r="AD86" s="152"/>
      <c r="AE86" s="152"/>
      <c r="AF86" s="152"/>
      <c r="AG86" s="152"/>
      <c r="AH86" s="152"/>
      <c r="AI86" s="152"/>
      <c r="AJ86" s="152"/>
      <c r="AK86" s="152"/>
      <c r="AL86" s="152"/>
      <c r="AM86" s="328"/>
      <c r="AN86" s="152"/>
      <c r="AO86" s="152"/>
      <c r="AP86" s="152"/>
      <c r="AQ86" s="152"/>
      <c r="AR86" s="152"/>
      <c r="AS86" s="152"/>
    </row>
    <row r="87" spans="1:47">
      <c r="A87" s="144" t="s">
        <v>244</v>
      </c>
      <c r="B87" s="143"/>
      <c r="C87" s="143"/>
      <c r="D87" s="143"/>
      <c r="E87" s="143"/>
      <c r="F87" s="99"/>
      <c r="G87" s="99"/>
      <c r="H87" s="99"/>
      <c r="I87" s="361">
        <f>I86</f>
        <v>1.5</v>
      </c>
      <c r="J87" s="413"/>
      <c r="K87" s="414"/>
      <c r="L87" s="414"/>
      <c r="M87" s="414"/>
      <c r="N87" s="414"/>
      <c r="O87" s="414"/>
      <c r="P87" s="414"/>
      <c r="Q87" s="415"/>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row>
    <row r="88" spans="1:47">
      <c r="A88" s="1103" t="s">
        <v>245</v>
      </c>
      <c r="B88" s="1104"/>
      <c r="C88" s="1104"/>
      <c r="D88" s="1104"/>
      <c r="E88" s="1104"/>
      <c r="F88" s="1104"/>
      <c r="G88" s="1104"/>
      <c r="H88" s="1104"/>
      <c r="I88" s="1105"/>
      <c r="J88" s="384"/>
      <c r="K88" s="382"/>
      <c r="L88" s="382"/>
      <c r="M88" s="382"/>
      <c r="N88" s="382"/>
      <c r="O88" s="382"/>
      <c r="P88" s="382"/>
      <c r="Q88" s="856">
        <f>SUM(Q91:Q95,Q98:Q101,Q104:Q109,Q114:Q121,Q124:Q130,Q135:Q140,Q143:Q149,Q154:Q166,Q169:Q178,Q183:Q188,Q191:Q195, Q198)</f>
        <v>1507534.4779999997</v>
      </c>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row>
    <row r="89" spans="1:47">
      <c r="A89" s="1095" t="s">
        <v>246</v>
      </c>
      <c r="B89" s="1096"/>
      <c r="C89" s="1096"/>
      <c r="D89" s="1096"/>
      <c r="E89" s="1096"/>
      <c r="F89" s="1096"/>
      <c r="G89" s="1096"/>
      <c r="H89" s="1096"/>
      <c r="I89" s="1097"/>
      <c r="J89" s="165"/>
      <c r="K89" s="176"/>
      <c r="L89" s="176"/>
      <c r="M89" s="176"/>
      <c r="N89" s="176"/>
      <c r="O89" s="176"/>
      <c r="P89" s="176"/>
      <c r="Q89" s="166"/>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row>
    <row r="90" spans="1:47">
      <c r="A90" s="1098" t="s">
        <v>11</v>
      </c>
      <c r="B90" s="1099"/>
      <c r="C90" s="1099"/>
      <c r="D90" s="1099"/>
      <c r="E90" s="1099"/>
      <c r="F90" s="1099"/>
      <c r="G90" s="1099"/>
      <c r="H90" s="1099"/>
      <c r="I90" s="1100"/>
      <c r="J90" s="385"/>
      <c r="K90" s="383"/>
      <c r="L90" s="383"/>
      <c r="M90" s="383"/>
      <c r="N90" s="383"/>
      <c r="O90" s="383"/>
      <c r="P90" s="383"/>
      <c r="Q90" s="386"/>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row>
    <row r="91" spans="1:47">
      <c r="A91" s="100" t="s">
        <v>247</v>
      </c>
      <c r="B91" s="101" t="s">
        <v>16</v>
      </c>
      <c r="C91" s="32" t="s">
        <v>26</v>
      </c>
      <c r="D91" s="259" t="s">
        <v>75</v>
      </c>
      <c r="E91" s="259" t="s">
        <v>69</v>
      </c>
      <c r="F91" s="264">
        <v>1287</v>
      </c>
      <c r="G91" s="102">
        <v>1287</v>
      </c>
      <c r="H91" s="102">
        <v>128.70000000000002</v>
      </c>
      <c r="I91" s="359">
        <v>2.9</v>
      </c>
      <c r="J91" s="379">
        <f>ROUND(G91*(1+'29_01_H_2020'!$O$14),2)</f>
        <v>1613.77</v>
      </c>
      <c r="K91" s="151">
        <f>L91-H91</f>
        <v>32.679999999999978</v>
      </c>
      <c r="L91" s="151">
        <f>ROUND(H91*(1+'29_01_H_2020'!$O$14),2)</f>
        <v>161.38</v>
      </c>
      <c r="M91" s="151">
        <f>(J91+L91)-(G91+H91)</f>
        <v>359.45000000000005</v>
      </c>
      <c r="N91" s="151">
        <f>M91*I91</f>
        <v>1042.4050000000002</v>
      </c>
      <c r="O91" s="151">
        <f t="shared" ref="O91:O94" si="24">N91*12</f>
        <v>12508.860000000002</v>
      </c>
      <c r="P91" s="151">
        <f>ROUND(O91*'29_01_H_2020'!$O$17,2)</f>
        <v>2950.84</v>
      </c>
      <c r="Q91" s="380">
        <f t="shared" ref="Q91" si="25">SUM(O91:P91)</f>
        <v>15459.700000000003</v>
      </c>
      <c r="R91" s="152"/>
      <c r="S91" s="328"/>
      <c r="T91" s="328"/>
      <c r="U91" s="328"/>
      <c r="V91" s="328"/>
      <c r="W91" s="328"/>
      <c r="X91" s="328"/>
      <c r="Y91" s="328"/>
      <c r="Z91" s="328"/>
      <c r="AA91" s="328"/>
      <c r="AB91" s="328"/>
      <c r="AC91" s="329"/>
      <c r="AD91" s="152"/>
      <c r="AE91" s="152"/>
      <c r="AF91" s="328"/>
      <c r="AG91" s="328"/>
      <c r="AH91" s="328"/>
      <c r="AI91" s="328"/>
      <c r="AJ91" s="328"/>
      <c r="AK91" s="328"/>
      <c r="AL91" s="328"/>
      <c r="AM91" s="328"/>
      <c r="AN91" s="328"/>
      <c r="AO91" s="328"/>
      <c r="AP91" s="329"/>
      <c r="AQ91" s="152"/>
      <c r="AR91" s="152"/>
      <c r="AS91" s="152"/>
    </row>
    <row r="92" spans="1:47">
      <c r="A92" s="100" t="s">
        <v>248</v>
      </c>
      <c r="B92" s="101" t="s">
        <v>16</v>
      </c>
      <c r="C92" s="32" t="s">
        <v>26</v>
      </c>
      <c r="D92" s="259" t="s">
        <v>75</v>
      </c>
      <c r="E92" s="259" t="s">
        <v>69</v>
      </c>
      <c r="F92" s="264">
        <v>1287</v>
      </c>
      <c r="G92" s="102">
        <v>1287</v>
      </c>
      <c r="H92" s="102">
        <v>128.70000000000002</v>
      </c>
      <c r="I92" s="359">
        <v>1.05</v>
      </c>
      <c r="J92" s="379">
        <f>ROUND(G92*(1+'29_01_H_2020'!$O$14),2)</f>
        <v>1613.77</v>
      </c>
      <c r="K92" s="151">
        <f>L92-H92</f>
        <v>32.679999999999978</v>
      </c>
      <c r="L92" s="151">
        <f>ROUND(H92*(1+'29_01_H_2020'!$O$14),2)</f>
        <v>161.38</v>
      </c>
      <c r="M92" s="151">
        <f>(J92+L92)-(G92+H92)</f>
        <v>359.45000000000005</v>
      </c>
      <c r="N92" s="151">
        <f>M92*I92</f>
        <v>377.42250000000007</v>
      </c>
      <c r="O92" s="151">
        <f t="shared" si="24"/>
        <v>4529.0700000000006</v>
      </c>
      <c r="P92" s="151">
        <f>ROUND(O92*'29_01_H_2020'!$O$17,2)</f>
        <v>1068.4100000000001</v>
      </c>
      <c r="Q92" s="380">
        <f t="shared" ref="Q92:Q94" si="26">SUM(O92:P92)</f>
        <v>5597.4800000000005</v>
      </c>
      <c r="R92" s="152"/>
      <c r="S92" s="328"/>
      <c r="T92" s="328"/>
      <c r="U92" s="328"/>
      <c r="V92" s="328"/>
      <c r="W92" s="328"/>
      <c r="X92" s="328"/>
      <c r="Y92" s="328"/>
      <c r="Z92" s="328"/>
      <c r="AA92" s="328"/>
      <c r="AB92" s="328"/>
      <c r="AC92" s="329"/>
      <c r="AD92" s="152"/>
      <c r="AE92" s="152"/>
      <c r="AF92" s="328"/>
      <c r="AG92" s="328"/>
      <c r="AH92" s="328"/>
      <c r="AI92" s="328"/>
      <c r="AJ92" s="328"/>
      <c r="AK92" s="328"/>
      <c r="AL92" s="328"/>
      <c r="AM92" s="328"/>
      <c r="AN92" s="328"/>
      <c r="AO92" s="328"/>
      <c r="AP92" s="329"/>
      <c r="AQ92" s="152"/>
      <c r="AR92" s="152"/>
      <c r="AS92" s="152"/>
    </row>
    <row r="93" spans="1:47">
      <c r="A93" s="100" t="s">
        <v>249</v>
      </c>
      <c r="B93" s="101" t="s">
        <v>16</v>
      </c>
      <c r="C93" s="32" t="s">
        <v>26</v>
      </c>
      <c r="D93" s="259" t="s">
        <v>75</v>
      </c>
      <c r="E93" s="259" t="s">
        <v>69</v>
      </c>
      <c r="F93" s="264">
        <v>1287</v>
      </c>
      <c r="G93" s="102">
        <v>1287</v>
      </c>
      <c r="H93" s="102">
        <v>128.70000000000002</v>
      </c>
      <c r="I93" s="359">
        <v>0.5</v>
      </c>
      <c r="J93" s="379">
        <f>ROUND(G93*(1+'29_01_H_2020'!$O$14),2)</f>
        <v>1613.77</v>
      </c>
      <c r="K93" s="151">
        <f>L93-H93</f>
        <v>32.679999999999978</v>
      </c>
      <c r="L93" s="151">
        <f>ROUND(H93*(1+'29_01_H_2020'!$O$14),2)</f>
        <v>161.38</v>
      </c>
      <c r="M93" s="151">
        <f>(J93+L93)-(G93+H93)</f>
        <v>359.45000000000005</v>
      </c>
      <c r="N93" s="151">
        <f>M93*I93</f>
        <v>179.72500000000002</v>
      </c>
      <c r="O93" s="151">
        <f t="shared" si="24"/>
        <v>2156.7000000000003</v>
      </c>
      <c r="P93" s="151">
        <f>ROUND(O93*'29_01_H_2020'!$O$17,2)</f>
        <v>508.77</v>
      </c>
      <c r="Q93" s="380">
        <f t="shared" si="26"/>
        <v>2665.4700000000003</v>
      </c>
      <c r="R93" s="152"/>
      <c r="S93" s="328"/>
      <c r="T93" s="328"/>
      <c r="U93" s="328"/>
      <c r="V93" s="328"/>
      <c r="W93" s="328"/>
      <c r="X93" s="328"/>
      <c r="Y93" s="328"/>
      <c r="Z93" s="328"/>
      <c r="AA93" s="328"/>
      <c r="AB93" s="328"/>
      <c r="AC93" s="329"/>
      <c r="AD93" s="152"/>
      <c r="AE93" s="152"/>
      <c r="AF93" s="328"/>
      <c r="AG93" s="328"/>
      <c r="AH93" s="328"/>
      <c r="AI93" s="328"/>
      <c r="AJ93" s="328"/>
      <c r="AK93" s="328"/>
      <c r="AL93" s="328"/>
      <c r="AM93" s="328"/>
      <c r="AN93" s="328"/>
      <c r="AO93" s="328"/>
      <c r="AP93" s="329"/>
      <c r="AQ93" s="152"/>
      <c r="AR93" s="152"/>
      <c r="AS93" s="152"/>
    </row>
    <row r="94" spans="1:47">
      <c r="A94" s="100" t="s">
        <v>261</v>
      </c>
      <c r="B94" s="101" t="s">
        <v>16</v>
      </c>
      <c r="C94" s="32" t="s">
        <v>251</v>
      </c>
      <c r="D94" s="259" t="s">
        <v>85</v>
      </c>
      <c r="E94" s="259" t="s">
        <v>69</v>
      </c>
      <c r="F94" s="264">
        <v>1190</v>
      </c>
      <c r="G94" s="102">
        <v>1043</v>
      </c>
      <c r="H94" s="102">
        <v>104.30000000000001</v>
      </c>
      <c r="I94" s="359">
        <v>1</v>
      </c>
      <c r="J94" s="379">
        <f>ROUND(G94*(1+'29_01_H_2020'!$O$14),2)</f>
        <v>1307.82</v>
      </c>
      <c r="K94" s="151">
        <f>L94-H94</f>
        <v>26.47999999999999</v>
      </c>
      <c r="L94" s="151">
        <f>ROUND(H94*(1+'29_01_H_2020'!$O$14),2)</f>
        <v>130.78</v>
      </c>
      <c r="M94" s="151">
        <f>(J94+L94)-(G94+H94)</f>
        <v>291.29999999999995</v>
      </c>
      <c r="N94" s="151">
        <f>M94*I94</f>
        <v>291.29999999999995</v>
      </c>
      <c r="O94" s="151">
        <f t="shared" si="24"/>
        <v>3495.5999999999995</v>
      </c>
      <c r="P94" s="151">
        <f>ROUND(O94*'29_01_H_2020'!$O$17,2)</f>
        <v>824.61</v>
      </c>
      <c r="Q94" s="380">
        <f t="shared" si="26"/>
        <v>4320.2099999999991</v>
      </c>
      <c r="R94" s="152"/>
      <c r="S94" s="328"/>
      <c r="T94" s="328"/>
      <c r="U94" s="328"/>
      <c r="V94" s="328"/>
      <c r="W94" s="328"/>
      <c r="X94" s="328"/>
      <c r="Y94" s="328"/>
      <c r="Z94" s="328"/>
      <c r="AA94" s="328"/>
      <c r="AB94" s="328"/>
      <c r="AC94" s="329"/>
      <c r="AD94" s="152"/>
      <c r="AE94" s="152"/>
      <c r="AF94" s="328"/>
      <c r="AG94" s="328"/>
      <c r="AH94" s="328"/>
      <c r="AI94" s="328"/>
      <c r="AJ94" s="328"/>
      <c r="AK94" s="328"/>
      <c r="AL94" s="328"/>
      <c r="AM94" s="328"/>
      <c r="AN94" s="328"/>
      <c r="AO94" s="328"/>
      <c r="AP94" s="329"/>
      <c r="AQ94" s="152"/>
      <c r="AR94" s="152"/>
      <c r="AS94" s="152"/>
    </row>
    <row r="95" spans="1:47" s="333" customFormat="1">
      <c r="A95" s="100" t="s">
        <v>250</v>
      </c>
      <c r="B95" s="101" t="s">
        <v>16</v>
      </c>
      <c r="C95" s="32" t="s">
        <v>251</v>
      </c>
      <c r="D95" s="259" t="s">
        <v>85</v>
      </c>
      <c r="E95" s="259" t="s">
        <v>69</v>
      </c>
      <c r="F95" s="264">
        <v>1190</v>
      </c>
      <c r="G95" s="102">
        <v>1106</v>
      </c>
      <c r="H95" s="102">
        <v>110.60000000000001</v>
      </c>
      <c r="I95" s="359">
        <v>1.4</v>
      </c>
      <c r="J95" s="379">
        <f>ROUND(G95*(1+'29_01_H_2020'!$O$14),2)</f>
        <v>1386.81</v>
      </c>
      <c r="K95" s="151">
        <f t="shared" ref="K95" si="27">L95-H95</f>
        <v>28.08</v>
      </c>
      <c r="L95" s="151">
        <f>ROUND(H95*(1+'29_01_H_2020'!$O$14),2)</f>
        <v>138.68</v>
      </c>
      <c r="M95" s="151">
        <f t="shared" ref="M95" si="28">(J95+L95)-(G95+H95)</f>
        <v>308.8900000000001</v>
      </c>
      <c r="N95" s="151">
        <f t="shared" ref="N95" si="29">M95*I95</f>
        <v>432.44600000000014</v>
      </c>
      <c r="O95" s="151">
        <f t="shared" ref="O95" si="30">N95*12</f>
        <v>5189.3520000000017</v>
      </c>
      <c r="P95" s="151">
        <f>ROUND(O95*'29_01_H_2020'!$O$17,2)</f>
        <v>1224.17</v>
      </c>
      <c r="Q95" s="380">
        <f t="shared" ref="Q95" si="31">SUM(O95:P95)</f>
        <v>6413.5220000000018</v>
      </c>
      <c r="R95" s="152"/>
      <c r="S95" s="328"/>
      <c r="T95" s="328"/>
      <c r="U95" s="328"/>
      <c r="V95" s="328"/>
      <c r="W95" s="328"/>
      <c r="X95" s="328"/>
      <c r="Y95" s="328"/>
      <c r="Z95" s="328"/>
      <c r="AA95" s="328"/>
      <c r="AB95" s="328"/>
      <c r="AC95" s="329"/>
      <c r="AD95" s="152"/>
      <c r="AE95" s="152"/>
      <c r="AF95" s="328"/>
      <c r="AG95" s="328"/>
      <c r="AH95" s="328"/>
      <c r="AI95" s="328"/>
      <c r="AJ95" s="328"/>
      <c r="AK95" s="328"/>
      <c r="AL95" s="328"/>
      <c r="AM95" s="328"/>
      <c r="AN95" s="328"/>
      <c r="AO95" s="328"/>
      <c r="AP95" s="329"/>
      <c r="AQ95" s="152"/>
      <c r="AR95" s="152"/>
      <c r="AS95" s="152"/>
    </row>
    <row r="96" spans="1:47">
      <c r="A96" s="11" t="s">
        <v>55</v>
      </c>
      <c r="B96" s="8" t="s">
        <v>52</v>
      </c>
      <c r="C96" s="9" t="s">
        <v>52</v>
      </c>
      <c r="D96" s="9" t="s">
        <v>52</v>
      </c>
      <c r="E96" s="9" t="s">
        <v>52</v>
      </c>
      <c r="F96" s="10" t="s">
        <v>52</v>
      </c>
      <c r="G96" s="10" t="s">
        <v>52</v>
      </c>
      <c r="H96" s="10" t="s">
        <v>52</v>
      </c>
      <c r="I96" s="360">
        <f>SUM(I91:I95)</f>
        <v>6.85</v>
      </c>
      <c r="J96" s="404"/>
      <c r="K96" s="405"/>
      <c r="L96" s="405"/>
      <c r="M96" s="405"/>
      <c r="N96" s="405"/>
      <c r="O96" s="405"/>
      <c r="P96" s="405"/>
      <c r="Q96" s="406"/>
      <c r="R96" s="152"/>
      <c r="S96" s="152"/>
      <c r="T96" s="152"/>
      <c r="U96" s="152"/>
      <c r="V96" s="152"/>
      <c r="W96" s="152"/>
      <c r="X96" s="152"/>
      <c r="Y96" s="152"/>
      <c r="Z96" s="152"/>
      <c r="AA96" s="152"/>
      <c r="AB96" s="152"/>
      <c r="AC96" s="152"/>
      <c r="AD96" s="152"/>
      <c r="AE96" s="152"/>
      <c r="AF96" s="152"/>
      <c r="AG96" s="152"/>
      <c r="AH96" s="152"/>
      <c r="AI96" s="152"/>
      <c r="AJ96" s="152"/>
      <c r="AK96" s="152"/>
      <c r="AL96" s="152"/>
      <c r="AM96" s="152"/>
      <c r="AN96" s="152"/>
      <c r="AO96" s="152"/>
      <c r="AP96" s="152"/>
      <c r="AQ96" s="152"/>
      <c r="AR96" s="152"/>
      <c r="AS96" s="152"/>
    </row>
    <row r="97" spans="1:45">
      <c r="A97" s="1111" t="s">
        <v>28</v>
      </c>
      <c r="B97" s="1112"/>
      <c r="C97" s="1112"/>
      <c r="D97" s="1112"/>
      <c r="E97" s="1112"/>
      <c r="F97" s="1112"/>
      <c r="G97" s="1112"/>
      <c r="H97" s="1112"/>
      <c r="I97" s="1113"/>
      <c r="J97" s="385"/>
      <c r="K97" s="383"/>
      <c r="L97" s="383"/>
      <c r="M97" s="383"/>
      <c r="N97" s="383"/>
      <c r="O97" s="383"/>
      <c r="P97" s="383"/>
      <c r="Q97" s="386"/>
      <c r="R97" s="152"/>
      <c r="S97" s="152"/>
      <c r="T97" s="152"/>
      <c r="U97" s="152"/>
      <c r="V97" s="152"/>
      <c r="W97" s="152"/>
      <c r="X97" s="152"/>
      <c r="Y97" s="152"/>
      <c r="Z97" s="152"/>
      <c r="AA97" s="152"/>
      <c r="AB97" s="152"/>
      <c r="AC97" s="152"/>
      <c r="AD97" s="152"/>
      <c r="AE97" s="152"/>
      <c r="AF97" s="152"/>
      <c r="AG97" s="152"/>
      <c r="AH97" s="152"/>
      <c r="AI97" s="152"/>
      <c r="AJ97" s="152"/>
      <c r="AK97" s="152"/>
      <c r="AL97" s="152"/>
      <c r="AM97" s="152"/>
      <c r="AN97" s="152"/>
      <c r="AO97" s="152"/>
      <c r="AP97" s="152"/>
      <c r="AQ97" s="152"/>
      <c r="AR97" s="152"/>
      <c r="AS97" s="152"/>
    </row>
    <row r="98" spans="1:45">
      <c r="A98" s="595" t="s">
        <v>226</v>
      </c>
      <c r="B98" s="7" t="s">
        <v>23</v>
      </c>
      <c r="C98" s="3" t="s">
        <v>19</v>
      </c>
      <c r="D98" s="258" t="s">
        <v>252</v>
      </c>
      <c r="E98" s="258" t="s">
        <v>69</v>
      </c>
      <c r="F98" s="263">
        <v>1093</v>
      </c>
      <c r="G98" s="90">
        <v>1014</v>
      </c>
      <c r="H98" s="90">
        <v>101.4</v>
      </c>
      <c r="I98" s="359">
        <v>2</v>
      </c>
      <c r="J98" s="379">
        <f>ROUND(G98*(1+'29_01_H_2020'!$O$10),2)</f>
        <v>1271.45</v>
      </c>
      <c r="K98" s="151">
        <f>L98-H98</f>
        <v>25.75</v>
      </c>
      <c r="L98" s="151">
        <f>ROUND(H98*(1+'29_01_H_2020'!$O$10),2)</f>
        <v>127.15</v>
      </c>
      <c r="M98" s="151">
        <f>(J98+L98)-(G98+H98)</f>
        <v>283.20000000000005</v>
      </c>
      <c r="N98" s="151">
        <f>M98*I98</f>
        <v>566.40000000000009</v>
      </c>
      <c r="O98" s="151">
        <f t="shared" ref="O98:O101" si="32">N98*12</f>
        <v>6796.8000000000011</v>
      </c>
      <c r="P98" s="151">
        <f>ROUND(O98*'29_01_H_2020'!$O$17,2)</f>
        <v>1603.37</v>
      </c>
      <c r="Q98" s="380">
        <f t="shared" ref="Q98" si="33">SUM(O98:P98)</f>
        <v>8400.1700000000019</v>
      </c>
      <c r="R98" s="152"/>
      <c r="S98" s="328"/>
      <c r="T98" s="328"/>
      <c r="U98" s="328"/>
      <c r="V98" s="328"/>
      <c r="W98" s="328"/>
      <c r="X98" s="328"/>
      <c r="Y98" s="328"/>
      <c r="Z98" s="328"/>
      <c r="AA98" s="328"/>
      <c r="AB98" s="328"/>
      <c r="AC98" s="329"/>
      <c r="AD98" s="152"/>
      <c r="AE98" s="152"/>
      <c r="AF98" s="328"/>
      <c r="AG98" s="328"/>
      <c r="AH98" s="328"/>
      <c r="AI98" s="328"/>
      <c r="AJ98" s="328"/>
      <c r="AK98" s="328"/>
      <c r="AL98" s="328"/>
      <c r="AM98" s="328"/>
      <c r="AN98" s="328"/>
      <c r="AO98" s="328"/>
      <c r="AP98" s="329"/>
      <c r="AQ98" s="152"/>
      <c r="AR98" s="152"/>
      <c r="AS98" s="152"/>
    </row>
    <row r="99" spans="1:45">
      <c r="A99" s="595" t="s">
        <v>253</v>
      </c>
      <c r="B99" s="7" t="s">
        <v>23</v>
      </c>
      <c r="C99" s="3" t="s">
        <v>26</v>
      </c>
      <c r="D99" s="258" t="s">
        <v>254</v>
      </c>
      <c r="E99" s="258" t="s">
        <v>69</v>
      </c>
      <c r="F99" s="263">
        <v>996</v>
      </c>
      <c r="G99" s="90">
        <v>964</v>
      </c>
      <c r="H99" s="90">
        <v>310.39999999999998</v>
      </c>
      <c r="I99" s="359">
        <v>15</v>
      </c>
      <c r="J99" s="379">
        <f>ROUND(G99*(1+'29_01_H_2020'!$O$10),2)</f>
        <v>1208.76</v>
      </c>
      <c r="K99" s="151">
        <f>L99-H99</f>
        <v>78.81</v>
      </c>
      <c r="L99" s="151">
        <f>ROUND(H99*(1+'29_01_H_2020'!$O$10),2)</f>
        <v>389.21</v>
      </c>
      <c r="M99" s="151">
        <f>(J99+L99)-(G99+H99)</f>
        <v>323.56999999999994</v>
      </c>
      <c r="N99" s="151">
        <f>M99*I99</f>
        <v>4853.5499999999993</v>
      </c>
      <c r="O99" s="151">
        <f t="shared" si="32"/>
        <v>58242.599999999991</v>
      </c>
      <c r="P99" s="151">
        <f>ROUND(O99*'29_01_H_2020'!$O$17,2)</f>
        <v>13739.43</v>
      </c>
      <c r="Q99" s="380">
        <f t="shared" ref="Q99:Q101" si="34">SUM(O99:P99)</f>
        <v>71982.03</v>
      </c>
      <c r="R99" s="152"/>
      <c r="S99" s="328"/>
      <c r="T99" s="328"/>
      <c r="U99" s="328"/>
      <c r="V99" s="328"/>
      <c r="W99" s="328"/>
      <c r="X99" s="328"/>
      <c r="Y99" s="328"/>
      <c r="Z99" s="328"/>
      <c r="AA99" s="328"/>
      <c r="AB99" s="328"/>
      <c r="AC99" s="329"/>
      <c r="AD99" s="152"/>
      <c r="AE99" s="152"/>
      <c r="AF99" s="328"/>
      <c r="AG99" s="328"/>
      <c r="AH99" s="328"/>
      <c r="AI99" s="328"/>
      <c r="AJ99" s="328"/>
      <c r="AK99" s="328"/>
      <c r="AL99" s="328"/>
      <c r="AM99" s="328"/>
      <c r="AN99" s="328"/>
      <c r="AO99" s="328"/>
      <c r="AP99" s="329"/>
      <c r="AQ99" s="152"/>
      <c r="AR99" s="152"/>
      <c r="AS99" s="152"/>
    </row>
    <row r="100" spans="1:45">
      <c r="A100" s="595" t="s">
        <v>255</v>
      </c>
      <c r="B100" s="7" t="s">
        <v>23</v>
      </c>
      <c r="C100" s="3" t="s">
        <v>26</v>
      </c>
      <c r="D100" s="258" t="s">
        <v>254</v>
      </c>
      <c r="E100" s="258" t="s">
        <v>69</v>
      </c>
      <c r="F100" s="263">
        <v>996</v>
      </c>
      <c r="G100" s="90">
        <v>964</v>
      </c>
      <c r="H100" s="90">
        <v>96.4</v>
      </c>
      <c r="I100" s="359">
        <v>2.5</v>
      </c>
      <c r="J100" s="379">
        <f>ROUND(G100*(1+'29_01_H_2020'!$O$10),2)</f>
        <v>1208.76</v>
      </c>
      <c r="K100" s="151">
        <f>L100-H100</f>
        <v>24.47999999999999</v>
      </c>
      <c r="L100" s="151">
        <f>ROUND(H100*(1+'29_01_H_2020'!$O$10),2)</f>
        <v>120.88</v>
      </c>
      <c r="M100" s="151">
        <f>(J100+L100)-(G100+H100)</f>
        <v>269.23999999999978</v>
      </c>
      <c r="N100" s="151">
        <f>M100*I100</f>
        <v>673.09999999999945</v>
      </c>
      <c r="O100" s="151">
        <f t="shared" si="32"/>
        <v>8077.1999999999935</v>
      </c>
      <c r="P100" s="151">
        <f>ROUND(O100*'29_01_H_2020'!$O$17,2)</f>
        <v>1905.41</v>
      </c>
      <c r="Q100" s="380">
        <f t="shared" si="34"/>
        <v>9982.6099999999933</v>
      </c>
      <c r="R100" s="152"/>
      <c r="S100" s="328"/>
      <c r="T100" s="328"/>
      <c r="U100" s="328"/>
      <c r="V100" s="328"/>
      <c r="W100" s="328"/>
      <c r="X100" s="328"/>
      <c r="Y100" s="328"/>
      <c r="Z100" s="328"/>
      <c r="AA100" s="328"/>
      <c r="AB100" s="328"/>
      <c r="AC100" s="329"/>
      <c r="AD100" s="152"/>
      <c r="AE100" s="152"/>
      <c r="AF100" s="328"/>
      <c r="AG100" s="328"/>
      <c r="AH100" s="328"/>
      <c r="AI100" s="328"/>
      <c r="AJ100" s="328"/>
      <c r="AK100" s="328"/>
      <c r="AL100" s="328"/>
      <c r="AM100" s="328"/>
      <c r="AN100" s="328"/>
      <c r="AO100" s="328"/>
      <c r="AP100" s="329"/>
      <c r="AQ100" s="152"/>
      <c r="AR100" s="152"/>
      <c r="AS100" s="152"/>
    </row>
    <row r="101" spans="1:45">
      <c r="A101" s="595" t="s">
        <v>266</v>
      </c>
      <c r="B101" s="7" t="s">
        <v>23</v>
      </c>
      <c r="C101" s="3" t="s">
        <v>42</v>
      </c>
      <c r="D101" s="258" t="s">
        <v>256</v>
      </c>
      <c r="E101" s="258" t="s">
        <v>69</v>
      </c>
      <c r="F101" s="263">
        <v>899</v>
      </c>
      <c r="G101" s="90">
        <v>899</v>
      </c>
      <c r="H101" s="90">
        <v>220.9</v>
      </c>
      <c r="I101" s="359">
        <v>16</v>
      </c>
      <c r="J101" s="379">
        <f>ROUND(G101*(1+'29_01_H_2020'!$O$10),2)</f>
        <v>1127.26</v>
      </c>
      <c r="K101" s="151">
        <f>L101-H101</f>
        <v>56.09</v>
      </c>
      <c r="L101" s="151">
        <f>ROUND(H101*(1+'29_01_H_2020'!$O$10),2)</f>
        <v>276.99</v>
      </c>
      <c r="M101" s="151">
        <f>(J101+L101)-(G101+H101)</f>
        <v>284.34999999999991</v>
      </c>
      <c r="N101" s="151">
        <f>M101*I101</f>
        <v>4549.5999999999985</v>
      </c>
      <c r="O101" s="151">
        <f t="shared" si="32"/>
        <v>54595.199999999983</v>
      </c>
      <c r="P101" s="151">
        <f>ROUND(O101*'29_01_H_2020'!$O$17,2)</f>
        <v>12879.01</v>
      </c>
      <c r="Q101" s="380">
        <f t="shared" si="34"/>
        <v>67474.209999999977</v>
      </c>
      <c r="R101" s="152"/>
      <c r="S101" s="328"/>
      <c r="T101" s="328"/>
      <c r="U101" s="328"/>
      <c r="V101" s="328"/>
      <c r="W101" s="328"/>
      <c r="X101" s="328"/>
      <c r="Y101" s="328"/>
      <c r="Z101" s="328"/>
      <c r="AA101" s="328"/>
      <c r="AB101" s="328"/>
      <c r="AC101" s="329"/>
      <c r="AD101" s="152"/>
      <c r="AE101" s="152"/>
      <c r="AF101" s="328"/>
      <c r="AG101" s="328"/>
      <c r="AH101" s="328"/>
      <c r="AI101" s="328"/>
      <c r="AJ101" s="328"/>
      <c r="AK101" s="328"/>
      <c r="AL101" s="328"/>
      <c r="AM101" s="328"/>
      <c r="AN101" s="328"/>
      <c r="AO101" s="328"/>
      <c r="AP101" s="329"/>
      <c r="AQ101" s="152"/>
      <c r="AR101" s="152"/>
      <c r="AS101" s="152"/>
    </row>
    <row r="102" spans="1:45" s="333" customFormat="1">
      <c r="A102" s="11" t="s">
        <v>55</v>
      </c>
      <c r="B102" s="8" t="s">
        <v>52</v>
      </c>
      <c r="C102" s="9" t="s">
        <v>52</v>
      </c>
      <c r="D102" s="9" t="s">
        <v>52</v>
      </c>
      <c r="E102" s="9" t="s">
        <v>52</v>
      </c>
      <c r="F102" s="10" t="s">
        <v>52</v>
      </c>
      <c r="G102" s="10" t="s">
        <v>52</v>
      </c>
      <c r="H102" s="10" t="s">
        <v>52</v>
      </c>
      <c r="I102" s="360">
        <f>SUM(I98:I101)</f>
        <v>35.5</v>
      </c>
      <c r="J102" s="404"/>
      <c r="K102" s="405"/>
      <c r="L102" s="405"/>
      <c r="M102" s="405"/>
      <c r="N102" s="405"/>
      <c r="O102" s="405"/>
      <c r="P102" s="405"/>
      <c r="Q102" s="406"/>
      <c r="R102" s="152"/>
      <c r="S102" s="328"/>
      <c r="T102" s="328"/>
      <c r="U102" s="328"/>
      <c r="V102" s="328"/>
      <c r="W102" s="328"/>
      <c r="X102" s="328"/>
      <c r="Y102" s="328"/>
      <c r="Z102" s="328"/>
      <c r="AA102" s="328"/>
      <c r="AB102" s="328"/>
      <c r="AC102" s="329"/>
      <c r="AD102" s="152"/>
      <c r="AE102" s="152"/>
      <c r="AF102" s="328"/>
      <c r="AG102" s="328"/>
      <c r="AH102" s="328"/>
      <c r="AI102" s="328"/>
      <c r="AJ102" s="328"/>
      <c r="AK102" s="328"/>
      <c r="AL102" s="328"/>
      <c r="AM102" s="328"/>
      <c r="AN102" s="328"/>
      <c r="AO102" s="328"/>
      <c r="AP102" s="329"/>
      <c r="AQ102" s="152"/>
      <c r="AR102" s="152"/>
      <c r="AS102" s="152"/>
    </row>
    <row r="103" spans="1:45">
      <c r="A103" s="1111" t="s">
        <v>47</v>
      </c>
      <c r="B103" s="1112"/>
      <c r="C103" s="1112"/>
      <c r="D103" s="1112"/>
      <c r="E103" s="1112"/>
      <c r="F103" s="1112"/>
      <c r="G103" s="1112"/>
      <c r="H103" s="1112"/>
      <c r="I103" s="1113"/>
      <c r="J103" s="385"/>
      <c r="K103" s="383"/>
      <c r="L103" s="383"/>
      <c r="M103" s="383"/>
      <c r="N103" s="383"/>
      <c r="O103" s="383"/>
      <c r="P103" s="383"/>
      <c r="Q103" s="386"/>
      <c r="R103" s="152"/>
      <c r="S103" s="217"/>
      <c r="T103" s="217"/>
      <c r="U103" s="217"/>
      <c r="V103" s="217"/>
      <c r="W103" s="217"/>
      <c r="X103" s="217"/>
      <c r="Y103" s="217"/>
      <c r="Z103" s="217"/>
      <c r="AA103" s="217"/>
      <c r="AB103" s="217"/>
      <c r="AC103" s="152"/>
      <c r="AD103" s="152"/>
      <c r="AE103" s="152"/>
      <c r="AF103" s="152"/>
      <c r="AG103" s="152"/>
      <c r="AH103" s="152"/>
      <c r="AI103" s="152"/>
      <c r="AJ103" s="152"/>
      <c r="AK103" s="152"/>
      <c r="AL103" s="152"/>
      <c r="AM103" s="152"/>
      <c r="AN103" s="152"/>
      <c r="AO103" s="152"/>
      <c r="AP103" s="152"/>
      <c r="AQ103" s="152"/>
      <c r="AR103" s="152"/>
      <c r="AS103" s="152"/>
    </row>
    <row r="104" spans="1:45">
      <c r="A104" s="100" t="s">
        <v>48</v>
      </c>
      <c r="B104" s="101" t="s">
        <v>23</v>
      </c>
      <c r="C104" s="32" t="s">
        <v>49</v>
      </c>
      <c r="D104" s="259" t="s">
        <v>147</v>
      </c>
      <c r="E104" s="259" t="s">
        <v>69</v>
      </c>
      <c r="F104" s="264">
        <v>802</v>
      </c>
      <c r="G104" s="102">
        <v>769</v>
      </c>
      <c r="H104" s="102">
        <v>76.900000000000006</v>
      </c>
      <c r="I104" s="359">
        <v>6</v>
      </c>
      <c r="J104" s="379">
        <f>ROUND(G104*(1+'29_01_H_2020'!$O$14),2)</f>
        <v>964.25</v>
      </c>
      <c r="K104" s="151">
        <f t="shared" ref="K104:K109" si="35">L104-H104</f>
        <v>19.519999999999996</v>
      </c>
      <c r="L104" s="151">
        <f>ROUND(H104*(1+'29_01_H_2020'!$O$14),2)</f>
        <v>96.42</v>
      </c>
      <c r="M104" s="151">
        <f t="shared" ref="M104:M109" si="36">(J104+L104)-(G104+H104)</f>
        <v>214.7700000000001</v>
      </c>
      <c r="N104" s="151">
        <f t="shared" ref="N104:N109" si="37">M104*I104</f>
        <v>1288.6200000000006</v>
      </c>
      <c r="O104" s="151">
        <f t="shared" ref="O104:O108" si="38">N104*12</f>
        <v>15463.440000000006</v>
      </c>
      <c r="P104" s="151">
        <f>ROUND(O104*'29_01_H_2020'!$O$17,2)</f>
        <v>3647.83</v>
      </c>
      <c r="Q104" s="380">
        <f t="shared" ref="Q104" si="39">SUM(O104:P104)</f>
        <v>19111.270000000004</v>
      </c>
      <c r="R104" s="152"/>
      <c r="S104" s="328"/>
      <c r="T104" s="328"/>
      <c r="U104" s="328"/>
      <c r="V104" s="328"/>
      <c r="W104" s="328"/>
      <c r="X104" s="328"/>
      <c r="Y104" s="328"/>
      <c r="Z104" s="328"/>
      <c r="AA104" s="328"/>
      <c r="AB104" s="328"/>
      <c r="AC104" s="329"/>
      <c r="AD104" s="152"/>
      <c r="AE104" s="152"/>
      <c r="AF104" s="328"/>
      <c r="AG104" s="328"/>
      <c r="AH104" s="328"/>
      <c r="AI104" s="328"/>
      <c r="AJ104" s="328"/>
      <c r="AK104" s="328"/>
      <c r="AL104" s="328"/>
      <c r="AM104" s="328"/>
      <c r="AN104" s="328"/>
      <c r="AO104" s="328"/>
      <c r="AP104" s="329"/>
      <c r="AQ104" s="152"/>
      <c r="AR104" s="152"/>
      <c r="AS104" s="152"/>
    </row>
    <row r="105" spans="1:45">
      <c r="A105" s="103" t="s">
        <v>257</v>
      </c>
      <c r="B105" s="101" t="s">
        <v>23</v>
      </c>
      <c r="C105" s="32" t="s">
        <v>37</v>
      </c>
      <c r="D105" s="259" t="s">
        <v>69</v>
      </c>
      <c r="E105" s="259" t="s">
        <v>69</v>
      </c>
      <c r="F105" s="264">
        <v>608</v>
      </c>
      <c r="G105" s="102">
        <v>510</v>
      </c>
      <c r="H105" s="102">
        <v>51</v>
      </c>
      <c r="I105" s="359">
        <v>3</v>
      </c>
      <c r="J105" s="379">
        <f>ROUND(G105*(1+'29_01_H_2020'!$O$14),2)</f>
        <v>639.49</v>
      </c>
      <c r="K105" s="151">
        <f t="shared" si="35"/>
        <v>12.950000000000003</v>
      </c>
      <c r="L105" s="151">
        <f>ROUND(H105*(1+'29_01_H_2020'!$O$14),2)</f>
        <v>63.95</v>
      </c>
      <c r="M105" s="151">
        <f t="shared" si="36"/>
        <v>142.44000000000005</v>
      </c>
      <c r="N105" s="151">
        <f t="shared" si="37"/>
        <v>427.32000000000016</v>
      </c>
      <c r="O105" s="151">
        <f t="shared" si="38"/>
        <v>5127.840000000002</v>
      </c>
      <c r="P105" s="151">
        <f>ROUND(O105*'29_01_H_2020'!$O$17,2)</f>
        <v>1209.6600000000001</v>
      </c>
      <c r="Q105" s="380">
        <f t="shared" ref="Q105:Q108" si="40">SUM(O105:P105)</f>
        <v>6337.5000000000018</v>
      </c>
      <c r="R105" s="152"/>
      <c r="S105" s="328"/>
      <c r="T105" s="328"/>
      <c r="U105" s="328"/>
      <c r="V105" s="328"/>
      <c r="W105" s="328"/>
      <c r="X105" s="328"/>
      <c r="Y105" s="328"/>
      <c r="Z105" s="328"/>
      <c r="AA105" s="328"/>
      <c r="AB105" s="328"/>
      <c r="AC105" s="329"/>
      <c r="AD105" s="152"/>
      <c r="AE105" s="152"/>
      <c r="AF105" s="328"/>
      <c r="AG105" s="328"/>
      <c r="AH105" s="328"/>
      <c r="AI105" s="328"/>
      <c r="AJ105" s="328"/>
      <c r="AK105" s="328"/>
      <c r="AL105" s="328"/>
      <c r="AM105" s="328"/>
      <c r="AN105" s="328"/>
      <c r="AO105" s="328"/>
      <c r="AP105" s="329"/>
      <c r="AQ105" s="152"/>
      <c r="AR105" s="152"/>
      <c r="AS105" s="152"/>
    </row>
    <row r="106" spans="1:45" ht="25.5">
      <c r="A106" s="104" t="s">
        <v>544</v>
      </c>
      <c r="B106" s="105" t="s">
        <v>23</v>
      </c>
      <c r="C106" s="105" t="s">
        <v>13</v>
      </c>
      <c r="D106" s="105" t="s">
        <v>92</v>
      </c>
      <c r="E106" s="259">
        <v>3</v>
      </c>
      <c r="F106" s="264">
        <v>1382</v>
      </c>
      <c r="G106" s="102">
        <v>1263</v>
      </c>
      <c r="H106" s="102">
        <v>126.30000000000001</v>
      </c>
      <c r="I106" s="359">
        <v>1</v>
      </c>
      <c r="J106" s="379">
        <f>ROUND(G106*(1+'29_01_H_2020'!$O$14),2)</f>
        <v>1583.68</v>
      </c>
      <c r="K106" s="151">
        <f t="shared" si="35"/>
        <v>32.069999999999993</v>
      </c>
      <c r="L106" s="151">
        <f>ROUND(H106*(1+'29_01_H_2020'!$O$14),2)</f>
        <v>158.37</v>
      </c>
      <c r="M106" s="151">
        <f t="shared" si="36"/>
        <v>352.75000000000023</v>
      </c>
      <c r="N106" s="151">
        <f t="shared" si="37"/>
        <v>352.75000000000023</v>
      </c>
      <c r="O106" s="151">
        <f t="shared" si="38"/>
        <v>4233.0000000000027</v>
      </c>
      <c r="P106" s="151">
        <f>ROUND(O106*'29_01_H_2020'!$O$17,2)</f>
        <v>998.56</v>
      </c>
      <c r="Q106" s="380">
        <f t="shared" si="40"/>
        <v>5231.5600000000031</v>
      </c>
      <c r="R106" s="152"/>
      <c r="S106" s="328"/>
      <c r="T106" s="328"/>
      <c r="U106" s="328"/>
      <c r="V106" s="328"/>
      <c r="W106" s="328"/>
      <c r="X106" s="328"/>
      <c r="Y106" s="328"/>
      <c r="Z106" s="328"/>
      <c r="AA106" s="328"/>
      <c r="AB106" s="328"/>
      <c r="AC106" s="329"/>
      <c r="AD106" s="329"/>
      <c r="AE106" s="152"/>
      <c r="AF106" s="328"/>
      <c r="AG106" s="328"/>
      <c r="AH106" s="328"/>
      <c r="AI106" s="328"/>
      <c r="AJ106" s="328"/>
      <c r="AK106" s="328"/>
      <c r="AL106" s="328"/>
      <c r="AM106" s="328"/>
      <c r="AN106" s="328"/>
      <c r="AO106" s="328"/>
      <c r="AP106" s="329"/>
      <c r="AQ106" s="152"/>
      <c r="AR106" s="152"/>
      <c r="AS106" s="152"/>
    </row>
    <row r="107" spans="1:45">
      <c r="A107" s="104" t="s">
        <v>258</v>
      </c>
      <c r="B107" s="105" t="s">
        <v>23</v>
      </c>
      <c r="C107" s="105" t="s">
        <v>13</v>
      </c>
      <c r="D107" s="105" t="s">
        <v>92</v>
      </c>
      <c r="E107" s="259">
        <v>3</v>
      </c>
      <c r="F107" s="264">
        <v>1382</v>
      </c>
      <c r="G107" s="102">
        <v>1258</v>
      </c>
      <c r="H107" s="102">
        <v>125.80000000000001</v>
      </c>
      <c r="I107" s="359">
        <v>1</v>
      </c>
      <c r="J107" s="379">
        <f>ROUND(G107*(1+'29_01_H_2020'!$O$14),2)</f>
        <v>1577.41</v>
      </c>
      <c r="K107" s="151">
        <f t="shared" si="35"/>
        <v>31.939999999999998</v>
      </c>
      <c r="L107" s="151">
        <f>ROUND(H107*(1+'29_01_H_2020'!$O$14),2)</f>
        <v>157.74</v>
      </c>
      <c r="M107" s="151">
        <f t="shared" si="36"/>
        <v>351.35000000000014</v>
      </c>
      <c r="N107" s="151">
        <f t="shared" si="37"/>
        <v>351.35000000000014</v>
      </c>
      <c r="O107" s="151">
        <f t="shared" si="38"/>
        <v>4216.2000000000016</v>
      </c>
      <c r="P107" s="151">
        <f>ROUND(O107*'29_01_H_2020'!$O$17,2)</f>
        <v>994.6</v>
      </c>
      <c r="Q107" s="380">
        <f t="shared" si="40"/>
        <v>5210.800000000002</v>
      </c>
      <c r="R107" s="152"/>
      <c r="S107" s="328"/>
      <c r="T107" s="328"/>
      <c r="U107" s="328"/>
      <c r="V107" s="328"/>
      <c r="W107" s="328"/>
      <c r="X107" s="328"/>
      <c r="Y107" s="328"/>
      <c r="Z107" s="328"/>
      <c r="AA107" s="328"/>
      <c r="AB107" s="328"/>
      <c r="AC107" s="329"/>
      <c r="AD107" s="329"/>
      <c r="AE107" s="152"/>
      <c r="AF107" s="328"/>
      <c r="AG107" s="328"/>
      <c r="AH107" s="328"/>
      <c r="AI107" s="328"/>
      <c r="AJ107" s="328"/>
      <c r="AK107" s="328"/>
      <c r="AL107" s="328"/>
      <c r="AM107" s="328"/>
      <c r="AN107" s="328"/>
      <c r="AO107" s="328"/>
      <c r="AP107" s="329"/>
      <c r="AQ107" s="152"/>
      <c r="AR107" s="152"/>
      <c r="AS107" s="152"/>
    </row>
    <row r="108" spans="1:45">
      <c r="A108" s="104" t="s">
        <v>258</v>
      </c>
      <c r="B108" s="105" t="s">
        <v>23</v>
      </c>
      <c r="C108" s="105" t="s">
        <v>13</v>
      </c>
      <c r="D108" s="105" t="s">
        <v>92</v>
      </c>
      <c r="E108" s="259">
        <v>3</v>
      </c>
      <c r="F108" s="264">
        <v>1382</v>
      </c>
      <c r="G108" s="102">
        <v>1147</v>
      </c>
      <c r="H108" s="102">
        <v>114.7</v>
      </c>
      <c r="I108" s="359">
        <v>1</v>
      </c>
      <c r="J108" s="379">
        <f>ROUND(G108*(1+'29_01_H_2020'!$O$14),2)</f>
        <v>1438.22</v>
      </c>
      <c r="K108" s="151">
        <f t="shared" si="35"/>
        <v>29.11999999999999</v>
      </c>
      <c r="L108" s="151">
        <f>ROUND(H108*(1+'29_01_H_2020'!$O$14),2)</f>
        <v>143.82</v>
      </c>
      <c r="M108" s="151">
        <f t="shared" si="36"/>
        <v>320.33999999999992</v>
      </c>
      <c r="N108" s="151">
        <f t="shared" si="37"/>
        <v>320.33999999999992</v>
      </c>
      <c r="O108" s="151">
        <f t="shared" si="38"/>
        <v>3844.079999999999</v>
      </c>
      <c r="P108" s="151">
        <f>ROUND(O108*'29_01_H_2020'!$O$17,2)</f>
        <v>906.82</v>
      </c>
      <c r="Q108" s="380">
        <f t="shared" si="40"/>
        <v>4750.8999999999987</v>
      </c>
      <c r="R108" s="152"/>
      <c r="S108" s="328"/>
      <c r="T108" s="328"/>
      <c r="U108" s="328"/>
      <c r="V108" s="328"/>
      <c r="W108" s="328"/>
      <c r="X108" s="328"/>
      <c r="Y108" s="328"/>
      <c r="Z108" s="328"/>
      <c r="AA108" s="328"/>
      <c r="AB108" s="328"/>
      <c r="AC108" s="329"/>
      <c r="AD108" s="329"/>
      <c r="AE108" s="152"/>
      <c r="AF108" s="328"/>
      <c r="AG108" s="328"/>
      <c r="AH108" s="328"/>
      <c r="AI108" s="328"/>
      <c r="AJ108" s="328"/>
      <c r="AK108" s="328"/>
      <c r="AL108" s="328"/>
      <c r="AM108" s="328"/>
      <c r="AN108" s="328"/>
      <c r="AO108" s="328"/>
      <c r="AP108" s="329"/>
      <c r="AQ108" s="152"/>
      <c r="AR108" s="152"/>
      <c r="AS108" s="152"/>
    </row>
    <row r="109" spans="1:45" s="333" customFormat="1" ht="25.5">
      <c r="A109" s="104" t="s">
        <v>545</v>
      </c>
      <c r="B109" s="105" t="s">
        <v>376</v>
      </c>
      <c r="C109" s="105" t="s">
        <v>546</v>
      </c>
      <c r="D109" s="105">
        <v>9</v>
      </c>
      <c r="E109" s="259">
        <v>3</v>
      </c>
      <c r="F109" s="264">
        <v>1190</v>
      </c>
      <c r="G109" s="102">
        <v>1190</v>
      </c>
      <c r="H109" s="102">
        <v>0</v>
      </c>
      <c r="I109" s="359">
        <v>1</v>
      </c>
      <c r="J109" s="379">
        <f>ROUND(G109*(1+'29_01_H_2020'!$O$14),2)</f>
        <v>1492.14</v>
      </c>
      <c r="K109" s="151">
        <f t="shared" si="35"/>
        <v>0</v>
      </c>
      <c r="L109" s="151">
        <f>ROUND(H109*(1+'29_01_H_2020'!$O$14),2)</f>
        <v>0</v>
      </c>
      <c r="M109" s="151">
        <f t="shared" si="36"/>
        <v>302.1400000000001</v>
      </c>
      <c r="N109" s="151">
        <f t="shared" si="37"/>
        <v>302.1400000000001</v>
      </c>
      <c r="O109" s="151">
        <f t="shared" ref="O109" si="41">N109*12</f>
        <v>3625.6800000000012</v>
      </c>
      <c r="P109" s="151">
        <f>ROUND(O109*'29_01_H_2020'!$O$17,2)</f>
        <v>855.3</v>
      </c>
      <c r="Q109" s="380">
        <f t="shared" ref="Q109" si="42">SUM(O109:P109)</f>
        <v>4480.9800000000014</v>
      </c>
      <c r="R109" s="152"/>
      <c r="S109" s="328"/>
      <c r="T109" s="328"/>
      <c r="U109" s="328"/>
      <c r="V109" s="328"/>
      <c r="W109" s="328"/>
      <c r="X109" s="328"/>
      <c r="Y109" s="328"/>
      <c r="Z109" s="328"/>
      <c r="AA109" s="328"/>
      <c r="AB109" s="328"/>
      <c r="AC109" s="329"/>
      <c r="AD109" s="329"/>
      <c r="AE109" s="152"/>
      <c r="AF109" s="328"/>
      <c r="AG109" s="328"/>
      <c r="AH109" s="328"/>
      <c r="AI109" s="328"/>
      <c r="AJ109" s="328"/>
      <c r="AK109" s="328"/>
      <c r="AL109" s="328"/>
      <c r="AM109" s="328"/>
      <c r="AN109" s="328"/>
      <c r="AO109" s="328"/>
      <c r="AP109" s="329"/>
      <c r="AQ109" s="152"/>
      <c r="AR109" s="152"/>
      <c r="AS109" s="152"/>
    </row>
    <row r="110" spans="1:45">
      <c r="A110" s="11" t="s">
        <v>55</v>
      </c>
      <c r="B110" s="8" t="s">
        <v>52</v>
      </c>
      <c r="C110" s="9" t="s">
        <v>52</v>
      </c>
      <c r="D110" s="9" t="s">
        <v>52</v>
      </c>
      <c r="E110" s="9" t="s">
        <v>52</v>
      </c>
      <c r="F110" s="10" t="s">
        <v>52</v>
      </c>
      <c r="G110" s="10" t="s">
        <v>52</v>
      </c>
      <c r="H110" s="10" t="s">
        <v>52</v>
      </c>
      <c r="I110" s="360">
        <f>SUM(I104:I109)</f>
        <v>13</v>
      </c>
      <c r="J110" s="404"/>
      <c r="K110" s="405"/>
      <c r="L110" s="405"/>
      <c r="M110" s="405"/>
      <c r="N110" s="405"/>
      <c r="O110" s="405"/>
      <c r="P110" s="405"/>
      <c r="Q110" s="406"/>
      <c r="R110" s="152"/>
      <c r="S110" s="152"/>
      <c r="T110" s="33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row>
    <row r="111" spans="1:45">
      <c r="A111" s="137" t="s">
        <v>259</v>
      </c>
      <c r="B111" s="134" t="s">
        <v>52</v>
      </c>
      <c r="C111" s="134" t="s">
        <v>52</v>
      </c>
      <c r="D111" s="134" t="s">
        <v>52</v>
      </c>
      <c r="E111" s="134" t="s">
        <v>52</v>
      </c>
      <c r="F111" s="134" t="s">
        <v>52</v>
      </c>
      <c r="G111" s="134" t="s">
        <v>52</v>
      </c>
      <c r="H111" s="134" t="s">
        <v>52</v>
      </c>
      <c r="I111" s="362">
        <f>I96+I110+I102</f>
        <v>55.35</v>
      </c>
      <c r="J111" s="407"/>
      <c r="K111" s="408"/>
      <c r="L111" s="408"/>
      <c r="M111" s="408"/>
      <c r="N111" s="408"/>
      <c r="O111" s="408"/>
      <c r="P111" s="408"/>
      <c r="Q111" s="416"/>
      <c r="R111" s="152"/>
      <c r="S111" s="152"/>
      <c r="T111" s="152"/>
      <c r="U111" s="33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row>
    <row r="112" spans="1:45">
      <c r="A112" s="1095" t="s">
        <v>260</v>
      </c>
      <c r="B112" s="1096"/>
      <c r="C112" s="1096"/>
      <c r="D112" s="1096"/>
      <c r="E112" s="1096"/>
      <c r="F112" s="1096"/>
      <c r="G112" s="1096"/>
      <c r="H112" s="1096"/>
      <c r="I112" s="1097"/>
      <c r="J112" s="165"/>
      <c r="K112" s="176"/>
      <c r="L112" s="176"/>
      <c r="M112" s="176"/>
      <c r="N112" s="176"/>
      <c r="O112" s="176"/>
      <c r="P112" s="176"/>
      <c r="Q112" s="166"/>
      <c r="R112" s="152"/>
      <c r="S112" s="152"/>
      <c r="T112" s="152"/>
      <c r="U112" s="152"/>
      <c r="V112" s="152"/>
      <c r="W112" s="152"/>
      <c r="X112" s="152"/>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52"/>
    </row>
    <row r="113" spans="1:45">
      <c r="A113" s="1098" t="s">
        <v>11</v>
      </c>
      <c r="B113" s="1099"/>
      <c r="C113" s="1099"/>
      <c r="D113" s="1099"/>
      <c r="E113" s="1099"/>
      <c r="F113" s="1099"/>
      <c r="G113" s="1099"/>
      <c r="H113" s="1099"/>
      <c r="I113" s="1100"/>
      <c r="J113" s="385"/>
      <c r="K113" s="383"/>
      <c r="L113" s="383"/>
      <c r="M113" s="383"/>
      <c r="N113" s="383"/>
      <c r="O113" s="383"/>
      <c r="P113" s="383"/>
      <c r="Q113" s="386"/>
      <c r="R113" s="152"/>
      <c r="S113" s="152"/>
      <c r="T113" s="152"/>
      <c r="U113" s="152"/>
      <c r="V113" s="332"/>
      <c r="W113" s="152"/>
      <c r="X113" s="152"/>
      <c r="Y113" s="152"/>
      <c r="Z113" s="152"/>
      <c r="AA113" s="152"/>
      <c r="AB113" s="328"/>
      <c r="AC113" s="152"/>
      <c r="AD113" s="152"/>
      <c r="AE113" s="152"/>
      <c r="AF113" s="152"/>
      <c r="AG113" s="152"/>
      <c r="AH113" s="152"/>
      <c r="AI113" s="152"/>
      <c r="AJ113" s="152"/>
      <c r="AK113" s="152"/>
      <c r="AL113" s="152"/>
      <c r="AM113" s="152"/>
      <c r="AN113" s="152"/>
      <c r="AO113" s="152"/>
      <c r="AP113" s="152"/>
      <c r="AQ113" s="152"/>
      <c r="AR113" s="152"/>
      <c r="AS113" s="152"/>
    </row>
    <row r="114" spans="1:45">
      <c r="A114" s="106" t="s">
        <v>261</v>
      </c>
      <c r="B114" s="107" t="s">
        <v>262</v>
      </c>
      <c r="C114" s="108" t="s">
        <v>251</v>
      </c>
      <c r="D114" s="108" t="s">
        <v>85</v>
      </c>
      <c r="E114" s="108" t="s">
        <v>69</v>
      </c>
      <c r="F114" s="264">
        <v>1190</v>
      </c>
      <c r="G114" s="110">
        <v>1071</v>
      </c>
      <c r="H114" s="90">
        <v>107.1</v>
      </c>
      <c r="I114" s="354">
        <v>5</v>
      </c>
      <c r="J114" s="379">
        <f>ROUND(G114*(1+'29_01_H_2020'!$O$14),2)</f>
        <v>1342.93</v>
      </c>
      <c r="K114" s="151">
        <f t="shared" ref="K114:K121" si="43">L114-H114</f>
        <v>27.189999999999998</v>
      </c>
      <c r="L114" s="151">
        <f>ROUND(H114*(1+'29_01_H_2020'!$O$14),2)</f>
        <v>134.29</v>
      </c>
      <c r="M114" s="151">
        <f t="shared" ref="M114:M121" si="44">(J114+L114)-(G114+H114)</f>
        <v>299.12000000000012</v>
      </c>
      <c r="N114" s="151">
        <f t="shared" ref="N114:N121" si="45">M114*I114</f>
        <v>1495.6000000000006</v>
      </c>
      <c r="O114" s="151">
        <f t="shared" ref="O114:O121" si="46">N114*12</f>
        <v>17947.200000000008</v>
      </c>
      <c r="P114" s="151">
        <f>ROUND(O114*'29_01_H_2020'!$O$17,2)</f>
        <v>4233.74</v>
      </c>
      <c r="Q114" s="380">
        <f t="shared" ref="Q114" si="47">SUM(O114:P114)</f>
        <v>22180.94000000001</v>
      </c>
      <c r="R114" s="152"/>
      <c r="S114" s="328"/>
      <c r="T114" s="328"/>
      <c r="U114" s="328"/>
      <c r="V114" s="328"/>
      <c r="W114" s="328"/>
      <c r="X114" s="328"/>
      <c r="Y114" s="328"/>
      <c r="Z114" s="328"/>
      <c r="AA114" s="328"/>
      <c r="AB114" s="328"/>
      <c r="AC114" s="329"/>
      <c r="AD114" s="329"/>
      <c r="AE114" s="152"/>
      <c r="AF114" s="328"/>
      <c r="AG114" s="328"/>
      <c r="AH114" s="328"/>
      <c r="AI114" s="328"/>
      <c r="AJ114" s="328"/>
      <c r="AK114" s="328"/>
      <c r="AL114" s="328"/>
      <c r="AM114" s="328"/>
      <c r="AN114" s="328"/>
      <c r="AO114" s="328"/>
      <c r="AP114" s="329"/>
      <c r="AQ114" s="152"/>
      <c r="AR114" s="152"/>
      <c r="AS114" s="152"/>
    </row>
    <row r="115" spans="1:45">
      <c r="A115" s="106" t="s">
        <v>261</v>
      </c>
      <c r="B115" s="107" t="s">
        <v>262</v>
      </c>
      <c r="C115" s="108" t="s">
        <v>251</v>
      </c>
      <c r="D115" s="108" t="s">
        <v>85</v>
      </c>
      <c r="E115" s="108">
        <v>3</v>
      </c>
      <c r="F115" s="264">
        <v>1190</v>
      </c>
      <c r="G115" s="110">
        <v>913</v>
      </c>
      <c r="H115" s="90">
        <v>91.3</v>
      </c>
      <c r="I115" s="354">
        <v>1</v>
      </c>
      <c r="J115" s="379">
        <f>ROUND(G115*(1+'29_01_H_2020'!$O$14),2)</f>
        <v>1144.81</v>
      </c>
      <c r="K115" s="151">
        <f t="shared" si="43"/>
        <v>23.180000000000007</v>
      </c>
      <c r="L115" s="151">
        <f>ROUND(H115*(1+'29_01_H_2020'!$O$14),2)</f>
        <v>114.48</v>
      </c>
      <c r="M115" s="151">
        <f t="shared" si="44"/>
        <v>254.99</v>
      </c>
      <c r="N115" s="151">
        <f t="shared" si="45"/>
        <v>254.99</v>
      </c>
      <c r="O115" s="151">
        <f t="shared" si="46"/>
        <v>3059.88</v>
      </c>
      <c r="P115" s="151">
        <f>ROUND(O115*'29_01_H_2020'!$O$17,2)</f>
        <v>721.83</v>
      </c>
      <c r="Q115" s="380">
        <f t="shared" ref="Q115:Q121" si="48">SUM(O115:P115)</f>
        <v>3781.71</v>
      </c>
      <c r="R115" s="152"/>
      <c r="S115" s="328"/>
      <c r="T115" s="328"/>
      <c r="U115" s="328"/>
      <c r="V115" s="328"/>
      <c r="W115" s="328"/>
      <c r="X115" s="328"/>
      <c r="Y115" s="328"/>
      <c r="Z115" s="328"/>
      <c r="AA115" s="328"/>
      <c r="AB115" s="328"/>
      <c r="AC115" s="329"/>
      <c r="AD115" s="329"/>
      <c r="AE115" s="152"/>
      <c r="AF115" s="328"/>
      <c r="AG115" s="328"/>
      <c r="AH115" s="328"/>
      <c r="AI115" s="328"/>
      <c r="AJ115" s="328"/>
      <c r="AK115" s="328"/>
      <c r="AL115" s="328"/>
      <c r="AM115" s="328"/>
      <c r="AN115" s="328"/>
      <c r="AO115" s="328"/>
      <c r="AP115" s="329"/>
      <c r="AQ115" s="152"/>
      <c r="AR115" s="152"/>
      <c r="AS115" s="152"/>
    </row>
    <row r="116" spans="1:45">
      <c r="A116" s="106" t="s">
        <v>250</v>
      </c>
      <c r="B116" s="107" t="s">
        <v>262</v>
      </c>
      <c r="C116" s="108" t="s">
        <v>251</v>
      </c>
      <c r="D116" s="108" t="s">
        <v>85</v>
      </c>
      <c r="E116" s="108" t="s">
        <v>69</v>
      </c>
      <c r="F116" s="264">
        <v>1190</v>
      </c>
      <c r="G116" s="110">
        <v>1130</v>
      </c>
      <c r="H116" s="90">
        <v>113</v>
      </c>
      <c r="I116" s="354">
        <v>5</v>
      </c>
      <c r="J116" s="379">
        <f>ROUND(G116*(1+'29_01_H_2020'!$O$14),2)</f>
        <v>1416.91</v>
      </c>
      <c r="K116" s="151">
        <f t="shared" si="43"/>
        <v>28.689999999999998</v>
      </c>
      <c r="L116" s="151">
        <f>ROUND(H116*(1+'29_01_H_2020'!$O$14),2)</f>
        <v>141.69</v>
      </c>
      <c r="M116" s="151">
        <f t="shared" si="44"/>
        <v>315.60000000000014</v>
      </c>
      <c r="N116" s="151">
        <f t="shared" si="45"/>
        <v>1578.0000000000007</v>
      </c>
      <c r="O116" s="151">
        <f t="shared" si="46"/>
        <v>18936.000000000007</v>
      </c>
      <c r="P116" s="151">
        <f>ROUND(O116*'29_01_H_2020'!$O$17,2)</f>
        <v>4467</v>
      </c>
      <c r="Q116" s="380">
        <f t="shared" si="48"/>
        <v>23403.000000000007</v>
      </c>
      <c r="R116" s="152"/>
      <c r="S116" s="328"/>
      <c r="T116" s="328"/>
      <c r="U116" s="328"/>
      <c r="V116" s="328"/>
      <c r="W116" s="328"/>
      <c r="X116" s="328"/>
      <c r="Y116" s="328"/>
      <c r="Z116" s="328"/>
      <c r="AA116" s="328"/>
      <c r="AB116" s="328"/>
      <c r="AC116" s="329"/>
      <c r="AD116" s="329"/>
      <c r="AE116" s="152"/>
      <c r="AF116" s="328"/>
      <c r="AG116" s="328"/>
      <c r="AH116" s="328"/>
      <c r="AI116" s="328"/>
      <c r="AJ116" s="328"/>
      <c r="AK116" s="328"/>
      <c r="AL116" s="328"/>
      <c r="AM116" s="328"/>
      <c r="AN116" s="328"/>
      <c r="AO116" s="328"/>
      <c r="AP116" s="329"/>
      <c r="AQ116" s="152"/>
      <c r="AR116" s="152"/>
      <c r="AS116" s="152"/>
    </row>
    <row r="117" spans="1:45">
      <c r="A117" s="106" t="s">
        <v>263</v>
      </c>
      <c r="B117" s="108" t="s">
        <v>262</v>
      </c>
      <c r="C117" s="108" t="s">
        <v>264</v>
      </c>
      <c r="D117" s="108">
        <v>10</v>
      </c>
      <c r="E117" s="108" t="s">
        <v>69</v>
      </c>
      <c r="F117" s="264">
        <v>1287</v>
      </c>
      <c r="G117" s="110">
        <v>1237.2</v>
      </c>
      <c r="H117" s="90">
        <v>0</v>
      </c>
      <c r="I117" s="354">
        <v>1</v>
      </c>
      <c r="J117" s="379">
        <f>ROUND(G117*(1+'29_01_H_2020'!$O$14),2)</f>
        <v>1551.33</v>
      </c>
      <c r="K117" s="151">
        <f t="shared" si="43"/>
        <v>0</v>
      </c>
      <c r="L117" s="151">
        <f>ROUND(H117*(1+'29_01_H_2020'!$O$14),2)</f>
        <v>0</v>
      </c>
      <c r="M117" s="151">
        <f t="shared" si="44"/>
        <v>314.12999999999988</v>
      </c>
      <c r="N117" s="151">
        <f t="shared" si="45"/>
        <v>314.12999999999988</v>
      </c>
      <c r="O117" s="151">
        <f t="shared" si="46"/>
        <v>3769.5599999999986</v>
      </c>
      <c r="P117" s="151">
        <f>ROUND(O117*'29_01_H_2020'!$O$17,2)</f>
        <v>889.24</v>
      </c>
      <c r="Q117" s="380">
        <f t="shared" si="48"/>
        <v>4658.7999999999984</v>
      </c>
      <c r="R117" s="152"/>
      <c r="S117" s="328"/>
      <c r="T117" s="328"/>
      <c r="U117" s="328"/>
      <c r="V117" s="328"/>
      <c r="W117" s="328"/>
      <c r="X117" s="328"/>
      <c r="Y117" s="328"/>
      <c r="Z117" s="328"/>
      <c r="AA117" s="328"/>
      <c r="AB117" s="328"/>
      <c r="AC117" s="329"/>
      <c r="AD117" s="329"/>
      <c r="AE117" s="152"/>
      <c r="AF117" s="328"/>
      <c r="AG117" s="328"/>
      <c r="AH117" s="328"/>
      <c r="AI117" s="328"/>
      <c r="AJ117" s="328"/>
      <c r="AK117" s="328"/>
      <c r="AL117" s="328"/>
      <c r="AM117" s="328"/>
      <c r="AN117" s="328"/>
      <c r="AO117" s="328"/>
      <c r="AP117" s="329"/>
      <c r="AQ117" s="152"/>
      <c r="AR117" s="152"/>
      <c r="AS117" s="152"/>
    </row>
    <row r="118" spans="1:45">
      <c r="A118" s="106" t="s">
        <v>247</v>
      </c>
      <c r="B118" s="108" t="s">
        <v>262</v>
      </c>
      <c r="C118" s="108" t="s">
        <v>264</v>
      </c>
      <c r="D118" s="108">
        <v>10</v>
      </c>
      <c r="E118" s="108" t="s">
        <v>69</v>
      </c>
      <c r="F118" s="264">
        <v>1287</v>
      </c>
      <c r="G118" s="110">
        <v>1287</v>
      </c>
      <c r="H118" s="90">
        <v>0</v>
      </c>
      <c r="I118" s="354">
        <v>3</v>
      </c>
      <c r="J118" s="379">
        <f>ROUND(G118*(1+'29_01_H_2020'!$O$14),2)</f>
        <v>1613.77</v>
      </c>
      <c r="K118" s="151">
        <f t="shared" si="43"/>
        <v>0</v>
      </c>
      <c r="L118" s="151">
        <f>ROUND(H118*(1+'29_01_H_2020'!$O$14),2)</f>
        <v>0</v>
      </c>
      <c r="M118" s="151">
        <f t="shared" si="44"/>
        <v>326.77</v>
      </c>
      <c r="N118" s="151">
        <f t="shared" si="45"/>
        <v>980.31</v>
      </c>
      <c r="O118" s="151">
        <f t="shared" si="46"/>
        <v>11763.72</v>
      </c>
      <c r="P118" s="151">
        <f>ROUND(O118*'29_01_H_2020'!$O$17,2)</f>
        <v>2775.06</v>
      </c>
      <c r="Q118" s="380">
        <f t="shared" si="48"/>
        <v>14538.779999999999</v>
      </c>
      <c r="R118" s="152"/>
      <c r="S118" s="328"/>
      <c r="T118" s="328"/>
      <c r="U118" s="328"/>
      <c r="V118" s="328"/>
      <c r="W118" s="328"/>
      <c r="X118" s="328"/>
      <c r="Y118" s="328"/>
      <c r="Z118" s="328"/>
      <c r="AA118" s="328"/>
      <c r="AB118" s="328"/>
      <c r="AC118" s="329"/>
      <c r="AD118" s="152"/>
      <c r="AE118" s="152"/>
      <c r="AF118" s="328"/>
      <c r="AG118" s="328"/>
      <c r="AH118" s="328"/>
      <c r="AI118" s="328"/>
      <c r="AJ118" s="328"/>
      <c r="AK118" s="328"/>
      <c r="AL118" s="328"/>
      <c r="AM118" s="328"/>
      <c r="AN118" s="328"/>
      <c r="AO118" s="328"/>
      <c r="AP118" s="329"/>
      <c r="AQ118" s="152"/>
      <c r="AR118" s="152"/>
      <c r="AS118" s="152"/>
    </row>
    <row r="119" spans="1:45">
      <c r="A119" s="106" t="s">
        <v>247</v>
      </c>
      <c r="B119" s="108" t="s">
        <v>262</v>
      </c>
      <c r="C119" s="108" t="s">
        <v>264</v>
      </c>
      <c r="D119" s="108">
        <v>10</v>
      </c>
      <c r="E119" s="108" t="s">
        <v>69</v>
      </c>
      <c r="F119" s="264">
        <v>1287</v>
      </c>
      <c r="G119" s="110">
        <v>1237.2</v>
      </c>
      <c r="H119" s="90">
        <v>0</v>
      </c>
      <c r="I119" s="354">
        <v>0.7</v>
      </c>
      <c r="J119" s="379">
        <f>ROUND(G119*(1+'29_01_H_2020'!$O$14),2)</f>
        <v>1551.33</v>
      </c>
      <c r="K119" s="151">
        <f t="shared" si="43"/>
        <v>0</v>
      </c>
      <c r="L119" s="151">
        <f>ROUND(H119*(1+'29_01_H_2020'!$O$14),2)</f>
        <v>0</v>
      </c>
      <c r="M119" s="151">
        <f t="shared" si="44"/>
        <v>314.12999999999988</v>
      </c>
      <c r="N119" s="151">
        <f t="shared" si="45"/>
        <v>219.89099999999991</v>
      </c>
      <c r="O119" s="151">
        <f t="shared" si="46"/>
        <v>2638.6919999999991</v>
      </c>
      <c r="P119" s="151">
        <f>ROUND(O119*'29_01_H_2020'!$O$17,2)</f>
        <v>622.47</v>
      </c>
      <c r="Q119" s="380">
        <f t="shared" si="48"/>
        <v>3261.1619999999994</v>
      </c>
      <c r="R119" s="152"/>
      <c r="S119" s="328"/>
      <c r="T119" s="328"/>
      <c r="U119" s="328"/>
      <c r="V119" s="328"/>
      <c r="W119" s="328"/>
      <c r="X119" s="328"/>
      <c r="Y119" s="328"/>
      <c r="Z119" s="328"/>
      <c r="AA119" s="328"/>
      <c r="AB119" s="328"/>
      <c r="AC119" s="329"/>
      <c r="AD119" s="152"/>
      <c r="AE119" s="152"/>
      <c r="AF119" s="328"/>
      <c r="AG119" s="328"/>
      <c r="AH119" s="328"/>
      <c r="AI119" s="328"/>
      <c r="AJ119" s="328"/>
      <c r="AK119" s="328"/>
      <c r="AL119" s="328"/>
      <c r="AM119" s="328"/>
      <c r="AN119" s="328"/>
      <c r="AO119" s="328"/>
      <c r="AP119" s="329"/>
      <c r="AQ119" s="152"/>
      <c r="AR119" s="152"/>
      <c r="AS119" s="152"/>
    </row>
    <row r="120" spans="1:45">
      <c r="A120" s="106" t="s">
        <v>249</v>
      </c>
      <c r="B120" s="108" t="s">
        <v>262</v>
      </c>
      <c r="C120" s="108" t="s">
        <v>264</v>
      </c>
      <c r="D120" s="108">
        <v>10</v>
      </c>
      <c r="E120" s="108" t="s">
        <v>69</v>
      </c>
      <c r="F120" s="264">
        <v>1287</v>
      </c>
      <c r="G120" s="110">
        <v>1237.2</v>
      </c>
      <c r="H120" s="90">
        <v>0</v>
      </c>
      <c r="I120" s="354">
        <v>1.35</v>
      </c>
      <c r="J120" s="379">
        <f>ROUND(G120*(1+'29_01_H_2020'!$O$14),2)</f>
        <v>1551.33</v>
      </c>
      <c r="K120" s="151">
        <f t="shared" si="43"/>
        <v>0</v>
      </c>
      <c r="L120" s="151">
        <f>ROUND(H120*(1+'29_01_H_2020'!$O$14),2)</f>
        <v>0</v>
      </c>
      <c r="M120" s="151">
        <f t="shared" si="44"/>
        <v>314.12999999999988</v>
      </c>
      <c r="N120" s="151">
        <f t="shared" si="45"/>
        <v>424.07549999999986</v>
      </c>
      <c r="O120" s="151">
        <f t="shared" si="46"/>
        <v>5088.9059999999981</v>
      </c>
      <c r="P120" s="151">
        <f>ROUND(O120*'29_01_H_2020'!$O$17,2)</f>
        <v>1200.47</v>
      </c>
      <c r="Q120" s="380">
        <f t="shared" si="48"/>
        <v>6289.3759999999984</v>
      </c>
      <c r="R120" s="152"/>
      <c r="S120" s="328"/>
      <c r="T120" s="328"/>
      <c r="U120" s="328"/>
      <c r="V120" s="328"/>
      <c r="W120" s="328"/>
      <c r="X120" s="328"/>
      <c r="Y120" s="328"/>
      <c r="Z120" s="328"/>
      <c r="AA120" s="328"/>
      <c r="AB120" s="328"/>
      <c r="AC120" s="329"/>
      <c r="AD120" s="152"/>
      <c r="AE120" s="152"/>
      <c r="AF120" s="328"/>
      <c r="AG120" s="328"/>
      <c r="AH120" s="328"/>
      <c r="AI120" s="328"/>
      <c r="AJ120" s="328"/>
      <c r="AK120" s="328"/>
      <c r="AL120" s="328"/>
      <c r="AM120" s="328"/>
      <c r="AN120" s="328"/>
      <c r="AO120" s="328"/>
      <c r="AP120" s="329"/>
      <c r="AQ120" s="152"/>
      <c r="AR120" s="152"/>
      <c r="AS120" s="152"/>
    </row>
    <row r="121" spans="1:45">
      <c r="A121" s="106" t="s">
        <v>265</v>
      </c>
      <c r="B121" s="108" t="s">
        <v>118</v>
      </c>
      <c r="C121" s="108" t="s">
        <v>251</v>
      </c>
      <c r="D121" s="108" t="s">
        <v>85</v>
      </c>
      <c r="E121" s="108" t="s">
        <v>69</v>
      </c>
      <c r="F121" s="264">
        <v>1190</v>
      </c>
      <c r="G121" s="110">
        <v>1042</v>
      </c>
      <c r="H121" s="90">
        <v>104.2</v>
      </c>
      <c r="I121" s="354">
        <v>3</v>
      </c>
      <c r="J121" s="379">
        <f>ROUND(G121*(1+'29_01_H_2020'!$O$14),2)</f>
        <v>1306.56</v>
      </c>
      <c r="K121" s="151">
        <f t="shared" si="43"/>
        <v>26.459999999999994</v>
      </c>
      <c r="L121" s="151">
        <f>ROUND(H121*(1+'29_01_H_2020'!$O$14),2)</f>
        <v>130.66</v>
      </c>
      <c r="M121" s="151">
        <f t="shared" si="44"/>
        <v>291.02</v>
      </c>
      <c r="N121" s="151">
        <f t="shared" si="45"/>
        <v>873.06</v>
      </c>
      <c r="O121" s="151">
        <f t="shared" si="46"/>
        <v>10476.719999999999</v>
      </c>
      <c r="P121" s="151">
        <f>ROUND(O121*'29_01_H_2020'!$O$17,2)</f>
        <v>2471.46</v>
      </c>
      <c r="Q121" s="380">
        <f t="shared" si="48"/>
        <v>12948.18</v>
      </c>
      <c r="R121" s="152"/>
      <c r="S121" s="328"/>
      <c r="T121" s="328"/>
      <c r="U121" s="328"/>
      <c r="V121" s="328"/>
      <c r="W121" s="328"/>
      <c r="X121" s="328"/>
      <c r="Y121" s="328"/>
      <c r="Z121" s="328"/>
      <c r="AA121" s="328"/>
      <c r="AB121" s="328"/>
      <c r="AC121" s="329"/>
      <c r="AD121" s="152"/>
      <c r="AE121" s="152"/>
      <c r="AF121" s="328"/>
      <c r="AG121" s="328"/>
      <c r="AH121" s="328"/>
      <c r="AI121" s="328"/>
      <c r="AJ121" s="328"/>
      <c r="AK121" s="328"/>
      <c r="AL121" s="328"/>
      <c r="AM121" s="328"/>
      <c r="AN121" s="328"/>
      <c r="AO121" s="328"/>
      <c r="AP121" s="329"/>
      <c r="AQ121" s="152"/>
      <c r="AR121" s="152"/>
      <c r="AS121" s="152"/>
    </row>
    <row r="122" spans="1:45">
      <c r="A122" s="11" t="s">
        <v>55</v>
      </c>
      <c r="B122" s="8" t="s">
        <v>52</v>
      </c>
      <c r="C122" s="9" t="s">
        <v>52</v>
      </c>
      <c r="D122" s="9" t="s">
        <v>52</v>
      </c>
      <c r="E122" s="9" t="s">
        <v>52</v>
      </c>
      <c r="F122" s="10" t="s">
        <v>52</v>
      </c>
      <c r="G122" s="10" t="s">
        <v>52</v>
      </c>
      <c r="H122" s="10" t="s">
        <v>52</v>
      </c>
      <c r="I122" s="360">
        <f>SUM(I114:I121)</f>
        <v>20.05</v>
      </c>
      <c r="J122" s="404"/>
      <c r="K122" s="405"/>
      <c r="L122" s="405"/>
      <c r="M122" s="405"/>
      <c r="N122" s="405"/>
      <c r="O122" s="405"/>
      <c r="P122" s="405"/>
      <c r="Q122" s="406"/>
      <c r="R122" s="152"/>
      <c r="S122" s="152"/>
      <c r="T122" s="152"/>
      <c r="U122" s="152"/>
      <c r="V122" s="152"/>
      <c r="W122" s="152"/>
      <c r="X122" s="152"/>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52"/>
    </row>
    <row r="123" spans="1:45">
      <c r="A123" s="1111" t="s">
        <v>28</v>
      </c>
      <c r="B123" s="1112"/>
      <c r="C123" s="1112"/>
      <c r="D123" s="1112"/>
      <c r="E123" s="1112"/>
      <c r="F123" s="1112"/>
      <c r="G123" s="1112"/>
      <c r="H123" s="1112"/>
      <c r="I123" s="1113"/>
      <c r="J123" s="385"/>
      <c r="K123" s="383"/>
      <c r="L123" s="383"/>
      <c r="M123" s="383"/>
      <c r="N123" s="383"/>
      <c r="O123" s="383"/>
      <c r="P123" s="383"/>
      <c r="Q123" s="386"/>
      <c r="R123" s="152"/>
      <c r="S123" s="152"/>
      <c r="T123" s="152"/>
      <c r="U123" s="152"/>
      <c r="V123" s="152"/>
      <c r="W123" s="152"/>
      <c r="X123" s="152"/>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52"/>
    </row>
    <row r="124" spans="1:45">
      <c r="A124" s="596" t="s">
        <v>225</v>
      </c>
      <c r="B124" s="107" t="s">
        <v>262</v>
      </c>
      <c r="C124" s="109" t="s">
        <v>37</v>
      </c>
      <c r="D124" s="108" t="s">
        <v>252</v>
      </c>
      <c r="E124" s="108" t="s">
        <v>69</v>
      </c>
      <c r="F124" s="264">
        <v>1093</v>
      </c>
      <c r="G124" s="110">
        <v>1093</v>
      </c>
      <c r="H124" s="90">
        <v>109.3</v>
      </c>
      <c r="I124" s="354">
        <v>5</v>
      </c>
      <c r="J124" s="379">
        <f>ROUND(G124*(1+'29_01_H_2020'!$O$10),2)</f>
        <v>1370.51</v>
      </c>
      <c r="K124" s="151">
        <f t="shared" ref="K124:K130" si="49">L124-H124</f>
        <v>27.750000000000014</v>
      </c>
      <c r="L124" s="151">
        <f>ROUND(H124*(1+'29_01_H_2020'!$O$10),2)</f>
        <v>137.05000000000001</v>
      </c>
      <c r="M124" s="151">
        <f t="shared" ref="M124:M130" si="50">(J124+L124)-(G124+H124)</f>
        <v>305.26</v>
      </c>
      <c r="N124" s="151">
        <f t="shared" ref="N124:N130" si="51">M124*I124</f>
        <v>1526.3</v>
      </c>
      <c r="O124" s="151">
        <f t="shared" ref="O124:O130" si="52">N124*12</f>
        <v>18315.599999999999</v>
      </c>
      <c r="P124" s="151">
        <f>ROUND(O124*'29_01_H_2020'!$O$17,2)</f>
        <v>4320.6499999999996</v>
      </c>
      <c r="Q124" s="380">
        <f t="shared" ref="Q124" si="53">SUM(O124:P124)</f>
        <v>22636.25</v>
      </c>
      <c r="R124" s="152"/>
      <c r="S124" s="328"/>
      <c r="T124" s="328"/>
      <c r="U124" s="328"/>
      <c r="V124" s="328"/>
      <c r="W124" s="328"/>
      <c r="X124" s="328"/>
      <c r="Y124" s="328"/>
      <c r="Z124" s="328"/>
      <c r="AA124" s="328"/>
      <c r="AB124" s="328"/>
      <c r="AC124" s="329"/>
      <c r="AD124" s="152"/>
      <c r="AE124" s="152"/>
      <c r="AF124" s="328"/>
      <c r="AG124" s="328"/>
      <c r="AH124" s="328"/>
      <c r="AI124" s="328"/>
      <c r="AJ124" s="328"/>
      <c r="AK124" s="328"/>
      <c r="AL124" s="328"/>
      <c r="AM124" s="328"/>
      <c r="AN124" s="328"/>
      <c r="AO124" s="328"/>
      <c r="AP124" s="329"/>
      <c r="AQ124" s="152"/>
      <c r="AR124" s="152"/>
      <c r="AS124" s="152"/>
    </row>
    <row r="125" spans="1:45">
      <c r="A125" s="596" t="s">
        <v>40</v>
      </c>
      <c r="B125" s="107" t="s">
        <v>146</v>
      </c>
      <c r="C125" s="108" t="s">
        <v>26</v>
      </c>
      <c r="D125" s="108" t="s">
        <v>254</v>
      </c>
      <c r="E125" s="108" t="s">
        <v>69</v>
      </c>
      <c r="F125" s="264">
        <v>996</v>
      </c>
      <c r="G125" s="110">
        <v>946</v>
      </c>
      <c r="H125" s="90">
        <v>283.8</v>
      </c>
      <c r="I125" s="354">
        <v>22</v>
      </c>
      <c r="J125" s="379">
        <f>ROUND(G125*(1+'29_01_H_2020'!$O$10),2)</f>
        <v>1186.19</v>
      </c>
      <c r="K125" s="151">
        <f t="shared" si="49"/>
        <v>72.06</v>
      </c>
      <c r="L125" s="151">
        <f>ROUND(H125*(1+'29_01_H_2020'!$O$10),2)</f>
        <v>355.86</v>
      </c>
      <c r="M125" s="151">
        <f t="shared" si="50"/>
        <v>312.25000000000023</v>
      </c>
      <c r="N125" s="151">
        <f t="shared" si="51"/>
        <v>6869.5000000000055</v>
      </c>
      <c r="O125" s="151">
        <f t="shared" si="52"/>
        <v>82434.000000000058</v>
      </c>
      <c r="P125" s="151">
        <f>ROUND(O125*'29_01_H_2020'!$O$17,2)</f>
        <v>19446.18</v>
      </c>
      <c r="Q125" s="380">
        <f t="shared" ref="Q125:Q130" si="54">SUM(O125:P125)</f>
        <v>101880.18000000005</v>
      </c>
      <c r="R125" s="152"/>
      <c r="S125" s="328"/>
      <c r="T125" s="328"/>
      <c r="U125" s="328"/>
      <c r="V125" s="328"/>
      <c r="W125" s="328"/>
      <c r="X125" s="328"/>
      <c r="Y125" s="328"/>
      <c r="Z125" s="328"/>
      <c r="AA125" s="328"/>
      <c r="AB125" s="328"/>
      <c r="AC125" s="329"/>
      <c r="AD125" s="152"/>
      <c r="AE125" s="152"/>
      <c r="AF125" s="328"/>
      <c r="AG125" s="328"/>
      <c r="AH125" s="328"/>
      <c r="AI125" s="328"/>
      <c r="AJ125" s="328"/>
      <c r="AK125" s="328"/>
      <c r="AL125" s="328"/>
      <c r="AM125" s="328"/>
      <c r="AN125" s="328"/>
      <c r="AO125" s="328"/>
      <c r="AP125" s="329"/>
      <c r="AQ125" s="152"/>
      <c r="AR125" s="152"/>
      <c r="AS125" s="152"/>
    </row>
    <row r="126" spans="1:45">
      <c r="A126" s="596" t="s">
        <v>266</v>
      </c>
      <c r="B126" s="108" t="s">
        <v>146</v>
      </c>
      <c r="C126" s="108" t="s">
        <v>42</v>
      </c>
      <c r="D126" s="108" t="s">
        <v>256</v>
      </c>
      <c r="E126" s="108" t="s">
        <v>69</v>
      </c>
      <c r="F126" s="264">
        <v>899</v>
      </c>
      <c r="G126" s="110">
        <v>899</v>
      </c>
      <c r="H126" s="90">
        <v>269.7</v>
      </c>
      <c r="I126" s="354">
        <v>9</v>
      </c>
      <c r="J126" s="379">
        <f>ROUND(G126*(1+'29_01_H_2020'!$O$10),2)</f>
        <v>1127.26</v>
      </c>
      <c r="K126" s="151">
        <f t="shared" si="49"/>
        <v>68.480000000000018</v>
      </c>
      <c r="L126" s="151">
        <f>ROUND(H126*(1+'29_01_H_2020'!$O$10),2)</f>
        <v>338.18</v>
      </c>
      <c r="M126" s="151">
        <f t="shared" si="50"/>
        <v>296.74</v>
      </c>
      <c r="N126" s="151">
        <f t="shared" si="51"/>
        <v>2670.66</v>
      </c>
      <c r="O126" s="151">
        <f t="shared" si="52"/>
        <v>32047.919999999998</v>
      </c>
      <c r="P126" s="151">
        <f>ROUND(O126*'29_01_H_2020'!$O$17,2)</f>
        <v>7560.1</v>
      </c>
      <c r="Q126" s="380">
        <f t="shared" si="54"/>
        <v>39608.019999999997</v>
      </c>
      <c r="R126" s="152"/>
      <c r="S126" s="328"/>
      <c r="T126" s="328"/>
      <c r="U126" s="328"/>
      <c r="V126" s="328"/>
      <c r="W126" s="328"/>
      <c r="X126" s="328"/>
      <c r="Y126" s="328"/>
      <c r="Z126" s="328"/>
      <c r="AA126" s="328"/>
      <c r="AB126" s="328"/>
      <c r="AC126" s="329"/>
      <c r="AD126" s="152"/>
      <c r="AE126" s="152"/>
      <c r="AF126" s="328"/>
      <c r="AG126" s="328"/>
      <c r="AH126" s="328"/>
      <c r="AI126" s="328"/>
      <c r="AJ126" s="328"/>
      <c r="AK126" s="328"/>
      <c r="AL126" s="328"/>
      <c r="AM126" s="328"/>
      <c r="AN126" s="328"/>
      <c r="AO126" s="328"/>
      <c r="AP126" s="329"/>
      <c r="AQ126" s="152"/>
      <c r="AR126" s="152"/>
      <c r="AS126" s="152"/>
    </row>
    <row r="127" spans="1:45">
      <c r="A127" s="596" t="s">
        <v>267</v>
      </c>
      <c r="B127" s="108" t="s">
        <v>146</v>
      </c>
      <c r="C127" s="108" t="s">
        <v>26</v>
      </c>
      <c r="D127" s="108" t="s">
        <v>254</v>
      </c>
      <c r="E127" s="108" t="s">
        <v>69</v>
      </c>
      <c r="F127" s="264">
        <v>996</v>
      </c>
      <c r="G127" s="110">
        <v>946</v>
      </c>
      <c r="H127" s="90">
        <v>94.6</v>
      </c>
      <c r="I127" s="354">
        <v>1</v>
      </c>
      <c r="J127" s="379">
        <f>ROUND(G127*(1+'29_01_H_2020'!$O$10),2)</f>
        <v>1186.19</v>
      </c>
      <c r="K127" s="151">
        <f t="shared" si="49"/>
        <v>24.02000000000001</v>
      </c>
      <c r="L127" s="151">
        <f>ROUND(H127*(1+'29_01_H_2020'!$O$10),2)</f>
        <v>118.62</v>
      </c>
      <c r="M127" s="151">
        <f t="shared" si="50"/>
        <v>264.21000000000004</v>
      </c>
      <c r="N127" s="151">
        <f t="shared" si="51"/>
        <v>264.21000000000004</v>
      </c>
      <c r="O127" s="151">
        <f t="shared" si="52"/>
        <v>3170.5200000000004</v>
      </c>
      <c r="P127" s="151">
        <f>ROUND(O127*'29_01_H_2020'!$O$17,2)</f>
        <v>747.93</v>
      </c>
      <c r="Q127" s="380">
        <f t="shared" si="54"/>
        <v>3918.4500000000003</v>
      </c>
      <c r="R127" s="152"/>
      <c r="S127" s="328"/>
      <c r="T127" s="328"/>
      <c r="U127" s="328"/>
      <c r="V127" s="328"/>
      <c r="W127" s="328"/>
      <c r="X127" s="328"/>
      <c r="Y127" s="328"/>
      <c r="Z127" s="328"/>
      <c r="AA127" s="328"/>
      <c r="AB127" s="328"/>
      <c r="AC127" s="329"/>
      <c r="AD127" s="152"/>
      <c r="AE127" s="152"/>
      <c r="AF127" s="328"/>
      <c r="AG127" s="328"/>
      <c r="AH127" s="328"/>
      <c r="AI127" s="328"/>
      <c r="AJ127" s="328"/>
      <c r="AK127" s="328"/>
      <c r="AL127" s="328"/>
      <c r="AM127" s="328"/>
      <c r="AN127" s="328"/>
      <c r="AO127" s="328"/>
      <c r="AP127" s="329"/>
      <c r="AQ127" s="152"/>
      <c r="AR127" s="152"/>
      <c r="AS127" s="152"/>
    </row>
    <row r="128" spans="1:45">
      <c r="A128" s="596" t="s">
        <v>226</v>
      </c>
      <c r="B128" s="108" t="s">
        <v>146</v>
      </c>
      <c r="C128" s="108" t="s">
        <v>19</v>
      </c>
      <c r="D128" s="108" t="s">
        <v>252</v>
      </c>
      <c r="E128" s="108" t="s">
        <v>69</v>
      </c>
      <c r="F128" s="264">
        <v>1093</v>
      </c>
      <c r="G128" s="110">
        <v>1038</v>
      </c>
      <c r="H128" s="90">
        <v>0</v>
      </c>
      <c r="I128" s="354">
        <v>2</v>
      </c>
      <c r="J128" s="379">
        <f>ROUND(G128*(1+'29_01_H_2020'!$O$10),2)</f>
        <v>1301.55</v>
      </c>
      <c r="K128" s="151">
        <f t="shared" si="49"/>
        <v>0</v>
      </c>
      <c r="L128" s="151">
        <f>ROUND(H128*(1+'29_01_H_2020'!$O$10),2)</f>
        <v>0</v>
      </c>
      <c r="M128" s="151">
        <f t="shared" si="50"/>
        <v>263.54999999999995</v>
      </c>
      <c r="N128" s="151">
        <f t="shared" si="51"/>
        <v>527.09999999999991</v>
      </c>
      <c r="O128" s="151">
        <f t="shared" si="52"/>
        <v>6325.1999999999989</v>
      </c>
      <c r="P128" s="151">
        <f>ROUND(O128*'29_01_H_2020'!$O$17,2)</f>
        <v>1492.11</v>
      </c>
      <c r="Q128" s="380">
        <f t="shared" si="54"/>
        <v>7817.3099999999986</v>
      </c>
      <c r="R128" s="152"/>
      <c r="S128" s="328"/>
      <c r="T128" s="328"/>
      <c r="U128" s="328"/>
      <c r="V128" s="328"/>
      <c r="W128" s="328"/>
      <c r="X128" s="328"/>
      <c r="Y128" s="328"/>
      <c r="Z128" s="328"/>
      <c r="AA128" s="328"/>
      <c r="AB128" s="328"/>
      <c r="AC128" s="329"/>
      <c r="AD128" s="152"/>
      <c r="AE128" s="152"/>
      <c r="AF128" s="328"/>
      <c r="AG128" s="328"/>
      <c r="AH128" s="328"/>
      <c r="AI128" s="328"/>
      <c r="AJ128" s="328"/>
      <c r="AK128" s="328"/>
      <c r="AL128" s="328"/>
      <c r="AM128" s="328"/>
      <c r="AN128" s="328"/>
      <c r="AO128" s="328"/>
      <c r="AP128" s="329"/>
      <c r="AQ128" s="152"/>
      <c r="AR128" s="152"/>
      <c r="AS128" s="152"/>
    </row>
    <row r="129" spans="1:46">
      <c r="A129" s="597" t="s">
        <v>226</v>
      </c>
      <c r="B129" s="108" t="s">
        <v>146</v>
      </c>
      <c r="C129" s="108" t="s">
        <v>19</v>
      </c>
      <c r="D129" s="108" t="s">
        <v>252</v>
      </c>
      <c r="E129" s="108" t="s">
        <v>69</v>
      </c>
      <c r="F129" s="264">
        <v>1093</v>
      </c>
      <c r="G129" s="110">
        <v>1093</v>
      </c>
      <c r="H129" s="90">
        <v>0</v>
      </c>
      <c r="I129" s="354">
        <v>3</v>
      </c>
      <c r="J129" s="379">
        <f>ROUND(G129*(1+'29_01_H_2020'!$O$10),2)</f>
        <v>1370.51</v>
      </c>
      <c r="K129" s="151">
        <f t="shared" si="49"/>
        <v>0</v>
      </c>
      <c r="L129" s="151">
        <f>ROUND(H129*(1+'29_01_H_2020'!$O$10),2)</f>
        <v>0</v>
      </c>
      <c r="M129" s="151">
        <f t="shared" si="50"/>
        <v>277.51</v>
      </c>
      <c r="N129" s="151">
        <f t="shared" si="51"/>
        <v>832.53</v>
      </c>
      <c r="O129" s="151">
        <f t="shared" si="52"/>
        <v>9990.36</v>
      </c>
      <c r="P129" s="151">
        <f>ROUND(O129*'29_01_H_2020'!$O$17,2)</f>
        <v>2356.73</v>
      </c>
      <c r="Q129" s="380">
        <f t="shared" si="54"/>
        <v>12347.09</v>
      </c>
      <c r="R129" s="152"/>
      <c r="S129" s="328"/>
      <c r="T129" s="328"/>
      <c r="U129" s="328"/>
      <c r="V129" s="328"/>
      <c r="W129" s="328"/>
      <c r="X129" s="328"/>
      <c r="Y129" s="328"/>
      <c r="Z129" s="328"/>
      <c r="AA129" s="328"/>
      <c r="AB129" s="328"/>
      <c r="AC129" s="329"/>
      <c r="AD129" s="152"/>
      <c r="AE129" s="152"/>
      <c r="AF129" s="328"/>
      <c r="AG129" s="328"/>
      <c r="AH129" s="328"/>
      <c r="AI129" s="328"/>
      <c r="AJ129" s="328"/>
      <c r="AK129" s="328"/>
      <c r="AL129" s="328"/>
      <c r="AM129" s="328"/>
      <c r="AN129" s="328"/>
      <c r="AO129" s="328"/>
      <c r="AP129" s="329"/>
      <c r="AQ129" s="152"/>
      <c r="AR129" s="152"/>
      <c r="AS129" s="152"/>
    </row>
    <row r="130" spans="1:46">
      <c r="A130" s="596" t="s">
        <v>269</v>
      </c>
      <c r="B130" s="109" t="s">
        <v>146</v>
      </c>
      <c r="C130" s="109" t="s">
        <v>26</v>
      </c>
      <c r="D130" s="108" t="s">
        <v>254</v>
      </c>
      <c r="E130" s="108" t="s">
        <v>69</v>
      </c>
      <c r="F130" s="264">
        <v>996</v>
      </c>
      <c r="G130" s="111">
        <v>946</v>
      </c>
      <c r="H130" s="112">
        <v>94.6</v>
      </c>
      <c r="I130" s="363">
        <v>3</v>
      </c>
      <c r="J130" s="379">
        <f>ROUND(G130*(1+'29_01_H_2020'!$O$10),2)</f>
        <v>1186.19</v>
      </c>
      <c r="K130" s="151">
        <f t="shared" si="49"/>
        <v>24.02000000000001</v>
      </c>
      <c r="L130" s="151">
        <f>ROUND(H130*(1+'29_01_H_2020'!$O$10),2)</f>
        <v>118.62</v>
      </c>
      <c r="M130" s="151">
        <f t="shared" si="50"/>
        <v>264.21000000000004</v>
      </c>
      <c r="N130" s="151">
        <f t="shared" si="51"/>
        <v>792.63000000000011</v>
      </c>
      <c r="O130" s="151">
        <f t="shared" si="52"/>
        <v>9511.5600000000013</v>
      </c>
      <c r="P130" s="151">
        <f>ROUND(O130*'29_01_H_2020'!$O$17,2)</f>
        <v>2243.7800000000002</v>
      </c>
      <c r="Q130" s="380">
        <f t="shared" si="54"/>
        <v>11755.340000000002</v>
      </c>
      <c r="R130" s="152"/>
      <c r="S130" s="328"/>
      <c r="T130" s="328"/>
      <c r="U130" s="328"/>
      <c r="V130" s="328"/>
      <c r="W130" s="328"/>
      <c r="X130" s="328"/>
      <c r="Y130" s="328"/>
      <c r="Z130" s="328"/>
      <c r="AA130" s="328"/>
      <c r="AB130" s="328"/>
      <c r="AC130" s="329"/>
      <c r="AD130" s="329"/>
      <c r="AE130" s="152"/>
      <c r="AF130" s="328"/>
      <c r="AG130" s="328"/>
      <c r="AH130" s="328"/>
      <c r="AI130" s="328"/>
      <c r="AJ130" s="328"/>
      <c r="AK130" s="328"/>
      <c r="AL130" s="328"/>
      <c r="AM130" s="328"/>
      <c r="AN130" s="328"/>
      <c r="AO130" s="328"/>
      <c r="AP130" s="329"/>
      <c r="AQ130" s="152"/>
      <c r="AR130" s="152"/>
      <c r="AS130" s="152"/>
    </row>
    <row r="131" spans="1:46">
      <c r="A131" s="11" t="s">
        <v>55</v>
      </c>
      <c r="B131" s="8" t="s">
        <v>52</v>
      </c>
      <c r="C131" s="9" t="s">
        <v>52</v>
      </c>
      <c r="D131" s="9" t="s">
        <v>52</v>
      </c>
      <c r="E131" s="9" t="s">
        <v>52</v>
      </c>
      <c r="F131" s="10" t="s">
        <v>52</v>
      </c>
      <c r="G131" s="10" t="s">
        <v>52</v>
      </c>
      <c r="H131" s="10" t="s">
        <v>52</v>
      </c>
      <c r="I131" s="360">
        <f>SUM(I124:I130)</f>
        <v>45</v>
      </c>
      <c r="J131" s="404"/>
      <c r="K131" s="405"/>
      <c r="L131" s="405"/>
      <c r="M131" s="405"/>
      <c r="N131" s="405"/>
      <c r="O131" s="405"/>
      <c r="P131" s="405"/>
      <c r="Q131" s="406"/>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row>
    <row r="132" spans="1:46">
      <c r="A132" s="137" t="s">
        <v>270</v>
      </c>
      <c r="B132" s="135" t="s">
        <v>52</v>
      </c>
      <c r="C132" s="135" t="s">
        <v>52</v>
      </c>
      <c r="D132" s="135" t="s">
        <v>52</v>
      </c>
      <c r="E132" s="135" t="s">
        <v>52</v>
      </c>
      <c r="F132" s="135" t="s">
        <v>52</v>
      </c>
      <c r="G132" s="135" t="s">
        <v>52</v>
      </c>
      <c r="H132" s="135" t="s">
        <v>52</v>
      </c>
      <c r="I132" s="362">
        <f>I122+I131</f>
        <v>65.05</v>
      </c>
      <c r="J132" s="407"/>
      <c r="K132" s="408"/>
      <c r="L132" s="408"/>
      <c r="M132" s="408"/>
      <c r="N132" s="408"/>
      <c r="O132" s="408"/>
      <c r="P132" s="408"/>
      <c r="Q132" s="416"/>
      <c r="R132" s="152"/>
      <c r="S132" s="152"/>
      <c r="T132" s="152"/>
      <c r="U132" s="152"/>
      <c r="V132" s="152"/>
      <c r="W132" s="152"/>
      <c r="X132" s="152"/>
      <c r="Y132" s="152"/>
      <c r="Z132" s="152"/>
      <c r="AA132" s="152"/>
      <c r="AB132" s="152"/>
      <c r="AC132" s="152"/>
      <c r="AD132" s="152"/>
      <c r="AE132" s="152"/>
      <c r="AF132" s="152"/>
      <c r="AG132" s="152"/>
      <c r="AH132" s="152"/>
      <c r="AI132" s="152"/>
      <c r="AJ132" s="152"/>
      <c r="AK132" s="152"/>
      <c r="AL132" s="152"/>
      <c r="AM132" s="152"/>
      <c r="AN132" s="152"/>
      <c r="AO132" s="152"/>
      <c r="AP132" s="152"/>
      <c r="AQ132" s="152"/>
      <c r="AR132" s="152"/>
      <c r="AS132" s="152"/>
      <c r="AT132" s="152"/>
    </row>
    <row r="133" spans="1:46">
      <c r="A133" s="1106" t="s">
        <v>271</v>
      </c>
      <c r="B133" s="1107"/>
      <c r="C133" s="1107"/>
      <c r="D133" s="1107"/>
      <c r="E133" s="1107"/>
      <c r="F133" s="1107"/>
      <c r="G133" s="1107"/>
      <c r="H133" s="1107"/>
      <c r="I133" s="1108"/>
      <c r="J133" s="165"/>
      <c r="K133" s="176"/>
      <c r="L133" s="176"/>
      <c r="M133" s="176"/>
      <c r="N133" s="176"/>
      <c r="O133" s="176"/>
      <c r="P133" s="176"/>
      <c r="Q133" s="166"/>
      <c r="R133" s="152"/>
      <c r="S133" s="152"/>
      <c r="T133" s="152"/>
      <c r="U133" s="152"/>
      <c r="V133" s="152"/>
      <c r="W133" s="152"/>
      <c r="X133" s="152"/>
      <c r="Y133" s="152"/>
      <c r="Z133" s="152"/>
      <c r="AA133" s="152"/>
      <c r="AB133" s="152"/>
      <c r="AC133" s="152"/>
      <c r="AD133" s="152"/>
      <c r="AE133" s="152"/>
      <c r="AF133" s="152"/>
      <c r="AG133" s="152"/>
      <c r="AH133" s="152"/>
      <c r="AI133" s="152"/>
      <c r="AJ133" s="152"/>
      <c r="AK133" s="152"/>
      <c r="AL133" s="152"/>
      <c r="AM133" s="152"/>
      <c r="AN133" s="152"/>
      <c r="AO133" s="152"/>
      <c r="AP133" s="152"/>
      <c r="AQ133" s="152"/>
      <c r="AR133" s="152"/>
      <c r="AS133" s="152"/>
      <c r="AT133" s="152"/>
    </row>
    <row r="134" spans="1:46">
      <c r="A134" s="1098" t="s">
        <v>11</v>
      </c>
      <c r="B134" s="1099"/>
      <c r="C134" s="1099"/>
      <c r="D134" s="1099"/>
      <c r="E134" s="1099"/>
      <c r="F134" s="1099"/>
      <c r="G134" s="1099"/>
      <c r="H134" s="1099"/>
      <c r="I134" s="1100"/>
      <c r="J134" s="385"/>
      <c r="K134" s="383"/>
      <c r="L134" s="383"/>
      <c r="M134" s="383"/>
      <c r="N134" s="383"/>
      <c r="O134" s="383"/>
      <c r="P134" s="383"/>
      <c r="Q134" s="386"/>
      <c r="R134" s="152"/>
      <c r="S134" s="152"/>
      <c r="T134" s="152"/>
      <c r="U134" s="152"/>
      <c r="V134" s="152"/>
      <c r="W134" s="152"/>
      <c r="X134" s="152"/>
      <c r="Y134" s="152"/>
      <c r="Z134" s="152"/>
      <c r="AA134" s="152"/>
      <c r="AB134" s="152"/>
      <c r="AC134" s="152"/>
      <c r="AD134" s="152"/>
      <c r="AE134" s="152"/>
      <c r="AF134" s="152"/>
      <c r="AG134" s="152"/>
      <c r="AH134" s="152"/>
      <c r="AI134" s="152"/>
      <c r="AJ134" s="152"/>
      <c r="AK134" s="152"/>
      <c r="AL134" s="152"/>
      <c r="AM134" s="152"/>
      <c r="AN134" s="152"/>
      <c r="AO134" s="152"/>
      <c r="AP134" s="152"/>
      <c r="AQ134" s="152"/>
      <c r="AR134" s="152"/>
      <c r="AS134" s="152"/>
      <c r="AT134" s="152"/>
    </row>
    <row r="135" spans="1:46">
      <c r="A135" s="5" t="s">
        <v>247</v>
      </c>
      <c r="B135" s="2">
        <v>5.0999999999999996</v>
      </c>
      <c r="C135" s="3" t="s">
        <v>26</v>
      </c>
      <c r="D135" s="258">
        <v>10</v>
      </c>
      <c r="E135" s="258">
        <v>3</v>
      </c>
      <c r="F135" s="263">
        <v>1287</v>
      </c>
      <c r="G135" s="90">
        <v>1287</v>
      </c>
      <c r="H135" s="90">
        <v>128.69999999999999</v>
      </c>
      <c r="I135" s="359">
        <v>3</v>
      </c>
      <c r="J135" s="379">
        <f>ROUND(G135*(1+'29_01_H_2020'!$O$14),2)</f>
        <v>1613.77</v>
      </c>
      <c r="K135" s="151">
        <f>L135-H135</f>
        <v>32.680000000000007</v>
      </c>
      <c r="L135" s="151">
        <f>ROUND(H135*(1+'29_01_H_2020'!$O$14),2)</f>
        <v>161.38</v>
      </c>
      <c r="M135" s="151">
        <f>(J135+L135)-(G135+H135)</f>
        <v>359.45000000000005</v>
      </c>
      <c r="N135" s="151">
        <f>M135*I135</f>
        <v>1078.3500000000001</v>
      </c>
      <c r="O135" s="151">
        <f t="shared" ref="O135:O138" si="55">N135*12</f>
        <v>12940.2</v>
      </c>
      <c r="P135" s="151">
        <f>ROUND(O135*'29_01_H_2020'!$O$17,2)</f>
        <v>3052.59</v>
      </c>
      <c r="Q135" s="380">
        <f t="shared" ref="Q135" si="56">SUM(O135:P135)</f>
        <v>15992.79</v>
      </c>
      <c r="R135" s="152"/>
      <c r="S135" s="328"/>
      <c r="T135" s="328"/>
      <c r="U135" s="328"/>
      <c r="V135" s="328"/>
      <c r="W135" s="328"/>
      <c r="X135" s="328"/>
      <c r="Y135" s="328"/>
      <c r="Z135" s="328"/>
      <c r="AA135" s="328"/>
      <c r="AB135" s="328"/>
      <c r="AC135" s="329"/>
      <c r="AD135" s="152"/>
      <c r="AE135" s="152"/>
      <c r="AF135" s="328"/>
      <c r="AG135" s="328"/>
      <c r="AH135" s="328"/>
      <c r="AI135" s="328"/>
      <c r="AJ135" s="328"/>
      <c r="AK135" s="328"/>
      <c r="AL135" s="328"/>
      <c r="AM135" s="328"/>
      <c r="AN135" s="328"/>
      <c r="AO135" s="328"/>
      <c r="AP135" s="329"/>
      <c r="AQ135" s="152"/>
      <c r="AR135" s="152"/>
      <c r="AS135" s="152"/>
      <c r="AT135" s="152"/>
    </row>
    <row r="136" spans="1:46">
      <c r="A136" s="5" t="s">
        <v>263</v>
      </c>
      <c r="B136" s="2">
        <v>5.0999999999999996</v>
      </c>
      <c r="C136" s="3" t="s">
        <v>26</v>
      </c>
      <c r="D136" s="258">
        <v>10</v>
      </c>
      <c r="E136" s="258">
        <v>3</v>
      </c>
      <c r="F136" s="263">
        <v>1287</v>
      </c>
      <c r="G136" s="90">
        <v>1287</v>
      </c>
      <c r="H136" s="90">
        <v>128.69999999999999</v>
      </c>
      <c r="I136" s="359">
        <v>0.5</v>
      </c>
      <c r="J136" s="379">
        <f>ROUND(G136*(1+'29_01_H_2020'!$O$14),2)</f>
        <v>1613.77</v>
      </c>
      <c r="K136" s="151">
        <f>L136-H136</f>
        <v>32.680000000000007</v>
      </c>
      <c r="L136" s="151">
        <f>ROUND(H136*(1+'29_01_H_2020'!$O$14),2)</f>
        <v>161.38</v>
      </c>
      <c r="M136" s="151">
        <f>(J136+L136)-(G136+H136)</f>
        <v>359.45000000000005</v>
      </c>
      <c r="N136" s="151">
        <f>M136*I136</f>
        <v>179.72500000000002</v>
      </c>
      <c r="O136" s="151">
        <f t="shared" si="55"/>
        <v>2156.7000000000003</v>
      </c>
      <c r="P136" s="151">
        <f>ROUND(O136*'29_01_H_2020'!$O$17,2)</f>
        <v>508.77</v>
      </c>
      <c r="Q136" s="380">
        <f t="shared" ref="Q136:Q138" si="57">SUM(O136:P136)</f>
        <v>2665.4700000000003</v>
      </c>
      <c r="R136" s="152"/>
      <c r="S136" s="328"/>
      <c r="T136" s="328"/>
      <c r="U136" s="328"/>
      <c r="V136" s="328"/>
      <c r="W136" s="328"/>
      <c r="X136" s="328"/>
      <c r="Y136" s="328"/>
      <c r="Z136" s="328"/>
      <c r="AA136" s="328"/>
      <c r="AB136" s="328"/>
      <c r="AC136" s="329"/>
      <c r="AD136" s="152"/>
      <c r="AE136" s="152"/>
      <c r="AF136" s="328"/>
      <c r="AG136" s="328"/>
      <c r="AH136" s="328"/>
      <c r="AI136" s="328"/>
      <c r="AJ136" s="328"/>
      <c r="AK136" s="328"/>
      <c r="AL136" s="328"/>
      <c r="AM136" s="328"/>
      <c r="AN136" s="328"/>
      <c r="AO136" s="328"/>
      <c r="AP136" s="329"/>
      <c r="AQ136" s="152"/>
      <c r="AR136" s="152"/>
      <c r="AS136" s="152"/>
      <c r="AT136" s="152"/>
    </row>
    <row r="137" spans="1:46">
      <c r="A137" s="5" t="s">
        <v>250</v>
      </c>
      <c r="B137" s="2">
        <v>5.0999999999999996</v>
      </c>
      <c r="C137" s="3" t="s">
        <v>251</v>
      </c>
      <c r="D137" s="258">
        <v>9</v>
      </c>
      <c r="E137" s="258">
        <v>3</v>
      </c>
      <c r="F137" s="263">
        <v>1190</v>
      </c>
      <c r="G137" s="90">
        <v>1190</v>
      </c>
      <c r="H137" s="90">
        <v>119</v>
      </c>
      <c r="I137" s="359">
        <v>3.3</v>
      </c>
      <c r="J137" s="379">
        <f>ROUND(G137*(1+'29_01_H_2020'!$O$14),2)</f>
        <v>1492.14</v>
      </c>
      <c r="K137" s="151">
        <f>L137-H137</f>
        <v>30.210000000000008</v>
      </c>
      <c r="L137" s="151">
        <f>ROUND(H137*(1+'29_01_H_2020'!$O$14),2)</f>
        <v>149.21</v>
      </c>
      <c r="M137" s="151">
        <f>(J137+L137)-(G137+H137)</f>
        <v>332.35000000000014</v>
      </c>
      <c r="N137" s="151">
        <f>M137*I137</f>
        <v>1096.7550000000003</v>
      </c>
      <c r="O137" s="151">
        <f t="shared" si="55"/>
        <v>13161.060000000005</v>
      </c>
      <c r="P137" s="151">
        <f>ROUND(O137*'29_01_H_2020'!$O$17,2)</f>
        <v>3104.69</v>
      </c>
      <c r="Q137" s="380">
        <f t="shared" si="57"/>
        <v>16265.750000000005</v>
      </c>
      <c r="R137" s="152"/>
      <c r="S137" s="328"/>
      <c r="T137" s="328"/>
      <c r="U137" s="328"/>
      <c r="V137" s="328"/>
      <c r="W137" s="328"/>
      <c r="X137" s="328"/>
      <c r="Y137" s="328"/>
      <c r="Z137" s="328"/>
      <c r="AA137" s="328"/>
      <c r="AB137" s="328"/>
      <c r="AC137" s="329"/>
      <c r="AD137" s="152"/>
      <c r="AE137" s="152"/>
      <c r="AF137" s="328"/>
      <c r="AG137" s="328"/>
      <c r="AH137" s="328"/>
      <c r="AI137" s="328"/>
      <c r="AJ137" s="328"/>
      <c r="AK137" s="328"/>
      <c r="AL137" s="328"/>
      <c r="AM137" s="328"/>
      <c r="AN137" s="328"/>
      <c r="AO137" s="328"/>
      <c r="AP137" s="329"/>
      <c r="AQ137" s="152"/>
      <c r="AR137" s="152"/>
      <c r="AS137" s="152"/>
      <c r="AT137" s="152"/>
    </row>
    <row r="138" spans="1:46">
      <c r="A138" s="5" t="s">
        <v>250</v>
      </c>
      <c r="B138" s="2" t="s">
        <v>118</v>
      </c>
      <c r="C138" s="3" t="s">
        <v>251</v>
      </c>
      <c r="D138" s="258">
        <v>9</v>
      </c>
      <c r="E138" s="258">
        <v>1</v>
      </c>
      <c r="F138" s="263">
        <v>835</v>
      </c>
      <c r="G138" s="90">
        <v>835</v>
      </c>
      <c r="H138" s="90">
        <v>83.5</v>
      </c>
      <c r="I138" s="359">
        <v>1</v>
      </c>
      <c r="J138" s="379">
        <f>ROUND(G138*(1+'29_01_H_2020'!$O$14),2)</f>
        <v>1047.01</v>
      </c>
      <c r="K138" s="151">
        <f>L138-H138</f>
        <v>21.200000000000003</v>
      </c>
      <c r="L138" s="151">
        <f>ROUND(H138*(1+'29_01_H_2020'!$O$14),2)</f>
        <v>104.7</v>
      </c>
      <c r="M138" s="151">
        <f>(J138+L138)-(G138+H138)</f>
        <v>233.21000000000004</v>
      </c>
      <c r="N138" s="151">
        <f>M138*I138</f>
        <v>233.21000000000004</v>
      </c>
      <c r="O138" s="151">
        <f t="shared" si="55"/>
        <v>2798.5200000000004</v>
      </c>
      <c r="P138" s="151">
        <f>ROUND(O138*'29_01_H_2020'!$O$17,2)</f>
        <v>660.17</v>
      </c>
      <c r="Q138" s="380">
        <f t="shared" si="57"/>
        <v>3458.6900000000005</v>
      </c>
      <c r="R138" s="152"/>
      <c r="S138" s="328"/>
      <c r="T138" s="328"/>
      <c r="U138" s="328"/>
      <c r="V138" s="328"/>
      <c r="W138" s="328"/>
      <c r="X138" s="328"/>
      <c r="Y138" s="328"/>
      <c r="Z138" s="328"/>
      <c r="AA138" s="328"/>
      <c r="AB138" s="328"/>
      <c r="AC138" s="329"/>
      <c r="AD138" s="152"/>
      <c r="AE138" s="152"/>
      <c r="AF138" s="328"/>
      <c r="AG138" s="328"/>
      <c r="AH138" s="328"/>
      <c r="AI138" s="328"/>
      <c r="AJ138" s="328"/>
      <c r="AK138" s="328"/>
      <c r="AL138" s="328"/>
      <c r="AM138" s="328"/>
      <c r="AN138" s="328"/>
      <c r="AO138" s="328"/>
      <c r="AP138" s="329"/>
      <c r="AQ138" s="152"/>
      <c r="AR138" s="152"/>
      <c r="AS138" s="152"/>
      <c r="AT138" s="152"/>
    </row>
    <row r="139" spans="1:46" s="333" customFormat="1">
      <c r="A139" s="338" t="s">
        <v>272</v>
      </c>
      <c r="B139" s="2" t="s">
        <v>118</v>
      </c>
      <c r="C139" s="334" t="s">
        <v>251</v>
      </c>
      <c r="D139" s="258">
        <v>9</v>
      </c>
      <c r="E139" s="258">
        <v>2</v>
      </c>
      <c r="F139" s="263">
        <v>1015</v>
      </c>
      <c r="G139" s="90">
        <v>1015</v>
      </c>
      <c r="H139" s="90">
        <v>101.5</v>
      </c>
      <c r="I139" s="359">
        <v>0.6</v>
      </c>
      <c r="J139" s="379">
        <f>ROUND(G139*(1+'29_01_H_2020'!$O$14),2)</f>
        <v>1272.71</v>
      </c>
      <c r="K139" s="151">
        <f t="shared" ref="K139:K140" si="58">L139-H139</f>
        <v>25.769999999999996</v>
      </c>
      <c r="L139" s="151">
        <f>ROUND(H139*(1+'29_01_H_2020'!$O$14),2)</f>
        <v>127.27</v>
      </c>
      <c r="M139" s="151">
        <f t="shared" ref="M139:M140" si="59">(J139+L139)-(G139+H139)</f>
        <v>283.48</v>
      </c>
      <c r="N139" s="151">
        <f t="shared" ref="N139:N140" si="60">M139*I139</f>
        <v>170.08799999999999</v>
      </c>
      <c r="O139" s="151">
        <f t="shared" ref="O139:O140" si="61">N139*12</f>
        <v>2041.056</v>
      </c>
      <c r="P139" s="151">
        <f>ROUND(O139*'29_01_H_2020'!$O$17,2)</f>
        <v>481.49</v>
      </c>
      <c r="Q139" s="380">
        <f t="shared" ref="Q139:Q140" si="62">SUM(O139:P139)</f>
        <v>2522.5460000000003</v>
      </c>
      <c r="R139" s="152"/>
      <c r="S139" s="328"/>
      <c r="T139" s="328"/>
      <c r="U139" s="328"/>
      <c r="V139" s="328"/>
      <c r="W139" s="328"/>
      <c r="X139" s="328"/>
      <c r="Y139" s="328"/>
      <c r="Z139" s="328"/>
      <c r="AA139" s="328"/>
      <c r="AB139" s="328"/>
      <c r="AC139" s="329"/>
      <c r="AD139" s="152"/>
      <c r="AE139" s="152"/>
      <c r="AF139" s="328"/>
      <c r="AG139" s="328"/>
      <c r="AH139" s="328"/>
      <c r="AI139" s="328"/>
      <c r="AJ139" s="328"/>
      <c r="AK139" s="328"/>
      <c r="AL139" s="328"/>
      <c r="AM139" s="328"/>
      <c r="AN139" s="328"/>
      <c r="AO139" s="328"/>
      <c r="AP139" s="329"/>
      <c r="AQ139" s="152"/>
      <c r="AR139" s="152"/>
      <c r="AS139" s="152"/>
      <c r="AT139" s="152"/>
    </row>
    <row r="140" spans="1:46" s="333" customFormat="1">
      <c r="A140" s="338" t="s">
        <v>272</v>
      </c>
      <c r="B140" s="2" t="s">
        <v>118</v>
      </c>
      <c r="C140" s="334" t="s">
        <v>251</v>
      </c>
      <c r="D140" s="258">
        <v>9</v>
      </c>
      <c r="E140" s="258">
        <v>3</v>
      </c>
      <c r="F140" s="263">
        <v>1190</v>
      </c>
      <c r="G140" s="90">
        <v>1190</v>
      </c>
      <c r="H140" s="90">
        <v>119</v>
      </c>
      <c r="I140" s="359">
        <v>1.4</v>
      </c>
      <c r="J140" s="379">
        <f>ROUND(G140*(1+'29_01_H_2020'!$O$14),2)</f>
        <v>1492.14</v>
      </c>
      <c r="K140" s="151">
        <f t="shared" si="58"/>
        <v>30.210000000000008</v>
      </c>
      <c r="L140" s="151">
        <f>ROUND(H140*(1+'29_01_H_2020'!$O$14),2)</f>
        <v>149.21</v>
      </c>
      <c r="M140" s="151">
        <f t="shared" si="59"/>
        <v>332.35000000000014</v>
      </c>
      <c r="N140" s="151">
        <f t="shared" si="60"/>
        <v>465.29000000000013</v>
      </c>
      <c r="O140" s="151">
        <f t="shared" si="61"/>
        <v>5583.4800000000014</v>
      </c>
      <c r="P140" s="151">
        <f>ROUND(O140*'29_01_H_2020'!$O$17,2)</f>
        <v>1317.14</v>
      </c>
      <c r="Q140" s="380">
        <f t="shared" si="62"/>
        <v>6900.6200000000017</v>
      </c>
      <c r="R140" s="152"/>
      <c r="S140" s="328"/>
      <c r="T140" s="328"/>
      <c r="U140" s="328"/>
      <c r="V140" s="328"/>
      <c r="W140" s="328"/>
      <c r="X140" s="328"/>
      <c r="Y140" s="328"/>
      <c r="Z140" s="328"/>
      <c r="AA140" s="328"/>
      <c r="AB140" s="328"/>
      <c r="AC140" s="329"/>
      <c r="AD140" s="152"/>
      <c r="AE140" s="152"/>
      <c r="AF140" s="328"/>
      <c r="AG140" s="328"/>
      <c r="AH140" s="328"/>
      <c r="AI140" s="328"/>
      <c r="AJ140" s="328"/>
      <c r="AK140" s="328"/>
      <c r="AL140" s="328"/>
      <c r="AM140" s="328"/>
      <c r="AN140" s="328"/>
      <c r="AO140" s="328"/>
      <c r="AP140" s="329"/>
      <c r="AQ140" s="152"/>
      <c r="AR140" s="152"/>
      <c r="AS140" s="152"/>
      <c r="AT140" s="152"/>
    </row>
    <row r="141" spans="1:46">
      <c r="A141" s="11" t="s">
        <v>55</v>
      </c>
      <c r="B141" s="8" t="s">
        <v>52</v>
      </c>
      <c r="C141" s="9" t="s">
        <v>52</v>
      </c>
      <c r="D141" s="9" t="s">
        <v>52</v>
      </c>
      <c r="E141" s="9" t="s">
        <v>52</v>
      </c>
      <c r="F141" s="10" t="s">
        <v>52</v>
      </c>
      <c r="G141" s="10" t="s">
        <v>52</v>
      </c>
      <c r="H141" s="10" t="s">
        <v>52</v>
      </c>
      <c r="I141" s="360">
        <f>SUM(I135:I140)</f>
        <v>9.8000000000000007</v>
      </c>
      <c r="J141" s="404"/>
      <c r="K141" s="405"/>
      <c r="L141" s="405"/>
      <c r="M141" s="405"/>
      <c r="N141" s="405"/>
      <c r="O141" s="405"/>
      <c r="P141" s="405"/>
      <c r="Q141" s="406"/>
      <c r="R141" s="152"/>
      <c r="S141" s="152"/>
      <c r="T141" s="152"/>
      <c r="U141" s="152"/>
      <c r="V141" s="152"/>
      <c r="W141" s="152"/>
      <c r="X141" s="152"/>
      <c r="Y141" s="152"/>
      <c r="Z141" s="152"/>
      <c r="AA141" s="152"/>
      <c r="AB141" s="152"/>
      <c r="AC141" s="152"/>
      <c r="AD141" s="152"/>
      <c r="AE141" s="152"/>
      <c r="AF141" s="152"/>
      <c r="AG141" s="152"/>
      <c r="AH141" s="152"/>
      <c r="AI141" s="152"/>
      <c r="AJ141" s="152"/>
      <c r="AK141" s="152"/>
      <c r="AL141" s="152"/>
      <c r="AM141" s="152"/>
      <c r="AN141" s="152"/>
      <c r="AO141" s="152"/>
      <c r="AP141" s="152"/>
      <c r="AQ141" s="152"/>
      <c r="AR141" s="152"/>
      <c r="AS141" s="152"/>
      <c r="AT141" s="152"/>
    </row>
    <row r="142" spans="1:46">
      <c r="A142" s="1111" t="s">
        <v>28</v>
      </c>
      <c r="B142" s="1112"/>
      <c r="C142" s="1112"/>
      <c r="D142" s="1112"/>
      <c r="E142" s="1112"/>
      <c r="F142" s="1112"/>
      <c r="G142" s="1112"/>
      <c r="H142" s="1112"/>
      <c r="I142" s="1113"/>
      <c r="J142" s="385"/>
      <c r="K142" s="383"/>
      <c r="L142" s="383"/>
      <c r="M142" s="383"/>
      <c r="N142" s="383"/>
      <c r="O142" s="383"/>
      <c r="P142" s="383"/>
      <c r="Q142" s="386"/>
      <c r="R142" s="152"/>
      <c r="S142" s="152"/>
      <c r="T142" s="152"/>
      <c r="U142" s="152"/>
      <c r="V142" s="152"/>
      <c r="W142" s="152"/>
      <c r="X142" s="152"/>
      <c r="Y142" s="152"/>
      <c r="Z142" s="152"/>
      <c r="AA142" s="152"/>
      <c r="AB142" s="152"/>
      <c r="AC142" s="152"/>
      <c r="AD142" s="152"/>
      <c r="AE142" s="152"/>
      <c r="AF142" s="152"/>
      <c r="AG142" s="152"/>
      <c r="AH142" s="152"/>
      <c r="AI142" s="152"/>
      <c r="AJ142" s="152"/>
      <c r="AK142" s="152"/>
      <c r="AL142" s="152"/>
      <c r="AM142" s="152"/>
      <c r="AN142" s="152"/>
      <c r="AO142" s="152"/>
      <c r="AP142" s="152"/>
      <c r="AQ142" s="152"/>
      <c r="AR142" s="152"/>
      <c r="AS142" s="152"/>
      <c r="AT142" s="152"/>
    </row>
    <row r="143" spans="1:46">
      <c r="A143" s="595" t="s">
        <v>225</v>
      </c>
      <c r="B143" s="7">
        <v>5.0999999999999996</v>
      </c>
      <c r="C143" s="3" t="s">
        <v>37</v>
      </c>
      <c r="D143" s="258">
        <v>8</v>
      </c>
      <c r="E143" s="258">
        <v>3</v>
      </c>
      <c r="F143" s="263">
        <v>1093</v>
      </c>
      <c r="G143" s="90">
        <v>1049.4000000000001</v>
      </c>
      <c r="H143" s="90">
        <v>104.94</v>
      </c>
      <c r="I143" s="359">
        <v>2</v>
      </c>
      <c r="J143" s="379">
        <f>ROUND(G143*(1+'29_01_H_2020'!$O$10),2)</f>
        <v>1315.84</v>
      </c>
      <c r="K143" s="151">
        <f t="shared" ref="K143:K149" si="63">L143-H143</f>
        <v>26.640000000000015</v>
      </c>
      <c r="L143" s="151">
        <f>ROUND(H143*(1+'29_01_H_2020'!$O$10),2)</f>
        <v>131.58000000000001</v>
      </c>
      <c r="M143" s="151">
        <f t="shared" ref="M143:M149" si="64">(J143+L143)-(G143+H143)</f>
        <v>293.0799999999997</v>
      </c>
      <c r="N143" s="151">
        <f t="shared" ref="N143:N149" si="65">M143*I143</f>
        <v>586.1599999999994</v>
      </c>
      <c r="O143" s="151">
        <f t="shared" ref="O143:O149" si="66">N143*12</f>
        <v>7033.9199999999928</v>
      </c>
      <c r="P143" s="151">
        <f>ROUND(O143*'29_01_H_2020'!$O$17,2)</f>
        <v>1659.3</v>
      </c>
      <c r="Q143" s="380">
        <f t="shared" ref="Q143" si="67">SUM(O143:P143)</f>
        <v>8693.2199999999921</v>
      </c>
      <c r="R143" s="152"/>
      <c r="S143" s="328"/>
      <c r="T143" s="328"/>
      <c r="U143" s="328"/>
      <c r="V143" s="328"/>
      <c r="W143" s="328"/>
      <c r="X143" s="328"/>
      <c r="Y143" s="328"/>
      <c r="Z143" s="328"/>
      <c r="AA143" s="328"/>
      <c r="AB143" s="328"/>
      <c r="AC143" s="329"/>
      <c r="AD143" s="152"/>
      <c r="AE143" s="152"/>
      <c r="AF143" s="328"/>
      <c r="AG143" s="328"/>
      <c r="AH143" s="328"/>
      <c r="AI143" s="328"/>
      <c r="AJ143" s="328"/>
      <c r="AK143" s="328"/>
      <c r="AL143" s="328"/>
      <c r="AM143" s="328"/>
      <c r="AN143" s="328"/>
      <c r="AO143" s="328"/>
      <c r="AP143" s="329"/>
      <c r="AQ143" s="152"/>
      <c r="AR143" s="152"/>
      <c r="AS143" s="152"/>
      <c r="AT143" s="152"/>
    </row>
    <row r="144" spans="1:46">
      <c r="A144" s="595" t="s">
        <v>226</v>
      </c>
      <c r="B144" s="7">
        <v>5.2</v>
      </c>
      <c r="C144" s="3" t="s">
        <v>19</v>
      </c>
      <c r="D144" s="258">
        <v>8</v>
      </c>
      <c r="E144" s="258">
        <v>3</v>
      </c>
      <c r="F144" s="263">
        <v>1093</v>
      </c>
      <c r="G144" s="90">
        <v>1049.4000000000001</v>
      </c>
      <c r="H144" s="90">
        <v>262.35000000000002</v>
      </c>
      <c r="I144" s="359">
        <v>4</v>
      </c>
      <c r="J144" s="379">
        <f>ROUND(G144*(1+'29_01_H_2020'!$O$10),2)</f>
        <v>1315.84</v>
      </c>
      <c r="K144" s="151">
        <f t="shared" si="63"/>
        <v>66.609999999999957</v>
      </c>
      <c r="L144" s="151">
        <f>ROUND(H144*(1+'29_01_H_2020'!$O$10),2)</f>
        <v>328.96</v>
      </c>
      <c r="M144" s="151">
        <f t="shared" si="64"/>
        <v>333.04999999999995</v>
      </c>
      <c r="N144" s="151">
        <f t="shared" si="65"/>
        <v>1332.1999999999998</v>
      </c>
      <c r="O144" s="151">
        <f t="shared" si="66"/>
        <v>15986.399999999998</v>
      </c>
      <c r="P144" s="151">
        <f>ROUND(O144*'29_01_H_2020'!$O$17,2)</f>
        <v>3771.19</v>
      </c>
      <c r="Q144" s="380">
        <f t="shared" ref="Q144:Q149" si="68">SUM(O144:P144)</f>
        <v>19757.589999999997</v>
      </c>
      <c r="R144" s="152"/>
      <c r="S144" s="328"/>
      <c r="T144" s="328"/>
      <c r="U144" s="328"/>
      <c r="V144" s="328"/>
      <c r="W144" s="328"/>
      <c r="X144" s="328"/>
      <c r="Y144" s="328"/>
      <c r="Z144" s="328"/>
      <c r="AA144" s="328"/>
      <c r="AB144" s="328"/>
      <c r="AC144" s="329"/>
      <c r="AD144" s="152"/>
      <c r="AE144" s="152"/>
      <c r="AF144" s="328"/>
      <c r="AG144" s="328"/>
      <c r="AH144" s="328"/>
      <c r="AI144" s="328"/>
      <c r="AJ144" s="328"/>
      <c r="AK144" s="328"/>
      <c r="AL144" s="328"/>
      <c r="AM144" s="328"/>
      <c r="AN144" s="328"/>
      <c r="AO144" s="328"/>
      <c r="AP144" s="329"/>
      <c r="AQ144" s="152"/>
      <c r="AR144" s="152"/>
      <c r="AS144" s="152"/>
      <c r="AT144" s="152"/>
    </row>
    <row r="145" spans="1:46">
      <c r="A145" s="595" t="s">
        <v>273</v>
      </c>
      <c r="B145" s="7">
        <v>5.2</v>
      </c>
      <c r="C145" s="3" t="s">
        <v>26</v>
      </c>
      <c r="D145" s="258">
        <v>7</v>
      </c>
      <c r="E145" s="258">
        <v>3</v>
      </c>
      <c r="F145" s="263">
        <v>996</v>
      </c>
      <c r="G145" s="90">
        <v>970.2</v>
      </c>
      <c r="H145" s="90">
        <v>242.55</v>
      </c>
      <c r="I145" s="359">
        <v>6</v>
      </c>
      <c r="J145" s="379">
        <f>ROUND(G145*(1+'29_01_H_2020'!$O$10),2)</f>
        <v>1216.53</v>
      </c>
      <c r="K145" s="151">
        <f t="shared" si="63"/>
        <v>61.579999999999984</v>
      </c>
      <c r="L145" s="151">
        <f>ROUND(H145*(1+'29_01_H_2020'!$O$10),2)</f>
        <v>304.13</v>
      </c>
      <c r="M145" s="151">
        <f t="shared" si="64"/>
        <v>307.90999999999985</v>
      </c>
      <c r="N145" s="151">
        <f t="shared" si="65"/>
        <v>1847.4599999999991</v>
      </c>
      <c r="O145" s="151">
        <f t="shared" si="66"/>
        <v>22169.51999999999</v>
      </c>
      <c r="P145" s="151">
        <f>ROUND(O145*'29_01_H_2020'!$O$17,2)</f>
        <v>5229.79</v>
      </c>
      <c r="Q145" s="380">
        <f t="shared" si="68"/>
        <v>27399.30999999999</v>
      </c>
      <c r="R145" s="152"/>
      <c r="S145" s="328"/>
      <c r="T145" s="328"/>
      <c r="U145" s="328"/>
      <c r="V145" s="328"/>
      <c r="W145" s="328"/>
      <c r="X145" s="328"/>
      <c r="Y145" s="328"/>
      <c r="Z145" s="328"/>
      <c r="AA145" s="328"/>
      <c r="AB145" s="328"/>
      <c r="AC145" s="329"/>
      <c r="AD145" s="152"/>
      <c r="AE145" s="152"/>
      <c r="AF145" s="328"/>
      <c r="AG145" s="328"/>
      <c r="AH145" s="328"/>
      <c r="AI145" s="328"/>
      <c r="AJ145" s="328"/>
      <c r="AK145" s="328"/>
      <c r="AL145" s="328"/>
      <c r="AM145" s="328"/>
      <c r="AN145" s="328"/>
      <c r="AO145" s="328"/>
      <c r="AP145" s="329"/>
      <c r="AQ145" s="152"/>
      <c r="AR145" s="152"/>
      <c r="AS145" s="152"/>
      <c r="AT145" s="152"/>
    </row>
    <row r="146" spans="1:46">
      <c r="A146" s="595" t="s">
        <v>274</v>
      </c>
      <c r="B146" s="7">
        <v>5.2</v>
      </c>
      <c r="C146" s="3" t="s">
        <v>26</v>
      </c>
      <c r="D146" s="258">
        <v>7</v>
      </c>
      <c r="E146" s="258">
        <v>3</v>
      </c>
      <c r="F146" s="263">
        <v>996</v>
      </c>
      <c r="G146" s="90">
        <v>970.2</v>
      </c>
      <c r="H146" s="90">
        <v>242.55</v>
      </c>
      <c r="I146" s="359">
        <v>9.25</v>
      </c>
      <c r="J146" s="379">
        <f>ROUND(G146*(1+'29_01_H_2020'!$O$10),2)</f>
        <v>1216.53</v>
      </c>
      <c r="K146" s="151">
        <f t="shared" si="63"/>
        <v>61.579999999999984</v>
      </c>
      <c r="L146" s="151">
        <f>ROUND(H146*(1+'29_01_H_2020'!$O$10),2)</f>
        <v>304.13</v>
      </c>
      <c r="M146" s="151">
        <f t="shared" si="64"/>
        <v>307.90999999999985</v>
      </c>
      <c r="N146" s="151">
        <f t="shared" si="65"/>
        <v>2848.1674999999987</v>
      </c>
      <c r="O146" s="151">
        <f t="shared" si="66"/>
        <v>34178.00999999998</v>
      </c>
      <c r="P146" s="151">
        <f>ROUND(O146*'29_01_H_2020'!$O$17,2)</f>
        <v>8062.59</v>
      </c>
      <c r="Q146" s="380">
        <f t="shared" si="68"/>
        <v>42240.599999999977</v>
      </c>
      <c r="R146" s="152"/>
      <c r="S146" s="328"/>
      <c r="T146" s="328"/>
      <c r="U146" s="328"/>
      <c r="V146" s="328"/>
      <c r="W146" s="328"/>
      <c r="X146" s="328"/>
      <c r="Y146" s="328"/>
      <c r="Z146" s="328"/>
      <c r="AA146" s="328"/>
      <c r="AB146" s="328"/>
      <c r="AC146" s="329"/>
      <c r="AD146" s="152"/>
      <c r="AE146" s="152"/>
      <c r="AF146" s="328"/>
      <c r="AG146" s="328"/>
      <c r="AH146" s="328"/>
      <c r="AI146" s="328"/>
      <c r="AJ146" s="328"/>
      <c r="AK146" s="328"/>
      <c r="AL146" s="328"/>
      <c r="AM146" s="328"/>
      <c r="AN146" s="328"/>
      <c r="AO146" s="328"/>
      <c r="AP146" s="329"/>
      <c r="AQ146" s="152"/>
      <c r="AR146" s="152"/>
      <c r="AS146" s="152"/>
      <c r="AT146" s="152"/>
    </row>
    <row r="147" spans="1:46">
      <c r="A147" s="595" t="s">
        <v>40</v>
      </c>
      <c r="B147" s="7">
        <v>5.2</v>
      </c>
      <c r="C147" s="3" t="s">
        <v>42</v>
      </c>
      <c r="D147" s="258">
        <v>6</v>
      </c>
      <c r="E147" s="258">
        <v>3</v>
      </c>
      <c r="F147" s="263">
        <v>899</v>
      </c>
      <c r="G147" s="90">
        <v>863.3</v>
      </c>
      <c r="H147" s="90">
        <v>215.83</v>
      </c>
      <c r="I147" s="359">
        <v>20.399999999999999</v>
      </c>
      <c r="J147" s="379">
        <f>ROUND(G147*(1+'29_01_H_2020'!$O$10),2)</f>
        <v>1082.49</v>
      </c>
      <c r="K147" s="151">
        <f t="shared" si="63"/>
        <v>54.799999999999983</v>
      </c>
      <c r="L147" s="151">
        <f>ROUND(H147*(1+'29_01_H_2020'!$O$10),2)</f>
        <v>270.63</v>
      </c>
      <c r="M147" s="151">
        <f t="shared" si="64"/>
        <v>273.99</v>
      </c>
      <c r="N147" s="151">
        <f t="shared" si="65"/>
        <v>5589.3959999999997</v>
      </c>
      <c r="O147" s="151">
        <f t="shared" si="66"/>
        <v>67072.751999999993</v>
      </c>
      <c r="P147" s="151">
        <f>ROUND(O147*'29_01_H_2020'!$O$17,2)</f>
        <v>15822.46</v>
      </c>
      <c r="Q147" s="380">
        <f t="shared" si="68"/>
        <v>82895.212</v>
      </c>
      <c r="R147" s="152"/>
      <c r="S147" s="328"/>
      <c r="T147" s="328"/>
      <c r="U147" s="328"/>
      <c r="V147" s="328"/>
      <c r="W147" s="328"/>
      <c r="X147" s="328"/>
      <c r="Y147" s="328"/>
      <c r="Z147" s="328"/>
      <c r="AA147" s="328"/>
      <c r="AB147" s="328"/>
      <c r="AC147" s="329"/>
      <c r="AD147" s="152"/>
      <c r="AE147" s="152"/>
      <c r="AF147" s="328"/>
      <c r="AG147" s="328"/>
      <c r="AH147" s="328"/>
      <c r="AI147" s="328"/>
      <c r="AJ147" s="328"/>
      <c r="AK147" s="328"/>
      <c r="AL147" s="328"/>
      <c r="AM147" s="328"/>
      <c r="AN147" s="328"/>
      <c r="AO147" s="328"/>
      <c r="AP147" s="329"/>
      <c r="AQ147" s="152"/>
      <c r="AR147" s="152"/>
      <c r="AS147" s="152"/>
      <c r="AT147" s="152"/>
    </row>
    <row r="148" spans="1:46">
      <c r="A148" s="595" t="s">
        <v>257</v>
      </c>
      <c r="B148" s="7">
        <v>5.2</v>
      </c>
      <c r="C148" s="3" t="s">
        <v>37</v>
      </c>
      <c r="D148" s="258">
        <v>3</v>
      </c>
      <c r="E148" s="258">
        <v>3</v>
      </c>
      <c r="F148" s="263">
        <v>608</v>
      </c>
      <c r="G148" s="90">
        <v>568</v>
      </c>
      <c r="H148" s="90">
        <v>56.800000000000004</v>
      </c>
      <c r="I148" s="359">
        <v>1</v>
      </c>
      <c r="J148" s="379">
        <f>ROUND(G148*(1+'29_01_H_2020'!$O$10),2)</f>
        <v>712.22</v>
      </c>
      <c r="K148" s="151">
        <f t="shared" si="63"/>
        <v>14.419999999999995</v>
      </c>
      <c r="L148" s="151">
        <f>ROUND(H148*(1+'29_01_H_2020'!$O$10),2)</f>
        <v>71.22</v>
      </c>
      <c r="M148" s="151">
        <f t="shared" si="64"/>
        <v>158.6400000000001</v>
      </c>
      <c r="N148" s="151">
        <f t="shared" si="65"/>
        <v>158.6400000000001</v>
      </c>
      <c r="O148" s="151">
        <f t="shared" si="66"/>
        <v>1903.6800000000012</v>
      </c>
      <c r="P148" s="151">
        <f>ROUND(O148*'29_01_H_2020'!$O$17,2)</f>
        <v>449.08</v>
      </c>
      <c r="Q148" s="380">
        <f t="shared" si="68"/>
        <v>2352.7600000000011</v>
      </c>
      <c r="R148" s="152"/>
      <c r="S148" s="328"/>
      <c r="T148" s="328"/>
      <c r="U148" s="328"/>
      <c r="V148" s="328"/>
      <c r="W148" s="328"/>
      <c r="X148" s="328"/>
      <c r="Y148" s="328"/>
      <c r="Z148" s="328"/>
      <c r="AA148" s="328"/>
      <c r="AB148" s="328"/>
      <c r="AC148" s="329"/>
      <c r="AD148" s="152"/>
      <c r="AE148" s="152"/>
      <c r="AF148" s="328"/>
      <c r="AG148" s="328"/>
      <c r="AH148" s="328"/>
      <c r="AI148" s="328"/>
      <c r="AJ148" s="328"/>
      <c r="AK148" s="328"/>
      <c r="AL148" s="328"/>
      <c r="AM148" s="328"/>
      <c r="AN148" s="328"/>
      <c r="AO148" s="328"/>
      <c r="AP148" s="329"/>
      <c r="AQ148" s="152"/>
      <c r="AR148" s="152"/>
      <c r="AS148" s="152"/>
      <c r="AT148" s="152"/>
    </row>
    <row r="149" spans="1:46">
      <c r="A149" s="595" t="s">
        <v>269</v>
      </c>
      <c r="B149" s="7">
        <v>5.0999999999999996</v>
      </c>
      <c r="C149" s="3" t="s">
        <v>37</v>
      </c>
      <c r="D149" s="258">
        <v>8</v>
      </c>
      <c r="E149" s="258">
        <v>3</v>
      </c>
      <c r="F149" s="263">
        <v>1093</v>
      </c>
      <c r="G149" s="90">
        <v>1049.4000000000001</v>
      </c>
      <c r="H149" s="90">
        <v>104.94000000000001</v>
      </c>
      <c r="I149" s="359">
        <v>4</v>
      </c>
      <c r="J149" s="379">
        <f>ROUND(G149*(1+'29_01_H_2020'!$O$10),2)</f>
        <v>1315.84</v>
      </c>
      <c r="K149" s="151">
        <f t="shared" si="63"/>
        <v>26.64</v>
      </c>
      <c r="L149" s="151">
        <f>ROUND(H149*(1+'29_01_H_2020'!$O$10),2)</f>
        <v>131.58000000000001</v>
      </c>
      <c r="M149" s="151">
        <f t="shared" si="64"/>
        <v>293.0799999999997</v>
      </c>
      <c r="N149" s="151">
        <f t="shared" si="65"/>
        <v>1172.3199999999988</v>
      </c>
      <c r="O149" s="151">
        <f t="shared" si="66"/>
        <v>14067.839999999986</v>
      </c>
      <c r="P149" s="151">
        <f>ROUND(O149*'29_01_H_2020'!$O$17,2)</f>
        <v>3318.6</v>
      </c>
      <c r="Q149" s="380">
        <f t="shared" si="68"/>
        <v>17386.439999999984</v>
      </c>
      <c r="R149" s="152"/>
      <c r="S149" s="328"/>
      <c r="T149" s="328"/>
      <c r="U149" s="328"/>
      <c r="V149" s="328"/>
      <c r="W149" s="328"/>
      <c r="X149" s="328"/>
      <c r="Y149" s="328"/>
      <c r="Z149" s="328"/>
      <c r="AA149" s="328"/>
      <c r="AB149" s="328"/>
      <c r="AC149" s="329"/>
      <c r="AD149" s="152"/>
      <c r="AE149" s="152"/>
      <c r="AF149" s="328"/>
      <c r="AG149" s="328"/>
      <c r="AH149" s="328"/>
      <c r="AI149" s="328"/>
      <c r="AJ149" s="328"/>
      <c r="AK149" s="328"/>
      <c r="AL149" s="328"/>
      <c r="AM149" s="328"/>
      <c r="AN149" s="328"/>
      <c r="AO149" s="328"/>
      <c r="AP149" s="329"/>
      <c r="AQ149" s="152"/>
      <c r="AR149" s="152"/>
      <c r="AS149" s="152"/>
      <c r="AT149" s="152"/>
    </row>
    <row r="150" spans="1:46">
      <c r="A150" s="11" t="s">
        <v>55</v>
      </c>
      <c r="B150" s="8" t="s">
        <v>52</v>
      </c>
      <c r="C150" s="9" t="s">
        <v>52</v>
      </c>
      <c r="D150" s="9" t="s">
        <v>52</v>
      </c>
      <c r="E150" s="9" t="s">
        <v>52</v>
      </c>
      <c r="F150" s="10" t="s">
        <v>52</v>
      </c>
      <c r="G150" s="10" t="s">
        <v>52</v>
      </c>
      <c r="H150" s="10" t="s">
        <v>52</v>
      </c>
      <c r="I150" s="360">
        <f>SUM(I143:I149)</f>
        <v>46.65</v>
      </c>
      <c r="J150" s="404"/>
      <c r="K150" s="405"/>
      <c r="L150" s="405"/>
      <c r="M150" s="405"/>
      <c r="N150" s="405"/>
      <c r="O150" s="405"/>
      <c r="P150" s="405"/>
      <c r="Q150" s="406"/>
      <c r="R150" s="152"/>
      <c r="S150" s="152"/>
      <c r="T150" s="152"/>
      <c r="U150" s="152"/>
      <c r="V150" s="152"/>
      <c r="W150" s="152"/>
      <c r="X150" s="152"/>
      <c r="Y150" s="152"/>
      <c r="Z150" s="152"/>
      <c r="AA150" s="152"/>
      <c r="AB150" s="152"/>
      <c r="AC150" s="152"/>
      <c r="AD150" s="152"/>
      <c r="AE150" s="152"/>
      <c r="AF150" s="152"/>
      <c r="AG150" s="152"/>
      <c r="AH150" s="152"/>
      <c r="AI150" s="152"/>
      <c r="AJ150" s="152"/>
      <c r="AK150" s="152"/>
      <c r="AL150" s="152"/>
      <c r="AM150" s="152"/>
      <c r="AN150" s="152"/>
      <c r="AO150" s="152"/>
      <c r="AP150" s="152"/>
      <c r="AQ150" s="152"/>
      <c r="AR150" s="152"/>
      <c r="AS150" s="152"/>
      <c r="AT150" s="152"/>
    </row>
    <row r="151" spans="1:46">
      <c r="A151" s="137" t="s">
        <v>275</v>
      </c>
      <c r="B151" s="135" t="s">
        <v>52</v>
      </c>
      <c r="C151" s="135" t="s">
        <v>52</v>
      </c>
      <c r="D151" s="135" t="s">
        <v>52</v>
      </c>
      <c r="E151" s="135" t="s">
        <v>52</v>
      </c>
      <c r="F151" s="135" t="s">
        <v>52</v>
      </c>
      <c r="G151" s="135" t="s">
        <v>52</v>
      </c>
      <c r="H151" s="135" t="s">
        <v>52</v>
      </c>
      <c r="I151" s="362">
        <f>I141+I150</f>
        <v>56.45</v>
      </c>
      <c r="J151" s="407"/>
      <c r="K151" s="408"/>
      <c r="L151" s="408"/>
      <c r="M151" s="408"/>
      <c r="N151" s="408"/>
      <c r="O151" s="408"/>
      <c r="P151" s="408"/>
      <c r="Q151" s="416"/>
      <c r="R151" s="152"/>
      <c r="S151" s="152"/>
      <c r="T151" s="152"/>
      <c r="U151" s="152"/>
      <c r="V151" s="152"/>
      <c r="W151" s="152"/>
      <c r="X151" s="152"/>
      <c r="Y151" s="152"/>
      <c r="Z151" s="152"/>
      <c r="AA151" s="152"/>
      <c r="AB151" s="152"/>
      <c r="AC151" s="152"/>
      <c r="AD151" s="152"/>
      <c r="AE151" s="152"/>
      <c r="AF151" s="152"/>
      <c r="AG151" s="152"/>
      <c r="AH151" s="152"/>
      <c r="AI151" s="152"/>
      <c r="AJ151" s="152"/>
      <c r="AK151" s="152"/>
      <c r="AL151" s="152"/>
      <c r="AM151" s="152"/>
      <c r="AN151" s="152"/>
      <c r="AO151" s="152"/>
      <c r="AP151" s="152"/>
      <c r="AQ151" s="152"/>
      <c r="AR151" s="152"/>
      <c r="AS151" s="152"/>
      <c r="AT151" s="152"/>
    </row>
    <row r="152" spans="1:46">
      <c r="A152" s="1095" t="s">
        <v>276</v>
      </c>
      <c r="B152" s="1096"/>
      <c r="C152" s="1096"/>
      <c r="D152" s="1096"/>
      <c r="E152" s="1096"/>
      <c r="F152" s="1096"/>
      <c r="G152" s="1096"/>
      <c r="H152" s="1096"/>
      <c r="I152" s="1097"/>
      <c r="J152" s="165"/>
      <c r="K152" s="176"/>
      <c r="L152" s="176"/>
      <c r="M152" s="176"/>
      <c r="N152" s="176"/>
      <c r="O152" s="176"/>
      <c r="P152" s="176"/>
      <c r="Q152" s="166"/>
      <c r="R152" s="152"/>
      <c r="S152" s="152"/>
      <c r="T152" s="152"/>
      <c r="U152" s="152"/>
      <c r="V152" s="152"/>
      <c r="W152" s="152"/>
      <c r="X152" s="152"/>
      <c r="Y152" s="152"/>
      <c r="Z152" s="152"/>
      <c r="AA152" s="152"/>
      <c r="AB152" s="152"/>
      <c r="AC152" s="152"/>
      <c r="AD152" s="152"/>
      <c r="AE152" s="152"/>
      <c r="AF152" s="152"/>
      <c r="AG152" s="152"/>
      <c r="AH152" s="152"/>
      <c r="AI152" s="152"/>
      <c r="AJ152" s="152"/>
      <c r="AK152" s="152"/>
      <c r="AL152" s="152"/>
      <c r="AM152" s="152"/>
      <c r="AN152" s="152"/>
      <c r="AO152" s="152"/>
      <c r="AP152" s="152"/>
      <c r="AQ152" s="152"/>
      <c r="AR152" s="152"/>
      <c r="AS152" s="152"/>
      <c r="AT152" s="152"/>
    </row>
    <row r="153" spans="1:46">
      <c r="A153" s="1098" t="s">
        <v>11</v>
      </c>
      <c r="B153" s="1099"/>
      <c r="C153" s="1099"/>
      <c r="D153" s="1099"/>
      <c r="E153" s="1099"/>
      <c r="F153" s="1099"/>
      <c r="G153" s="1099"/>
      <c r="H153" s="1099"/>
      <c r="I153" s="1100"/>
      <c r="J153" s="385"/>
      <c r="K153" s="383"/>
      <c r="L153" s="383"/>
      <c r="M153" s="383"/>
      <c r="N153" s="383"/>
      <c r="O153" s="383"/>
      <c r="P153" s="383"/>
      <c r="Q153" s="386"/>
      <c r="R153" s="152"/>
      <c r="S153" s="152"/>
      <c r="T153" s="152"/>
      <c r="U153" s="152"/>
      <c r="V153" s="152"/>
      <c r="W153" s="152"/>
      <c r="X153" s="152"/>
      <c r="Y153" s="152"/>
      <c r="Z153" s="152"/>
      <c r="AA153" s="152"/>
      <c r="AB153" s="152"/>
      <c r="AC153" s="152"/>
      <c r="AD153" s="152"/>
      <c r="AE153" s="152"/>
      <c r="AF153" s="152"/>
      <c r="AG153" s="152"/>
      <c r="AH153" s="152"/>
      <c r="AI153" s="152"/>
      <c r="AJ153" s="152"/>
      <c r="AK153" s="152"/>
      <c r="AL153" s="152"/>
      <c r="AM153" s="152"/>
      <c r="AN153" s="152"/>
      <c r="AO153" s="152"/>
      <c r="AP153" s="152"/>
      <c r="AQ153" s="152"/>
      <c r="AR153" s="152"/>
      <c r="AS153" s="152"/>
      <c r="AT153" s="152"/>
    </row>
    <row r="154" spans="1:46">
      <c r="A154" s="113" t="s">
        <v>547</v>
      </c>
      <c r="B154" s="114" t="s">
        <v>118</v>
      </c>
      <c r="C154" s="3" t="s">
        <v>26</v>
      </c>
      <c r="D154" s="258">
        <v>10</v>
      </c>
      <c r="E154" s="258">
        <v>3</v>
      </c>
      <c r="F154" s="263">
        <v>1287</v>
      </c>
      <c r="G154" s="115">
        <v>1287</v>
      </c>
      <c r="H154" s="90">
        <v>128.69999999999999</v>
      </c>
      <c r="I154" s="364">
        <v>5.5</v>
      </c>
      <c r="J154" s="379">
        <f>ROUND(G154*(1+'29_01_H_2020'!$O$14),2)</f>
        <v>1613.77</v>
      </c>
      <c r="K154" s="151">
        <f t="shared" ref="K154:K166" si="69">L154-H154</f>
        <v>32.680000000000007</v>
      </c>
      <c r="L154" s="151">
        <f>ROUND(H154*(1+'29_01_H_2020'!$O$14),2)</f>
        <v>161.38</v>
      </c>
      <c r="M154" s="151">
        <f t="shared" ref="M154:M166" si="70">(J154+L154)-(G154+H154)</f>
        <v>359.45000000000005</v>
      </c>
      <c r="N154" s="151">
        <f t="shared" ref="N154:N166" si="71">M154*I154</f>
        <v>1976.9750000000004</v>
      </c>
      <c r="O154" s="151">
        <f t="shared" ref="O154:O166" si="72">N154*12</f>
        <v>23723.700000000004</v>
      </c>
      <c r="P154" s="151">
        <f>ROUND(O154*'29_01_H_2020'!$O$17,2)</f>
        <v>5596.42</v>
      </c>
      <c r="Q154" s="380">
        <f t="shared" ref="Q154" si="73">SUM(O154:P154)</f>
        <v>29320.120000000003</v>
      </c>
      <c r="R154" s="152"/>
      <c r="S154" s="328"/>
      <c r="T154" s="328"/>
      <c r="U154" s="328"/>
      <c r="V154" s="328"/>
      <c r="W154" s="328"/>
      <c r="X154" s="328"/>
      <c r="Y154" s="328"/>
      <c r="Z154" s="328"/>
      <c r="AA154" s="328"/>
      <c r="AB154" s="328"/>
      <c r="AC154" s="329"/>
      <c r="AD154" s="152"/>
      <c r="AE154" s="152"/>
      <c r="AF154" s="328"/>
      <c r="AG154" s="328"/>
      <c r="AH154" s="328"/>
      <c r="AI154" s="328"/>
      <c r="AJ154" s="328"/>
      <c r="AK154" s="328"/>
      <c r="AL154" s="328"/>
      <c r="AM154" s="328"/>
      <c r="AN154" s="328"/>
      <c r="AO154" s="328"/>
      <c r="AP154" s="329"/>
      <c r="AQ154" s="152"/>
      <c r="AR154" s="152"/>
      <c r="AS154" s="152"/>
      <c r="AT154" s="152"/>
    </row>
    <row r="155" spans="1:46">
      <c r="A155" s="117" t="s">
        <v>548</v>
      </c>
      <c r="B155" s="118" t="s">
        <v>118</v>
      </c>
      <c r="C155" s="3" t="s">
        <v>26</v>
      </c>
      <c r="D155" s="258">
        <v>10</v>
      </c>
      <c r="E155" s="258">
        <v>3</v>
      </c>
      <c r="F155" s="263">
        <v>1287</v>
      </c>
      <c r="G155" s="115">
        <v>1287</v>
      </c>
      <c r="H155" s="90">
        <v>128.69999999999999</v>
      </c>
      <c r="I155" s="364">
        <v>2.5</v>
      </c>
      <c r="J155" s="379">
        <f>ROUND(G155*(1+'29_01_H_2020'!$O$14),2)</f>
        <v>1613.77</v>
      </c>
      <c r="K155" s="151">
        <f t="shared" si="69"/>
        <v>32.680000000000007</v>
      </c>
      <c r="L155" s="151">
        <f>ROUND(H155*(1+'29_01_H_2020'!$O$14),2)</f>
        <v>161.38</v>
      </c>
      <c r="M155" s="151">
        <f t="shared" si="70"/>
        <v>359.45000000000005</v>
      </c>
      <c r="N155" s="151">
        <f t="shared" si="71"/>
        <v>898.62500000000011</v>
      </c>
      <c r="O155" s="151">
        <f t="shared" si="72"/>
        <v>10783.500000000002</v>
      </c>
      <c r="P155" s="151">
        <f>ROUND(O155*'29_01_H_2020'!$O$17,2)</f>
        <v>2543.83</v>
      </c>
      <c r="Q155" s="380">
        <f t="shared" ref="Q155:Q166" si="74">SUM(O155:P155)</f>
        <v>13327.330000000002</v>
      </c>
      <c r="R155" s="152"/>
      <c r="S155" s="328"/>
      <c r="T155" s="328"/>
      <c r="U155" s="328"/>
      <c r="V155" s="328"/>
      <c r="W155" s="328"/>
      <c r="X155" s="328"/>
      <c r="Y155" s="328"/>
      <c r="Z155" s="328"/>
      <c r="AA155" s="328"/>
      <c r="AB155" s="328"/>
      <c r="AC155" s="329"/>
      <c r="AD155" s="152"/>
      <c r="AE155" s="152"/>
      <c r="AF155" s="328"/>
      <c r="AG155" s="328"/>
      <c r="AH155" s="328"/>
      <c r="AI155" s="328"/>
      <c r="AJ155" s="328"/>
      <c r="AK155" s="328"/>
      <c r="AL155" s="328"/>
      <c r="AM155" s="328"/>
      <c r="AN155" s="328"/>
      <c r="AO155" s="328"/>
      <c r="AP155" s="329"/>
      <c r="AQ155" s="152"/>
      <c r="AR155" s="152"/>
      <c r="AS155" s="152"/>
      <c r="AT155" s="152"/>
    </row>
    <row r="156" spans="1:46">
      <c r="A156" s="117" t="s">
        <v>549</v>
      </c>
      <c r="B156" s="118" t="s">
        <v>118</v>
      </c>
      <c r="C156" s="3" t="s">
        <v>26</v>
      </c>
      <c r="D156" s="258">
        <v>10</v>
      </c>
      <c r="E156" s="258">
        <v>3</v>
      </c>
      <c r="F156" s="263">
        <v>1287</v>
      </c>
      <c r="G156" s="115">
        <v>1287</v>
      </c>
      <c r="H156" s="90">
        <v>128.69999999999999</v>
      </c>
      <c r="I156" s="364">
        <v>0.75</v>
      </c>
      <c r="J156" s="379">
        <f>ROUND(G156*(1+'29_01_H_2020'!$O$14),2)</f>
        <v>1613.77</v>
      </c>
      <c r="K156" s="151">
        <f t="shared" si="69"/>
        <v>32.680000000000007</v>
      </c>
      <c r="L156" s="151">
        <f>ROUND(H156*(1+'29_01_H_2020'!$O$14),2)</f>
        <v>161.38</v>
      </c>
      <c r="M156" s="151">
        <f t="shared" si="70"/>
        <v>359.45000000000005</v>
      </c>
      <c r="N156" s="151">
        <f t="shared" si="71"/>
        <v>269.58750000000003</v>
      </c>
      <c r="O156" s="151">
        <f t="shared" si="72"/>
        <v>3235.05</v>
      </c>
      <c r="P156" s="151">
        <f>ROUND(O156*'29_01_H_2020'!$O$17,2)</f>
        <v>763.15</v>
      </c>
      <c r="Q156" s="380">
        <f t="shared" si="74"/>
        <v>3998.2000000000003</v>
      </c>
      <c r="R156" s="152"/>
      <c r="S156" s="328"/>
      <c r="T156" s="328"/>
      <c r="U156" s="328"/>
      <c r="V156" s="328"/>
      <c r="W156" s="328"/>
      <c r="X156" s="328"/>
      <c r="Y156" s="328"/>
      <c r="Z156" s="328"/>
      <c r="AA156" s="328"/>
      <c r="AB156" s="328"/>
      <c r="AC156" s="329"/>
      <c r="AD156" s="152"/>
      <c r="AE156" s="152"/>
      <c r="AF156" s="328"/>
      <c r="AG156" s="328"/>
      <c r="AH156" s="328"/>
      <c r="AI156" s="328"/>
      <c r="AJ156" s="328"/>
      <c r="AK156" s="328"/>
      <c r="AL156" s="328"/>
      <c r="AM156" s="328"/>
      <c r="AN156" s="328"/>
      <c r="AO156" s="328"/>
      <c r="AP156" s="329"/>
      <c r="AQ156" s="152"/>
      <c r="AR156" s="152"/>
      <c r="AS156" s="152"/>
      <c r="AT156" s="152"/>
    </row>
    <row r="157" spans="1:46">
      <c r="A157" s="117" t="s">
        <v>550</v>
      </c>
      <c r="B157" s="118" t="s">
        <v>118</v>
      </c>
      <c r="C157" s="3" t="s">
        <v>26</v>
      </c>
      <c r="D157" s="258">
        <v>10</v>
      </c>
      <c r="E157" s="258">
        <v>3</v>
      </c>
      <c r="F157" s="263">
        <v>1287</v>
      </c>
      <c r="G157" s="115">
        <v>1287</v>
      </c>
      <c r="H157" s="90">
        <v>128.69999999999999</v>
      </c>
      <c r="I157" s="364">
        <v>1.75</v>
      </c>
      <c r="J157" s="379">
        <f>ROUND(G157*(1+'29_01_H_2020'!$O$14),2)</f>
        <v>1613.77</v>
      </c>
      <c r="K157" s="151">
        <f t="shared" si="69"/>
        <v>32.680000000000007</v>
      </c>
      <c r="L157" s="151">
        <f>ROUND(H157*(1+'29_01_H_2020'!$O$14),2)</f>
        <v>161.38</v>
      </c>
      <c r="M157" s="151">
        <f t="shared" si="70"/>
        <v>359.45000000000005</v>
      </c>
      <c r="N157" s="151">
        <f t="shared" si="71"/>
        <v>629.03750000000014</v>
      </c>
      <c r="O157" s="151">
        <f t="shared" si="72"/>
        <v>7548.4500000000016</v>
      </c>
      <c r="P157" s="151">
        <f>ROUND(O157*'29_01_H_2020'!$O$17,2)</f>
        <v>1780.68</v>
      </c>
      <c r="Q157" s="380">
        <f t="shared" si="74"/>
        <v>9329.130000000001</v>
      </c>
      <c r="R157" s="152"/>
      <c r="S157" s="328"/>
      <c r="T157" s="328"/>
      <c r="U157" s="328"/>
      <c r="V157" s="328"/>
      <c r="W157" s="328"/>
      <c r="X157" s="328"/>
      <c r="Y157" s="328"/>
      <c r="Z157" s="328"/>
      <c r="AA157" s="328"/>
      <c r="AB157" s="328"/>
      <c r="AC157" s="329"/>
      <c r="AD157" s="152"/>
      <c r="AE157" s="152"/>
      <c r="AF157" s="328"/>
      <c r="AG157" s="328"/>
      <c r="AH157" s="328"/>
      <c r="AI157" s="328"/>
      <c r="AJ157" s="328"/>
      <c r="AK157" s="328"/>
      <c r="AL157" s="328"/>
      <c r="AM157" s="328"/>
      <c r="AN157" s="328"/>
      <c r="AO157" s="328"/>
      <c r="AP157" s="329"/>
      <c r="AQ157" s="152"/>
      <c r="AR157" s="152"/>
      <c r="AS157" s="152"/>
      <c r="AT157" s="152"/>
    </row>
    <row r="158" spans="1:46">
      <c r="A158" s="117" t="s">
        <v>176</v>
      </c>
      <c r="B158" s="118">
        <v>5.0999999999999996</v>
      </c>
      <c r="C158" s="3" t="s">
        <v>26</v>
      </c>
      <c r="D158" s="258">
        <v>10</v>
      </c>
      <c r="E158" s="258">
        <v>3</v>
      </c>
      <c r="F158" s="263">
        <v>1287</v>
      </c>
      <c r="G158" s="115">
        <v>1287</v>
      </c>
      <c r="H158" s="90">
        <v>128.69999999999999</v>
      </c>
      <c r="I158" s="364">
        <v>0.25</v>
      </c>
      <c r="J158" s="379">
        <f>ROUND(G158*(1+'29_01_H_2020'!$O$14),2)</f>
        <v>1613.77</v>
      </c>
      <c r="K158" s="151">
        <f t="shared" si="69"/>
        <v>32.680000000000007</v>
      </c>
      <c r="L158" s="151">
        <f>ROUND(H158*(1+'29_01_H_2020'!$O$14),2)</f>
        <v>161.38</v>
      </c>
      <c r="M158" s="151">
        <f t="shared" si="70"/>
        <v>359.45000000000005</v>
      </c>
      <c r="N158" s="151">
        <f t="shared" si="71"/>
        <v>89.862500000000011</v>
      </c>
      <c r="O158" s="151">
        <f t="shared" si="72"/>
        <v>1078.3500000000001</v>
      </c>
      <c r="P158" s="151">
        <f>ROUND(O158*'29_01_H_2020'!$O$17,2)</f>
        <v>254.38</v>
      </c>
      <c r="Q158" s="380">
        <f t="shared" si="74"/>
        <v>1332.73</v>
      </c>
      <c r="R158" s="152"/>
      <c r="S158" s="328"/>
      <c r="T158" s="328"/>
      <c r="U158" s="328"/>
      <c r="V158" s="328"/>
      <c r="W158" s="328"/>
      <c r="X158" s="328"/>
      <c r="Y158" s="328"/>
      <c r="Z158" s="328"/>
      <c r="AA158" s="328"/>
      <c r="AB158" s="328"/>
      <c r="AC158" s="329"/>
      <c r="AD158" s="152"/>
      <c r="AE158" s="152"/>
      <c r="AF158" s="328"/>
      <c r="AG158" s="328"/>
      <c r="AH158" s="328"/>
      <c r="AI158" s="328"/>
      <c r="AJ158" s="328"/>
      <c r="AK158" s="328"/>
      <c r="AL158" s="328"/>
      <c r="AM158" s="328"/>
      <c r="AN158" s="328"/>
      <c r="AO158" s="328"/>
      <c r="AP158" s="329"/>
      <c r="AQ158" s="152"/>
      <c r="AR158" s="152"/>
      <c r="AS158" s="152"/>
      <c r="AT158" s="152"/>
    </row>
    <row r="159" spans="1:46">
      <c r="A159" s="117" t="s">
        <v>551</v>
      </c>
      <c r="B159" s="118" t="s">
        <v>118</v>
      </c>
      <c r="C159" s="3" t="s">
        <v>251</v>
      </c>
      <c r="D159" s="258">
        <v>9</v>
      </c>
      <c r="E159" s="258">
        <v>3</v>
      </c>
      <c r="F159" s="263">
        <v>1190</v>
      </c>
      <c r="G159" s="115">
        <v>1133</v>
      </c>
      <c r="H159" s="90">
        <v>113.3</v>
      </c>
      <c r="I159" s="364">
        <v>11.5</v>
      </c>
      <c r="J159" s="379">
        <f>ROUND(G159*(1+'29_01_H_2020'!$O$14),2)</f>
        <v>1420.67</v>
      </c>
      <c r="K159" s="151">
        <f t="shared" si="69"/>
        <v>28.769999999999996</v>
      </c>
      <c r="L159" s="151">
        <f>ROUND(H159*(1+'29_01_H_2020'!$O$14),2)</f>
        <v>142.07</v>
      </c>
      <c r="M159" s="151">
        <f t="shared" si="70"/>
        <v>316.44000000000005</v>
      </c>
      <c r="N159" s="151">
        <f t="shared" si="71"/>
        <v>3639.0600000000004</v>
      </c>
      <c r="O159" s="151">
        <f t="shared" si="72"/>
        <v>43668.72</v>
      </c>
      <c r="P159" s="151">
        <f>ROUND(O159*'29_01_H_2020'!$O$17,2)</f>
        <v>10301.450000000001</v>
      </c>
      <c r="Q159" s="380">
        <f t="shared" si="74"/>
        <v>53970.17</v>
      </c>
      <c r="R159" s="152"/>
      <c r="S159" s="328"/>
      <c r="T159" s="328"/>
      <c r="U159" s="328"/>
      <c r="V159" s="328"/>
      <c r="W159" s="328"/>
      <c r="X159" s="328"/>
      <c r="Y159" s="328"/>
      <c r="Z159" s="328"/>
      <c r="AA159" s="328"/>
      <c r="AB159" s="328"/>
      <c r="AC159" s="329"/>
      <c r="AD159" s="152"/>
      <c r="AE159" s="152"/>
      <c r="AF159" s="328"/>
      <c r="AG159" s="328"/>
      <c r="AH159" s="328"/>
      <c r="AI159" s="328"/>
      <c r="AJ159" s="328"/>
      <c r="AK159" s="328"/>
      <c r="AL159" s="328"/>
      <c r="AM159" s="328"/>
      <c r="AN159" s="328"/>
      <c r="AO159" s="328"/>
      <c r="AP159" s="329"/>
      <c r="AQ159" s="152"/>
      <c r="AR159" s="152"/>
      <c r="AS159" s="152"/>
      <c r="AT159" s="152"/>
    </row>
    <row r="160" spans="1:46">
      <c r="A160" s="138" t="s">
        <v>551</v>
      </c>
      <c r="B160" s="118" t="s">
        <v>118</v>
      </c>
      <c r="C160" s="3" t="s">
        <v>251</v>
      </c>
      <c r="D160" s="258">
        <v>9</v>
      </c>
      <c r="E160" s="258">
        <v>1</v>
      </c>
      <c r="F160" s="263">
        <v>835</v>
      </c>
      <c r="G160" s="115">
        <v>835</v>
      </c>
      <c r="H160" s="90">
        <v>83.5</v>
      </c>
      <c r="I160" s="364">
        <v>0.5</v>
      </c>
      <c r="J160" s="379">
        <f>ROUND(G160*(1+'29_01_H_2020'!$O$14),2)</f>
        <v>1047.01</v>
      </c>
      <c r="K160" s="151">
        <f t="shared" si="69"/>
        <v>21.200000000000003</v>
      </c>
      <c r="L160" s="151">
        <f>ROUND(H160*(1+'29_01_H_2020'!$O$14),2)</f>
        <v>104.7</v>
      </c>
      <c r="M160" s="151">
        <f t="shared" si="70"/>
        <v>233.21000000000004</v>
      </c>
      <c r="N160" s="151">
        <f t="shared" si="71"/>
        <v>116.60500000000002</v>
      </c>
      <c r="O160" s="151">
        <f t="shared" si="72"/>
        <v>1399.2600000000002</v>
      </c>
      <c r="P160" s="151">
        <f>ROUND(O160*'29_01_H_2020'!$O$17,2)</f>
        <v>330.09</v>
      </c>
      <c r="Q160" s="380">
        <f t="shared" si="74"/>
        <v>1729.3500000000001</v>
      </c>
      <c r="R160" s="152"/>
      <c r="S160" s="328"/>
      <c r="T160" s="328"/>
      <c r="U160" s="328"/>
      <c r="V160" s="328"/>
      <c r="W160" s="328"/>
      <c r="X160" s="328"/>
      <c r="Y160" s="328"/>
      <c r="Z160" s="328"/>
      <c r="AA160" s="328"/>
      <c r="AB160" s="328"/>
      <c r="AC160" s="329"/>
      <c r="AD160" s="152"/>
      <c r="AE160" s="152"/>
      <c r="AF160" s="328"/>
      <c r="AG160" s="328"/>
      <c r="AH160" s="328"/>
      <c r="AI160" s="328"/>
      <c r="AJ160" s="328"/>
      <c r="AK160" s="328"/>
      <c r="AL160" s="328"/>
      <c r="AM160" s="328"/>
      <c r="AN160" s="328"/>
      <c r="AO160" s="328"/>
      <c r="AP160" s="329"/>
      <c r="AQ160" s="152"/>
      <c r="AR160" s="152"/>
      <c r="AS160" s="152"/>
      <c r="AT160" s="152"/>
    </row>
    <row r="161" spans="1:46">
      <c r="A161" s="138" t="s">
        <v>552</v>
      </c>
      <c r="B161" s="118" t="s">
        <v>146</v>
      </c>
      <c r="C161" s="3" t="s">
        <v>26</v>
      </c>
      <c r="D161" s="258">
        <v>7</v>
      </c>
      <c r="E161" s="258">
        <v>3</v>
      </c>
      <c r="F161" s="263">
        <v>996</v>
      </c>
      <c r="G161" s="115">
        <v>957.00000000000011</v>
      </c>
      <c r="H161" s="90">
        <v>95.7</v>
      </c>
      <c r="I161" s="364">
        <v>2</v>
      </c>
      <c r="J161" s="379">
        <f>ROUND(G161*(1+'29_01_H_2020'!$O$14),2)</f>
        <v>1199.98</v>
      </c>
      <c r="K161" s="151">
        <f t="shared" si="69"/>
        <v>24.299999999999997</v>
      </c>
      <c r="L161" s="151">
        <f>ROUND(H161*(1+'29_01_H_2020'!$O$14),2)</f>
        <v>120</v>
      </c>
      <c r="M161" s="151">
        <f t="shared" si="70"/>
        <v>267.27999999999997</v>
      </c>
      <c r="N161" s="151">
        <f t="shared" si="71"/>
        <v>534.55999999999995</v>
      </c>
      <c r="O161" s="151">
        <f t="shared" si="72"/>
        <v>6414.7199999999993</v>
      </c>
      <c r="P161" s="151">
        <f>ROUND(O161*'29_01_H_2020'!$O$17,2)</f>
        <v>1513.23</v>
      </c>
      <c r="Q161" s="380">
        <f t="shared" si="74"/>
        <v>7927.9499999999989</v>
      </c>
      <c r="R161" s="152"/>
      <c r="S161" s="328"/>
      <c r="T161" s="328"/>
      <c r="U161" s="328"/>
      <c r="V161" s="328"/>
      <c r="W161" s="328"/>
      <c r="X161" s="328"/>
      <c r="Y161" s="328"/>
      <c r="Z161" s="328"/>
      <c r="AA161" s="328"/>
      <c r="AB161" s="328"/>
      <c r="AC161" s="329"/>
      <c r="AD161" s="152"/>
      <c r="AE161" s="152"/>
      <c r="AF161" s="328"/>
      <c r="AG161" s="328"/>
      <c r="AH161" s="328"/>
      <c r="AI161" s="328"/>
      <c r="AJ161" s="328"/>
      <c r="AK161" s="328"/>
      <c r="AL161" s="328"/>
      <c r="AM161" s="328"/>
      <c r="AN161" s="328"/>
      <c r="AO161" s="328"/>
      <c r="AP161" s="329"/>
      <c r="AQ161" s="152"/>
      <c r="AR161" s="152"/>
      <c r="AS161" s="152"/>
      <c r="AT161" s="152"/>
    </row>
    <row r="162" spans="1:46">
      <c r="A162" s="119" t="s">
        <v>552</v>
      </c>
      <c r="B162" s="118" t="s">
        <v>146</v>
      </c>
      <c r="C162" s="3" t="s">
        <v>26</v>
      </c>
      <c r="D162" s="258">
        <v>7</v>
      </c>
      <c r="E162" s="258">
        <v>2</v>
      </c>
      <c r="F162" s="263">
        <v>835</v>
      </c>
      <c r="G162" s="115">
        <v>835</v>
      </c>
      <c r="H162" s="90">
        <v>83.5</v>
      </c>
      <c r="I162" s="364">
        <v>1</v>
      </c>
      <c r="J162" s="379">
        <f>ROUND(G162*(1+'29_01_H_2020'!$O$14),2)</f>
        <v>1047.01</v>
      </c>
      <c r="K162" s="151">
        <f t="shared" si="69"/>
        <v>21.200000000000003</v>
      </c>
      <c r="L162" s="151">
        <f>ROUND(H162*(1+'29_01_H_2020'!$O$14),2)</f>
        <v>104.7</v>
      </c>
      <c r="M162" s="151">
        <f t="shared" si="70"/>
        <v>233.21000000000004</v>
      </c>
      <c r="N162" s="151">
        <f t="shared" si="71"/>
        <v>233.21000000000004</v>
      </c>
      <c r="O162" s="151">
        <f t="shared" si="72"/>
        <v>2798.5200000000004</v>
      </c>
      <c r="P162" s="151">
        <f>ROUND(O162*'29_01_H_2020'!$O$17,2)</f>
        <v>660.17</v>
      </c>
      <c r="Q162" s="380">
        <f t="shared" si="74"/>
        <v>3458.6900000000005</v>
      </c>
      <c r="R162" s="152"/>
      <c r="S162" s="328"/>
      <c r="T162" s="328"/>
      <c r="U162" s="328"/>
      <c r="V162" s="328"/>
      <c r="W162" s="328"/>
      <c r="X162" s="328"/>
      <c r="Y162" s="328"/>
      <c r="Z162" s="328"/>
      <c r="AA162" s="328"/>
      <c r="AB162" s="328"/>
      <c r="AC162" s="329"/>
      <c r="AD162" s="152"/>
      <c r="AE162" s="152"/>
      <c r="AF162" s="328"/>
      <c r="AG162" s="328"/>
      <c r="AH162" s="328"/>
      <c r="AI162" s="328"/>
      <c r="AJ162" s="328"/>
      <c r="AK162" s="328"/>
      <c r="AL162" s="328"/>
      <c r="AM162" s="328"/>
      <c r="AN162" s="328"/>
      <c r="AO162" s="328"/>
      <c r="AP162" s="329"/>
      <c r="AQ162" s="152"/>
      <c r="AR162" s="152"/>
      <c r="AS162" s="152"/>
      <c r="AT162" s="152"/>
    </row>
    <row r="163" spans="1:46">
      <c r="A163" s="119" t="s">
        <v>553</v>
      </c>
      <c r="B163" s="118" t="s">
        <v>118</v>
      </c>
      <c r="C163" s="3" t="s">
        <v>251</v>
      </c>
      <c r="D163" s="258">
        <v>9</v>
      </c>
      <c r="E163" s="258">
        <v>3</v>
      </c>
      <c r="F163" s="263">
        <v>1190</v>
      </c>
      <c r="G163" s="115">
        <v>1133</v>
      </c>
      <c r="H163" s="90">
        <v>113.3</v>
      </c>
      <c r="I163" s="364">
        <v>5.25</v>
      </c>
      <c r="J163" s="379">
        <f>ROUND(G163*(1+'29_01_H_2020'!$O$14),2)</f>
        <v>1420.67</v>
      </c>
      <c r="K163" s="151">
        <f t="shared" si="69"/>
        <v>28.769999999999996</v>
      </c>
      <c r="L163" s="151">
        <f>ROUND(H163*(1+'29_01_H_2020'!$O$14),2)</f>
        <v>142.07</v>
      </c>
      <c r="M163" s="151">
        <f t="shared" si="70"/>
        <v>316.44000000000005</v>
      </c>
      <c r="N163" s="151">
        <f t="shared" si="71"/>
        <v>1661.3100000000004</v>
      </c>
      <c r="O163" s="151">
        <f t="shared" si="72"/>
        <v>19935.720000000005</v>
      </c>
      <c r="P163" s="151">
        <f>ROUND(O163*'29_01_H_2020'!$O$17,2)</f>
        <v>4702.84</v>
      </c>
      <c r="Q163" s="380">
        <f t="shared" si="74"/>
        <v>24638.560000000005</v>
      </c>
      <c r="R163" s="152"/>
      <c r="S163" s="328"/>
      <c r="T163" s="328"/>
      <c r="U163" s="328"/>
      <c r="V163" s="328"/>
      <c r="W163" s="328"/>
      <c r="X163" s="328"/>
      <c r="Y163" s="328"/>
      <c r="Z163" s="328"/>
      <c r="AA163" s="328"/>
      <c r="AB163" s="328"/>
      <c r="AC163" s="329"/>
      <c r="AD163" s="152"/>
      <c r="AE163" s="152"/>
      <c r="AF163" s="328"/>
      <c r="AG163" s="328"/>
      <c r="AH163" s="328"/>
      <c r="AI163" s="328"/>
      <c r="AJ163" s="328"/>
      <c r="AK163" s="328"/>
      <c r="AL163" s="328"/>
      <c r="AM163" s="328"/>
      <c r="AN163" s="328"/>
      <c r="AO163" s="328"/>
      <c r="AP163" s="329"/>
      <c r="AQ163" s="152"/>
      <c r="AR163" s="152"/>
      <c r="AS163" s="152"/>
      <c r="AT163" s="152"/>
    </row>
    <row r="164" spans="1:46" ht="25.5">
      <c r="A164" s="119" t="s">
        <v>554</v>
      </c>
      <c r="B164" s="114" t="s">
        <v>118</v>
      </c>
      <c r="C164" s="3" t="s">
        <v>251</v>
      </c>
      <c r="D164" s="258">
        <v>9</v>
      </c>
      <c r="E164" s="258">
        <v>3</v>
      </c>
      <c r="F164" s="263">
        <v>1190</v>
      </c>
      <c r="G164" s="115">
        <v>1133</v>
      </c>
      <c r="H164" s="90">
        <v>113.3</v>
      </c>
      <c r="I164" s="364">
        <v>2.25</v>
      </c>
      <c r="J164" s="379">
        <f>ROUND(G164*(1+'29_01_H_2020'!$O$14),2)</f>
        <v>1420.67</v>
      </c>
      <c r="K164" s="151">
        <f t="shared" si="69"/>
        <v>28.769999999999996</v>
      </c>
      <c r="L164" s="151">
        <f>ROUND(H164*(1+'29_01_H_2020'!$O$14),2)</f>
        <v>142.07</v>
      </c>
      <c r="M164" s="151">
        <f t="shared" si="70"/>
        <v>316.44000000000005</v>
      </c>
      <c r="N164" s="151">
        <f t="shared" si="71"/>
        <v>711.99000000000012</v>
      </c>
      <c r="O164" s="151">
        <f t="shared" si="72"/>
        <v>8543.880000000001</v>
      </c>
      <c r="P164" s="151">
        <f>ROUND(O164*'29_01_H_2020'!$O$17,2)</f>
        <v>2015.5</v>
      </c>
      <c r="Q164" s="380">
        <f t="shared" si="74"/>
        <v>10559.380000000001</v>
      </c>
      <c r="R164" s="152"/>
      <c r="S164" s="328"/>
      <c r="T164" s="328"/>
      <c r="U164" s="328"/>
      <c r="V164" s="328"/>
      <c r="W164" s="328"/>
      <c r="X164" s="328"/>
      <c r="Y164" s="328"/>
      <c r="Z164" s="328"/>
      <c r="AA164" s="328"/>
      <c r="AB164" s="328"/>
      <c r="AC164" s="329"/>
      <c r="AD164" s="152"/>
      <c r="AE164" s="152"/>
      <c r="AF164" s="328"/>
      <c r="AG164" s="328"/>
      <c r="AH164" s="328"/>
      <c r="AI164" s="328"/>
      <c r="AJ164" s="328"/>
      <c r="AK164" s="328"/>
      <c r="AL164" s="328"/>
      <c r="AM164" s="328"/>
      <c r="AN164" s="328"/>
      <c r="AO164" s="328"/>
      <c r="AP164" s="329"/>
      <c r="AQ164" s="152"/>
      <c r="AR164" s="152"/>
      <c r="AS164" s="152"/>
      <c r="AT164" s="152"/>
    </row>
    <row r="165" spans="1:46" ht="25.5">
      <c r="A165" s="119" t="s">
        <v>555</v>
      </c>
      <c r="B165" s="118" t="s">
        <v>118</v>
      </c>
      <c r="C165" s="3" t="s">
        <v>251</v>
      </c>
      <c r="D165" s="258">
        <v>9</v>
      </c>
      <c r="E165" s="258">
        <v>1</v>
      </c>
      <c r="F165" s="263">
        <v>835</v>
      </c>
      <c r="G165" s="115">
        <v>835</v>
      </c>
      <c r="H165" s="90">
        <v>83.5</v>
      </c>
      <c r="I165" s="364">
        <v>0.5</v>
      </c>
      <c r="J165" s="379">
        <f>ROUND(G165*(1+'29_01_H_2020'!$O$14),2)</f>
        <v>1047.01</v>
      </c>
      <c r="K165" s="151">
        <f t="shared" si="69"/>
        <v>21.200000000000003</v>
      </c>
      <c r="L165" s="151">
        <f>ROUND(H165*(1+'29_01_H_2020'!$O$14),2)</f>
        <v>104.7</v>
      </c>
      <c r="M165" s="151">
        <f t="shared" si="70"/>
        <v>233.21000000000004</v>
      </c>
      <c r="N165" s="151">
        <f t="shared" si="71"/>
        <v>116.60500000000002</v>
      </c>
      <c r="O165" s="151">
        <f t="shared" si="72"/>
        <v>1399.2600000000002</v>
      </c>
      <c r="P165" s="151">
        <f>ROUND(O165*'29_01_H_2020'!$O$17,2)</f>
        <v>330.09</v>
      </c>
      <c r="Q165" s="380">
        <f t="shared" si="74"/>
        <v>1729.3500000000001</v>
      </c>
      <c r="R165" s="152"/>
      <c r="S165" s="328"/>
      <c r="T165" s="328"/>
      <c r="U165" s="328"/>
      <c r="V165" s="328"/>
      <c r="W165" s="328"/>
      <c r="X165" s="328"/>
      <c r="Y165" s="328"/>
      <c r="Z165" s="328"/>
      <c r="AA165" s="328"/>
      <c r="AB165" s="328"/>
      <c r="AC165" s="329"/>
      <c r="AD165" s="152"/>
      <c r="AE165" s="152"/>
      <c r="AF165" s="328"/>
      <c r="AG165" s="328"/>
      <c r="AH165" s="328"/>
      <c r="AI165" s="328"/>
      <c r="AJ165" s="328"/>
      <c r="AK165" s="328"/>
      <c r="AL165" s="328"/>
      <c r="AM165" s="328"/>
      <c r="AN165" s="328"/>
      <c r="AO165" s="328"/>
      <c r="AP165" s="329"/>
      <c r="AQ165" s="152"/>
      <c r="AR165" s="152"/>
      <c r="AS165" s="152"/>
      <c r="AT165" s="152"/>
    </row>
    <row r="166" spans="1:46">
      <c r="A166" s="119" t="s">
        <v>341</v>
      </c>
      <c r="B166" s="118">
        <v>5.0999999999999996</v>
      </c>
      <c r="C166" s="3" t="s">
        <v>251</v>
      </c>
      <c r="D166" s="258">
        <v>9</v>
      </c>
      <c r="E166" s="258">
        <v>3</v>
      </c>
      <c r="F166" s="263">
        <v>1190</v>
      </c>
      <c r="G166" s="115">
        <v>1133</v>
      </c>
      <c r="H166" s="90">
        <v>113.3</v>
      </c>
      <c r="I166" s="364">
        <v>1</v>
      </c>
      <c r="J166" s="379">
        <f>ROUND(G166*(1+'29_01_H_2020'!$O$14),2)</f>
        <v>1420.67</v>
      </c>
      <c r="K166" s="151">
        <f t="shared" si="69"/>
        <v>28.769999999999996</v>
      </c>
      <c r="L166" s="151">
        <f>ROUND(H166*(1+'29_01_H_2020'!$O$14),2)</f>
        <v>142.07</v>
      </c>
      <c r="M166" s="151">
        <f t="shared" si="70"/>
        <v>316.44000000000005</v>
      </c>
      <c r="N166" s="151">
        <f t="shared" si="71"/>
        <v>316.44000000000005</v>
      </c>
      <c r="O166" s="151">
        <f t="shared" si="72"/>
        <v>3797.2800000000007</v>
      </c>
      <c r="P166" s="151">
        <f>ROUND(O166*'29_01_H_2020'!$O$17,2)</f>
        <v>895.78</v>
      </c>
      <c r="Q166" s="380">
        <f t="shared" si="74"/>
        <v>4693.0600000000004</v>
      </c>
      <c r="R166" s="152"/>
      <c r="S166" s="328"/>
      <c r="T166" s="328"/>
      <c r="U166" s="328"/>
      <c r="V166" s="328"/>
      <c r="W166" s="328"/>
      <c r="X166" s="328"/>
      <c r="Y166" s="328"/>
      <c r="Z166" s="328"/>
      <c r="AA166" s="328"/>
      <c r="AB166" s="328"/>
      <c r="AC166" s="329"/>
      <c r="AD166" s="152"/>
      <c r="AE166" s="152"/>
      <c r="AF166" s="328"/>
      <c r="AG166" s="328"/>
      <c r="AH166" s="328"/>
      <c r="AI166" s="328"/>
      <c r="AJ166" s="328"/>
      <c r="AK166" s="328"/>
      <c r="AL166" s="328"/>
      <c r="AM166" s="328"/>
      <c r="AN166" s="328"/>
      <c r="AO166" s="328"/>
      <c r="AP166" s="329"/>
      <c r="AQ166" s="152"/>
      <c r="AR166" s="152"/>
      <c r="AS166" s="152"/>
      <c r="AT166" s="152"/>
    </row>
    <row r="167" spans="1:46">
      <c r="A167" s="11" t="s">
        <v>55</v>
      </c>
      <c r="B167" s="8" t="s">
        <v>52</v>
      </c>
      <c r="C167" s="9" t="s">
        <v>52</v>
      </c>
      <c r="D167" s="9" t="s">
        <v>52</v>
      </c>
      <c r="E167" s="9" t="s">
        <v>52</v>
      </c>
      <c r="F167" s="10" t="s">
        <v>52</v>
      </c>
      <c r="G167" s="10" t="s">
        <v>52</v>
      </c>
      <c r="H167" s="10" t="s">
        <v>52</v>
      </c>
      <c r="I167" s="360">
        <f>SUM(I154:I166)</f>
        <v>34.75</v>
      </c>
      <c r="J167" s="404"/>
      <c r="K167" s="405"/>
      <c r="L167" s="405"/>
      <c r="M167" s="405"/>
      <c r="N167" s="405"/>
      <c r="O167" s="405"/>
      <c r="P167" s="405"/>
      <c r="Q167" s="406"/>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Q167" s="152"/>
      <c r="AR167" s="152"/>
      <c r="AS167" s="152"/>
      <c r="AT167" s="152"/>
    </row>
    <row r="168" spans="1:46">
      <c r="A168" s="1111" t="s">
        <v>28</v>
      </c>
      <c r="B168" s="1112"/>
      <c r="C168" s="1112"/>
      <c r="D168" s="1112"/>
      <c r="E168" s="1112"/>
      <c r="F168" s="1112"/>
      <c r="G168" s="1112"/>
      <c r="H168" s="1112"/>
      <c r="I168" s="1113"/>
      <c r="J168" s="385"/>
      <c r="K168" s="383"/>
      <c r="L168" s="383"/>
      <c r="M168" s="383"/>
      <c r="N168" s="383"/>
      <c r="O168" s="383"/>
      <c r="P168" s="383"/>
      <c r="Q168" s="386"/>
      <c r="R168" s="152"/>
      <c r="S168" s="152"/>
      <c r="T168" s="152"/>
      <c r="U168" s="152"/>
      <c r="V168" s="152"/>
      <c r="W168" s="152"/>
      <c r="X168" s="152"/>
      <c r="Y168" s="152"/>
      <c r="Z168" s="152"/>
      <c r="AA168" s="152"/>
      <c r="AB168" s="152"/>
      <c r="AC168" s="152"/>
      <c r="AD168" s="152"/>
      <c r="AE168" s="152"/>
      <c r="AF168" s="152"/>
      <c r="AG168" s="152"/>
      <c r="AH168" s="152"/>
      <c r="AI168" s="152"/>
      <c r="AJ168" s="152"/>
      <c r="AK168" s="152"/>
      <c r="AL168" s="152"/>
      <c r="AM168" s="152"/>
      <c r="AN168" s="152"/>
      <c r="AO168" s="152"/>
      <c r="AP168" s="152"/>
      <c r="AQ168" s="152"/>
      <c r="AR168" s="152"/>
      <c r="AS168" s="152"/>
      <c r="AT168" s="152"/>
    </row>
    <row r="169" spans="1:46">
      <c r="A169" s="598" t="s">
        <v>556</v>
      </c>
      <c r="B169" s="118" t="s">
        <v>146</v>
      </c>
      <c r="C169" s="3" t="s">
        <v>26</v>
      </c>
      <c r="D169" s="258">
        <v>7</v>
      </c>
      <c r="E169" s="258">
        <v>3</v>
      </c>
      <c r="F169" s="263">
        <v>996</v>
      </c>
      <c r="G169" s="115">
        <v>935.00000000000011</v>
      </c>
      <c r="H169" s="112">
        <v>197</v>
      </c>
      <c r="I169" s="364">
        <v>55.5</v>
      </c>
      <c r="J169" s="379">
        <f>ROUND(G169*(1+'29_01_H_2020'!$O$10),2)</f>
        <v>1172.4000000000001</v>
      </c>
      <c r="K169" s="151">
        <f t="shared" ref="K169:K178" si="75">L169-H169</f>
        <v>50.02000000000001</v>
      </c>
      <c r="L169" s="151">
        <f>ROUND(H169*(1+'29_01_H_2020'!$O$10),2)</f>
        <v>247.02</v>
      </c>
      <c r="M169" s="151">
        <f t="shared" ref="M169:M178" si="76">(J169+L169)-(G169+H169)</f>
        <v>287.42000000000007</v>
      </c>
      <c r="N169" s="151">
        <f>M169*I169</f>
        <v>15951.810000000005</v>
      </c>
      <c r="O169" s="151">
        <f>N169*12</f>
        <v>191421.72000000006</v>
      </c>
      <c r="P169" s="151">
        <f>ROUND(O169*'29_01_H_2020'!$O$17,2)</f>
        <v>45156.38</v>
      </c>
      <c r="Q169" s="380">
        <f t="shared" ref="Q169" si="77">SUM(O169:P169)</f>
        <v>236578.10000000006</v>
      </c>
      <c r="R169" s="152"/>
      <c r="S169" s="328"/>
      <c r="T169" s="328"/>
      <c r="U169" s="328"/>
      <c r="V169" s="328"/>
      <c r="W169" s="328"/>
      <c r="X169" s="328"/>
      <c r="Y169" s="328"/>
      <c r="Z169" s="328"/>
      <c r="AA169" s="328"/>
      <c r="AB169" s="328"/>
      <c r="AC169" s="329"/>
      <c r="AD169" s="152"/>
      <c r="AE169" s="152"/>
      <c r="AF169" s="328"/>
      <c r="AG169" s="328"/>
      <c r="AH169" s="328"/>
      <c r="AI169" s="328"/>
      <c r="AJ169" s="328"/>
      <c r="AK169" s="328"/>
      <c r="AL169" s="328"/>
      <c r="AM169" s="328"/>
      <c r="AN169" s="328"/>
      <c r="AO169" s="328"/>
      <c r="AP169" s="329"/>
      <c r="AQ169" s="152"/>
      <c r="AR169" s="152"/>
      <c r="AS169" s="152"/>
      <c r="AT169" s="152"/>
    </row>
    <row r="170" spans="1:46">
      <c r="A170" s="598" t="s">
        <v>557</v>
      </c>
      <c r="B170" s="7" t="s">
        <v>146</v>
      </c>
      <c r="C170" s="3" t="s">
        <v>42</v>
      </c>
      <c r="D170" s="258">
        <v>6</v>
      </c>
      <c r="E170" s="258">
        <v>3</v>
      </c>
      <c r="F170" s="263">
        <v>899</v>
      </c>
      <c r="G170" s="115">
        <v>836.00000000000011</v>
      </c>
      <c r="H170" s="112">
        <v>177.1</v>
      </c>
      <c r="I170" s="364">
        <v>8</v>
      </c>
      <c r="J170" s="379">
        <f>ROUND(G170*(1+'29_01_H_2020'!$O$10),2)</f>
        <v>1048.26</v>
      </c>
      <c r="K170" s="151">
        <f t="shared" si="75"/>
        <v>44.97</v>
      </c>
      <c r="L170" s="151">
        <f>ROUND(H170*(1+'29_01_H_2020'!$O$10),2)</f>
        <v>222.07</v>
      </c>
      <c r="M170" s="151">
        <f t="shared" si="76"/>
        <v>257.22999999999979</v>
      </c>
      <c r="N170" s="151">
        <f t="shared" ref="N170:N178" si="78">M170*I170</f>
        <v>2057.8399999999983</v>
      </c>
      <c r="O170" s="151">
        <f t="shared" ref="O170:O178" si="79">N170*12</f>
        <v>24694.07999999998</v>
      </c>
      <c r="P170" s="151">
        <f>ROUND(O170*'29_01_H_2020'!$O$17,2)</f>
        <v>5825.33</v>
      </c>
      <c r="Q170" s="380">
        <f t="shared" ref="Q170:Q178" si="80">SUM(O170:P170)</f>
        <v>30519.409999999982</v>
      </c>
      <c r="R170" s="152"/>
      <c r="S170" s="328"/>
      <c r="T170" s="328"/>
      <c r="U170" s="328"/>
      <c r="V170" s="328"/>
      <c r="W170" s="328"/>
      <c r="X170" s="328"/>
      <c r="Y170" s="328"/>
      <c r="Z170" s="328"/>
      <c r="AA170" s="328"/>
      <c r="AB170" s="328"/>
      <c r="AC170" s="329"/>
      <c r="AD170" s="152"/>
      <c r="AE170" s="152"/>
      <c r="AF170" s="328"/>
      <c r="AG170" s="328"/>
      <c r="AH170" s="328"/>
      <c r="AI170" s="328"/>
      <c r="AJ170" s="328"/>
      <c r="AK170" s="328"/>
      <c r="AL170" s="328"/>
      <c r="AM170" s="328"/>
      <c r="AN170" s="328"/>
      <c r="AO170" s="328"/>
      <c r="AP170" s="329"/>
      <c r="AQ170" s="152"/>
      <c r="AR170" s="152"/>
      <c r="AS170" s="152"/>
      <c r="AT170" s="152"/>
    </row>
    <row r="171" spans="1:46">
      <c r="A171" s="598" t="s">
        <v>558</v>
      </c>
      <c r="B171" s="7" t="s">
        <v>146</v>
      </c>
      <c r="C171" s="3" t="s">
        <v>19</v>
      </c>
      <c r="D171" s="258">
        <v>8</v>
      </c>
      <c r="E171" s="258">
        <v>3</v>
      </c>
      <c r="F171" s="265">
        <v>1093</v>
      </c>
      <c r="G171" s="115">
        <v>990.00000000000011</v>
      </c>
      <c r="H171" s="112">
        <v>99</v>
      </c>
      <c r="I171" s="364">
        <v>3</v>
      </c>
      <c r="J171" s="379">
        <f>ROUND(G171*(1+'29_01_H_2020'!$O$10),2)</f>
        <v>1241.3599999999999</v>
      </c>
      <c r="K171" s="151">
        <f t="shared" si="75"/>
        <v>25.14</v>
      </c>
      <c r="L171" s="151">
        <f>ROUND(H171*(1+'29_01_H_2020'!$O$10),2)</f>
        <v>124.14</v>
      </c>
      <c r="M171" s="151">
        <f t="shared" si="76"/>
        <v>276.5</v>
      </c>
      <c r="N171" s="151">
        <f t="shared" si="78"/>
        <v>829.5</v>
      </c>
      <c r="O171" s="151">
        <f t="shared" si="79"/>
        <v>9954</v>
      </c>
      <c r="P171" s="151">
        <f>ROUND(O171*'29_01_H_2020'!$O$17,2)</f>
        <v>2348.15</v>
      </c>
      <c r="Q171" s="380">
        <f t="shared" si="80"/>
        <v>12302.15</v>
      </c>
      <c r="R171" s="152"/>
      <c r="S171" s="328"/>
      <c r="T171" s="328"/>
      <c r="U171" s="328"/>
      <c r="V171" s="328"/>
      <c r="W171" s="328"/>
      <c r="X171" s="328"/>
      <c r="Y171" s="328"/>
      <c r="Z171" s="328"/>
      <c r="AA171" s="328"/>
      <c r="AB171" s="328"/>
      <c r="AC171" s="329"/>
      <c r="AD171" s="329"/>
      <c r="AE171" s="152"/>
      <c r="AF171" s="328"/>
      <c r="AG171" s="328"/>
      <c r="AH171" s="328"/>
      <c r="AI171" s="328"/>
      <c r="AJ171" s="328"/>
      <c r="AK171" s="328"/>
      <c r="AL171" s="328"/>
      <c r="AM171" s="328"/>
      <c r="AN171" s="328"/>
      <c r="AO171" s="328"/>
      <c r="AP171" s="329"/>
      <c r="AQ171" s="152"/>
      <c r="AR171" s="152"/>
      <c r="AS171" s="152"/>
      <c r="AT171" s="152"/>
    </row>
    <row r="172" spans="1:46">
      <c r="A172" s="598" t="s">
        <v>559</v>
      </c>
      <c r="B172" s="118" t="s">
        <v>146</v>
      </c>
      <c r="C172" s="3" t="s">
        <v>26</v>
      </c>
      <c r="D172" s="258">
        <v>7</v>
      </c>
      <c r="E172" s="258">
        <v>3</v>
      </c>
      <c r="F172" s="263">
        <v>996</v>
      </c>
      <c r="G172" s="115">
        <v>935.00000000000011</v>
      </c>
      <c r="H172" s="90">
        <v>197</v>
      </c>
      <c r="I172" s="364">
        <v>3.25</v>
      </c>
      <c r="J172" s="379">
        <f>ROUND(G172*(1+'29_01_H_2020'!$O$10),2)</f>
        <v>1172.4000000000001</v>
      </c>
      <c r="K172" s="151">
        <f t="shared" si="75"/>
        <v>50.02000000000001</v>
      </c>
      <c r="L172" s="151">
        <f>ROUND(H172*(1+'29_01_H_2020'!$O$10),2)</f>
        <v>247.02</v>
      </c>
      <c r="M172" s="151">
        <f t="shared" si="76"/>
        <v>287.42000000000007</v>
      </c>
      <c r="N172" s="151">
        <f t="shared" si="78"/>
        <v>934.11500000000024</v>
      </c>
      <c r="O172" s="151">
        <f t="shared" si="79"/>
        <v>11209.380000000003</v>
      </c>
      <c r="P172" s="151">
        <f>ROUND(O172*'29_01_H_2020'!$O$17,2)</f>
        <v>2644.29</v>
      </c>
      <c r="Q172" s="380">
        <f t="shared" si="80"/>
        <v>13853.670000000002</v>
      </c>
      <c r="R172" s="152"/>
      <c r="S172" s="328"/>
      <c r="T172" s="328"/>
      <c r="U172" s="328"/>
      <c r="V172" s="328"/>
      <c r="W172" s="328"/>
      <c r="X172" s="328"/>
      <c r="Y172" s="328"/>
      <c r="Z172" s="328"/>
      <c r="AA172" s="328"/>
      <c r="AB172" s="328"/>
      <c r="AC172" s="329"/>
      <c r="AD172" s="329"/>
      <c r="AE172" s="152"/>
      <c r="AF172" s="328"/>
      <c r="AG172" s="328"/>
      <c r="AH172" s="328"/>
      <c r="AI172" s="328"/>
      <c r="AJ172" s="328"/>
      <c r="AK172" s="328"/>
      <c r="AL172" s="328"/>
      <c r="AM172" s="328"/>
      <c r="AN172" s="328"/>
      <c r="AO172" s="328"/>
      <c r="AP172" s="329"/>
      <c r="AQ172" s="152"/>
      <c r="AR172" s="152"/>
      <c r="AS172" s="152"/>
      <c r="AT172" s="152"/>
    </row>
    <row r="173" spans="1:46">
      <c r="A173" s="598" t="s">
        <v>560</v>
      </c>
      <c r="B173" s="118" t="s">
        <v>146</v>
      </c>
      <c r="C173" s="3" t="s">
        <v>26</v>
      </c>
      <c r="D173" s="258">
        <v>7</v>
      </c>
      <c r="E173" s="258">
        <v>3</v>
      </c>
      <c r="F173" s="263">
        <v>996</v>
      </c>
      <c r="G173" s="115">
        <v>935.00000000000011</v>
      </c>
      <c r="H173" s="90">
        <v>93.5</v>
      </c>
      <c r="I173" s="364">
        <v>1</v>
      </c>
      <c r="J173" s="379">
        <f>ROUND(G173*(1+'29_01_H_2020'!$O$10),2)</f>
        <v>1172.4000000000001</v>
      </c>
      <c r="K173" s="151">
        <f t="shared" si="75"/>
        <v>23.739999999999995</v>
      </c>
      <c r="L173" s="151">
        <f>ROUND(H173*(1+'29_01_H_2020'!$O$10),2)</f>
        <v>117.24</v>
      </c>
      <c r="M173" s="151">
        <f t="shared" si="76"/>
        <v>261.1400000000001</v>
      </c>
      <c r="N173" s="151">
        <f t="shared" si="78"/>
        <v>261.1400000000001</v>
      </c>
      <c r="O173" s="151">
        <f t="shared" si="79"/>
        <v>3133.6800000000012</v>
      </c>
      <c r="P173" s="151">
        <f>ROUND(O173*'29_01_H_2020'!$O$17,2)</f>
        <v>739.24</v>
      </c>
      <c r="Q173" s="380">
        <f t="shared" si="80"/>
        <v>3872.920000000001</v>
      </c>
      <c r="R173" s="152"/>
      <c r="S173" s="328"/>
      <c r="T173" s="328"/>
      <c r="U173" s="328"/>
      <c r="V173" s="328"/>
      <c r="W173" s="328"/>
      <c r="X173" s="328"/>
      <c r="Y173" s="328"/>
      <c r="Z173" s="328"/>
      <c r="AA173" s="328"/>
      <c r="AB173" s="328"/>
      <c r="AC173" s="329"/>
      <c r="AD173" s="152"/>
      <c r="AE173" s="152"/>
      <c r="AF173" s="328"/>
      <c r="AG173" s="328"/>
      <c r="AH173" s="328"/>
      <c r="AI173" s="328"/>
      <c r="AJ173" s="328"/>
      <c r="AK173" s="328"/>
      <c r="AL173" s="328"/>
      <c r="AM173" s="328"/>
      <c r="AN173" s="328"/>
      <c r="AO173" s="328"/>
      <c r="AP173" s="329"/>
      <c r="AQ173" s="152"/>
      <c r="AR173" s="152"/>
      <c r="AS173" s="152"/>
      <c r="AT173" s="152"/>
    </row>
    <row r="174" spans="1:46">
      <c r="A174" s="598" t="s">
        <v>561</v>
      </c>
      <c r="B174" s="118" t="s">
        <v>118</v>
      </c>
      <c r="C174" s="3" t="s">
        <v>37</v>
      </c>
      <c r="D174" s="258">
        <v>8</v>
      </c>
      <c r="E174" s="258">
        <v>3</v>
      </c>
      <c r="F174" s="263">
        <v>1093</v>
      </c>
      <c r="G174" s="115">
        <v>990.00000000000011</v>
      </c>
      <c r="H174" s="90">
        <v>99</v>
      </c>
      <c r="I174" s="364">
        <v>5.5</v>
      </c>
      <c r="J174" s="379">
        <f>ROUND(G174*(1+'29_01_H_2020'!$O$10),2)</f>
        <v>1241.3599999999999</v>
      </c>
      <c r="K174" s="151">
        <f t="shared" si="75"/>
        <v>25.14</v>
      </c>
      <c r="L174" s="151">
        <f>ROUND(H174*(1+'29_01_H_2020'!$O$10),2)</f>
        <v>124.14</v>
      </c>
      <c r="M174" s="151">
        <f t="shared" si="76"/>
        <v>276.5</v>
      </c>
      <c r="N174" s="151">
        <f t="shared" si="78"/>
        <v>1520.75</v>
      </c>
      <c r="O174" s="151">
        <f t="shared" si="79"/>
        <v>18249</v>
      </c>
      <c r="P174" s="151">
        <f>ROUND(O174*'29_01_H_2020'!$O$17,2)</f>
        <v>4304.9399999999996</v>
      </c>
      <c r="Q174" s="380">
        <f t="shared" si="80"/>
        <v>22553.94</v>
      </c>
      <c r="R174" s="152"/>
      <c r="S174" s="328"/>
      <c r="T174" s="328"/>
      <c r="U174" s="328"/>
      <c r="V174" s="328"/>
      <c r="W174" s="328"/>
      <c r="X174" s="328"/>
      <c r="Y174" s="328"/>
      <c r="Z174" s="328"/>
      <c r="AA174" s="328"/>
      <c r="AB174" s="328"/>
      <c r="AC174" s="329"/>
      <c r="AD174" s="152"/>
      <c r="AE174" s="152"/>
      <c r="AF174" s="328"/>
      <c r="AG174" s="328"/>
      <c r="AH174" s="328"/>
      <c r="AI174" s="328"/>
      <c r="AJ174" s="328"/>
      <c r="AK174" s="328"/>
      <c r="AL174" s="328"/>
      <c r="AM174" s="328"/>
      <c r="AN174" s="328"/>
      <c r="AO174" s="328"/>
      <c r="AP174" s="329"/>
      <c r="AQ174" s="152"/>
      <c r="AR174" s="152"/>
      <c r="AS174" s="152"/>
      <c r="AT174" s="152"/>
    </row>
    <row r="175" spans="1:46">
      <c r="A175" s="598" t="s">
        <v>278</v>
      </c>
      <c r="B175" s="118" t="s">
        <v>146</v>
      </c>
      <c r="C175" s="3" t="s">
        <v>13</v>
      </c>
      <c r="D175" s="258">
        <v>11</v>
      </c>
      <c r="E175" s="258">
        <v>3</v>
      </c>
      <c r="F175" s="263">
        <v>1382</v>
      </c>
      <c r="G175" s="115">
        <v>1382</v>
      </c>
      <c r="H175" s="90">
        <v>0</v>
      </c>
      <c r="I175" s="364">
        <v>7</v>
      </c>
      <c r="J175" s="379">
        <f>ROUND(G175*(1+'29_01_H_2020'!$O$10),2)</f>
        <v>1732.89</v>
      </c>
      <c r="K175" s="151">
        <f t="shared" si="75"/>
        <v>0</v>
      </c>
      <c r="L175" s="151">
        <f>ROUND(H175*(1+'29_01_H_2020'!$O$10),2)</f>
        <v>0</v>
      </c>
      <c r="M175" s="151">
        <f t="shared" si="76"/>
        <v>350.8900000000001</v>
      </c>
      <c r="N175" s="151">
        <f t="shared" si="78"/>
        <v>2456.2300000000005</v>
      </c>
      <c r="O175" s="151">
        <f t="shared" si="79"/>
        <v>29474.760000000006</v>
      </c>
      <c r="P175" s="151">
        <f>ROUND(O175*'29_01_H_2020'!$O$17,2)</f>
        <v>6953.1</v>
      </c>
      <c r="Q175" s="380">
        <f t="shared" si="80"/>
        <v>36427.860000000008</v>
      </c>
      <c r="R175" s="152"/>
      <c r="S175" s="328"/>
      <c r="T175" s="328"/>
      <c r="U175" s="328"/>
      <c r="V175" s="328"/>
      <c r="W175" s="328"/>
      <c r="X175" s="328"/>
      <c r="Y175" s="328"/>
      <c r="Z175" s="328"/>
      <c r="AA175" s="328"/>
      <c r="AB175" s="328"/>
      <c r="AC175" s="329"/>
      <c r="AD175" s="329"/>
      <c r="AE175" s="152"/>
      <c r="AF175" s="328"/>
      <c r="AG175" s="328"/>
      <c r="AH175" s="328"/>
      <c r="AI175" s="328"/>
      <c r="AJ175" s="328"/>
      <c r="AK175" s="328"/>
      <c r="AL175" s="328"/>
      <c r="AM175" s="328"/>
      <c r="AN175" s="328"/>
      <c r="AO175" s="328"/>
      <c r="AP175" s="329"/>
      <c r="AQ175" s="152"/>
      <c r="AR175" s="152"/>
      <c r="AS175" s="152"/>
      <c r="AT175" s="152"/>
    </row>
    <row r="176" spans="1:46">
      <c r="A176" s="599" t="s">
        <v>562</v>
      </c>
      <c r="B176" s="118" t="s">
        <v>118</v>
      </c>
      <c r="C176" s="3" t="s">
        <v>228</v>
      </c>
      <c r="D176" s="258">
        <v>8</v>
      </c>
      <c r="E176" s="258">
        <v>3</v>
      </c>
      <c r="F176" s="263">
        <v>1093</v>
      </c>
      <c r="G176" s="115">
        <v>990.00000000000011</v>
      </c>
      <c r="H176" s="90">
        <v>99</v>
      </c>
      <c r="I176" s="364">
        <v>2</v>
      </c>
      <c r="J176" s="379">
        <f>ROUND(G176*(1+'29_01_H_2020'!$O$10),2)</f>
        <v>1241.3599999999999</v>
      </c>
      <c r="K176" s="151">
        <f t="shared" si="75"/>
        <v>25.14</v>
      </c>
      <c r="L176" s="151">
        <f>ROUND(H176*(1+'29_01_H_2020'!$O$10),2)</f>
        <v>124.14</v>
      </c>
      <c r="M176" s="151">
        <f t="shared" si="76"/>
        <v>276.5</v>
      </c>
      <c r="N176" s="151">
        <f t="shared" si="78"/>
        <v>553</v>
      </c>
      <c r="O176" s="151">
        <f t="shared" si="79"/>
        <v>6636</v>
      </c>
      <c r="P176" s="151">
        <f>ROUND(O176*'29_01_H_2020'!$O$17,2)</f>
        <v>1565.43</v>
      </c>
      <c r="Q176" s="380">
        <f t="shared" si="80"/>
        <v>8201.43</v>
      </c>
      <c r="R176" s="152"/>
      <c r="S176" s="328"/>
      <c r="T176" s="328"/>
      <c r="U176" s="328"/>
      <c r="V176" s="328"/>
      <c r="W176" s="328"/>
      <c r="X176" s="328"/>
      <c r="Y176" s="328"/>
      <c r="Z176" s="328"/>
      <c r="AA176" s="328"/>
      <c r="AB176" s="328"/>
      <c r="AC176" s="329"/>
      <c r="AD176" s="152"/>
      <c r="AE176" s="152"/>
      <c r="AF176" s="328"/>
      <c r="AG176" s="328"/>
      <c r="AH176" s="328"/>
      <c r="AI176" s="328"/>
      <c r="AJ176" s="328"/>
      <c r="AK176" s="328"/>
      <c r="AL176" s="328"/>
      <c r="AM176" s="328"/>
      <c r="AN176" s="328"/>
      <c r="AO176" s="328"/>
      <c r="AP176" s="329"/>
      <c r="AQ176" s="152"/>
      <c r="AR176" s="152"/>
      <c r="AS176" s="152"/>
      <c r="AT176" s="152"/>
    </row>
    <row r="177" spans="1:46">
      <c r="A177" s="599" t="s">
        <v>563</v>
      </c>
      <c r="B177" s="118" t="s">
        <v>118</v>
      </c>
      <c r="C177" s="3" t="s">
        <v>228</v>
      </c>
      <c r="D177" s="258">
        <v>8</v>
      </c>
      <c r="E177" s="258">
        <v>2</v>
      </c>
      <c r="F177" s="263">
        <v>920</v>
      </c>
      <c r="G177" s="115">
        <v>880.00000000000011</v>
      </c>
      <c r="H177" s="90">
        <v>88</v>
      </c>
      <c r="I177" s="364">
        <v>0.5</v>
      </c>
      <c r="J177" s="379">
        <f>ROUND(G177*(1+'29_01_H_2020'!$O$10),2)</f>
        <v>1103.43</v>
      </c>
      <c r="K177" s="151">
        <f t="shared" si="75"/>
        <v>22.340000000000003</v>
      </c>
      <c r="L177" s="151">
        <f>ROUND(H177*(1+'29_01_H_2020'!$O$10),2)</f>
        <v>110.34</v>
      </c>
      <c r="M177" s="151">
        <f t="shared" si="76"/>
        <v>245.76999999999987</v>
      </c>
      <c r="N177" s="151">
        <f t="shared" si="78"/>
        <v>122.88499999999993</v>
      </c>
      <c r="O177" s="151">
        <f t="shared" si="79"/>
        <v>1474.6199999999992</v>
      </c>
      <c r="P177" s="151">
        <f>ROUND(O177*'29_01_H_2020'!$O$17,2)</f>
        <v>347.86</v>
      </c>
      <c r="Q177" s="380">
        <f t="shared" si="80"/>
        <v>1822.4799999999991</v>
      </c>
      <c r="R177" s="152"/>
      <c r="S177" s="328"/>
      <c r="T177" s="328"/>
      <c r="U177" s="328"/>
      <c r="V177" s="328"/>
      <c r="W177" s="328"/>
      <c r="X177" s="328"/>
      <c r="Y177" s="328"/>
      <c r="Z177" s="328"/>
      <c r="AA177" s="328"/>
      <c r="AB177" s="328"/>
      <c r="AC177" s="329"/>
      <c r="AD177" s="329"/>
      <c r="AE177" s="152"/>
      <c r="AF177" s="328"/>
      <c r="AG177" s="328"/>
      <c r="AH177" s="328"/>
      <c r="AI177" s="328"/>
      <c r="AJ177" s="328"/>
      <c r="AK177" s="328"/>
      <c r="AL177" s="328"/>
      <c r="AM177" s="328"/>
      <c r="AN177" s="328"/>
      <c r="AO177" s="328"/>
      <c r="AP177" s="329"/>
      <c r="AQ177" s="152"/>
      <c r="AR177" s="152"/>
      <c r="AS177" s="152"/>
      <c r="AT177" s="152"/>
    </row>
    <row r="178" spans="1:46">
      <c r="A178" s="599" t="s">
        <v>329</v>
      </c>
      <c r="B178" s="118" t="s">
        <v>118</v>
      </c>
      <c r="C178" s="3" t="s">
        <v>37</v>
      </c>
      <c r="D178" s="258">
        <v>8</v>
      </c>
      <c r="E178" s="258">
        <v>3</v>
      </c>
      <c r="F178" s="263">
        <v>1093</v>
      </c>
      <c r="G178" s="115">
        <v>990.00000000000011</v>
      </c>
      <c r="H178" s="90">
        <v>99</v>
      </c>
      <c r="I178" s="364">
        <v>1.5</v>
      </c>
      <c r="J178" s="379">
        <f>ROUND(G178*(1+'29_01_H_2020'!$O$10),2)</f>
        <v>1241.3599999999999</v>
      </c>
      <c r="K178" s="151">
        <f t="shared" si="75"/>
        <v>25.14</v>
      </c>
      <c r="L178" s="151">
        <f>ROUND(H178*(1+'29_01_H_2020'!$O$10),2)</f>
        <v>124.14</v>
      </c>
      <c r="M178" s="151">
        <f t="shared" si="76"/>
        <v>276.5</v>
      </c>
      <c r="N178" s="151">
        <f t="shared" si="78"/>
        <v>414.75</v>
      </c>
      <c r="O178" s="151">
        <f t="shared" si="79"/>
        <v>4977</v>
      </c>
      <c r="P178" s="151">
        <f>ROUND(O178*'29_01_H_2020'!$O$17,2)</f>
        <v>1174.07</v>
      </c>
      <c r="Q178" s="380">
        <f t="shared" si="80"/>
        <v>6151.07</v>
      </c>
      <c r="R178" s="152"/>
      <c r="S178" s="328"/>
      <c r="T178" s="328"/>
      <c r="U178" s="328"/>
      <c r="V178" s="328"/>
      <c r="W178" s="328"/>
      <c r="X178" s="328"/>
      <c r="Y178" s="328"/>
      <c r="Z178" s="328"/>
      <c r="AA178" s="328"/>
      <c r="AB178" s="328"/>
      <c r="AC178" s="329"/>
      <c r="AD178" s="152"/>
      <c r="AE178" s="152"/>
      <c r="AF178" s="328"/>
      <c r="AG178" s="328"/>
      <c r="AH178" s="328"/>
      <c r="AI178" s="328"/>
      <c r="AJ178" s="328"/>
      <c r="AK178" s="328"/>
      <c r="AL178" s="328"/>
      <c r="AM178" s="328"/>
      <c r="AN178" s="328"/>
      <c r="AO178" s="328"/>
      <c r="AP178" s="329"/>
      <c r="AQ178" s="152"/>
      <c r="AR178" s="152"/>
      <c r="AS178" s="152"/>
      <c r="AT178" s="152"/>
    </row>
    <row r="179" spans="1:46">
      <c r="A179" s="28" t="s">
        <v>55</v>
      </c>
      <c r="B179" s="8" t="s">
        <v>52</v>
      </c>
      <c r="C179" s="9" t="s">
        <v>52</v>
      </c>
      <c r="D179" s="9" t="s">
        <v>52</v>
      </c>
      <c r="E179" s="9" t="s">
        <v>52</v>
      </c>
      <c r="F179" s="10" t="s">
        <v>52</v>
      </c>
      <c r="G179" s="10" t="s">
        <v>52</v>
      </c>
      <c r="H179" s="10" t="s">
        <v>52</v>
      </c>
      <c r="I179" s="360">
        <f>SUM(I169:I178)</f>
        <v>87.25</v>
      </c>
      <c r="J179" s="404"/>
      <c r="K179" s="405"/>
      <c r="L179" s="405"/>
      <c r="M179" s="405"/>
      <c r="N179" s="405"/>
      <c r="O179" s="405"/>
      <c r="P179" s="405"/>
      <c r="Q179" s="406"/>
      <c r="R179" s="152"/>
      <c r="S179" s="152"/>
      <c r="T179" s="152"/>
      <c r="U179" s="152"/>
      <c r="V179" s="152"/>
      <c r="W179" s="152"/>
      <c r="X179" s="152"/>
      <c r="Y179" s="152"/>
      <c r="Z179" s="152"/>
      <c r="AA179" s="152"/>
      <c r="AB179" s="152"/>
      <c r="AC179" s="152"/>
      <c r="AD179" s="152"/>
      <c r="AE179" s="152"/>
      <c r="AF179" s="152"/>
      <c r="AG179" s="152"/>
      <c r="AH179" s="152"/>
      <c r="AI179" s="152"/>
      <c r="AJ179" s="152"/>
      <c r="AK179" s="152"/>
      <c r="AL179" s="152"/>
      <c r="AM179" s="152"/>
      <c r="AN179" s="152"/>
      <c r="AO179" s="152"/>
      <c r="AP179" s="152"/>
      <c r="AQ179" s="152"/>
      <c r="AR179" s="152"/>
      <c r="AS179" s="152"/>
      <c r="AT179" s="152"/>
    </row>
    <row r="180" spans="1:46">
      <c r="A180" s="137" t="s">
        <v>279</v>
      </c>
      <c r="B180" s="158" t="s">
        <v>52</v>
      </c>
      <c r="C180" s="158" t="s">
        <v>52</v>
      </c>
      <c r="D180" s="158" t="s">
        <v>52</v>
      </c>
      <c r="E180" s="158" t="s">
        <v>52</v>
      </c>
      <c r="F180" s="158" t="s">
        <v>52</v>
      </c>
      <c r="G180" s="158" t="s">
        <v>52</v>
      </c>
      <c r="H180" s="158" t="s">
        <v>52</v>
      </c>
      <c r="I180" s="362">
        <f>I179+I167</f>
        <v>122</v>
      </c>
      <c r="J180" s="407"/>
      <c r="K180" s="408"/>
      <c r="L180" s="408"/>
      <c r="M180" s="408"/>
      <c r="N180" s="408"/>
      <c r="O180" s="408"/>
      <c r="P180" s="408"/>
      <c r="Q180" s="416"/>
      <c r="R180" s="152"/>
      <c r="S180" s="152"/>
      <c r="T180" s="152"/>
      <c r="U180" s="152"/>
      <c r="V180" s="152"/>
      <c r="W180" s="152"/>
      <c r="X180" s="152"/>
      <c r="Y180" s="152"/>
      <c r="Z180" s="152"/>
      <c r="AA180" s="152"/>
      <c r="AB180" s="152"/>
      <c r="AC180" s="152"/>
      <c r="AD180" s="152"/>
      <c r="AE180" s="152"/>
      <c r="AF180" s="152"/>
      <c r="AG180" s="152"/>
      <c r="AH180" s="152"/>
      <c r="AI180" s="152"/>
      <c r="AJ180" s="152"/>
      <c r="AK180" s="152"/>
      <c r="AL180" s="152"/>
      <c r="AM180" s="152"/>
      <c r="AN180" s="152"/>
      <c r="AO180" s="152"/>
      <c r="AP180" s="152"/>
      <c r="AQ180" s="152"/>
      <c r="AR180" s="152"/>
      <c r="AS180" s="152"/>
      <c r="AT180" s="152"/>
    </row>
    <row r="181" spans="1:46">
      <c r="A181" s="1095" t="s">
        <v>280</v>
      </c>
      <c r="B181" s="1096"/>
      <c r="C181" s="1096"/>
      <c r="D181" s="1096"/>
      <c r="E181" s="1096"/>
      <c r="F181" s="1096"/>
      <c r="G181" s="1096"/>
      <c r="H181" s="1096"/>
      <c r="I181" s="1097"/>
      <c r="J181" s="165"/>
      <c r="K181" s="176"/>
      <c r="L181" s="176"/>
      <c r="M181" s="176"/>
      <c r="N181" s="176"/>
      <c r="O181" s="176"/>
      <c r="P181" s="176"/>
      <c r="Q181" s="166"/>
      <c r="R181" s="152"/>
      <c r="S181" s="152"/>
      <c r="T181" s="152"/>
      <c r="U181" s="152"/>
      <c r="V181" s="152"/>
      <c r="W181" s="152"/>
      <c r="X181" s="152"/>
      <c r="Y181" s="152"/>
      <c r="Z181" s="152"/>
      <c r="AA181" s="152"/>
      <c r="AB181" s="152"/>
      <c r="AC181" s="152"/>
      <c r="AD181" s="152"/>
      <c r="AE181" s="152"/>
      <c r="AF181" s="152"/>
      <c r="AG181" s="152"/>
      <c r="AH181" s="152"/>
      <c r="AI181" s="152"/>
      <c r="AJ181" s="152"/>
      <c r="AK181" s="152"/>
      <c r="AL181" s="152"/>
      <c r="AM181" s="152"/>
      <c r="AN181" s="152"/>
      <c r="AO181" s="152"/>
      <c r="AP181" s="152"/>
      <c r="AQ181" s="152"/>
      <c r="AR181" s="152"/>
      <c r="AS181" s="152"/>
      <c r="AT181" s="152"/>
    </row>
    <row r="182" spans="1:46">
      <c r="A182" s="1109" t="s">
        <v>11</v>
      </c>
      <c r="B182" s="1110"/>
      <c r="C182" s="1110"/>
      <c r="D182" s="1110"/>
      <c r="E182" s="1110"/>
      <c r="F182" s="1110"/>
      <c r="G182" s="1110"/>
      <c r="H182" s="1110"/>
      <c r="I182" s="1110"/>
      <c r="J182" s="385"/>
      <c r="K182" s="383"/>
      <c r="L182" s="383"/>
      <c r="M182" s="383"/>
      <c r="N182" s="383"/>
      <c r="O182" s="383"/>
      <c r="P182" s="383"/>
      <c r="Q182" s="386"/>
      <c r="R182" s="152"/>
      <c r="S182" s="152"/>
      <c r="T182" s="152"/>
      <c r="U182" s="152"/>
      <c r="V182" s="152"/>
      <c r="W182" s="152"/>
      <c r="X182" s="152"/>
      <c r="Y182" s="152"/>
      <c r="Z182" s="152"/>
      <c r="AA182" s="152"/>
      <c r="AB182" s="152"/>
      <c r="AC182" s="152"/>
      <c r="AD182" s="152"/>
      <c r="AE182" s="152"/>
      <c r="AF182" s="152"/>
      <c r="AG182" s="152"/>
      <c r="AH182" s="152"/>
      <c r="AI182" s="152"/>
      <c r="AJ182" s="152"/>
      <c r="AK182" s="152"/>
      <c r="AL182" s="152"/>
      <c r="AM182" s="152"/>
      <c r="AN182" s="152"/>
      <c r="AO182" s="152"/>
      <c r="AP182" s="152"/>
      <c r="AQ182" s="152"/>
      <c r="AR182" s="152"/>
      <c r="AS182" s="152"/>
      <c r="AT182" s="152"/>
    </row>
    <row r="183" spans="1:46">
      <c r="A183" s="159" t="s">
        <v>247</v>
      </c>
      <c r="B183" s="160" t="s">
        <v>16</v>
      </c>
      <c r="C183" s="160" t="s">
        <v>26</v>
      </c>
      <c r="D183" s="260">
        <v>10</v>
      </c>
      <c r="E183" s="260">
        <v>3</v>
      </c>
      <c r="F183" s="263">
        <v>1287</v>
      </c>
      <c r="G183" s="90">
        <v>1287</v>
      </c>
      <c r="H183" s="90">
        <v>128.70000000000002</v>
      </c>
      <c r="I183" s="359">
        <v>2</v>
      </c>
      <c r="J183" s="379">
        <f>ROUND(G183*(1+'29_01_H_2020'!$O$14),2)</f>
        <v>1613.77</v>
      </c>
      <c r="K183" s="151">
        <f>L183-H183</f>
        <v>32.679999999999978</v>
      </c>
      <c r="L183" s="151">
        <f>ROUND(H183*(1+'29_01_H_2020'!$O$14),2)</f>
        <v>161.38</v>
      </c>
      <c r="M183" s="151">
        <f>(J183+L183)-(G183+H183)</f>
        <v>359.45000000000005</v>
      </c>
      <c r="N183" s="151">
        <f>M183*I183</f>
        <v>718.90000000000009</v>
      </c>
      <c r="O183" s="151">
        <f t="shared" ref="O183" si="81">N183*12</f>
        <v>8626.8000000000011</v>
      </c>
      <c r="P183" s="151">
        <f>ROUND(O183*'29_01_H_2020'!$O$17,2)</f>
        <v>2035.06</v>
      </c>
      <c r="Q183" s="380">
        <f t="shared" ref="Q183" si="82">SUM(O183:P183)</f>
        <v>10661.86</v>
      </c>
      <c r="R183" s="152"/>
      <c r="S183" s="328"/>
      <c r="T183" s="328"/>
      <c r="U183" s="328"/>
      <c r="V183" s="328"/>
      <c r="W183" s="328"/>
      <c r="X183" s="328"/>
      <c r="Y183" s="328"/>
      <c r="Z183" s="328"/>
      <c r="AA183" s="328"/>
      <c r="AB183" s="328"/>
      <c r="AC183" s="329"/>
      <c r="AD183" s="152"/>
      <c r="AE183" s="152"/>
      <c r="AF183" s="328"/>
      <c r="AG183" s="328"/>
      <c r="AH183" s="328"/>
      <c r="AI183" s="328"/>
      <c r="AJ183" s="328"/>
      <c r="AK183" s="328"/>
      <c r="AL183" s="328"/>
      <c r="AM183" s="328"/>
      <c r="AN183" s="328"/>
      <c r="AO183" s="328"/>
      <c r="AP183" s="329"/>
      <c r="AQ183" s="152"/>
      <c r="AR183" s="152"/>
      <c r="AS183" s="152"/>
      <c r="AT183" s="152"/>
    </row>
    <row r="184" spans="1:46" s="333" customFormat="1">
      <c r="A184" s="159" t="s">
        <v>62</v>
      </c>
      <c r="B184" s="160" t="s">
        <v>16</v>
      </c>
      <c r="C184" s="160" t="s">
        <v>26</v>
      </c>
      <c r="D184" s="260">
        <v>9</v>
      </c>
      <c r="E184" s="260">
        <v>3</v>
      </c>
      <c r="F184" s="263">
        <v>1190</v>
      </c>
      <c r="G184" s="90">
        <v>1190</v>
      </c>
      <c r="H184" s="90">
        <v>119</v>
      </c>
      <c r="I184" s="359">
        <v>1</v>
      </c>
      <c r="J184" s="379">
        <f>ROUND(G184*(1+'29_01_H_2020'!$O$14),2)</f>
        <v>1492.14</v>
      </c>
      <c r="K184" s="151">
        <f t="shared" ref="K184:K188" si="83">L184-H184</f>
        <v>30.210000000000008</v>
      </c>
      <c r="L184" s="151">
        <f>ROUND(H184*(1+'29_01_H_2020'!$O$14),2)</f>
        <v>149.21</v>
      </c>
      <c r="M184" s="151">
        <f t="shared" ref="M184:M188" si="84">(J184+L184)-(G184+H184)</f>
        <v>332.35000000000014</v>
      </c>
      <c r="N184" s="151">
        <f t="shared" ref="N184:N188" si="85">M184*I184</f>
        <v>332.35000000000014</v>
      </c>
      <c r="O184" s="151">
        <f t="shared" ref="O184:O188" si="86">N184*12</f>
        <v>3988.2000000000016</v>
      </c>
      <c r="P184" s="151">
        <f>ROUND(O184*'29_01_H_2020'!$O$17,2)</f>
        <v>940.82</v>
      </c>
      <c r="Q184" s="380">
        <f t="shared" ref="Q184:Q188" si="87">SUM(O184:P184)</f>
        <v>4929.0200000000013</v>
      </c>
      <c r="R184" s="152"/>
      <c r="S184" s="328"/>
      <c r="T184" s="328"/>
      <c r="U184" s="328"/>
      <c r="V184" s="328"/>
      <c r="W184" s="328"/>
      <c r="X184" s="328"/>
      <c r="Y184" s="328"/>
      <c r="Z184" s="328"/>
      <c r="AA184" s="328"/>
      <c r="AB184" s="328"/>
      <c r="AC184" s="329"/>
      <c r="AD184" s="152"/>
      <c r="AE184" s="152"/>
      <c r="AF184" s="328"/>
      <c r="AG184" s="328"/>
      <c r="AH184" s="328"/>
      <c r="AI184" s="328"/>
      <c r="AJ184" s="328"/>
      <c r="AK184" s="328"/>
      <c r="AL184" s="328"/>
      <c r="AM184" s="328"/>
      <c r="AN184" s="328"/>
      <c r="AO184" s="328"/>
      <c r="AP184" s="329"/>
      <c r="AQ184" s="152"/>
      <c r="AR184" s="152"/>
      <c r="AS184" s="152"/>
      <c r="AT184" s="152"/>
    </row>
    <row r="185" spans="1:46" s="333" customFormat="1">
      <c r="A185" s="159" t="s">
        <v>272</v>
      </c>
      <c r="B185" s="160" t="s">
        <v>118</v>
      </c>
      <c r="C185" s="160" t="s">
        <v>251</v>
      </c>
      <c r="D185" s="260" t="s">
        <v>85</v>
      </c>
      <c r="E185" s="260" t="s">
        <v>69</v>
      </c>
      <c r="F185" s="263">
        <v>1190</v>
      </c>
      <c r="G185" s="90">
        <v>1190</v>
      </c>
      <c r="H185" s="90">
        <v>119</v>
      </c>
      <c r="I185" s="359">
        <v>1</v>
      </c>
      <c r="J185" s="379">
        <f>ROUND(G185*(1+'29_01_H_2020'!$O$14),2)</f>
        <v>1492.14</v>
      </c>
      <c r="K185" s="151">
        <f t="shared" si="83"/>
        <v>30.210000000000008</v>
      </c>
      <c r="L185" s="151">
        <f>ROUND(H185*(1+'29_01_H_2020'!$O$14),2)</f>
        <v>149.21</v>
      </c>
      <c r="M185" s="151">
        <f t="shared" si="84"/>
        <v>332.35000000000014</v>
      </c>
      <c r="N185" s="151">
        <f t="shared" si="85"/>
        <v>332.35000000000014</v>
      </c>
      <c r="O185" s="151">
        <f t="shared" si="86"/>
        <v>3988.2000000000016</v>
      </c>
      <c r="P185" s="151">
        <f>ROUND(O185*'29_01_H_2020'!$O$17,2)</f>
        <v>940.82</v>
      </c>
      <c r="Q185" s="380">
        <f t="shared" si="87"/>
        <v>4929.0200000000013</v>
      </c>
      <c r="R185" s="152"/>
      <c r="S185" s="328"/>
      <c r="T185" s="328"/>
      <c r="U185" s="328"/>
      <c r="V185" s="328"/>
      <c r="W185" s="328"/>
      <c r="X185" s="328"/>
      <c r="Y185" s="328"/>
      <c r="Z185" s="328"/>
      <c r="AA185" s="328"/>
      <c r="AB185" s="328"/>
      <c r="AC185" s="329"/>
      <c r="AD185" s="152"/>
      <c r="AE185" s="152"/>
      <c r="AF185" s="328"/>
      <c r="AG185" s="328"/>
      <c r="AH185" s="328"/>
      <c r="AI185" s="328"/>
      <c r="AJ185" s="328"/>
      <c r="AK185" s="328"/>
      <c r="AL185" s="328"/>
      <c r="AM185" s="328"/>
      <c r="AN185" s="328"/>
      <c r="AO185" s="328"/>
      <c r="AP185" s="329"/>
      <c r="AQ185" s="152"/>
      <c r="AR185" s="152"/>
      <c r="AS185" s="152"/>
      <c r="AT185" s="152"/>
    </row>
    <row r="186" spans="1:46" s="333" customFormat="1">
      <c r="A186" s="159" t="s">
        <v>250</v>
      </c>
      <c r="B186" s="160" t="s">
        <v>118</v>
      </c>
      <c r="C186" s="160" t="s">
        <v>251</v>
      </c>
      <c r="D186" s="260" t="s">
        <v>85</v>
      </c>
      <c r="E186" s="260" t="s">
        <v>148</v>
      </c>
      <c r="F186" s="263">
        <v>835</v>
      </c>
      <c r="G186" s="90">
        <v>835</v>
      </c>
      <c r="H186" s="90">
        <v>83.5</v>
      </c>
      <c r="I186" s="359">
        <v>1</v>
      </c>
      <c r="J186" s="379">
        <f>ROUND(G186*(1+'29_01_H_2020'!$O$14),2)</f>
        <v>1047.01</v>
      </c>
      <c r="K186" s="151">
        <f t="shared" si="83"/>
        <v>21.200000000000003</v>
      </c>
      <c r="L186" s="151">
        <f>ROUND(H186*(1+'29_01_H_2020'!$O$14),2)</f>
        <v>104.7</v>
      </c>
      <c r="M186" s="151">
        <f t="shared" si="84"/>
        <v>233.21000000000004</v>
      </c>
      <c r="N186" s="151">
        <f t="shared" si="85"/>
        <v>233.21000000000004</v>
      </c>
      <c r="O186" s="151">
        <f t="shared" si="86"/>
        <v>2798.5200000000004</v>
      </c>
      <c r="P186" s="151">
        <f>ROUND(O186*'29_01_H_2020'!$O$17,2)</f>
        <v>660.17</v>
      </c>
      <c r="Q186" s="380">
        <f t="shared" si="87"/>
        <v>3458.6900000000005</v>
      </c>
      <c r="R186" s="152"/>
      <c r="S186" s="328"/>
      <c r="T186" s="328"/>
      <c r="U186" s="328"/>
      <c r="V186" s="328"/>
      <c r="W186" s="328"/>
      <c r="X186" s="328"/>
      <c r="Y186" s="328"/>
      <c r="Z186" s="328"/>
      <c r="AA186" s="328"/>
      <c r="AB186" s="328"/>
      <c r="AC186" s="329"/>
      <c r="AD186" s="152"/>
      <c r="AE186" s="152"/>
      <c r="AF186" s="328"/>
      <c r="AG186" s="328"/>
      <c r="AH186" s="328"/>
      <c r="AI186" s="328"/>
      <c r="AJ186" s="328"/>
      <c r="AK186" s="328"/>
      <c r="AL186" s="328"/>
      <c r="AM186" s="328"/>
      <c r="AN186" s="328"/>
      <c r="AO186" s="328"/>
      <c r="AP186" s="329"/>
      <c r="AQ186" s="152"/>
      <c r="AR186" s="152"/>
      <c r="AS186" s="152"/>
      <c r="AT186" s="152"/>
    </row>
    <row r="187" spans="1:46" s="333" customFormat="1">
      <c r="A187" s="159" t="s">
        <v>265</v>
      </c>
      <c r="B187" s="160" t="s">
        <v>118</v>
      </c>
      <c r="C187" s="160" t="s">
        <v>251</v>
      </c>
      <c r="D187" s="260">
        <v>9</v>
      </c>
      <c r="E187" s="260">
        <v>3</v>
      </c>
      <c r="F187" s="263">
        <v>1190</v>
      </c>
      <c r="G187" s="90">
        <v>1190</v>
      </c>
      <c r="H187" s="90">
        <v>119</v>
      </c>
      <c r="I187" s="359">
        <v>1</v>
      </c>
      <c r="J187" s="379">
        <f>ROUND(G187*(1+'29_01_H_2020'!$O$14),2)</f>
        <v>1492.14</v>
      </c>
      <c r="K187" s="151">
        <f t="shared" si="83"/>
        <v>30.210000000000008</v>
      </c>
      <c r="L187" s="151">
        <f>ROUND(H187*(1+'29_01_H_2020'!$O$14),2)</f>
        <v>149.21</v>
      </c>
      <c r="M187" s="151">
        <f t="shared" si="84"/>
        <v>332.35000000000014</v>
      </c>
      <c r="N187" s="151">
        <f t="shared" si="85"/>
        <v>332.35000000000014</v>
      </c>
      <c r="O187" s="151">
        <f t="shared" si="86"/>
        <v>3988.2000000000016</v>
      </c>
      <c r="P187" s="151">
        <f>ROUND(O187*'29_01_H_2020'!$O$17,2)</f>
        <v>940.82</v>
      </c>
      <c r="Q187" s="380">
        <f t="shared" si="87"/>
        <v>4929.0200000000013</v>
      </c>
      <c r="R187" s="152"/>
      <c r="S187" s="328"/>
      <c r="T187" s="328"/>
      <c r="U187" s="328"/>
      <c r="V187" s="328"/>
      <c r="W187" s="328"/>
      <c r="X187" s="328"/>
      <c r="Y187" s="328"/>
      <c r="Z187" s="328"/>
      <c r="AA187" s="328"/>
      <c r="AB187" s="328"/>
      <c r="AC187" s="329"/>
      <c r="AD187" s="152"/>
      <c r="AE187" s="152"/>
      <c r="AF187" s="328"/>
      <c r="AG187" s="328"/>
      <c r="AH187" s="328"/>
      <c r="AI187" s="328"/>
      <c r="AJ187" s="328"/>
      <c r="AK187" s="328"/>
      <c r="AL187" s="328"/>
      <c r="AM187" s="328"/>
      <c r="AN187" s="328"/>
      <c r="AO187" s="328"/>
      <c r="AP187" s="329"/>
      <c r="AQ187" s="152"/>
      <c r="AR187" s="152"/>
      <c r="AS187" s="152"/>
      <c r="AT187" s="152"/>
    </row>
    <row r="188" spans="1:46" s="333" customFormat="1">
      <c r="A188" s="159" t="s">
        <v>269</v>
      </c>
      <c r="B188" s="160" t="s">
        <v>118</v>
      </c>
      <c r="C188" s="160" t="s">
        <v>251</v>
      </c>
      <c r="D188" s="260">
        <v>9</v>
      </c>
      <c r="E188" s="260">
        <v>3</v>
      </c>
      <c r="F188" s="263">
        <v>1190</v>
      </c>
      <c r="G188" s="90">
        <v>1190</v>
      </c>
      <c r="H188" s="90">
        <v>119</v>
      </c>
      <c r="I188" s="359">
        <v>1</v>
      </c>
      <c r="J188" s="379">
        <f>ROUND(G188*(1+'29_01_H_2020'!$O$14),2)</f>
        <v>1492.14</v>
      </c>
      <c r="K188" s="151">
        <f t="shared" si="83"/>
        <v>30.210000000000008</v>
      </c>
      <c r="L188" s="151">
        <f>ROUND(H188*(1+'29_01_H_2020'!$O$14),2)</f>
        <v>149.21</v>
      </c>
      <c r="M188" s="151">
        <f t="shared" si="84"/>
        <v>332.35000000000014</v>
      </c>
      <c r="N188" s="151">
        <f t="shared" si="85"/>
        <v>332.35000000000014</v>
      </c>
      <c r="O188" s="151">
        <f t="shared" si="86"/>
        <v>3988.2000000000016</v>
      </c>
      <c r="P188" s="151">
        <f>ROUND(O188*'29_01_H_2020'!$O$17,2)</f>
        <v>940.82</v>
      </c>
      <c r="Q188" s="380">
        <f t="shared" si="87"/>
        <v>4929.0200000000013</v>
      </c>
      <c r="R188" s="152"/>
      <c r="S188" s="328"/>
      <c r="T188" s="328"/>
      <c r="U188" s="328"/>
      <c r="V188" s="328"/>
      <c r="W188" s="328"/>
      <c r="X188" s="328"/>
      <c r="Y188" s="328"/>
      <c r="Z188" s="328"/>
      <c r="AA188" s="328"/>
      <c r="AB188" s="328"/>
      <c r="AC188" s="329"/>
      <c r="AD188" s="152"/>
      <c r="AE188" s="152"/>
      <c r="AF188" s="328"/>
      <c r="AG188" s="328"/>
      <c r="AH188" s="328"/>
      <c r="AI188" s="328"/>
      <c r="AJ188" s="328"/>
      <c r="AK188" s="328"/>
      <c r="AL188" s="328"/>
      <c r="AM188" s="328"/>
      <c r="AN188" s="328"/>
      <c r="AO188" s="328"/>
      <c r="AP188" s="329"/>
      <c r="AQ188" s="152"/>
      <c r="AR188" s="152"/>
      <c r="AS188" s="152"/>
      <c r="AT188" s="152"/>
    </row>
    <row r="189" spans="1:46">
      <c r="A189" s="28" t="s">
        <v>55</v>
      </c>
      <c r="B189" s="8" t="s">
        <v>52</v>
      </c>
      <c r="C189" s="9" t="s">
        <v>52</v>
      </c>
      <c r="D189" s="9" t="s">
        <v>52</v>
      </c>
      <c r="E189" s="9" t="s">
        <v>52</v>
      </c>
      <c r="F189" s="10" t="s">
        <v>52</v>
      </c>
      <c r="G189" s="10" t="s">
        <v>52</v>
      </c>
      <c r="H189" s="10" t="s">
        <v>52</v>
      </c>
      <c r="I189" s="360">
        <f>SUM(I183:I188)</f>
        <v>7</v>
      </c>
      <c r="J189" s="404"/>
      <c r="K189" s="405"/>
      <c r="L189" s="405"/>
      <c r="M189" s="405"/>
      <c r="N189" s="405"/>
      <c r="O189" s="405"/>
      <c r="P189" s="405"/>
      <c r="Q189" s="406"/>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row>
    <row r="190" spans="1:46">
      <c r="A190" s="1122" t="s">
        <v>28</v>
      </c>
      <c r="B190" s="1123"/>
      <c r="C190" s="1123"/>
      <c r="D190" s="1123"/>
      <c r="E190" s="1123"/>
      <c r="F190" s="1123"/>
      <c r="G190" s="1123"/>
      <c r="H190" s="1123"/>
      <c r="I190" s="1123"/>
      <c r="J190" s="385"/>
      <c r="K190" s="383"/>
      <c r="L190" s="383"/>
      <c r="M190" s="383"/>
      <c r="N190" s="383"/>
      <c r="O190" s="383"/>
      <c r="P190" s="383"/>
      <c r="Q190" s="386"/>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row>
    <row r="191" spans="1:46">
      <c r="A191" s="600" t="s">
        <v>253</v>
      </c>
      <c r="B191" s="160" t="s">
        <v>146</v>
      </c>
      <c r="C191" s="160" t="s">
        <v>26</v>
      </c>
      <c r="D191" s="260" t="s">
        <v>254</v>
      </c>
      <c r="E191" s="260" t="s">
        <v>69</v>
      </c>
      <c r="F191" s="263">
        <v>996</v>
      </c>
      <c r="G191" s="161">
        <v>960</v>
      </c>
      <c r="H191" s="115">
        <v>96</v>
      </c>
      <c r="I191" s="365">
        <v>20</v>
      </c>
      <c r="J191" s="379">
        <f>ROUND(G191*(1+'29_01_H_2020'!$O$10),2)</f>
        <v>1203.74</v>
      </c>
      <c r="K191" s="151">
        <f t="shared" ref="K191:K195" si="88">L191-H191</f>
        <v>24.370000000000005</v>
      </c>
      <c r="L191" s="151">
        <f>ROUND(H191*(1+'29_01_H_2020'!$O$10),2)</f>
        <v>120.37</v>
      </c>
      <c r="M191" s="151">
        <f t="shared" ref="M191:M195" si="89">(J191+L191)-(G191+H191)</f>
        <v>268.11000000000013</v>
      </c>
      <c r="N191" s="151">
        <f t="shared" ref="N191:N195" si="90">M191*I191</f>
        <v>5362.2000000000025</v>
      </c>
      <c r="O191" s="151">
        <f t="shared" ref="O191:O195" si="91">N191*12</f>
        <v>64346.400000000031</v>
      </c>
      <c r="P191" s="151">
        <f>ROUND(O191*'29_01_H_2020'!$O$17,2)</f>
        <v>15179.32</v>
      </c>
      <c r="Q191" s="380">
        <f t="shared" ref="Q191" si="92">SUM(O191:P191)</f>
        <v>79525.72000000003</v>
      </c>
      <c r="R191" s="152"/>
      <c r="S191" s="328"/>
      <c r="T191" s="328"/>
      <c r="U191" s="328"/>
      <c r="V191" s="328"/>
      <c r="W191" s="328"/>
      <c r="X191" s="328"/>
      <c r="Y191" s="328"/>
      <c r="Z191" s="328"/>
      <c r="AA191" s="328"/>
      <c r="AB191" s="328"/>
      <c r="AC191" s="329"/>
      <c r="AD191" s="152"/>
      <c r="AE191" s="152"/>
      <c r="AF191" s="328"/>
      <c r="AG191" s="328"/>
      <c r="AH191" s="328"/>
      <c r="AI191" s="328"/>
      <c r="AJ191" s="328"/>
      <c r="AK191" s="328"/>
      <c r="AL191" s="328"/>
      <c r="AM191" s="328"/>
      <c r="AN191" s="328"/>
      <c r="AO191" s="328"/>
      <c r="AP191" s="329"/>
      <c r="AQ191" s="152"/>
      <c r="AR191" s="152"/>
      <c r="AS191" s="152"/>
      <c r="AT191" s="152"/>
    </row>
    <row r="192" spans="1:46">
      <c r="A192" s="600" t="s">
        <v>281</v>
      </c>
      <c r="B192" s="160" t="s">
        <v>146</v>
      </c>
      <c r="C192" s="160" t="s">
        <v>42</v>
      </c>
      <c r="D192" s="260" t="s">
        <v>256</v>
      </c>
      <c r="E192" s="260" t="s">
        <v>69</v>
      </c>
      <c r="F192" s="263">
        <v>899</v>
      </c>
      <c r="G192" s="161">
        <v>862</v>
      </c>
      <c r="H192" s="115">
        <v>219.96</v>
      </c>
      <c r="I192" s="365">
        <v>8.25</v>
      </c>
      <c r="J192" s="379">
        <f>ROUND(G192*(1+'29_01_H_2020'!$O$10),2)</f>
        <v>1080.8599999999999</v>
      </c>
      <c r="K192" s="151">
        <f t="shared" si="88"/>
        <v>55.849999999999994</v>
      </c>
      <c r="L192" s="151">
        <f>ROUND(H192*(1+'29_01_H_2020'!$O$10),2)</f>
        <v>275.81</v>
      </c>
      <c r="M192" s="151">
        <f t="shared" si="89"/>
        <v>274.70999999999981</v>
      </c>
      <c r="N192" s="151">
        <f t="shared" si="90"/>
        <v>2266.3574999999983</v>
      </c>
      <c r="O192" s="151">
        <f t="shared" si="91"/>
        <v>27196.289999999979</v>
      </c>
      <c r="P192" s="151">
        <f>ROUND(O192*'29_01_H_2020'!$O$17,2)</f>
        <v>6415.6</v>
      </c>
      <c r="Q192" s="380">
        <f t="shared" ref="Q192:Q195" si="93">SUM(O192:P192)</f>
        <v>33611.889999999978</v>
      </c>
      <c r="R192" s="152"/>
      <c r="S192" s="328"/>
      <c r="T192" s="328"/>
      <c r="U192" s="328"/>
      <c r="V192" s="328"/>
      <c r="W192" s="328"/>
      <c r="X192" s="328"/>
      <c r="Y192" s="328"/>
      <c r="Z192" s="328"/>
      <c r="AA192" s="328"/>
      <c r="AB192" s="328"/>
      <c r="AC192" s="329"/>
      <c r="AD192" s="152"/>
      <c r="AE192" s="152"/>
      <c r="AF192" s="328"/>
      <c r="AG192" s="328"/>
      <c r="AH192" s="328"/>
      <c r="AI192" s="328"/>
      <c r="AJ192" s="328"/>
      <c r="AK192" s="328"/>
      <c r="AL192" s="328"/>
      <c r="AM192" s="328"/>
      <c r="AN192" s="328"/>
      <c r="AO192" s="328"/>
      <c r="AP192" s="329"/>
      <c r="AQ192" s="152"/>
      <c r="AR192" s="152"/>
      <c r="AS192" s="152"/>
      <c r="AT192" s="152"/>
    </row>
    <row r="193" spans="1:46">
      <c r="A193" s="600" t="s">
        <v>281</v>
      </c>
      <c r="B193" s="160" t="s">
        <v>146</v>
      </c>
      <c r="C193" s="160" t="s">
        <v>42</v>
      </c>
      <c r="D193" s="260" t="s">
        <v>256</v>
      </c>
      <c r="E193" s="260" t="s">
        <v>149</v>
      </c>
      <c r="F193" s="263">
        <v>740</v>
      </c>
      <c r="G193" s="161">
        <v>715</v>
      </c>
      <c r="H193" s="115">
        <v>182.45</v>
      </c>
      <c r="I193" s="365">
        <v>1</v>
      </c>
      <c r="J193" s="379">
        <f>ROUND(G193*(1+'29_01_H_2020'!$O$10),2)</f>
        <v>896.54</v>
      </c>
      <c r="K193" s="151">
        <f t="shared" si="88"/>
        <v>46.320000000000022</v>
      </c>
      <c r="L193" s="151">
        <f>ROUND(H193*(1+'29_01_H_2020'!$O$10),2)</f>
        <v>228.77</v>
      </c>
      <c r="M193" s="151">
        <f t="shared" si="89"/>
        <v>227.8599999999999</v>
      </c>
      <c r="N193" s="151">
        <f t="shared" si="90"/>
        <v>227.8599999999999</v>
      </c>
      <c r="O193" s="151">
        <f t="shared" si="91"/>
        <v>2734.3199999999988</v>
      </c>
      <c r="P193" s="151">
        <f>ROUND(O193*'29_01_H_2020'!$O$17,2)</f>
        <v>645.03</v>
      </c>
      <c r="Q193" s="380">
        <f t="shared" si="93"/>
        <v>3379.3499999999985</v>
      </c>
      <c r="R193" s="152"/>
      <c r="S193" s="328"/>
      <c r="T193" s="328"/>
      <c r="U193" s="328"/>
      <c r="V193" s="328"/>
      <c r="W193" s="328"/>
      <c r="X193" s="328"/>
      <c r="Y193" s="328"/>
      <c r="Z193" s="328"/>
      <c r="AA193" s="328"/>
      <c r="AB193" s="328"/>
      <c r="AC193" s="329"/>
      <c r="AD193" s="152"/>
      <c r="AE193" s="152"/>
      <c r="AF193" s="328"/>
      <c r="AG193" s="328"/>
      <c r="AH193" s="328"/>
      <c r="AI193" s="328"/>
      <c r="AJ193" s="328"/>
      <c r="AK193" s="328"/>
      <c r="AL193" s="328"/>
      <c r="AM193" s="328"/>
      <c r="AN193" s="328"/>
      <c r="AO193" s="328"/>
      <c r="AP193" s="329"/>
      <c r="AQ193" s="152"/>
      <c r="AR193" s="152"/>
      <c r="AS193" s="152"/>
      <c r="AT193" s="152"/>
    </row>
    <row r="194" spans="1:46">
      <c r="A194" s="601" t="s">
        <v>282</v>
      </c>
      <c r="B194" s="160" t="s">
        <v>146</v>
      </c>
      <c r="C194" s="160" t="s">
        <v>42</v>
      </c>
      <c r="D194" s="260" t="s">
        <v>254</v>
      </c>
      <c r="E194" s="260" t="s">
        <v>69</v>
      </c>
      <c r="F194" s="263">
        <v>996</v>
      </c>
      <c r="G194" s="161">
        <v>960</v>
      </c>
      <c r="H194" s="115">
        <v>244.97</v>
      </c>
      <c r="I194" s="365">
        <v>3.25</v>
      </c>
      <c r="J194" s="379">
        <f>ROUND(G194*(1+'29_01_H_2020'!$O$10),2)</f>
        <v>1203.74</v>
      </c>
      <c r="K194" s="151">
        <f t="shared" si="88"/>
        <v>62.200000000000017</v>
      </c>
      <c r="L194" s="151">
        <f>ROUND(H194*(1+'29_01_H_2020'!$O$10),2)</f>
        <v>307.17</v>
      </c>
      <c r="M194" s="151">
        <f t="shared" si="89"/>
        <v>305.94000000000005</v>
      </c>
      <c r="N194" s="151">
        <f t="shared" si="90"/>
        <v>994.30500000000018</v>
      </c>
      <c r="O194" s="151">
        <f t="shared" si="91"/>
        <v>11931.660000000002</v>
      </c>
      <c r="P194" s="151">
        <f>ROUND(O194*'29_01_H_2020'!$O$17,2)</f>
        <v>2814.68</v>
      </c>
      <c r="Q194" s="380">
        <f t="shared" si="93"/>
        <v>14746.340000000002</v>
      </c>
      <c r="R194" s="152"/>
      <c r="S194" s="328"/>
      <c r="T194" s="328"/>
      <c r="U194" s="328"/>
      <c r="V194" s="328"/>
      <c r="W194" s="328"/>
      <c r="X194" s="328"/>
      <c r="Y194" s="328"/>
      <c r="Z194" s="328"/>
      <c r="AA194" s="328"/>
      <c r="AB194" s="328"/>
      <c r="AC194" s="329"/>
      <c r="AD194" s="152"/>
      <c r="AE194" s="152"/>
      <c r="AF194" s="328"/>
      <c r="AG194" s="328"/>
      <c r="AH194" s="328"/>
      <c r="AI194" s="328"/>
      <c r="AJ194" s="328"/>
      <c r="AK194" s="328"/>
      <c r="AL194" s="328"/>
      <c r="AM194" s="328"/>
      <c r="AN194" s="328"/>
      <c r="AO194" s="328"/>
      <c r="AP194" s="329"/>
      <c r="AQ194" s="152"/>
      <c r="AR194" s="152"/>
      <c r="AS194" s="152"/>
      <c r="AT194" s="152"/>
    </row>
    <row r="195" spans="1:46">
      <c r="A195" s="600" t="s">
        <v>283</v>
      </c>
      <c r="B195" s="160" t="s">
        <v>284</v>
      </c>
      <c r="C195" s="160" t="s">
        <v>285</v>
      </c>
      <c r="D195" s="260" t="s">
        <v>252</v>
      </c>
      <c r="E195" s="260" t="s">
        <v>69</v>
      </c>
      <c r="F195" s="263">
        <v>1093</v>
      </c>
      <c r="G195" s="161">
        <v>1093</v>
      </c>
      <c r="H195" s="115">
        <v>109.30000000000001</v>
      </c>
      <c r="I195" s="365">
        <v>5</v>
      </c>
      <c r="J195" s="379">
        <f>ROUND(G195*(1+'29_01_H_2020'!$O$10),2)</f>
        <v>1370.51</v>
      </c>
      <c r="K195" s="151">
        <f t="shared" si="88"/>
        <v>27.75</v>
      </c>
      <c r="L195" s="151">
        <f>ROUND(H195*(1+'29_01_H_2020'!$O$10),2)</f>
        <v>137.05000000000001</v>
      </c>
      <c r="M195" s="151">
        <f t="shared" si="89"/>
        <v>305.26</v>
      </c>
      <c r="N195" s="151">
        <f t="shared" si="90"/>
        <v>1526.3</v>
      </c>
      <c r="O195" s="151">
        <f t="shared" si="91"/>
        <v>18315.599999999999</v>
      </c>
      <c r="P195" s="151">
        <f>ROUND(O195*'29_01_H_2020'!$O$17,2)</f>
        <v>4320.6499999999996</v>
      </c>
      <c r="Q195" s="380">
        <f t="shared" si="93"/>
        <v>22636.25</v>
      </c>
      <c r="R195" s="152"/>
      <c r="S195" s="328"/>
      <c r="T195" s="328"/>
      <c r="U195" s="328"/>
      <c r="V195" s="328"/>
      <c r="W195" s="328"/>
      <c r="X195" s="328"/>
      <c r="Y195" s="328"/>
      <c r="Z195" s="328"/>
      <c r="AA195" s="328"/>
      <c r="AB195" s="328"/>
      <c r="AC195" s="329"/>
      <c r="AD195" s="152"/>
      <c r="AE195" s="152"/>
      <c r="AF195" s="328"/>
      <c r="AG195" s="328"/>
      <c r="AH195" s="328"/>
      <c r="AI195" s="328"/>
      <c r="AJ195" s="328"/>
      <c r="AK195" s="328"/>
      <c r="AL195" s="328"/>
      <c r="AM195" s="328"/>
      <c r="AN195" s="328"/>
      <c r="AO195" s="328"/>
      <c r="AP195" s="329"/>
      <c r="AQ195" s="152"/>
      <c r="AR195" s="152"/>
      <c r="AS195" s="152"/>
      <c r="AT195" s="152"/>
    </row>
    <row r="196" spans="1:46">
      <c r="A196" s="28" t="s">
        <v>55</v>
      </c>
      <c r="B196" s="8" t="s">
        <v>52</v>
      </c>
      <c r="C196" s="9" t="s">
        <v>52</v>
      </c>
      <c r="D196" s="9" t="s">
        <v>52</v>
      </c>
      <c r="E196" s="9" t="s">
        <v>52</v>
      </c>
      <c r="F196" s="10" t="s">
        <v>52</v>
      </c>
      <c r="G196" s="10" t="s">
        <v>52</v>
      </c>
      <c r="H196" s="10" t="s">
        <v>52</v>
      </c>
      <c r="I196" s="360">
        <f>SUM(I191:I195)</f>
        <v>37.5</v>
      </c>
      <c r="J196" s="404"/>
      <c r="K196" s="405"/>
      <c r="L196" s="405"/>
      <c r="M196" s="405"/>
      <c r="N196" s="405"/>
      <c r="O196" s="405"/>
      <c r="P196" s="405"/>
      <c r="Q196" s="412"/>
      <c r="R196" s="152"/>
      <c r="S196" s="152"/>
      <c r="T196" s="152"/>
      <c r="U196" s="152"/>
      <c r="V196" s="152"/>
      <c r="W196" s="152"/>
      <c r="X196" s="152"/>
      <c r="Y196" s="152"/>
      <c r="Z196" s="328"/>
      <c r="AA196" s="152"/>
      <c r="AB196" s="152"/>
      <c r="AC196" s="152"/>
      <c r="AD196" s="152"/>
      <c r="AE196" s="152"/>
      <c r="AF196" s="152"/>
      <c r="AG196" s="152"/>
      <c r="AH196" s="152"/>
      <c r="AI196" s="152"/>
      <c r="AJ196" s="152"/>
      <c r="AK196" s="152"/>
      <c r="AL196" s="152"/>
      <c r="AM196" s="328"/>
      <c r="AN196" s="152"/>
      <c r="AO196" s="152"/>
      <c r="AP196" s="152"/>
      <c r="AQ196" s="152"/>
      <c r="AR196" s="152"/>
      <c r="AS196" s="152"/>
      <c r="AT196" s="152"/>
    </row>
    <row r="197" spans="1:46" s="333" customFormat="1">
      <c r="A197" s="1111" t="s">
        <v>47</v>
      </c>
      <c r="B197" s="1112"/>
      <c r="C197" s="1112"/>
      <c r="D197" s="1112"/>
      <c r="E197" s="1112"/>
      <c r="F197" s="1112"/>
      <c r="G197" s="1112"/>
      <c r="H197" s="1112"/>
      <c r="I197" s="1113"/>
      <c r="J197" s="385"/>
      <c r="K197" s="383"/>
      <c r="L197" s="383"/>
      <c r="M197" s="383"/>
      <c r="N197" s="383"/>
      <c r="O197" s="383"/>
      <c r="P197" s="383"/>
      <c r="Q197" s="386"/>
      <c r="R197" s="152"/>
      <c r="S197" s="217"/>
      <c r="T197" s="217"/>
      <c r="U197" s="217"/>
      <c r="V197" s="217"/>
      <c r="W197" s="217"/>
      <c r="X197" s="217"/>
      <c r="Y197" s="217"/>
      <c r="Z197" s="217"/>
      <c r="AA197" s="217"/>
      <c r="AB197" s="217"/>
      <c r="AC197" s="152"/>
      <c r="AD197" s="152"/>
      <c r="AE197" s="152"/>
      <c r="AF197" s="152"/>
      <c r="AG197" s="152"/>
      <c r="AH197" s="152"/>
      <c r="AI197" s="152"/>
      <c r="AJ197" s="152"/>
      <c r="AK197" s="152"/>
      <c r="AL197" s="152"/>
      <c r="AM197" s="152"/>
      <c r="AN197" s="152"/>
      <c r="AO197" s="152"/>
      <c r="AP197" s="152"/>
      <c r="AQ197" s="152"/>
      <c r="AR197" s="152"/>
      <c r="AS197" s="152"/>
    </row>
    <row r="198" spans="1:46" s="333" customFormat="1">
      <c r="A198" s="100" t="s">
        <v>564</v>
      </c>
      <c r="B198" s="101" t="s">
        <v>140</v>
      </c>
      <c r="C198" s="32" t="s">
        <v>251</v>
      </c>
      <c r="D198" s="259">
        <v>8</v>
      </c>
      <c r="E198" s="259">
        <v>3</v>
      </c>
      <c r="F198" s="264">
        <v>1093</v>
      </c>
      <c r="G198" s="102">
        <v>1093</v>
      </c>
      <c r="H198" s="102">
        <v>109.30000000000001</v>
      </c>
      <c r="I198" s="359">
        <v>1</v>
      </c>
      <c r="J198" s="379">
        <f>ROUND(G198*(1+'29_01_H_2020'!$O$14),2)</f>
        <v>1370.51</v>
      </c>
      <c r="K198" s="151">
        <f>L198-H198</f>
        <v>27.75</v>
      </c>
      <c r="L198" s="151">
        <f>ROUND(H198*(1+'29_01_H_2020'!$O$14),2)</f>
        <v>137.05000000000001</v>
      </c>
      <c r="M198" s="151">
        <f>(J198+L198)-(G198+H198)</f>
        <v>305.26</v>
      </c>
      <c r="N198" s="151">
        <f>M198*I198</f>
        <v>305.26</v>
      </c>
      <c r="O198" s="151">
        <f t="shared" ref="O198" si="94">N198*12</f>
        <v>3663.12</v>
      </c>
      <c r="P198" s="151">
        <f>ROUND(O198*'29_01_H_2020'!$O$17,2)</f>
        <v>864.13</v>
      </c>
      <c r="Q198" s="380">
        <f t="shared" ref="Q198" si="95">SUM(O198:P198)</f>
        <v>4527.25</v>
      </c>
      <c r="R198" s="152"/>
      <c r="S198" s="328"/>
      <c r="T198" s="328"/>
      <c r="U198" s="328"/>
      <c r="V198" s="328"/>
      <c r="W198" s="328"/>
      <c r="X198" s="328"/>
      <c r="Y198" s="328"/>
      <c r="Z198" s="328"/>
      <c r="AA198" s="328"/>
      <c r="AB198" s="328"/>
      <c r="AC198" s="329"/>
      <c r="AD198" s="152"/>
      <c r="AE198" s="152"/>
      <c r="AF198" s="328"/>
      <c r="AG198" s="328"/>
      <c r="AH198" s="328"/>
      <c r="AI198" s="328"/>
      <c r="AJ198" s="328"/>
      <c r="AK198" s="328"/>
      <c r="AL198" s="328"/>
      <c r="AM198" s="328"/>
      <c r="AN198" s="328"/>
      <c r="AO198" s="328"/>
      <c r="AP198" s="329"/>
      <c r="AQ198" s="152"/>
      <c r="AR198" s="152"/>
      <c r="AS198" s="152"/>
    </row>
    <row r="199" spans="1:46" s="333" customFormat="1">
      <c r="A199" s="11" t="s">
        <v>55</v>
      </c>
      <c r="B199" s="8" t="s">
        <v>52</v>
      </c>
      <c r="C199" s="9" t="s">
        <v>52</v>
      </c>
      <c r="D199" s="9" t="s">
        <v>52</v>
      </c>
      <c r="E199" s="9" t="s">
        <v>52</v>
      </c>
      <c r="F199" s="10" t="s">
        <v>52</v>
      </c>
      <c r="G199" s="10" t="s">
        <v>52</v>
      </c>
      <c r="H199" s="10" t="s">
        <v>52</v>
      </c>
      <c r="I199" s="360">
        <f>SUM(I198:I198)</f>
        <v>1</v>
      </c>
      <c r="J199" s="404"/>
      <c r="K199" s="405"/>
      <c r="L199" s="405"/>
      <c r="M199" s="405"/>
      <c r="N199" s="405"/>
      <c r="O199" s="405"/>
      <c r="P199" s="405"/>
      <c r="Q199" s="406"/>
      <c r="R199" s="152"/>
      <c r="S199" s="152"/>
      <c r="T199" s="332"/>
      <c r="U199" s="152"/>
      <c r="V199" s="152"/>
      <c r="W199" s="152"/>
      <c r="X199" s="152"/>
      <c r="Y199" s="152"/>
      <c r="Z199" s="152"/>
      <c r="AA199" s="152"/>
      <c r="AB199" s="152"/>
      <c r="AC199" s="152"/>
      <c r="AD199" s="152"/>
      <c r="AE199" s="152"/>
      <c r="AF199" s="152"/>
      <c r="AG199" s="152"/>
      <c r="AH199" s="152"/>
      <c r="AI199" s="152"/>
      <c r="AJ199" s="152"/>
      <c r="AK199" s="152"/>
      <c r="AL199" s="152"/>
      <c r="AM199" s="152"/>
      <c r="AN199" s="152"/>
      <c r="AO199" s="152"/>
      <c r="AP199" s="152"/>
      <c r="AQ199" s="152"/>
      <c r="AR199" s="152"/>
      <c r="AS199" s="152"/>
    </row>
    <row r="200" spans="1:46">
      <c r="A200" s="137" t="s">
        <v>286</v>
      </c>
      <c r="B200" s="158" t="s">
        <v>52</v>
      </c>
      <c r="C200" s="158" t="s">
        <v>52</v>
      </c>
      <c r="D200" s="158" t="s">
        <v>52</v>
      </c>
      <c r="E200" s="158" t="s">
        <v>52</v>
      </c>
      <c r="F200" s="158" t="s">
        <v>52</v>
      </c>
      <c r="G200" s="158" t="s">
        <v>52</v>
      </c>
      <c r="H200" s="158" t="s">
        <v>52</v>
      </c>
      <c r="I200" s="362">
        <f>I189+I196+I199</f>
        <v>45.5</v>
      </c>
      <c r="J200" s="407"/>
      <c r="K200" s="408"/>
      <c r="L200" s="408"/>
      <c r="M200" s="408"/>
      <c r="N200" s="408"/>
      <c r="O200" s="408"/>
      <c r="P200" s="408"/>
      <c r="Q200" s="416"/>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Q200" s="152"/>
      <c r="AR200" s="152"/>
      <c r="AS200" s="152"/>
      <c r="AT200" s="152"/>
    </row>
    <row r="201" spans="1:46">
      <c r="A201" s="144" t="s">
        <v>287</v>
      </c>
      <c r="B201" s="143"/>
      <c r="C201" s="143"/>
      <c r="D201" s="143"/>
      <c r="E201" s="143"/>
      <c r="F201" s="162"/>
      <c r="G201" s="162"/>
      <c r="H201" s="162"/>
      <c r="I201" s="366">
        <f>I200+I180+I151+I132+I111</f>
        <v>344.35</v>
      </c>
      <c r="J201" s="413"/>
      <c r="K201" s="414"/>
      <c r="L201" s="414"/>
      <c r="M201" s="414"/>
      <c r="N201" s="414"/>
      <c r="O201" s="414"/>
      <c r="P201" s="414"/>
      <c r="Q201" s="415"/>
      <c r="R201" s="152"/>
      <c r="S201" s="152"/>
      <c r="T201" s="152"/>
      <c r="U201" s="152"/>
      <c r="V201" s="152"/>
      <c r="W201" s="152"/>
      <c r="X201" s="152"/>
      <c r="Y201" s="152"/>
      <c r="Z201" s="152"/>
      <c r="AA201" s="152"/>
      <c r="AB201" s="152"/>
      <c r="AC201" s="152"/>
      <c r="AD201" s="152"/>
      <c r="AE201" s="152"/>
      <c r="AF201" s="152"/>
      <c r="AG201" s="152"/>
      <c r="AH201" s="152"/>
      <c r="AI201" s="152"/>
      <c r="AJ201" s="152"/>
      <c r="AK201" s="152"/>
      <c r="AL201" s="152"/>
      <c r="AM201" s="152"/>
      <c r="AN201" s="152"/>
      <c r="AO201" s="152"/>
      <c r="AP201" s="152"/>
      <c r="AQ201" s="152"/>
      <c r="AR201" s="152"/>
      <c r="AS201" s="152"/>
      <c r="AT201" s="152"/>
    </row>
    <row r="202" spans="1:46" ht="30" customHeight="1">
      <c r="A202" s="1103" t="s">
        <v>288</v>
      </c>
      <c r="B202" s="1104"/>
      <c r="C202" s="1104"/>
      <c r="D202" s="1104"/>
      <c r="E202" s="1104"/>
      <c r="F202" s="1104"/>
      <c r="G202" s="1104"/>
      <c r="H202" s="1104"/>
      <c r="I202" s="1105"/>
      <c r="J202" s="384"/>
      <c r="K202" s="382"/>
      <c r="L202" s="382"/>
      <c r="M202" s="382"/>
      <c r="N202" s="382"/>
      <c r="O202" s="382"/>
      <c r="P202" s="382"/>
      <c r="Q202" s="549">
        <f>SUM(Q204:Q219,Q222:Q231,Q234:Q239)</f>
        <v>318051.29000000004</v>
      </c>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row>
    <row r="203" spans="1:46">
      <c r="A203" s="1098" t="s">
        <v>11</v>
      </c>
      <c r="B203" s="1099"/>
      <c r="C203" s="1099"/>
      <c r="D203" s="1099"/>
      <c r="E203" s="1099"/>
      <c r="F203" s="1099"/>
      <c r="G203" s="1099"/>
      <c r="H203" s="1099"/>
      <c r="I203" s="1100"/>
      <c r="J203" s="385"/>
      <c r="K203" s="383"/>
      <c r="L203" s="383"/>
      <c r="M203" s="383"/>
      <c r="N203" s="383"/>
      <c r="O203" s="383"/>
      <c r="P203" s="383"/>
      <c r="Q203" s="386"/>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Q203" s="152"/>
      <c r="AR203" s="152"/>
      <c r="AS203" s="152"/>
      <c r="AT203" s="152"/>
    </row>
    <row r="204" spans="1:46">
      <c r="A204" s="121" t="s">
        <v>224</v>
      </c>
      <c r="B204" s="122">
        <v>5.0999999999999996</v>
      </c>
      <c r="C204" s="122" t="s">
        <v>45</v>
      </c>
      <c r="D204" s="122">
        <v>9</v>
      </c>
      <c r="E204" s="261" t="s">
        <v>69</v>
      </c>
      <c r="F204" s="263">
        <v>1190</v>
      </c>
      <c r="G204" s="90">
        <v>1190</v>
      </c>
      <c r="H204" s="90">
        <v>81</v>
      </c>
      <c r="I204" s="359">
        <v>1</v>
      </c>
      <c r="J204" s="379">
        <f>ROUND(G204*(1+'29_01_H_2020'!$O$14),2)</f>
        <v>1492.14</v>
      </c>
      <c r="K204" s="151">
        <f t="shared" ref="K204:K219" si="96">L204-H204</f>
        <v>20.569999999999993</v>
      </c>
      <c r="L204" s="151">
        <f>ROUND(H204*(1+'29_01_H_2020'!$O$14),2)</f>
        <v>101.57</v>
      </c>
      <c r="M204" s="151">
        <f t="shared" ref="M204:M219" si="97">(J204+L204)-(G204+H204)</f>
        <v>322.71000000000004</v>
      </c>
      <c r="N204" s="151">
        <f t="shared" ref="N204:N219" si="98">M204*I204</f>
        <v>322.71000000000004</v>
      </c>
      <c r="O204" s="151">
        <f t="shared" ref="O204:O219" si="99">N204*12</f>
        <v>3872.5200000000004</v>
      </c>
      <c r="P204" s="151">
        <f>ROUND(O204*'29_01_H_2020'!$O$17,2)</f>
        <v>913.53</v>
      </c>
      <c r="Q204" s="380">
        <f t="shared" ref="Q204" si="100">SUM(O204:P204)</f>
        <v>4786.05</v>
      </c>
      <c r="R204" s="152"/>
      <c r="S204" s="328"/>
      <c r="T204" s="328"/>
      <c r="U204" s="328"/>
      <c r="V204" s="328"/>
      <c r="W204" s="328"/>
      <c r="X204" s="328"/>
      <c r="Y204" s="328"/>
      <c r="Z204" s="328"/>
      <c r="AA204" s="328"/>
      <c r="AB204" s="328"/>
      <c r="AC204" s="329"/>
      <c r="AD204" s="152"/>
      <c r="AE204" s="152"/>
      <c r="AF204" s="328"/>
      <c r="AG204" s="328"/>
      <c r="AH204" s="328"/>
      <c r="AI204" s="328"/>
      <c r="AJ204" s="328"/>
      <c r="AK204" s="328"/>
      <c r="AL204" s="328"/>
      <c r="AM204" s="328"/>
      <c r="AN204" s="328"/>
      <c r="AO204" s="328"/>
      <c r="AP204" s="329"/>
      <c r="AQ204" s="152"/>
      <c r="AR204" s="152"/>
      <c r="AS204" s="152"/>
      <c r="AT204" s="152"/>
    </row>
    <row r="205" spans="1:46">
      <c r="A205" s="121" t="s">
        <v>25</v>
      </c>
      <c r="B205" s="122">
        <v>5.0999999999999996</v>
      </c>
      <c r="C205" s="122" t="s">
        <v>26</v>
      </c>
      <c r="D205" s="122">
        <v>10</v>
      </c>
      <c r="E205" s="261" t="s">
        <v>69</v>
      </c>
      <c r="F205" s="263">
        <v>1287</v>
      </c>
      <c r="G205" s="90">
        <v>1287</v>
      </c>
      <c r="H205" s="90">
        <v>84</v>
      </c>
      <c r="I205" s="359">
        <v>3.5</v>
      </c>
      <c r="J205" s="379">
        <f>ROUND(G205*(1+'29_01_H_2020'!$O$14),2)</f>
        <v>1613.77</v>
      </c>
      <c r="K205" s="151">
        <f t="shared" si="96"/>
        <v>21.33</v>
      </c>
      <c r="L205" s="151">
        <f>ROUND(H205*(1+'29_01_H_2020'!$O$14),2)</f>
        <v>105.33</v>
      </c>
      <c r="M205" s="151">
        <f t="shared" si="97"/>
        <v>348.09999999999991</v>
      </c>
      <c r="N205" s="151">
        <f t="shared" si="98"/>
        <v>1218.3499999999997</v>
      </c>
      <c r="O205" s="151">
        <f t="shared" si="99"/>
        <v>14620.199999999997</v>
      </c>
      <c r="P205" s="151">
        <f>ROUND(O205*'29_01_H_2020'!$O$17,2)</f>
        <v>3448.91</v>
      </c>
      <c r="Q205" s="380">
        <f t="shared" ref="Q205:Q219" si="101">SUM(O205:P205)</f>
        <v>18069.109999999997</v>
      </c>
      <c r="R205" s="152"/>
      <c r="S205" s="328"/>
      <c r="T205" s="328"/>
      <c r="U205" s="328"/>
      <c r="V205" s="328"/>
      <c r="W205" s="328"/>
      <c r="X205" s="328"/>
      <c r="Y205" s="328"/>
      <c r="Z205" s="328"/>
      <c r="AA205" s="328"/>
      <c r="AB205" s="328"/>
      <c r="AC205" s="329"/>
      <c r="AD205" s="152"/>
      <c r="AE205" s="152"/>
      <c r="AF205" s="328"/>
      <c r="AG205" s="328"/>
      <c r="AH205" s="328"/>
      <c r="AI205" s="328"/>
      <c r="AJ205" s="328"/>
      <c r="AK205" s="328"/>
      <c r="AL205" s="328"/>
      <c r="AM205" s="328"/>
      <c r="AN205" s="328"/>
      <c r="AO205" s="328"/>
      <c r="AP205" s="329"/>
      <c r="AQ205" s="152"/>
      <c r="AR205" s="152"/>
      <c r="AS205" s="152"/>
      <c r="AT205" s="152"/>
    </row>
    <row r="206" spans="1:46">
      <c r="A206" s="121" t="s">
        <v>565</v>
      </c>
      <c r="B206" s="122">
        <v>5.0999999999999996</v>
      </c>
      <c r="C206" s="33" t="s">
        <v>45</v>
      </c>
      <c r="D206" s="122">
        <v>9</v>
      </c>
      <c r="E206" s="261" t="s">
        <v>69</v>
      </c>
      <c r="F206" s="263">
        <v>1190</v>
      </c>
      <c r="G206" s="90">
        <v>1190</v>
      </c>
      <c r="H206" s="90">
        <v>80</v>
      </c>
      <c r="I206" s="359">
        <v>1</v>
      </c>
      <c r="J206" s="379">
        <f>ROUND(G206*(1+'29_01_H_2020'!$O$14),2)</f>
        <v>1492.14</v>
      </c>
      <c r="K206" s="151">
        <f t="shared" si="96"/>
        <v>20.310000000000002</v>
      </c>
      <c r="L206" s="151">
        <f>ROUND(H206*(1+'29_01_H_2020'!$O$14),2)</f>
        <v>100.31</v>
      </c>
      <c r="M206" s="151">
        <f t="shared" si="97"/>
        <v>322.45000000000005</v>
      </c>
      <c r="N206" s="151">
        <f t="shared" si="98"/>
        <v>322.45000000000005</v>
      </c>
      <c r="O206" s="151">
        <f t="shared" si="99"/>
        <v>3869.4000000000005</v>
      </c>
      <c r="P206" s="151">
        <f>ROUND(O206*'29_01_H_2020'!$O$17,2)</f>
        <v>912.79</v>
      </c>
      <c r="Q206" s="380">
        <f t="shared" si="101"/>
        <v>4782.1900000000005</v>
      </c>
      <c r="R206" s="152"/>
      <c r="S206" s="328"/>
      <c r="T206" s="328"/>
      <c r="U206" s="328"/>
      <c r="V206" s="328"/>
      <c r="W206" s="328"/>
      <c r="X206" s="328"/>
      <c r="Y206" s="328"/>
      <c r="Z206" s="328"/>
      <c r="AA206" s="328"/>
      <c r="AB206" s="328"/>
      <c r="AC206" s="329"/>
      <c r="AD206" s="152"/>
      <c r="AE206" s="152"/>
      <c r="AF206" s="328"/>
      <c r="AG206" s="328"/>
      <c r="AH206" s="328"/>
      <c r="AI206" s="328"/>
      <c r="AJ206" s="328"/>
      <c r="AK206" s="328"/>
      <c r="AL206" s="328"/>
      <c r="AM206" s="328"/>
      <c r="AN206" s="328"/>
      <c r="AO206" s="328"/>
      <c r="AP206" s="329"/>
      <c r="AQ206" s="152"/>
      <c r="AR206" s="152"/>
      <c r="AS206" s="152"/>
      <c r="AT206" s="152"/>
    </row>
    <row r="207" spans="1:46">
      <c r="A207" s="121" t="s">
        <v>289</v>
      </c>
      <c r="B207" s="122">
        <v>5.0999999999999996</v>
      </c>
      <c r="C207" s="33" t="s">
        <v>26</v>
      </c>
      <c r="D207" s="122">
        <v>10</v>
      </c>
      <c r="E207" s="261" t="s">
        <v>69</v>
      </c>
      <c r="F207" s="263">
        <v>1287</v>
      </c>
      <c r="G207" s="90">
        <v>1287</v>
      </c>
      <c r="H207" s="90">
        <v>56</v>
      </c>
      <c r="I207" s="359">
        <v>0.25</v>
      </c>
      <c r="J207" s="379">
        <f>ROUND(G207*(1+'29_01_H_2020'!$O$14),2)</f>
        <v>1613.77</v>
      </c>
      <c r="K207" s="151">
        <f t="shared" si="96"/>
        <v>14.219999999999999</v>
      </c>
      <c r="L207" s="151">
        <f>ROUND(H207*(1+'29_01_H_2020'!$O$14),2)</f>
        <v>70.22</v>
      </c>
      <c r="M207" s="151">
        <f t="shared" si="97"/>
        <v>340.99</v>
      </c>
      <c r="N207" s="151">
        <f t="shared" si="98"/>
        <v>85.247500000000002</v>
      </c>
      <c r="O207" s="151">
        <f t="shared" si="99"/>
        <v>1022.97</v>
      </c>
      <c r="P207" s="151">
        <f>ROUND(O207*'29_01_H_2020'!$O$17,2)</f>
        <v>241.32</v>
      </c>
      <c r="Q207" s="380">
        <f t="shared" si="101"/>
        <v>1264.29</v>
      </c>
      <c r="R207" s="152"/>
      <c r="S207" s="328"/>
      <c r="T207" s="328"/>
      <c r="U207" s="328"/>
      <c r="V207" s="328"/>
      <c r="W207" s="328"/>
      <c r="X207" s="328"/>
      <c r="Y207" s="328"/>
      <c r="Z207" s="328"/>
      <c r="AA207" s="328"/>
      <c r="AB207" s="328"/>
      <c r="AC207" s="329"/>
      <c r="AD207" s="152"/>
      <c r="AE207" s="152"/>
      <c r="AF207" s="328"/>
      <c r="AG207" s="328"/>
      <c r="AH207" s="328"/>
      <c r="AI207" s="328"/>
      <c r="AJ207" s="328"/>
      <c r="AK207" s="328"/>
      <c r="AL207" s="328"/>
      <c r="AM207" s="328"/>
      <c r="AN207" s="328"/>
      <c r="AO207" s="328"/>
      <c r="AP207" s="329"/>
      <c r="AQ207" s="152"/>
      <c r="AR207" s="152"/>
      <c r="AS207" s="152"/>
      <c r="AT207" s="152"/>
    </row>
    <row r="208" spans="1:46">
      <c r="A208" s="123" t="s">
        <v>290</v>
      </c>
      <c r="B208" s="122">
        <v>5.0999999999999996</v>
      </c>
      <c r="C208" s="33" t="s">
        <v>26</v>
      </c>
      <c r="D208" s="122">
        <v>10</v>
      </c>
      <c r="E208" s="261" t="s">
        <v>69</v>
      </c>
      <c r="F208" s="263">
        <v>1287</v>
      </c>
      <c r="G208" s="90">
        <v>979</v>
      </c>
      <c r="H208" s="90">
        <v>345</v>
      </c>
      <c r="I208" s="359">
        <v>2.75</v>
      </c>
      <c r="J208" s="379">
        <f>ROUND(G208*(1+'29_01_H_2020'!$O$14),2)</f>
        <v>1227.57</v>
      </c>
      <c r="K208" s="151">
        <f t="shared" si="96"/>
        <v>87.600000000000023</v>
      </c>
      <c r="L208" s="151">
        <f>ROUND(H208*(1+'29_01_H_2020'!$O$14),2)</f>
        <v>432.6</v>
      </c>
      <c r="M208" s="151">
        <f t="shared" si="97"/>
        <v>336.17000000000007</v>
      </c>
      <c r="N208" s="151">
        <f t="shared" si="98"/>
        <v>924.4675000000002</v>
      </c>
      <c r="O208" s="151">
        <f t="shared" si="99"/>
        <v>11093.610000000002</v>
      </c>
      <c r="P208" s="151">
        <f>ROUND(O208*'29_01_H_2020'!$O$17,2)</f>
        <v>2616.98</v>
      </c>
      <c r="Q208" s="380">
        <f t="shared" si="101"/>
        <v>13710.590000000002</v>
      </c>
      <c r="R208" s="152"/>
      <c r="S208" s="328"/>
      <c r="T208" s="328"/>
      <c r="U208" s="328"/>
      <c r="V208" s="328"/>
      <c r="W208" s="328"/>
      <c r="X208" s="328"/>
      <c r="Y208" s="328"/>
      <c r="Z208" s="328"/>
      <c r="AA208" s="328"/>
      <c r="AB208" s="328"/>
      <c r="AC208" s="329"/>
      <c r="AD208" s="152"/>
      <c r="AE208" s="152"/>
      <c r="AF208" s="328"/>
      <c r="AG208" s="328"/>
      <c r="AH208" s="328"/>
      <c r="AI208" s="328"/>
      <c r="AJ208" s="328"/>
      <c r="AK208" s="328"/>
      <c r="AL208" s="328"/>
      <c r="AM208" s="328"/>
      <c r="AN208" s="328"/>
      <c r="AO208" s="328"/>
      <c r="AP208" s="329"/>
      <c r="AQ208" s="152"/>
      <c r="AR208" s="152"/>
      <c r="AS208" s="152"/>
      <c r="AT208" s="152"/>
    </row>
    <row r="209" spans="1:46">
      <c r="A209" s="124" t="s">
        <v>290</v>
      </c>
      <c r="B209" s="122">
        <v>5.0999999999999996</v>
      </c>
      <c r="C209" s="33" t="s">
        <v>45</v>
      </c>
      <c r="D209" s="122">
        <v>9</v>
      </c>
      <c r="E209" s="261" t="s">
        <v>69</v>
      </c>
      <c r="F209" s="263">
        <v>1190</v>
      </c>
      <c r="G209" s="90">
        <v>957</v>
      </c>
      <c r="H209" s="90">
        <v>335</v>
      </c>
      <c r="I209" s="359">
        <v>0.25</v>
      </c>
      <c r="J209" s="379">
        <f>ROUND(G209*(1+'29_01_H_2020'!$O$14),2)</f>
        <v>1199.98</v>
      </c>
      <c r="K209" s="151">
        <f t="shared" si="96"/>
        <v>85.06</v>
      </c>
      <c r="L209" s="151">
        <f>ROUND(H209*(1+'29_01_H_2020'!$O$14),2)</f>
        <v>420.06</v>
      </c>
      <c r="M209" s="151">
        <f t="shared" si="97"/>
        <v>328.03999999999996</v>
      </c>
      <c r="N209" s="151">
        <f t="shared" si="98"/>
        <v>82.009999999999991</v>
      </c>
      <c r="O209" s="151">
        <f t="shared" si="99"/>
        <v>984.11999999999989</v>
      </c>
      <c r="P209" s="151">
        <f>ROUND(O209*'29_01_H_2020'!$O$17,2)</f>
        <v>232.15</v>
      </c>
      <c r="Q209" s="380">
        <f t="shared" si="101"/>
        <v>1216.27</v>
      </c>
      <c r="R209" s="152"/>
      <c r="S209" s="328"/>
      <c r="T209" s="328"/>
      <c r="U209" s="328"/>
      <c r="V209" s="328"/>
      <c r="W209" s="328"/>
      <c r="X209" s="328"/>
      <c r="Y209" s="328"/>
      <c r="Z209" s="328"/>
      <c r="AA209" s="328"/>
      <c r="AB209" s="328"/>
      <c r="AC209" s="329"/>
      <c r="AD209" s="152"/>
      <c r="AE209" s="152"/>
      <c r="AF209" s="328"/>
      <c r="AG209" s="328"/>
      <c r="AH209" s="328"/>
      <c r="AI209" s="328"/>
      <c r="AJ209" s="328"/>
      <c r="AK209" s="328"/>
      <c r="AL209" s="328"/>
      <c r="AM209" s="328"/>
      <c r="AN209" s="328"/>
      <c r="AO209" s="328"/>
      <c r="AP209" s="329"/>
      <c r="AQ209" s="152"/>
      <c r="AR209" s="152"/>
      <c r="AS209" s="152"/>
      <c r="AT209" s="152"/>
    </row>
    <row r="210" spans="1:46">
      <c r="A210" s="121" t="s">
        <v>291</v>
      </c>
      <c r="B210" s="122">
        <v>5.0999999999999996</v>
      </c>
      <c r="C210" s="122" t="s">
        <v>251</v>
      </c>
      <c r="D210" s="122">
        <v>9</v>
      </c>
      <c r="E210" s="261" t="s">
        <v>69</v>
      </c>
      <c r="F210" s="263">
        <v>1190</v>
      </c>
      <c r="G210" s="90">
        <v>1190</v>
      </c>
      <c r="H210" s="90">
        <v>56</v>
      </c>
      <c r="I210" s="359">
        <v>1</v>
      </c>
      <c r="J210" s="379">
        <f>ROUND(G210*(1+'29_01_H_2020'!$O$14),2)</f>
        <v>1492.14</v>
      </c>
      <c r="K210" s="151">
        <f t="shared" si="96"/>
        <v>14.219999999999999</v>
      </c>
      <c r="L210" s="151">
        <f>ROUND(H210*(1+'29_01_H_2020'!$O$14),2)</f>
        <v>70.22</v>
      </c>
      <c r="M210" s="151">
        <f t="shared" si="97"/>
        <v>316.36000000000013</v>
      </c>
      <c r="N210" s="151">
        <f t="shared" si="98"/>
        <v>316.36000000000013</v>
      </c>
      <c r="O210" s="151">
        <f t="shared" si="99"/>
        <v>3796.3200000000015</v>
      </c>
      <c r="P210" s="151">
        <f>ROUND(O210*'29_01_H_2020'!$O$17,2)</f>
        <v>895.55</v>
      </c>
      <c r="Q210" s="380">
        <f t="shared" si="101"/>
        <v>4691.8700000000017</v>
      </c>
      <c r="R210" s="152"/>
      <c r="S210" s="328"/>
      <c r="T210" s="328"/>
      <c r="U210" s="328"/>
      <c r="V210" s="328"/>
      <c r="W210" s="328"/>
      <c r="X210" s="328"/>
      <c r="Y210" s="328"/>
      <c r="Z210" s="328"/>
      <c r="AA210" s="328"/>
      <c r="AB210" s="328"/>
      <c r="AC210" s="329"/>
      <c r="AD210" s="329"/>
      <c r="AE210" s="152"/>
      <c r="AF210" s="328"/>
      <c r="AG210" s="328"/>
      <c r="AH210" s="328"/>
      <c r="AI210" s="328"/>
      <c r="AJ210" s="328"/>
      <c r="AK210" s="328"/>
      <c r="AL210" s="328"/>
      <c r="AM210" s="328"/>
      <c r="AN210" s="328"/>
      <c r="AO210" s="328"/>
      <c r="AP210" s="329"/>
      <c r="AQ210" s="152"/>
      <c r="AR210" s="152"/>
      <c r="AS210" s="152"/>
      <c r="AT210" s="152"/>
    </row>
    <row r="211" spans="1:46">
      <c r="A211" s="121" t="s">
        <v>250</v>
      </c>
      <c r="B211" s="122">
        <v>5.0999999999999996</v>
      </c>
      <c r="C211" s="33" t="s">
        <v>251</v>
      </c>
      <c r="D211" s="122">
        <v>9</v>
      </c>
      <c r="E211" s="261" t="s">
        <v>69</v>
      </c>
      <c r="F211" s="263">
        <v>1190</v>
      </c>
      <c r="G211" s="90">
        <v>1177</v>
      </c>
      <c r="H211" s="90">
        <v>62</v>
      </c>
      <c r="I211" s="359">
        <v>6</v>
      </c>
      <c r="J211" s="379">
        <f>ROUND(G211*(1+'29_01_H_2020'!$O$14),2)</f>
        <v>1475.84</v>
      </c>
      <c r="K211" s="151">
        <f t="shared" si="96"/>
        <v>15.739999999999995</v>
      </c>
      <c r="L211" s="151">
        <f>ROUND(H211*(1+'29_01_H_2020'!$O$14),2)</f>
        <v>77.739999999999995</v>
      </c>
      <c r="M211" s="151">
        <f t="shared" si="97"/>
        <v>314.57999999999993</v>
      </c>
      <c r="N211" s="151">
        <f t="shared" si="98"/>
        <v>1887.4799999999996</v>
      </c>
      <c r="O211" s="151">
        <f t="shared" si="99"/>
        <v>22649.759999999995</v>
      </c>
      <c r="P211" s="151">
        <f>ROUND(O211*'29_01_H_2020'!$O$17,2)</f>
        <v>5343.08</v>
      </c>
      <c r="Q211" s="380">
        <f t="shared" si="101"/>
        <v>27992.839999999997</v>
      </c>
      <c r="R211" s="152"/>
      <c r="S211" s="328"/>
      <c r="T211" s="328"/>
      <c r="U211" s="328"/>
      <c r="V211" s="328"/>
      <c r="W211" s="328"/>
      <c r="X211" s="328"/>
      <c r="Y211" s="328"/>
      <c r="Z211" s="328"/>
      <c r="AA211" s="328"/>
      <c r="AB211" s="328"/>
      <c r="AC211" s="329"/>
      <c r="AD211" s="329"/>
      <c r="AE211" s="152"/>
      <c r="AF211" s="328"/>
      <c r="AG211" s="328"/>
      <c r="AH211" s="328"/>
      <c r="AI211" s="328"/>
      <c r="AJ211" s="328"/>
      <c r="AK211" s="328"/>
      <c r="AL211" s="328"/>
      <c r="AM211" s="328"/>
      <c r="AN211" s="328"/>
      <c r="AO211" s="328"/>
      <c r="AP211" s="329"/>
      <c r="AQ211" s="152"/>
      <c r="AR211" s="152"/>
      <c r="AS211" s="152"/>
      <c r="AT211" s="152"/>
    </row>
    <row r="212" spans="1:46">
      <c r="A212" s="123" t="s">
        <v>261</v>
      </c>
      <c r="B212" s="33">
        <v>5.0999999999999996</v>
      </c>
      <c r="C212" s="33" t="s">
        <v>251</v>
      </c>
      <c r="D212" s="122">
        <v>9</v>
      </c>
      <c r="E212" s="261" t="s">
        <v>69</v>
      </c>
      <c r="F212" s="263">
        <v>1190</v>
      </c>
      <c r="G212" s="90">
        <v>1067</v>
      </c>
      <c r="H212" s="90">
        <v>56</v>
      </c>
      <c r="I212" s="359">
        <v>4.8</v>
      </c>
      <c r="J212" s="379">
        <f>ROUND(G212*(1+'29_01_H_2020'!$O$14),2)</f>
        <v>1337.91</v>
      </c>
      <c r="K212" s="151">
        <f t="shared" si="96"/>
        <v>14.219999999999999</v>
      </c>
      <c r="L212" s="151">
        <f>ROUND(H212*(1+'29_01_H_2020'!$O$14),2)</f>
        <v>70.22</v>
      </c>
      <c r="M212" s="151">
        <f t="shared" si="97"/>
        <v>285.13000000000011</v>
      </c>
      <c r="N212" s="151">
        <f t="shared" si="98"/>
        <v>1368.6240000000005</v>
      </c>
      <c r="O212" s="151">
        <f t="shared" si="99"/>
        <v>16423.488000000005</v>
      </c>
      <c r="P212" s="151">
        <f>ROUND(O212*'29_01_H_2020'!$O$17,2)</f>
        <v>3874.3</v>
      </c>
      <c r="Q212" s="380">
        <f t="shared" si="101"/>
        <v>20297.788000000004</v>
      </c>
      <c r="R212" s="152"/>
      <c r="S212" s="328"/>
      <c r="T212" s="328"/>
      <c r="U212" s="328"/>
      <c r="V212" s="328"/>
      <c r="W212" s="328"/>
      <c r="X212" s="328"/>
      <c r="Y212" s="328"/>
      <c r="Z212" s="328"/>
      <c r="AA212" s="328"/>
      <c r="AB212" s="328"/>
      <c r="AC212" s="329"/>
      <c r="AD212" s="152"/>
      <c r="AE212" s="152"/>
      <c r="AF212" s="328"/>
      <c r="AG212" s="328"/>
      <c r="AH212" s="328"/>
      <c r="AI212" s="328"/>
      <c r="AJ212" s="328"/>
      <c r="AK212" s="328"/>
      <c r="AL212" s="328"/>
      <c r="AM212" s="328"/>
      <c r="AN212" s="328"/>
      <c r="AO212" s="328"/>
      <c r="AP212" s="329"/>
      <c r="AQ212" s="152"/>
      <c r="AR212" s="152"/>
      <c r="AS212" s="152"/>
      <c r="AT212" s="152"/>
    </row>
    <row r="213" spans="1:46">
      <c r="A213" s="123" t="s">
        <v>292</v>
      </c>
      <c r="B213" s="122">
        <v>5.0999999999999996</v>
      </c>
      <c r="C213" s="122" t="s">
        <v>251</v>
      </c>
      <c r="D213" s="122">
        <v>9</v>
      </c>
      <c r="E213" s="261" t="s">
        <v>69</v>
      </c>
      <c r="F213" s="263">
        <v>1190</v>
      </c>
      <c r="G213" s="90">
        <v>1190</v>
      </c>
      <c r="H213" s="90">
        <v>56</v>
      </c>
      <c r="I213" s="359">
        <v>1</v>
      </c>
      <c r="J213" s="379">
        <f>ROUND(G213*(1+'29_01_H_2020'!$O$14),2)</f>
        <v>1492.14</v>
      </c>
      <c r="K213" s="151">
        <f t="shared" si="96"/>
        <v>14.219999999999999</v>
      </c>
      <c r="L213" s="151">
        <f>ROUND(H213*(1+'29_01_H_2020'!$O$14),2)</f>
        <v>70.22</v>
      </c>
      <c r="M213" s="151">
        <f t="shared" si="97"/>
        <v>316.36000000000013</v>
      </c>
      <c r="N213" s="151">
        <f t="shared" si="98"/>
        <v>316.36000000000013</v>
      </c>
      <c r="O213" s="151">
        <f t="shared" si="99"/>
        <v>3796.3200000000015</v>
      </c>
      <c r="P213" s="151">
        <f>ROUND(O213*'29_01_H_2020'!$O$17,2)</f>
        <v>895.55</v>
      </c>
      <c r="Q213" s="380">
        <f t="shared" si="101"/>
        <v>4691.8700000000017</v>
      </c>
      <c r="R213" s="152"/>
      <c r="S213" s="328"/>
      <c r="T213" s="328"/>
      <c r="U213" s="328"/>
      <c r="V213" s="328"/>
      <c r="W213" s="328"/>
      <c r="X213" s="328"/>
      <c r="Y213" s="328"/>
      <c r="Z213" s="328"/>
      <c r="AA213" s="328"/>
      <c r="AB213" s="328"/>
      <c r="AC213" s="329"/>
      <c r="AD213" s="152"/>
      <c r="AE213" s="152"/>
      <c r="AF213" s="328"/>
      <c r="AG213" s="328"/>
      <c r="AH213" s="328"/>
      <c r="AI213" s="328"/>
      <c r="AJ213" s="328"/>
      <c r="AK213" s="328"/>
      <c r="AL213" s="328"/>
      <c r="AM213" s="328"/>
      <c r="AN213" s="328"/>
      <c r="AO213" s="328"/>
      <c r="AP213" s="329"/>
      <c r="AQ213" s="152"/>
      <c r="AR213" s="152"/>
      <c r="AS213" s="152"/>
      <c r="AT213" s="152"/>
    </row>
    <row r="214" spans="1:46">
      <c r="A214" s="121" t="s">
        <v>272</v>
      </c>
      <c r="B214" s="122">
        <v>5.0999999999999996</v>
      </c>
      <c r="C214" s="122" t="s">
        <v>251</v>
      </c>
      <c r="D214" s="122">
        <v>9</v>
      </c>
      <c r="E214" s="261" t="s">
        <v>69</v>
      </c>
      <c r="F214" s="263">
        <v>1190</v>
      </c>
      <c r="G214" s="90">
        <v>1177</v>
      </c>
      <c r="H214" s="90">
        <v>61</v>
      </c>
      <c r="I214" s="359">
        <v>1.95</v>
      </c>
      <c r="J214" s="379">
        <f>ROUND(G214*(1+'29_01_H_2020'!$O$14),2)</f>
        <v>1475.84</v>
      </c>
      <c r="K214" s="151">
        <f t="shared" si="96"/>
        <v>15.489999999999995</v>
      </c>
      <c r="L214" s="151">
        <f>ROUND(H214*(1+'29_01_H_2020'!$O$14),2)</f>
        <v>76.489999999999995</v>
      </c>
      <c r="M214" s="151">
        <f t="shared" si="97"/>
        <v>314.32999999999993</v>
      </c>
      <c r="N214" s="151">
        <f t="shared" si="98"/>
        <v>612.94349999999986</v>
      </c>
      <c r="O214" s="151">
        <f t="shared" si="99"/>
        <v>7355.3219999999983</v>
      </c>
      <c r="P214" s="151">
        <f>ROUND(O214*'29_01_H_2020'!$O$17,2)</f>
        <v>1735.12</v>
      </c>
      <c r="Q214" s="380">
        <f t="shared" si="101"/>
        <v>9090.4419999999991</v>
      </c>
      <c r="R214" s="152"/>
      <c r="S214" s="328"/>
      <c r="T214" s="328"/>
      <c r="U214" s="328"/>
      <c r="V214" s="328"/>
      <c r="W214" s="328"/>
      <c r="X214" s="328"/>
      <c r="Y214" s="328"/>
      <c r="Z214" s="328"/>
      <c r="AA214" s="328"/>
      <c r="AB214" s="328"/>
      <c r="AC214" s="329"/>
      <c r="AD214" s="329"/>
      <c r="AE214" s="152"/>
      <c r="AF214" s="328"/>
      <c r="AG214" s="328"/>
      <c r="AH214" s="328"/>
      <c r="AI214" s="328"/>
      <c r="AJ214" s="328"/>
      <c r="AK214" s="328"/>
      <c r="AL214" s="328"/>
      <c r="AM214" s="328"/>
      <c r="AN214" s="328"/>
      <c r="AO214" s="328"/>
      <c r="AP214" s="329"/>
      <c r="AQ214" s="152"/>
      <c r="AR214" s="152"/>
      <c r="AS214" s="152"/>
      <c r="AT214" s="152"/>
    </row>
    <row r="215" spans="1:46">
      <c r="A215" s="121" t="s">
        <v>293</v>
      </c>
      <c r="B215" s="122">
        <v>5.0999999999999996</v>
      </c>
      <c r="C215" s="33" t="s">
        <v>251</v>
      </c>
      <c r="D215" s="122">
        <v>9</v>
      </c>
      <c r="E215" s="261" t="s">
        <v>69</v>
      </c>
      <c r="F215" s="263">
        <v>1190</v>
      </c>
      <c r="G215" s="90">
        <v>1067</v>
      </c>
      <c r="H215" s="90">
        <v>54</v>
      </c>
      <c r="I215" s="359">
        <v>1</v>
      </c>
      <c r="J215" s="379">
        <f>ROUND(G215*(1+'29_01_H_2020'!$O$14),2)</f>
        <v>1337.91</v>
      </c>
      <c r="K215" s="151">
        <f t="shared" si="96"/>
        <v>13.709999999999994</v>
      </c>
      <c r="L215" s="151">
        <f>ROUND(H215*(1+'29_01_H_2020'!$O$14),2)</f>
        <v>67.709999999999994</v>
      </c>
      <c r="M215" s="151">
        <f t="shared" si="97"/>
        <v>284.62000000000012</v>
      </c>
      <c r="N215" s="151">
        <f t="shared" si="98"/>
        <v>284.62000000000012</v>
      </c>
      <c r="O215" s="151">
        <f t="shared" si="99"/>
        <v>3415.4400000000014</v>
      </c>
      <c r="P215" s="151">
        <f>ROUND(O215*'29_01_H_2020'!$O$17,2)</f>
        <v>805.7</v>
      </c>
      <c r="Q215" s="380">
        <f t="shared" si="101"/>
        <v>4221.1400000000012</v>
      </c>
      <c r="R215" s="152"/>
      <c r="S215" s="328"/>
      <c r="T215" s="328"/>
      <c r="U215" s="328"/>
      <c r="V215" s="328"/>
      <c r="W215" s="328"/>
      <c r="X215" s="328"/>
      <c r="Y215" s="328"/>
      <c r="Z215" s="328"/>
      <c r="AA215" s="328"/>
      <c r="AB215" s="328"/>
      <c r="AC215" s="329"/>
      <c r="AD215" s="152"/>
      <c r="AE215" s="152"/>
      <c r="AF215" s="328"/>
      <c r="AG215" s="328"/>
      <c r="AH215" s="328"/>
      <c r="AI215" s="328"/>
      <c r="AJ215" s="328"/>
      <c r="AK215" s="328"/>
      <c r="AL215" s="328"/>
      <c r="AM215" s="328"/>
      <c r="AN215" s="328"/>
      <c r="AO215" s="328"/>
      <c r="AP215" s="329"/>
      <c r="AQ215" s="152"/>
      <c r="AR215" s="152"/>
      <c r="AS215" s="152"/>
      <c r="AT215" s="152"/>
    </row>
    <row r="216" spans="1:46">
      <c r="A216" s="121" t="s">
        <v>294</v>
      </c>
      <c r="B216" s="122">
        <v>39</v>
      </c>
      <c r="C216" s="33" t="s">
        <v>285</v>
      </c>
      <c r="D216" s="122">
        <v>8</v>
      </c>
      <c r="E216" s="261" t="s">
        <v>69</v>
      </c>
      <c r="F216" s="263">
        <v>1093</v>
      </c>
      <c r="G216" s="90">
        <v>1093</v>
      </c>
      <c r="H216" s="90">
        <v>50</v>
      </c>
      <c r="I216" s="359">
        <v>1</v>
      </c>
      <c r="J216" s="379">
        <f>ROUND(G216*(1+'29_01_H_2020'!$O$14),2)</f>
        <v>1370.51</v>
      </c>
      <c r="K216" s="151">
        <f t="shared" si="96"/>
        <v>12.700000000000003</v>
      </c>
      <c r="L216" s="151">
        <f>ROUND(H216*(1+'29_01_H_2020'!$O$14),2)</f>
        <v>62.7</v>
      </c>
      <c r="M216" s="151">
        <f t="shared" si="97"/>
        <v>290.21000000000004</v>
      </c>
      <c r="N216" s="151">
        <f t="shared" si="98"/>
        <v>290.21000000000004</v>
      </c>
      <c r="O216" s="151">
        <f t="shared" si="99"/>
        <v>3482.5200000000004</v>
      </c>
      <c r="P216" s="151">
        <f>ROUND(O216*'29_01_H_2020'!$O$17,2)</f>
        <v>821.53</v>
      </c>
      <c r="Q216" s="380">
        <f t="shared" si="101"/>
        <v>4304.05</v>
      </c>
      <c r="R216" s="152"/>
      <c r="S216" s="328"/>
      <c r="T216" s="328"/>
      <c r="U216" s="328"/>
      <c r="V216" s="328"/>
      <c r="W216" s="328"/>
      <c r="X216" s="328"/>
      <c r="Y216" s="328"/>
      <c r="Z216" s="328"/>
      <c r="AA216" s="328"/>
      <c r="AB216" s="328"/>
      <c r="AC216" s="329"/>
      <c r="AD216" s="152"/>
      <c r="AE216" s="152"/>
      <c r="AF216" s="328"/>
      <c r="AG216" s="328"/>
      <c r="AH216" s="328"/>
      <c r="AI216" s="328"/>
      <c r="AJ216" s="328"/>
      <c r="AK216" s="328"/>
      <c r="AL216" s="328"/>
      <c r="AM216" s="328"/>
      <c r="AN216" s="328"/>
      <c r="AO216" s="328"/>
      <c r="AP216" s="329"/>
      <c r="AQ216" s="152"/>
      <c r="AR216" s="152"/>
      <c r="AS216" s="152"/>
      <c r="AT216" s="152"/>
    </row>
    <row r="217" spans="1:46">
      <c r="A217" s="124" t="s">
        <v>295</v>
      </c>
      <c r="B217" s="33">
        <v>39</v>
      </c>
      <c r="C217" s="33" t="s">
        <v>285</v>
      </c>
      <c r="D217" s="122">
        <v>8</v>
      </c>
      <c r="E217" s="261" t="s">
        <v>69</v>
      </c>
      <c r="F217" s="263">
        <v>1093</v>
      </c>
      <c r="G217" s="90">
        <v>1067</v>
      </c>
      <c r="H217" s="90">
        <v>57</v>
      </c>
      <c r="I217" s="359">
        <v>4</v>
      </c>
      <c r="J217" s="379">
        <f>ROUND(G217*(1+'29_01_H_2020'!$O$14),2)</f>
        <v>1337.91</v>
      </c>
      <c r="K217" s="151">
        <f t="shared" si="96"/>
        <v>14.469999999999999</v>
      </c>
      <c r="L217" s="151">
        <f>ROUND(H217*(1+'29_01_H_2020'!$O$14),2)</f>
        <v>71.47</v>
      </c>
      <c r="M217" s="151">
        <f t="shared" si="97"/>
        <v>285.38000000000011</v>
      </c>
      <c r="N217" s="151">
        <f t="shared" si="98"/>
        <v>1141.5200000000004</v>
      </c>
      <c r="O217" s="151">
        <f t="shared" si="99"/>
        <v>13698.240000000005</v>
      </c>
      <c r="P217" s="151">
        <f>ROUND(O217*'29_01_H_2020'!$O$17,2)</f>
        <v>3231.41</v>
      </c>
      <c r="Q217" s="380">
        <f t="shared" si="101"/>
        <v>16929.650000000005</v>
      </c>
      <c r="R217" s="152"/>
      <c r="S217" s="328"/>
      <c r="T217" s="328"/>
      <c r="U217" s="328"/>
      <c r="V217" s="328"/>
      <c r="W217" s="328"/>
      <c r="X217" s="328"/>
      <c r="Y217" s="328"/>
      <c r="Z217" s="328"/>
      <c r="AA217" s="328"/>
      <c r="AB217" s="328"/>
      <c r="AC217" s="329"/>
      <c r="AD217" s="329"/>
      <c r="AE217" s="152"/>
      <c r="AF217" s="328"/>
      <c r="AG217" s="328"/>
      <c r="AH217" s="328"/>
      <c r="AI217" s="328"/>
      <c r="AJ217" s="328"/>
      <c r="AK217" s="328"/>
      <c r="AL217" s="328"/>
      <c r="AM217" s="328"/>
      <c r="AN217" s="328"/>
      <c r="AO217" s="328"/>
      <c r="AP217" s="329"/>
      <c r="AQ217" s="152"/>
      <c r="AR217" s="152"/>
      <c r="AS217" s="152"/>
      <c r="AT217" s="152"/>
    </row>
    <row r="218" spans="1:46">
      <c r="A218" s="124" t="s">
        <v>65</v>
      </c>
      <c r="B218" s="33">
        <v>23</v>
      </c>
      <c r="C218" s="33" t="s">
        <v>13</v>
      </c>
      <c r="D218" s="122">
        <v>12</v>
      </c>
      <c r="E218" s="261" t="s">
        <v>69</v>
      </c>
      <c r="F218" s="263">
        <v>1647</v>
      </c>
      <c r="G218" s="90">
        <v>1382</v>
      </c>
      <c r="H218" s="90">
        <v>40</v>
      </c>
      <c r="I218" s="359">
        <v>1</v>
      </c>
      <c r="J218" s="379">
        <f>ROUND(G218*(1+'29_01_H_2020'!$O$14),2)</f>
        <v>1732.89</v>
      </c>
      <c r="K218" s="151">
        <f t="shared" si="96"/>
        <v>10.159999999999997</v>
      </c>
      <c r="L218" s="151">
        <f>ROUND(H218*(1+'29_01_H_2020'!$O$14),2)</f>
        <v>50.16</v>
      </c>
      <c r="M218" s="151">
        <f t="shared" si="97"/>
        <v>361.05000000000018</v>
      </c>
      <c r="N218" s="151">
        <f t="shared" si="98"/>
        <v>361.05000000000018</v>
      </c>
      <c r="O218" s="151">
        <f t="shared" si="99"/>
        <v>4332.6000000000022</v>
      </c>
      <c r="P218" s="151">
        <f>ROUND(O218*'29_01_H_2020'!$O$17,2)</f>
        <v>1022.06</v>
      </c>
      <c r="Q218" s="380">
        <f t="shared" si="101"/>
        <v>5354.6600000000017</v>
      </c>
      <c r="R218" s="152"/>
      <c r="S218" s="328"/>
      <c r="T218" s="328"/>
      <c r="U218" s="328"/>
      <c r="V218" s="328"/>
      <c r="W218" s="328"/>
      <c r="X218" s="328"/>
      <c r="Y218" s="328"/>
      <c r="Z218" s="328"/>
      <c r="AA218" s="328"/>
      <c r="AB218" s="328"/>
      <c r="AC218" s="329"/>
      <c r="AD218" s="152"/>
      <c r="AE218" s="152"/>
      <c r="AF218" s="328"/>
      <c r="AG218" s="328"/>
      <c r="AH218" s="328"/>
      <c r="AI218" s="328"/>
      <c r="AJ218" s="328"/>
      <c r="AK218" s="328"/>
      <c r="AL218" s="328"/>
      <c r="AM218" s="328"/>
      <c r="AN218" s="328"/>
      <c r="AO218" s="328"/>
      <c r="AP218" s="329"/>
      <c r="AQ218" s="152"/>
      <c r="AR218" s="152"/>
      <c r="AS218" s="152"/>
      <c r="AT218" s="152"/>
    </row>
    <row r="219" spans="1:46">
      <c r="A219" s="124" t="s">
        <v>296</v>
      </c>
      <c r="B219" s="33">
        <v>5.0999999999999996</v>
      </c>
      <c r="C219" s="33" t="s">
        <v>251</v>
      </c>
      <c r="D219" s="122">
        <v>9</v>
      </c>
      <c r="E219" s="261" t="s">
        <v>69</v>
      </c>
      <c r="F219" s="263">
        <v>1190</v>
      </c>
      <c r="G219" s="90">
        <v>1100</v>
      </c>
      <c r="H219" s="90">
        <v>30</v>
      </c>
      <c r="I219" s="359">
        <v>0.5</v>
      </c>
      <c r="J219" s="379">
        <f>ROUND(G219*(1+'29_01_H_2020'!$O$14),2)</f>
        <v>1379.29</v>
      </c>
      <c r="K219" s="151">
        <f t="shared" si="96"/>
        <v>7.6199999999999974</v>
      </c>
      <c r="L219" s="151">
        <f>ROUND(H219*(1+'29_01_H_2020'!$O$14),2)</f>
        <v>37.619999999999997</v>
      </c>
      <c r="M219" s="151">
        <f t="shared" si="97"/>
        <v>286.90999999999985</v>
      </c>
      <c r="N219" s="151">
        <f t="shared" si="98"/>
        <v>143.45499999999993</v>
      </c>
      <c r="O219" s="151">
        <f t="shared" si="99"/>
        <v>1721.4599999999991</v>
      </c>
      <c r="P219" s="151">
        <f>ROUND(O219*'29_01_H_2020'!$O$17,2)</f>
        <v>406.09</v>
      </c>
      <c r="Q219" s="380">
        <f t="shared" si="101"/>
        <v>2127.5499999999993</v>
      </c>
      <c r="R219" s="152"/>
      <c r="S219" s="328"/>
      <c r="T219" s="328"/>
      <c r="U219" s="328"/>
      <c r="V219" s="328"/>
      <c r="W219" s="328"/>
      <c r="X219" s="328"/>
      <c r="Y219" s="328"/>
      <c r="Z219" s="328"/>
      <c r="AA219" s="328"/>
      <c r="AB219" s="328"/>
      <c r="AC219" s="329"/>
      <c r="AD219" s="152"/>
      <c r="AE219" s="152"/>
      <c r="AF219" s="328"/>
      <c r="AG219" s="328"/>
      <c r="AH219" s="328"/>
      <c r="AI219" s="328"/>
      <c r="AJ219" s="328"/>
      <c r="AK219" s="328"/>
      <c r="AL219" s="328"/>
      <c r="AM219" s="328"/>
      <c r="AN219" s="328"/>
      <c r="AO219" s="328"/>
      <c r="AP219" s="329"/>
      <c r="AQ219" s="152"/>
      <c r="AR219" s="152"/>
      <c r="AS219" s="152"/>
      <c r="AT219" s="152"/>
    </row>
    <row r="220" spans="1:46">
      <c r="A220" s="11" t="s">
        <v>55</v>
      </c>
      <c r="B220" s="8" t="s">
        <v>52</v>
      </c>
      <c r="C220" s="9" t="s">
        <v>52</v>
      </c>
      <c r="D220" s="9" t="s">
        <v>52</v>
      </c>
      <c r="E220" s="9" t="s">
        <v>52</v>
      </c>
      <c r="F220" s="10" t="s">
        <v>52</v>
      </c>
      <c r="G220" s="10" t="s">
        <v>52</v>
      </c>
      <c r="H220" s="10" t="s">
        <v>52</v>
      </c>
      <c r="I220" s="360">
        <f>SUM(I204:I219)</f>
        <v>31</v>
      </c>
      <c r="J220" s="404"/>
      <c r="K220" s="405"/>
      <c r="L220" s="405"/>
      <c r="M220" s="405"/>
      <c r="N220" s="405"/>
      <c r="O220" s="405"/>
      <c r="P220" s="405"/>
      <c r="Q220" s="406"/>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c r="AN220" s="152"/>
      <c r="AO220" s="152"/>
      <c r="AP220" s="152"/>
      <c r="AQ220" s="152"/>
      <c r="AR220" s="152"/>
      <c r="AS220" s="152"/>
      <c r="AT220" s="152"/>
    </row>
    <row r="221" spans="1:46">
      <c r="A221" s="1111" t="s">
        <v>28</v>
      </c>
      <c r="B221" s="1112"/>
      <c r="C221" s="1112"/>
      <c r="D221" s="1112"/>
      <c r="E221" s="1112"/>
      <c r="F221" s="1112"/>
      <c r="G221" s="1112"/>
      <c r="H221" s="1112"/>
      <c r="I221" s="1113"/>
      <c r="J221" s="385"/>
      <c r="K221" s="383"/>
      <c r="L221" s="383"/>
      <c r="M221" s="383"/>
      <c r="N221" s="383"/>
      <c r="O221" s="383"/>
      <c r="P221" s="383"/>
      <c r="Q221" s="386"/>
      <c r="R221" s="152"/>
      <c r="S221" s="152"/>
      <c r="T221" s="152"/>
      <c r="U221" s="152"/>
      <c r="V221" s="152"/>
      <c r="W221" s="152"/>
      <c r="X221" s="152"/>
      <c r="Y221" s="152"/>
      <c r="Z221" s="152"/>
      <c r="AA221" s="152"/>
      <c r="AB221" s="152"/>
      <c r="AC221" s="152"/>
      <c r="AD221" s="152"/>
      <c r="AE221" s="152"/>
      <c r="AF221" s="152"/>
      <c r="AG221" s="152"/>
      <c r="AH221" s="152"/>
      <c r="AI221" s="152"/>
      <c r="AJ221" s="152"/>
      <c r="AK221" s="152"/>
      <c r="AL221" s="152"/>
      <c r="AM221" s="152"/>
      <c r="AN221" s="152"/>
      <c r="AO221" s="152"/>
      <c r="AP221" s="152"/>
      <c r="AQ221" s="152"/>
      <c r="AR221" s="152"/>
      <c r="AS221" s="152"/>
      <c r="AT221" s="152"/>
    </row>
    <row r="222" spans="1:46">
      <c r="A222" s="121" t="s">
        <v>225</v>
      </c>
      <c r="B222" s="33" t="s">
        <v>118</v>
      </c>
      <c r="C222" s="33" t="s">
        <v>37</v>
      </c>
      <c r="D222" s="122">
        <v>8</v>
      </c>
      <c r="E222" s="261" t="s">
        <v>69</v>
      </c>
      <c r="F222" s="263">
        <v>1093</v>
      </c>
      <c r="G222" s="90">
        <v>1067</v>
      </c>
      <c r="H222" s="90">
        <v>49</v>
      </c>
      <c r="I222" s="359">
        <v>1</v>
      </c>
      <c r="J222" s="379">
        <f>ROUND(G222*(1+'29_01_H_2020'!$O$10),2)</f>
        <v>1337.91</v>
      </c>
      <c r="K222" s="151">
        <f t="shared" ref="K222:K231" si="102">L222-H222</f>
        <v>12.439999999999998</v>
      </c>
      <c r="L222" s="151">
        <f>ROUND(H222*(1+'29_01_H_2020'!$O$10),2)</f>
        <v>61.44</v>
      </c>
      <c r="M222" s="151">
        <f t="shared" ref="M222:M231" si="103">(J222+L222)-(G222+H222)</f>
        <v>283.35000000000014</v>
      </c>
      <c r="N222" s="151">
        <f t="shared" ref="N222:N231" si="104">M222*I222</f>
        <v>283.35000000000014</v>
      </c>
      <c r="O222" s="151">
        <f t="shared" ref="O222:O231" si="105">N222*12</f>
        <v>3400.2000000000016</v>
      </c>
      <c r="P222" s="151">
        <f>ROUND(O222*'29_01_H_2020'!$O$17,2)</f>
        <v>802.11</v>
      </c>
      <c r="Q222" s="380">
        <f t="shared" ref="Q222" si="106">SUM(O222:P222)</f>
        <v>4202.3100000000013</v>
      </c>
      <c r="R222" s="152"/>
      <c r="S222" s="328"/>
      <c r="T222" s="328"/>
      <c r="U222" s="328"/>
      <c r="V222" s="328"/>
      <c r="W222" s="328"/>
      <c r="X222" s="328"/>
      <c r="Y222" s="328"/>
      <c r="Z222" s="328"/>
      <c r="AA222" s="328"/>
      <c r="AB222" s="328"/>
      <c r="AC222" s="329"/>
      <c r="AD222" s="152"/>
      <c r="AE222" s="152"/>
      <c r="AF222" s="328"/>
      <c r="AG222" s="328"/>
      <c r="AH222" s="328"/>
      <c r="AI222" s="328"/>
      <c r="AJ222" s="328"/>
      <c r="AK222" s="328"/>
      <c r="AL222" s="328"/>
      <c r="AM222" s="328"/>
      <c r="AN222" s="328"/>
      <c r="AO222" s="328"/>
      <c r="AP222" s="329"/>
      <c r="AQ222" s="152"/>
      <c r="AR222" s="152"/>
      <c r="AS222" s="152"/>
      <c r="AT222" s="152"/>
    </row>
    <row r="223" spans="1:46">
      <c r="A223" s="121" t="s">
        <v>225</v>
      </c>
      <c r="B223" s="33" t="s">
        <v>118</v>
      </c>
      <c r="C223" s="33" t="s">
        <v>37</v>
      </c>
      <c r="D223" s="122">
        <v>8</v>
      </c>
      <c r="E223" s="261" t="s">
        <v>69</v>
      </c>
      <c r="F223" s="263">
        <v>1093</v>
      </c>
      <c r="G223" s="90">
        <v>946</v>
      </c>
      <c r="H223" s="90">
        <v>47</v>
      </c>
      <c r="I223" s="359">
        <v>1</v>
      </c>
      <c r="J223" s="379">
        <f>ROUND(G223*(1+'29_01_H_2020'!$O$10),2)</f>
        <v>1186.19</v>
      </c>
      <c r="K223" s="151">
        <f t="shared" si="102"/>
        <v>11.93</v>
      </c>
      <c r="L223" s="151">
        <f>ROUND(H223*(1+'29_01_H_2020'!$O$10),2)</f>
        <v>58.93</v>
      </c>
      <c r="M223" s="151">
        <f t="shared" si="103"/>
        <v>252.12000000000012</v>
      </c>
      <c r="N223" s="151">
        <f t="shared" si="104"/>
        <v>252.12000000000012</v>
      </c>
      <c r="O223" s="151">
        <f t="shared" si="105"/>
        <v>3025.4400000000014</v>
      </c>
      <c r="P223" s="151">
        <f>ROUND(O223*'29_01_H_2020'!$O$17,2)</f>
        <v>713.7</v>
      </c>
      <c r="Q223" s="380">
        <f t="shared" ref="Q223:Q231" si="107">SUM(O223:P223)</f>
        <v>3739.1400000000012</v>
      </c>
      <c r="R223" s="152"/>
      <c r="S223" s="328"/>
      <c r="T223" s="328"/>
      <c r="U223" s="328"/>
      <c r="V223" s="328"/>
      <c r="W223" s="328"/>
      <c r="X223" s="328"/>
      <c r="Y223" s="328"/>
      <c r="Z223" s="328"/>
      <c r="AA223" s="328"/>
      <c r="AB223" s="328"/>
      <c r="AC223" s="329"/>
      <c r="AD223" s="152"/>
      <c r="AE223" s="152"/>
      <c r="AF223" s="328"/>
      <c r="AG223" s="328"/>
      <c r="AH223" s="328"/>
      <c r="AI223" s="328"/>
      <c r="AJ223" s="328"/>
      <c r="AK223" s="328"/>
      <c r="AL223" s="328"/>
      <c r="AM223" s="328"/>
      <c r="AN223" s="328"/>
      <c r="AO223" s="328"/>
      <c r="AP223" s="329"/>
      <c r="AQ223" s="152"/>
      <c r="AR223" s="152"/>
      <c r="AS223" s="152"/>
      <c r="AT223" s="152"/>
    </row>
    <row r="224" spans="1:46">
      <c r="A224" s="602" t="s">
        <v>226</v>
      </c>
      <c r="B224" s="33" t="s">
        <v>146</v>
      </c>
      <c r="C224" s="33" t="s">
        <v>19</v>
      </c>
      <c r="D224" s="122">
        <v>8</v>
      </c>
      <c r="E224" s="261" t="s">
        <v>69</v>
      </c>
      <c r="F224" s="263">
        <v>1093</v>
      </c>
      <c r="G224" s="90">
        <v>1093</v>
      </c>
      <c r="H224" s="90">
        <v>53</v>
      </c>
      <c r="I224" s="359">
        <v>1</v>
      </c>
      <c r="J224" s="379">
        <f>ROUND(G224*(1+'29_01_H_2020'!$O$10),2)</f>
        <v>1370.51</v>
      </c>
      <c r="K224" s="151">
        <f t="shared" si="102"/>
        <v>13.459999999999994</v>
      </c>
      <c r="L224" s="151">
        <f>ROUND(H224*(1+'29_01_H_2020'!$O$10),2)</f>
        <v>66.459999999999994</v>
      </c>
      <c r="M224" s="151">
        <f t="shared" si="103"/>
        <v>290.97000000000003</v>
      </c>
      <c r="N224" s="151">
        <f t="shared" si="104"/>
        <v>290.97000000000003</v>
      </c>
      <c r="O224" s="151">
        <f t="shared" si="105"/>
        <v>3491.6400000000003</v>
      </c>
      <c r="P224" s="151">
        <f>ROUND(O224*'29_01_H_2020'!$O$17,2)</f>
        <v>823.68</v>
      </c>
      <c r="Q224" s="380">
        <f t="shared" si="107"/>
        <v>4315.3200000000006</v>
      </c>
      <c r="R224" s="152"/>
      <c r="S224" s="328"/>
      <c r="T224" s="328"/>
      <c r="U224" s="328"/>
      <c r="V224" s="328"/>
      <c r="W224" s="328"/>
      <c r="X224" s="328"/>
      <c r="Y224" s="328"/>
      <c r="Z224" s="328"/>
      <c r="AA224" s="328"/>
      <c r="AB224" s="328"/>
      <c r="AC224" s="329"/>
      <c r="AD224" s="152"/>
      <c r="AE224" s="152"/>
      <c r="AF224" s="328"/>
      <c r="AG224" s="328"/>
      <c r="AH224" s="328"/>
      <c r="AI224" s="328"/>
      <c r="AJ224" s="328"/>
      <c r="AK224" s="328"/>
      <c r="AL224" s="328"/>
      <c r="AM224" s="328"/>
      <c r="AN224" s="328"/>
      <c r="AO224" s="328"/>
      <c r="AP224" s="329"/>
      <c r="AQ224" s="152"/>
      <c r="AR224" s="152"/>
      <c r="AS224" s="152"/>
      <c r="AT224" s="152"/>
    </row>
    <row r="225" spans="1:46">
      <c r="A225" s="602" t="s">
        <v>297</v>
      </c>
      <c r="B225" s="33" t="s">
        <v>146</v>
      </c>
      <c r="C225" s="33" t="s">
        <v>26</v>
      </c>
      <c r="D225" s="122">
        <v>7</v>
      </c>
      <c r="E225" s="261" t="s">
        <v>69</v>
      </c>
      <c r="F225" s="263">
        <v>996</v>
      </c>
      <c r="G225" s="90">
        <v>957</v>
      </c>
      <c r="H225" s="90">
        <v>215</v>
      </c>
      <c r="I225" s="359">
        <v>5</v>
      </c>
      <c r="J225" s="379">
        <f>ROUND(G225*(1+'29_01_H_2020'!$O$10),2)</f>
        <v>1199.98</v>
      </c>
      <c r="K225" s="151">
        <f t="shared" si="102"/>
        <v>54.589999999999975</v>
      </c>
      <c r="L225" s="151">
        <f>ROUND(H225*(1+'29_01_H_2020'!$O$10),2)</f>
        <v>269.58999999999997</v>
      </c>
      <c r="M225" s="151">
        <f t="shared" si="103"/>
        <v>297.56999999999994</v>
      </c>
      <c r="N225" s="151">
        <f t="shared" si="104"/>
        <v>1487.8499999999997</v>
      </c>
      <c r="O225" s="151">
        <f t="shared" si="105"/>
        <v>17854.199999999997</v>
      </c>
      <c r="P225" s="151">
        <f>ROUND(O225*'29_01_H_2020'!$O$17,2)</f>
        <v>4211.8100000000004</v>
      </c>
      <c r="Q225" s="380">
        <f t="shared" si="107"/>
        <v>22066.01</v>
      </c>
      <c r="R225" s="152"/>
      <c r="S225" s="328"/>
      <c r="T225" s="328"/>
      <c r="U225" s="328"/>
      <c r="V225" s="328"/>
      <c r="W225" s="328"/>
      <c r="X225" s="328"/>
      <c r="Y225" s="328"/>
      <c r="Z225" s="328"/>
      <c r="AA225" s="328"/>
      <c r="AB225" s="328"/>
      <c r="AC225" s="329"/>
      <c r="AD225" s="152"/>
      <c r="AE225" s="152"/>
      <c r="AF225" s="328"/>
      <c r="AG225" s="328"/>
      <c r="AH225" s="328"/>
      <c r="AI225" s="328"/>
      <c r="AJ225" s="328"/>
      <c r="AK225" s="328"/>
      <c r="AL225" s="328"/>
      <c r="AM225" s="328"/>
      <c r="AN225" s="328"/>
      <c r="AO225" s="328"/>
      <c r="AP225" s="329"/>
      <c r="AQ225" s="152"/>
      <c r="AR225" s="152"/>
      <c r="AS225" s="152"/>
      <c r="AT225" s="152"/>
    </row>
    <row r="226" spans="1:46">
      <c r="A226" s="602" t="s">
        <v>40</v>
      </c>
      <c r="B226" s="33" t="s">
        <v>146</v>
      </c>
      <c r="C226" s="33" t="s">
        <v>26</v>
      </c>
      <c r="D226" s="122">
        <v>7</v>
      </c>
      <c r="E226" s="261" t="s">
        <v>69</v>
      </c>
      <c r="F226" s="263">
        <v>996</v>
      </c>
      <c r="G226" s="90">
        <v>996</v>
      </c>
      <c r="H226" s="90">
        <v>56</v>
      </c>
      <c r="I226" s="359">
        <v>9</v>
      </c>
      <c r="J226" s="379">
        <f>ROUND(G226*(1+'29_01_H_2020'!$O$10),2)</f>
        <v>1248.8800000000001</v>
      </c>
      <c r="K226" s="151">
        <f t="shared" si="102"/>
        <v>14.219999999999999</v>
      </c>
      <c r="L226" s="151">
        <f>ROUND(H226*(1+'29_01_H_2020'!$O$10),2)</f>
        <v>70.22</v>
      </c>
      <c r="M226" s="151">
        <f t="shared" si="103"/>
        <v>267.10000000000014</v>
      </c>
      <c r="N226" s="151">
        <f t="shared" si="104"/>
        <v>2403.9000000000015</v>
      </c>
      <c r="O226" s="151">
        <f t="shared" si="105"/>
        <v>28846.800000000017</v>
      </c>
      <c r="P226" s="151">
        <f>ROUND(O226*'29_01_H_2020'!$O$17,2)</f>
        <v>6804.96</v>
      </c>
      <c r="Q226" s="380">
        <f t="shared" si="107"/>
        <v>35651.760000000017</v>
      </c>
      <c r="R226" s="152"/>
      <c r="S226" s="328"/>
      <c r="T226" s="328"/>
      <c r="U226" s="328"/>
      <c r="V226" s="328"/>
      <c r="W226" s="328"/>
      <c r="X226" s="328"/>
      <c r="Y226" s="328"/>
      <c r="Z226" s="328"/>
      <c r="AA226" s="328"/>
      <c r="AB226" s="328"/>
      <c r="AC226" s="329"/>
      <c r="AD226" s="152"/>
      <c r="AE226" s="152"/>
      <c r="AF226" s="328"/>
      <c r="AG226" s="328"/>
      <c r="AH226" s="328"/>
      <c r="AI226" s="328"/>
      <c r="AJ226" s="328"/>
      <c r="AK226" s="328"/>
      <c r="AL226" s="328"/>
      <c r="AM226" s="328"/>
      <c r="AN226" s="328"/>
      <c r="AO226" s="328"/>
      <c r="AP226" s="329"/>
      <c r="AQ226" s="152"/>
      <c r="AR226" s="152"/>
      <c r="AS226" s="152"/>
      <c r="AT226" s="152"/>
    </row>
    <row r="227" spans="1:46">
      <c r="A227" s="121" t="s">
        <v>266</v>
      </c>
      <c r="B227" s="33" t="s">
        <v>146</v>
      </c>
      <c r="C227" s="33" t="s">
        <v>42</v>
      </c>
      <c r="D227" s="122">
        <v>6</v>
      </c>
      <c r="E227" s="261" t="s">
        <v>69</v>
      </c>
      <c r="F227" s="263">
        <v>899</v>
      </c>
      <c r="G227" s="90">
        <v>899</v>
      </c>
      <c r="H227" s="90">
        <v>51</v>
      </c>
      <c r="I227" s="359">
        <v>4</v>
      </c>
      <c r="J227" s="379">
        <f>ROUND(G227*(1+'29_01_H_2020'!$O$10),2)</f>
        <v>1127.26</v>
      </c>
      <c r="K227" s="151">
        <f t="shared" si="102"/>
        <v>12.950000000000003</v>
      </c>
      <c r="L227" s="151">
        <f>ROUND(H227*(1+'29_01_H_2020'!$O$10),2)</f>
        <v>63.95</v>
      </c>
      <c r="M227" s="151">
        <f t="shared" si="103"/>
        <v>241.21000000000004</v>
      </c>
      <c r="N227" s="151">
        <f t="shared" si="104"/>
        <v>964.84000000000015</v>
      </c>
      <c r="O227" s="151">
        <f t="shared" si="105"/>
        <v>11578.080000000002</v>
      </c>
      <c r="P227" s="151">
        <f>ROUND(O227*'29_01_H_2020'!$O$17,2)</f>
        <v>2731.27</v>
      </c>
      <c r="Q227" s="380">
        <f t="shared" si="107"/>
        <v>14309.350000000002</v>
      </c>
      <c r="R227" s="152"/>
      <c r="S227" s="328"/>
      <c r="T227" s="328"/>
      <c r="U227" s="328"/>
      <c r="V227" s="328"/>
      <c r="W227" s="328"/>
      <c r="X227" s="328"/>
      <c r="Y227" s="328"/>
      <c r="Z227" s="328"/>
      <c r="AA227" s="328"/>
      <c r="AB227" s="328"/>
      <c r="AC227" s="329"/>
      <c r="AD227" s="152"/>
      <c r="AE227" s="152"/>
      <c r="AF227" s="328"/>
      <c r="AG227" s="328"/>
      <c r="AH227" s="328"/>
      <c r="AI227" s="328"/>
      <c r="AJ227" s="328"/>
      <c r="AK227" s="328"/>
      <c r="AL227" s="328"/>
      <c r="AM227" s="328"/>
      <c r="AN227" s="328"/>
      <c r="AO227" s="328"/>
      <c r="AP227" s="329"/>
      <c r="AQ227" s="152"/>
      <c r="AR227" s="152"/>
      <c r="AS227" s="152"/>
      <c r="AT227" s="152"/>
    </row>
    <row r="228" spans="1:46">
      <c r="A228" s="595" t="s">
        <v>298</v>
      </c>
      <c r="B228" s="33" t="s">
        <v>118</v>
      </c>
      <c r="C228" s="33" t="s">
        <v>299</v>
      </c>
      <c r="D228" s="122">
        <v>8</v>
      </c>
      <c r="E228" s="261" t="s">
        <v>69</v>
      </c>
      <c r="F228" s="263">
        <v>1093</v>
      </c>
      <c r="G228" s="90">
        <v>899</v>
      </c>
      <c r="H228" s="90">
        <v>50</v>
      </c>
      <c r="I228" s="359">
        <v>1</v>
      </c>
      <c r="J228" s="379">
        <f>ROUND(G228*(1+'29_01_H_2020'!$O$10),2)</f>
        <v>1127.26</v>
      </c>
      <c r="K228" s="151">
        <f t="shared" si="102"/>
        <v>12.700000000000003</v>
      </c>
      <c r="L228" s="151">
        <f>ROUND(H228*(1+'29_01_H_2020'!$O$10),2)</f>
        <v>62.7</v>
      </c>
      <c r="M228" s="151">
        <f t="shared" si="103"/>
        <v>240.96000000000004</v>
      </c>
      <c r="N228" s="151">
        <f t="shared" si="104"/>
        <v>240.96000000000004</v>
      </c>
      <c r="O228" s="151">
        <f t="shared" si="105"/>
        <v>2891.5200000000004</v>
      </c>
      <c r="P228" s="151">
        <f>ROUND(O228*'29_01_H_2020'!$O$17,2)</f>
        <v>682.11</v>
      </c>
      <c r="Q228" s="380">
        <f t="shared" si="107"/>
        <v>3573.6300000000006</v>
      </c>
      <c r="R228" s="152"/>
      <c r="S228" s="328"/>
      <c r="T228" s="328"/>
      <c r="U228" s="328"/>
      <c r="V228" s="328"/>
      <c r="W228" s="328"/>
      <c r="X228" s="328"/>
      <c r="Y228" s="328"/>
      <c r="Z228" s="328"/>
      <c r="AA228" s="328"/>
      <c r="AB228" s="328"/>
      <c r="AC228" s="329"/>
      <c r="AD228" s="329"/>
      <c r="AE228" s="152"/>
      <c r="AF228" s="328"/>
      <c r="AG228" s="328"/>
      <c r="AH228" s="328"/>
      <c r="AI228" s="328"/>
      <c r="AJ228" s="328"/>
      <c r="AK228" s="328"/>
      <c r="AL228" s="328"/>
      <c r="AM228" s="328"/>
      <c r="AN228" s="328"/>
      <c r="AO228" s="328"/>
      <c r="AP228" s="329"/>
      <c r="AQ228" s="152"/>
      <c r="AR228" s="152"/>
      <c r="AS228" s="152"/>
      <c r="AT228" s="152"/>
    </row>
    <row r="229" spans="1:46">
      <c r="A229" s="121" t="s">
        <v>300</v>
      </c>
      <c r="B229" s="122" t="s">
        <v>118</v>
      </c>
      <c r="C229" s="122" t="s">
        <v>251</v>
      </c>
      <c r="D229" s="122">
        <v>9</v>
      </c>
      <c r="E229" s="261" t="s">
        <v>69</v>
      </c>
      <c r="F229" s="263">
        <v>1190</v>
      </c>
      <c r="G229" s="90">
        <v>950</v>
      </c>
      <c r="H229" s="90">
        <v>66</v>
      </c>
      <c r="I229" s="359">
        <v>1</v>
      </c>
      <c r="J229" s="379">
        <f>ROUND(G229*(1+'29_01_H_2020'!$O$10),2)</f>
        <v>1191.21</v>
      </c>
      <c r="K229" s="151">
        <f t="shared" si="102"/>
        <v>16.760000000000005</v>
      </c>
      <c r="L229" s="151">
        <f>ROUND(H229*(1+'29_01_H_2020'!$O$10),2)</f>
        <v>82.76</v>
      </c>
      <c r="M229" s="151">
        <f t="shared" si="103"/>
        <v>257.97000000000003</v>
      </c>
      <c r="N229" s="151">
        <f t="shared" si="104"/>
        <v>257.97000000000003</v>
      </c>
      <c r="O229" s="151">
        <f t="shared" si="105"/>
        <v>3095.6400000000003</v>
      </c>
      <c r="P229" s="151">
        <f>ROUND(O229*'29_01_H_2020'!$O$17,2)</f>
        <v>730.26</v>
      </c>
      <c r="Q229" s="380">
        <f t="shared" si="107"/>
        <v>3825.9000000000005</v>
      </c>
      <c r="R229" s="152"/>
      <c r="S229" s="328"/>
      <c r="T229" s="328"/>
      <c r="U229" s="328"/>
      <c r="V229" s="328"/>
      <c r="W229" s="328"/>
      <c r="X229" s="328"/>
      <c r="Y229" s="328"/>
      <c r="Z229" s="328"/>
      <c r="AA229" s="328"/>
      <c r="AB229" s="328"/>
      <c r="AC229" s="329"/>
      <c r="AD229" s="329"/>
      <c r="AE229" s="152"/>
      <c r="AF229" s="328"/>
      <c r="AG229" s="328"/>
      <c r="AH229" s="328"/>
      <c r="AI229" s="328"/>
      <c r="AJ229" s="328"/>
      <c r="AK229" s="328"/>
      <c r="AL229" s="328"/>
      <c r="AM229" s="328"/>
      <c r="AN229" s="328"/>
      <c r="AO229" s="328"/>
      <c r="AP229" s="329"/>
      <c r="AQ229" s="152"/>
      <c r="AR229" s="152"/>
      <c r="AS229" s="152"/>
      <c r="AT229" s="152"/>
    </row>
    <row r="230" spans="1:46">
      <c r="A230" s="121" t="s">
        <v>269</v>
      </c>
      <c r="B230" s="33" t="s">
        <v>146</v>
      </c>
      <c r="C230" s="33" t="s">
        <v>26</v>
      </c>
      <c r="D230" s="122">
        <v>7</v>
      </c>
      <c r="E230" s="261" t="s">
        <v>69</v>
      </c>
      <c r="F230" s="263">
        <v>996</v>
      </c>
      <c r="G230" s="90">
        <v>996</v>
      </c>
      <c r="H230" s="90">
        <v>57</v>
      </c>
      <c r="I230" s="359">
        <v>7</v>
      </c>
      <c r="J230" s="379">
        <f>ROUND(G230*(1+'29_01_H_2020'!$O$10),2)</f>
        <v>1248.8800000000001</v>
      </c>
      <c r="K230" s="151">
        <f t="shared" si="102"/>
        <v>14.469999999999999</v>
      </c>
      <c r="L230" s="151">
        <f>ROUND(H230*(1+'29_01_H_2020'!$O$10),2)</f>
        <v>71.47</v>
      </c>
      <c r="M230" s="151">
        <f t="shared" si="103"/>
        <v>267.35000000000014</v>
      </c>
      <c r="N230" s="151">
        <f t="shared" si="104"/>
        <v>1871.450000000001</v>
      </c>
      <c r="O230" s="151">
        <f t="shared" si="105"/>
        <v>22457.400000000012</v>
      </c>
      <c r="P230" s="151">
        <f>ROUND(O230*'29_01_H_2020'!$O$17,2)</f>
        <v>5297.7</v>
      </c>
      <c r="Q230" s="380">
        <f t="shared" si="107"/>
        <v>27755.100000000013</v>
      </c>
      <c r="R230" s="152"/>
      <c r="S230" s="328"/>
      <c r="T230" s="328"/>
      <c r="U230" s="328"/>
      <c r="V230" s="328"/>
      <c r="W230" s="328"/>
      <c r="X230" s="328"/>
      <c r="Y230" s="328"/>
      <c r="Z230" s="328"/>
      <c r="AA230" s="328"/>
      <c r="AB230" s="328"/>
      <c r="AC230" s="329"/>
      <c r="AD230" s="152"/>
      <c r="AE230" s="152"/>
      <c r="AF230" s="328"/>
      <c r="AG230" s="328"/>
      <c r="AH230" s="328"/>
      <c r="AI230" s="328"/>
      <c r="AJ230" s="328"/>
      <c r="AK230" s="328"/>
      <c r="AL230" s="328"/>
      <c r="AM230" s="328"/>
      <c r="AN230" s="328"/>
      <c r="AO230" s="328"/>
      <c r="AP230" s="329"/>
      <c r="AQ230" s="152"/>
      <c r="AR230" s="152"/>
      <c r="AS230" s="152"/>
      <c r="AT230" s="152"/>
    </row>
    <row r="231" spans="1:46">
      <c r="A231" s="602" t="s">
        <v>301</v>
      </c>
      <c r="B231" s="33" t="s">
        <v>146</v>
      </c>
      <c r="C231" s="33" t="s">
        <v>42</v>
      </c>
      <c r="D231" s="122">
        <v>6</v>
      </c>
      <c r="E231" s="261" t="s">
        <v>69</v>
      </c>
      <c r="F231" s="263">
        <v>899</v>
      </c>
      <c r="G231" s="90">
        <v>899</v>
      </c>
      <c r="H231" s="90">
        <v>50</v>
      </c>
      <c r="I231" s="359">
        <v>1</v>
      </c>
      <c r="J231" s="379">
        <f>ROUND(G231*(1+'29_01_H_2020'!$O$10),2)</f>
        <v>1127.26</v>
      </c>
      <c r="K231" s="151">
        <f t="shared" si="102"/>
        <v>12.700000000000003</v>
      </c>
      <c r="L231" s="151">
        <f>ROUND(H231*(1+'29_01_H_2020'!$O$10),2)</f>
        <v>62.7</v>
      </c>
      <c r="M231" s="151">
        <f t="shared" si="103"/>
        <v>240.96000000000004</v>
      </c>
      <c r="N231" s="151">
        <f t="shared" si="104"/>
        <v>240.96000000000004</v>
      </c>
      <c r="O231" s="151">
        <f t="shared" si="105"/>
        <v>2891.5200000000004</v>
      </c>
      <c r="P231" s="151">
        <f>ROUND(O231*'29_01_H_2020'!$O$17,2)</f>
        <v>682.11</v>
      </c>
      <c r="Q231" s="380">
        <f t="shared" si="107"/>
        <v>3573.6300000000006</v>
      </c>
      <c r="R231" s="152"/>
      <c r="S231" s="328"/>
      <c r="T231" s="328"/>
      <c r="U231" s="328"/>
      <c r="V231" s="328"/>
      <c r="W231" s="328"/>
      <c r="X231" s="328"/>
      <c r="Y231" s="328"/>
      <c r="Z231" s="328"/>
      <c r="AA231" s="328"/>
      <c r="AB231" s="328"/>
      <c r="AC231" s="329"/>
      <c r="AD231" s="152"/>
      <c r="AE231" s="152"/>
      <c r="AF231" s="328"/>
      <c r="AG231" s="328"/>
      <c r="AH231" s="328"/>
      <c r="AI231" s="328"/>
      <c r="AJ231" s="328"/>
      <c r="AK231" s="328"/>
      <c r="AL231" s="328"/>
      <c r="AM231" s="328"/>
      <c r="AN231" s="328"/>
      <c r="AO231" s="328"/>
      <c r="AP231" s="329"/>
      <c r="AQ231" s="152"/>
      <c r="AR231" s="152"/>
      <c r="AS231" s="152"/>
      <c r="AT231" s="152"/>
    </row>
    <row r="232" spans="1:46">
      <c r="A232" s="11" t="s">
        <v>55</v>
      </c>
      <c r="B232" s="8" t="s">
        <v>52</v>
      </c>
      <c r="C232" s="9" t="s">
        <v>52</v>
      </c>
      <c r="D232" s="9" t="s">
        <v>52</v>
      </c>
      <c r="E232" s="9" t="s">
        <v>52</v>
      </c>
      <c r="F232" s="10" t="s">
        <v>52</v>
      </c>
      <c r="G232" s="10" t="s">
        <v>52</v>
      </c>
      <c r="H232" s="10" t="s">
        <v>52</v>
      </c>
      <c r="I232" s="360">
        <f>SUM(I222:I231)</f>
        <v>31</v>
      </c>
      <c r="J232" s="404"/>
      <c r="K232" s="405"/>
      <c r="L232" s="405"/>
      <c r="M232" s="405"/>
      <c r="N232" s="405"/>
      <c r="O232" s="405"/>
      <c r="P232" s="405"/>
      <c r="Q232" s="406"/>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Q232" s="152"/>
      <c r="AR232" s="152"/>
      <c r="AS232" s="152"/>
      <c r="AT232" s="152"/>
    </row>
    <row r="233" spans="1:46">
      <c r="A233" s="1111" t="s">
        <v>47</v>
      </c>
      <c r="B233" s="1112"/>
      <c r="C233" s="1112"/>
      <c r="D233" s="1112"/>
      <c r="E233" s="1112"/>
      <c r="F233" s="1112"/>
      <c r="G233" s="1112"/>
      <c r="H233" s="1112"/>
      <c r="I233" s="1113"/>
      <c r="J233" s="385"/>
      <c r="K233" s="383"/>
      <c r="L233" s="383"/>
      <c r="M233" s="383"/>
      <c r="N233" s="383"/>
      <c r="O233" s="383"/>
      <c r="P233" s="383"/>
      <c r="Q233" s="386"/>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Q233" s="152"/>
      <c r="AR233" s="152"/>
      <c r="AS233" s="152"/>
      <c r="AT233" s="152"/>
    </row>
    <row r="234" spans="1:46">
      <c r="A234" s="121" t="s">
        <v>302</v>
      </c>
      <c r="B234" s="33">
        <v>39</v>
      </c>
      <c r="C234" s="122" t="s">
        <v>45</v>
      </c>
      <c r="D234" s="122">
        <v>4</v>
      </c>
      <c r="E234" s="261" t="s">
        <v>69</v>
      </c>
      <c r="F234" s="263">
        <v>705</v>
      </c>
      <c r="G234" s="90">
        <v>705</v>
      </c>
      <c r="H234" s="90">
        <v>139</v>
      </c>
      <c r="I234" s="359">
        <v>6</v>
      </c>
      <c r="J234" s="379">
        <f>ROUND(G234*(1+'29_01_H_2020'!$O$14),2)</f>
        <v>884</v>
      </c>
      <c r="K234" s="151">
        <f>L234-H234</f>
        <v>35.289999999999992</v>
      </c>
      <c r="L234" s="151">
        <f>ROUND(H234*(1+'29_01_H_2020'!$O$14),2)</f>
        <v>174.29</v>
      </c>
      <c r="M234" s="151">
        <f>(J234+L234)-(G234+H234)</f>
        <v>214.28999999999996</v>
      </c>
      <c r="N234" s="151">
        <f>M234*I234</f>
        <v>1285.7399999999998</v>
      </c>
      <c r="O234" s="151">
        <f t="shared" ref="O234:O237" si="108">N234*12</f>
        <v>15428.879999999997</v>
      </c>
      <c r="P234" s="151">
        <f>ROUND(O234*'29_01_H_2020'!$O$17,2)</f>
        <v>3639.67</v>
      </c>
      <c r="Q234" s="380">
        <f t="shared" ref="Q234" si="109">SUM(O234:P234)</f>
        <v>19068.549999999996</v>
      </c>
      <c r="R234" s="152"/>
      <c r="S234" s="328"/>
      <c r="T234" s="328"/>
      <c r="U234" s="328"/>
      <c r="V234" s="328"/>
      <c r="W234" s="328"/>
      <c r="X234" s="328"/>
      <c r="Y234" s="328"/>
      <c r="Z234" s="328"/>
      <c r="AA234" s="328"/>
      <c r="AB234" s="328"/>
      <c r="AC234" s="329"/>
      <c r="AD234" s="152"/>
      <c r="AE234" s="152"/>
      <c r="AF234" s="328"/>
      <c r="AG234" s="328"/>
      <c r="AH234" s="328"/>
      <c r="AI234" s="328"/>
      <c r="AJ234" s="328"/>
      <c r="AK234" s="328"/>
      <c r="AL234" s="328"/>
      <c r="AM234" s="328"/>
      <c r="AN234" s="328"/>
      <c r="AO234" s="328"/>
      <c r="AP234" s="329"/>
      <c r="AQ234" s="152"/>
      <c r="AR234" s="152"/>
      <c r="AS234" s="152"/>
      <c r="AT234" s="152"/>
    </row>
    <row r="235" spans="1:46">
      <c r="A235" s="5" t="s">
        <v>302</v>
      </c>
      <c r="B235" s="7">
        <v>39</v>
      </c>
      <c r="C235" s="3" t="s">
        <v>251</v>
      </c>
      <c r="D235" s="258">
        <v>5</v>
      </c>
      <c r="E235" s="258">
        <v>3</v>
      </c>
      <c r="F235" s="263">
        <v>802</v>
      </c>
      <c r="G235" s="90">
        <v>720</v>
      </c>
      <c r="H235" s="90">
        <v>139</v>
      </c>
      <c r="I235" s="359">
        <v>1</v>
      </c>
      <c r="J235" s="379">
        <f>ROUND(G235*(1+'29_01_H_2020'!$O$14),2)</f>
        <v>902.81</v>
      </c>
      <c r="K235" s="151">
        <f>L235-H235</f>
        <v>35.289999999999992</v>
      </c>
      <c r="L235" s="151">
        <f>ROUND(H235*(1+'29_01_H_2020'!$O$14),2)</f>
        <v>174.29</v>
      </c>
      <c r="M235" s="151">
        <f>(J235+L235)-(G235+H235)</f>
        <v>218.09999999999991</v>
      </c>
      <c r="N235" s="151">
        <f>M235*I235</f>
        <v>218.09999999999991</v>
      </c>
      <c r="O235" s="151">
        <f t="shared" si="108"/>
        <v>2617.1999999999989</v>
      </c>
      <c r="P235" s="151">
        <f>ROUND(O235*'29_01_H_2020'!$O$17,2)</f>
        <v>617.4</v>
      </c>
      <c r="Q235" s="380">
        <f t="shared" ref="Q235:Q237" si="110">SUM(O235:P235)</f>
        <v>3234.599999999999</v>
      </c>
      <c r="R235" s="152"/>
      <c r="S235" s="328"/>
      <c r="T235" s="328"/>
      <c r="U235" s="328"/>
      <c r="V235" s="328"/>
      <c r="W235" s="328"/>
      <c r="X235" s="328"/>
      <c r="Y235" s="328"/>
      <c r="Z235" s="328"/>
      <c r="AA235" s="328"/>
      <c r="AB235" s="328"/>
      <c r="AC235" s="329"/>
      <c r="AD235" s="152"/>
      <c r="AE235" s="152"/>
      <c r="AF235" s="328"/>
      <c r="AG235" s="328"/>
      <c r="AH235" s="328"/>
      <c r="AI235" s="328"/>
      <c r="AJ235" s="328"/>
      <c r="AK235" s="328"/>
      <c r="AL235" s="328"/>
      <c r="AM235" s="328"/>
      <c r="AN235" s="328"/>
      <c r="AO235" s="328"/>
      <c r="AP235" s="329"/>
      <c r="AQ235" s="152"/>
      <c r="AR235" s="152"/>
      <c r="AS235" s="152"/>
      <c r="AT235" s="152"/>
    </row>
    <row r="236" spans="1:46">
      <c r="A236" s="5" t="s">
        <v>303</v>
      </c>
      <c r="B236" s="33">
        <v>39</v>
      </c>
      <c r="C236" s="3" t="s">
        <v>251</v>
      </c>
      <c r="D236" s="258">
        <v>5</v>
      </c>
      <c r="E236" s="258">
        <v>3</v>
      </c>
      <c r="F236" s="263">
        <v>802</v>
      </c>
      <c r="G236" s="90">
        <v>770</v>
      </c>
      <c r="H236" s="90">
        <v>150</v>
      </c>
      <c r="I236" s="359">
        <v>4.5</v>
      </c>
      <c r="J236" s="379">
        <f>ROUND(G236*(1+'29_01_H_2020'!$O$14),2)</f>
        <v>965.5</v>
      </c>
      <c r="K236" s="151">
        <f>L236-H236</f>
        <v>38.090000000000003</v>
      </c>
      <c r="L236" s="151">
        <f>ROUND(H236*(1+'29_01_H_2020'!$O$14),2)</f>
        <v>188.09</v>
      </c>
      <c r="M236" s="151">
        <f>(J236+L236)-(G236+H236)</f>
        <v>233.58999999999992</v>
      </c>
      <c r="N236" s="151">
        <f>M236*I236</f>
        <v>1051.1549999999997</v>
      </c>
      <c r="O236" s="151">
        <f t="shared" si="108"/>
        <v>12613.859999999997</v>
      </c>
      <c r="P236" s="151">
        <f>ROUND(O236*'29_01_H_2020'!$O$17,2)</f>
        <v>2975.61</v>
      </c>
      <c r="Q236" s="380">
        <f t="shared" si="110"/>
        <v>15589.469999999998</v>
      </c>
      <c r="R236" s="152"/>
      <c r="S236" s="328"/>
      <c r="T236" s="328"/>
      <c r="U236" s="328"/>
      <c r="V236" s="328"/>
      <c r="W236" s="328"/>
      <c r="X236" s="328"/>
      <c r="Y236" s="328"/>
      <c r="Z236" s="328"/>
      <c r="AA236" s="328"/>
      <c r="AB236" s="328"/>
      <c r="AC236" s="329"/>
      <c r="AD236" s="152"/>
      <c r="AE236" s="152"/>
      <c r="AF236" s="328"/>
      <c r="AG236" s="328"/>
      <c r="AH236" s="328"/>
      <c r="AI236" s="328"/>
      <c r="AJ236" s="328"/>
      <c r="AK236" s="328"/>
      <c r="AL236" s="328"/>
      <c r="AM236" s="328"/>
      <c r="AN236" s="328"/>
      <c r="AO236" s="328"/>
      <c r="AP236" s="329"/>
      <c r="AQ236" s="152"/>
      <c r="AR236" s="152"/>
      <c r="AS236" s="152"/>
      <c r="AT236" s="152"/>
    </row>
    <row r="237" spans="1:46">
      <c r="A237" s="5" t="s">
        <v>51</v>
      </c>
      <c r="B237" s="7" t="s">
        <v>146</v>
      </c>
      <c r="C237" s="3" t="s">
        <v>37</v>
      </c>
      <c r="D237" s="258">
        <v>3</v>
      </c>
      <c r="E237" s="258">
        <v>3</v>
      </c>
      <c r="F237" s="263">
        <v>608</v>
      </c>
      <c r="G237" s="90">
        <v>608</v>
      </c>
      <c r="H237" s="90">
        <v>38</v>
      </c>
      <c r="I237" s="359">
        <v>3</v>
      </c>
      <c r="J237" s="379">
        <f>ROUND(G237*(1+'29_01_H_2020'!$O$14),2)</f>
        <v>762.37</v>
      </c>
      <c r="K237" s="151">
        <f>L237-H237</f>
        <v>9.6499999999999986</v>
      </c>
      <c r="L237" s="151">
        <f>ROUND(H237*(1+'29_01_H_2020'!$O$14),2)</f>
        <v>47.65</v>
      </c>
      <c r="M237" s="151">
        <f>(J237+L237)-(G237+H237)</f>
        <v>164.01999999999998</v>
      </c>
      <c r="N237" s="151">
        <f>M237*I237</f>
        <v>492.05999999999995</v>
      </c>
      <c r="O237" s="151">
        <f t="shared" si="108"/>
        <v>5904.7199999999993</v>
      </c>
      <c r="P237" s="151">
        <f>ROUND(O237*'29_01_H_2020'!$O$17,2)</f>
        <v>1392.92</v>
      </c>
      <c r="Q237" s="380">
        <f t="shared" si="110"/>
        <v>7297.6399999999994</v>
      </c>
      <c r="R237" s="152"/>
      <c r="S237" s="328"/>
      <c r="T237" s="328"/>
      <c r="U237" s="328"/>
      <c r="V237" s="328"/>
      <c r="W237" s="328"/>
      <c r="X237" s="328"/>
      <c r="Y237" s="328"/>
      <c r="Z237" s="328"/>
      <c r="AA237" s="328"/>
      <c r="AB237" s="328"/>
      <c r="AC237" s="329"/>
      <c r="AD237" s="152"/>
      <c r="AE237" s="152"/>
      <c r="AF237" s="328"/>
      <c r="AG237" s="328"/>
      <c r="AH237" s="328"/>
      <c r="AI237" s="328"/>
      <c r="AJ237" s="328"/>
      <c r="AK237" s="328"/>
      <c r="AL237" s="328"/>
      <c r="AM237" s="328"/>
      <c r="AN237" s="328"/>
      <c r="AO237" s="328"/>
      <c r="AP237" s="329"/>
      <c r="AQ237" s="152"/>
      <c r="AR237" s="152"/>
      <c r="AS237" s="152"/>
      <c r="AT237" s="152"/>
    </row>
    <row r="238" spans="1:46" s="333" customFormat="1">
      <c r="A238" s="338" t="s">
        <v>304</v>
      </c>
      <c r="B238" s="7">
        <v>39</v>
      </c>
      <c r="C238" s="334" t="s">
        <v>251</v>
      </c>
      <c r="D238" s="258">
        <v>5</v>
      </c>
      <c r="E238" s="258">
        <v>3</v>
      </c>
      <c r="F238" s="263">
        <v>802</v>
      </c>
      <c r="G238" s="90">
        <v>802</v>
      </c>
      <c r="H238" s="90">
        <v>37</v>
      </c>
      <c r="I238" s="359">
        <v>1</v>
      </c>
      <c r="J238" s="379">
        <f>ROUND(G238*(1+'29_01_H_2020'!$O$14),2)</f>
        <v>1005.63</v>
      </c>
      <c r="K238" s="151">
        <f t="shared" ref="K238:K239" si="111">L238-H238</f>
        <v>9.39</v>
      </c>
      <c r="L238" s="151">
        <f>ROUND(H238*(1+'29_01_H_2020'!$O$14),2)</f>
        <v>46.39</v>
      </c>
      <c r="M238" s="151">
        <f t="shared" ref="M238:M239" si="112">(J238+L238)-(G238+H238)</f>
        <v>213.01999999999998</v>
      </c>
      <c r="N238" s="151">
        <f t="shared" ref="N238:N239" si="113">M238*I238</f>
        <v>213.01999999999998</v>
      </c>
      <c r="O238" s="151">
        <f t="shared" ref="O238:O239" si="114">N238*12</f>
        <v>2556.2399999999998</v>
      </c>
      <c r="P238" s="151">
        <f>ROUND(O238*'29_01_H_2020'!$O$17,2)</f>
        <v>603.02</v>
      </c>
      <c r="Q238" s="380">
        <f t="shared" ref="Q238:Q239" si="115">SUM(O238:P238)</f>
        <v>3159.2599999999998</v>
      </c>
      <c r="R238" s="152"/>
      <c r="S238" s="328"/>
      <c r="T238" s="328"/>
      <c r="U238" s="328"/>
      <c r="V238" s="328"/>
      <c r="W238" s="328"/>
      <c r="X238" s="328"/>
      <c r="Y238" s="328"/>
      <c r="Z238" s="328"/>
      <c r="AA238" s="328"/>
      <c r="AB238" s="328"/>
      <c r="AC238" s="329"/>
      <c r="AD238" s="152"/>
      <c r="AE238" s="152"/>
      <c r="AF238" s="328"/>
      <c r="AG238" s="328"/>
      <c r="AH238" s="328"/>
      <c r="AI238" s="328"/>
      <c r="AJ238" s="328"/>
      <c r="AK238" s="328"/>
      <c r="AL238" s="328"/>
      <c r="AM238" s="328"/>
      <c r="AN238" s="328"/>
      <c r="AO238" s="328"/>
      <c r="AP238" s="329"/>
      <c r="AQ238" s="152"/>
      <c r="AR238" s="152"/>
      <c r="AS238" s="152"/>
      <c r="AT238" s="152"/>
    </row>
    <row r="239" spans="1:46" s="333" customFormat="1">
      <c r="A239" s="338" t="s">
        <v>566</v>
      </c>
      <c r="B239" s="7">
        <v>39</v>
      </c>
      <c r="C239" s="334" t="s">
        <v>251</v>
      </c>
      <c r="D239" s="258">
        <v>5</v>
      </c>
      <c r="E239" s="258">
        <v>3</v>
      </c>
      <c r="F239" s="263">
        <v>802</v>
      </c>
      <c r="G239" s="90">
        <v>802</v>
      </c>
      <c r="H239" s="90">
        <v>37</v>
      </c>
      <c r="I239" s="359">
        <v>1</v>
      </c>
      <c r="J239" s="379">
        <f>ROUND(G239*(1+'29_01_H_2020'!$O$14),2)</f>
        <v>1005.63</v>
      </c>
      <c r="K239" s="151">
        <f t="shared" si="111"/>
        <v>9.39</v>
      </c>
      <c r="L239" s="151">
        <f>ROUND(H239*(1+'29_01_H_2020'!$O$14),2)</f>
        <v>46.39</v>
      </c>
      <c r="M239" s="151">
        <f t="shared" si="112"/>
        <v>213.01999999999998</v>
      </c>
      <c r="N239" s="151">
        <f t="shared" si="113"/>
        <v>213.01999999999998</v>
      </c>
      <c r="O239" s="151">
        <f t="shared" si="114"/>
        <v>2556.2399999999998</v>
      </c>
      <c r="P239" s="151">
        <f>ROUND(O239*'29_01_H_2020'!$O$17,2)</f>
        <v>603.02</v>
      </c>
      <c r="Q239" s="380">
        <f t="shared" si="115"/>
        <v>3159.2599999999998</v>
      </c>
      <c r="R239" s="152"/>
      <c r="S239" s="328"/>
      <c r="T239" s="328"/>
      <c r="U239" s="328"/>
      <c r="V239" s="328"/>
      <c r="W239" s="328"/>
      <c r="X239" s="328"/>
      <c r="Y239" s="328"/>
      <c r="Z239" s="328"/>
      <c r="AA239" s="328"/>
      <c r="AB239" s="328"/>
      <c r="AC239" s="329"/>
      <c r="AD239" s="152"/>
      <c r="AE239" s="152"/>
      <c r="AF239" s="328"/>
      <c r="AG239" s="328"/>
      <c r="AH239" s="328"/>
      <c r="AI239" s="328"/>
      <c r="AJ239" s="328"/>
      <c r="AK239" s="328"/>
      <c r="AL239" s="328"/>
      <c r="AM239" s="328"/>
      <c r="AN239" s="328"/>
      <c r="AO239" s="328"/>
      <c r="AP239" s="329"/>
      <c r="AQ239" s="152"/>
      <c r="AR239" s="152"/>
      <c r="AS239" s="152"/>
      <c r="AT239" s="152"/>
    </row>
    <row r="240" spans="1:46">
      <c r="A240" s="11" t="s">
        <v>55</v>
      </c>
      <c r="B240" s="8" t="s">
        <v>52</v>
      </c>
      <c r="C240" s="9" t="s">
        <v>52</v>
      </c>
      <c r="D240" s="9" t="s">
        <v>52</v>
      </c>
      <c r="E240" s="9" t="s">
        <v>52</v>
      </c>
      <c r="F240" s="10" t="s">
        <v>52</v>
      </c>
      <c r="G240" s="10" t="s">
        <v>52</v>
      </c>
      <c r="H240" s="10" t="s">
        <v>52</v>
      </c>
      <c r="I240" s="360">
        <f>SUM(I234:I239)</f>
        <v>16.5</v>
      </c>
      <c r="J240" s="404"/>
      <c r="K240" s="405"/>
      <c r="L240" s="405"/>
      <c r="M240" s="405"/>
      <c r="N240" s="405"/>
      <c r="O240" s="405"/>
      <c r="P240" s="405"/>
      <c r="Q240" s="412"/>
      <c r="R240" s="152"/>
      <c r="S240" s="152"/>
      <c r="T240" s="152"/>
      <c r="U240" s="152"/>
      <c r="V240" s="152"/>
      <c r="W240" s="152"/>
      <c r="X240" s="152"/>
      <c r="Y240" s="152"/>
      <c r="Z240" s="328"/>
      <c r="AA240" s="152"/>
      <c r="AB240" s="152"/>
      <c r="AC240" s="152"/>
      <c r="AD240" s="152"/>
      <c r="AE240" s="152"/>
      <c r="AF240" s="152"/>
      <c r="AG240" s="152"/>
      <c r="AH240" s="152"/>
      <c r="AI240" s="152"/>
      <c r="AJ240" s="152"/>
      <c r="AK240" s="152"/>
      <c r="AL240" s="152"/>
      <c r="AM240" s="328"/>
      <c r="AN240" s="152"/>
      <c r="AO240" s="152"/>
      <c r="AP240" s="152"/>
      <c r="AQ240" s="152"/>
      <c r="AR240" s="152"/>
      <c r="AS240" s="152"/>
      <c r="AT240" s="152"/>
    </row>
    <row r="241" spans="1:46">
      <c r="A241" s="139" t="s">
        <v>305</v>
      </c>
      <c r="B241" s="140"/>
      <c r="C241" s="140"/>
      <c r="D241" s="140"/>
      <c r="E241" s="140"/>
      <c r="F241" s="120"/>
      <c r="G241" s="120"/>
      <c r="H241" s="120"/>
      <c r="I241" s="366">
        <f>I240+I232+I220</f>
        <v>78.5</v>
      </c>
      <c r="J241" s="413"/>
      <c r="K241" s="414"/>
      <c r="L241" s="414"/>
      <c r="M241" s="414"/>
      <c r="N241" s="414"/>
      <c r="O241" s="414"/>
      <c r="P241" s="414"/>
      <c r="Q241" s="415"/>
      <c r="R241" s="152"/>
      <c r="S241" s="152"/>
      <c r="T241" s="152"/>
      <c r="U241" s="152"/>
      <c r="V241" s="152"/>
      <c r="W241" s="152"/>
      <c r="X241" s="152"/>
      <c r="Y241" s="152"/>
      <c r="Z241" s="152"/>
      <c r="AA241" s="152"/>
      <c r="AB241" s="152"/>
      <c r="AC241" s="152"/>
      <c r="AD241" s="152"/>
      <c r="AE241" s="152"/>
      <c r="AF241" s="152"/>
      <c r="AG241" s="152"/>
      <c r="AH241" s="152"/>
      <c r="AI241" s="152"/>
      <c r="AJ241" s="152"/>
      <c r="AK241" s="152"/>
      <c r="AL241" s="152"/>
      <c r="AM241" s="152"/>
      <c r="AN241" s="152"/>
      <c r="AO241" s="152"/>
      <c r="AP241" s="152"/>
      <c r="AQ241" s="152"/>
      <c r="AR241" s="152"/>
      <c r="AS241" s="152"/>
      <c r="AT241" s="152"/>
    </row>
    <row r="242" spans="1:46">
      <c r="A242" s="1103" t="s">
        <v>306</v>
      </c>
      <c r="B242" s="1104"/>
      <c r="C242" s="1104"/>
      <c r="D242" s="1104"/>
      <c r="E242" s="1104"/>
      <c r="F242" s="1104"/>
      <c r="G242" s="1104"/>
      <c r="H242" s="1104"/>
      <c r="I242" s="1105"/>
      <c r="J242" s="384"/>
      <c r="K242" s="382"/>
      <c r="L242" s="382"/>
      <c r="M242" s="382"/>
      <c r="N242" s="382"/>
      <c r="O242" s="382"/>
      <c r="P242" s="382"/>
      <c r="Q242" s="549">
        <f>SUM(Q244:Q250)</f>
        <v>368769.32000000012</v>
      </c>
      <c r="R242" s="152"/>
      <c r="S242" s="152"/>
      <c r="T242" s="152"/>
      <c r="U242" s="152"/>
      <c r="V242" s="152"/>
      <c r="W242" s="152"/>
      <c r="X242" s="152"/>
      <c r="Y242" s="152"/>
      <c r="Z242" s="152"/>
      <c r="AA242" s="152"/>
      <c r="AB242" s="152"/>
      <c r="AC242" s="152"/>
      <c r="AD242" s="152"/>
      <c r="AE242" s="152"/>
      <c r="AF242" s="152"/>
      <c r="AG242" s="152"/>
      <c r="AH242" s="152"/>
      <c r="AI242" s="152"/>
      <c r="AJ242" s="152"/>
      <c r="AK242" s="152"/>
      <c r="AL242" s="152"/>
      <c r="AM242" s="152"/>
      <c r="AN242" s="152"/>
      <c r="AO242" s="152"/>
      <c r="AP242" s="152"/>
      <c r="AQ242" s="152"/>
      <c r="AR242" s="152"/>
      <c r="AS242" s="152"/>
      <c r="AT242" s="152"/>
    </row>
    <row r="243" spans="1:46">
      <c r="A243" s="1098" t="s">
        <v>11</v>
      </c>
      <c r="B243" s="1099"/>
      <c r="C243" s="1099"/>
      <c r="D243" s="1099"/>
      <c r="E243" s="1099"/>
      <c r="F243" s="1099"/>
      <c r="G243" s="1099"/>
      <c r="H243" s="1099"/>
      <c r="I243" s="1100"/>
      <c r="J243" s="385"/>
      <c r="K243" s="383"/>
      <c r="L243" s="383"/>
      <c r="M243" s="383"/>
      <c r="N243" s="383"/>
      <c r="O243" s="383"/>
      <c r="P243" s="383"/>
      <c r="Q243" s="386"/>
      <c r="R243" s="152"/>
      <c r="S243" s="152"/>
      <c r="T243" s="152"/>
      <c r="U243" s="152"/>
      <c r="V243" s="152"/>
      <c r="W243" s="152"/>
      <c r="X243" s="152"/>
      <c r="Y243" s="152"/>
      <c r="Z243" s="152"/>
      <c r="AA243" s="152"/>
      <c r="AB243" s="152"/>
      <c r="AC243" s="152"/>
      <c r="AD243" s="152"/>
      <c r="AE243" s="152"/>
      <c r="AF243" s="152"/>
      <c r="AG243" s="152"/>
      <c r="AH243" s="152"/>
      <c r="AI243" s="152"/>
      <c r="AJ243" s="152"/>
      <c r="AK243" s="152"/>
      <c r="AL243" s="152"/>
      <c r="AM243" s="152"/>
      <c r="AN243" s="152"/>
      <c r="AO243" s="152"/>
      <c r="AP243" s="152"/>
      <c r="AQ243" s="152"/>
      <c r="AR243" s="152"/>
      <c r="AS243" s="152"/>
      <c r="AT243" s="152"/>
    </row>
    <row r="244" spans="1:46">
      <c r="A244" s="5" t="s">
        <v>307</v>
      </c>
      <c r="B244" s="125">
        <v>10</v>
      </c>
      <c r="C244" s="3" t="s">
        <v>13</v>
      </c>
      <c r="D244" s="258">
        <v>13</v>
      </c>
      <c r="E244" s="258">
        <v>3</v>
      </c>
      <c r="F244" s="263">
        <v>1917</v>
      </c>
      <c r="G244" s="90">
        <v>1917</v>
      </c>
      <c r="H244" s="90">
        <v>181.6</v>
      </c>
      <c r="I244" s="359">
        <v>1</v>
      </c>
      <c r="J244" s="379">
        <f>ROUND(G244*(1+'29_01_H_2020'!$O$14),2)</f>
        <v>2403.73</v>
      </c>
      <c r="K244" s="151">
        <f t="shared" ref="K244:K249" si="116">L244-H244</f>
        <v>46.110000000000014</v>
      </c>
      <c r="L244" s="151">
        <f>ROUND(H244*(1+'29_01_H_2020'!$O$14),2)</f>
        <v>227.71</v>
      </c>
      <c r="M244" s="151">
        <f t="shared" ref="M244:M249" si="117">(J244+L244)-(G244+H244)</f>
        <v>532.84000000000015</v>
      </c>
      <c r="N244" s="151">
        <f t="shared" ref="N244:N249" si="118">M244*I244</f>
        <v>532.84000000000015</v>
      </c>
      <c r="O244" s="151">
        <f t="shared" ref="O244:O249" si="119">N244*12</f>
        <v>6394.0800000000017</v>
      </c>
      <c r="P244" s="151">
        <f>ROUND(O244*'29_01_H_2020'!$O$17,2)</f>
        <v>1508.36</v>
      </c>
      <c r="Q244" s="380">
        <f t="shared" ref="Q244" si="120">SUM(O244:P244)</f>
        <v>7902.4400000000014</v>
      </c>
      <c r="R244" s="152"/>
      <c r="S244" s="328"/>
      <c r="T244" s="328"/>
      <c r="U244" s="328"/>
      <c r="V244" s="328"/>
      <c r="W244" s="328"/>
      <c r="X244" s="328"/>
      <c r="Y244" s="328"/>
      <c r="Z244" s="328"/>
      <c r="AA244" s="328"/>
      <c r="AB244" s="328"/>
      <c r="AC244" s="329"/>
      <c r="AD244" s="152"/>
      <c r="AE244" s="152"/>
      <c r="AF244" s="328"/>
      <c r="AG244" s="328"/>
      <c r="AH244" s="328"/>
      <c r="AI244" s="328"/>
      <c r="AJ244" s="328"/>
      <c r="AK244" s="328"/>
      <c r="AL244" s="328"/>
      <c r="AM244" s="328"/>
      <c r="AN244" s="328"/>
      <c r="AO244" s="328"/>
      <c r="AP244" s="329"/>
      <c r="AQ244" s="152"/>
      <c r="AR244" s="152"/>
      <c r="AS244" s="152"/>
      <c r="AT244" s="152"/>
    </row>
    <row r="245" spans="1:46">
      <c r="A245" s="5" t="s">
        <v>567</v>
      </c>
      <c r="B245" s="125">
        <v>10</v>
      </c>
      <c r="C245" s="3" t="s">
        <v>19</v>
      </c>
      <c r="D245" s="258">
        <v>12</v>
      </c>
      <c r="E245" s="258">
        <v>3</v>
      </c>
      <c r="F245" s="263">
        <v>1647</v>
      </c>
      <c r="G245" s="90">
        <v>1647</v>
      </c>
      <c r="H245" s="90">
        <v>171.7</v>
      </c>
      <c r="I245" s="359">
        <v>1</v>
      </c>
      <c r="J245" s="379">
        <f>ROUND(G245*(1+'29_01_H_2020'!$O$14),2)</f>
        <v>2065.17</v>
      </c>
      <c r="K245" s="151">
        <f t="shared" si="116"/>
        <v>43.59</v>
      </c>
      <c r="L245" s="151">
        <f>ROUND(H245*(1+'29_01_H_2020'!$O$14),2)</f>
        <v>215.29</v>
      </c>
      <c r="M245" s="151">
        <f t="shared" si="117"/>
        <v>461.76</v>
      </c>
      <c r="N245" s="151">
        <f t="shared" si="118"/>
        <v>461.76</v>
      </c>
      <c r="O245" s="151">
        <f t="shared" si="119"/>
        <v>5541.12</v>
      </c>
      <c r="P245" s="151">
        <f>ROUND(O245*'29_01_H_2020'!$O$17,2)</f>
        <v>1307.1500000000001</v>
      </c>
      <c r="Q245" s="380">
        <f t="shared" ref="Q245:Q249" si="121">SUM(O245:P245)</f>
        <v>6848.27</v>
      </c>
      <c r="R245" s="152"/>
      <c r="S245" s="328"/>
      <c r="T245" s="328"/>
      <c r="U245" s="328"/>
      <c r="V245" s="328"/>
      <c r="W245" s="328"/>
      <c r="X245" s="328"/>
      <c r="Y245" s="328"/>
      <c r="Z245" s="328"/>
      <c r="AA245" s="328"/>
      <c r="AB245" s="328"/>
      <c r="AC245" s="329"/>
      <c r="AD245" s="152"/>
      <c r="AE245" s="152"/>
      <c r="AF245" s="328"/>
      <c r="AG245" s="328"/>
      <c r="AH245" s="328"/>
      <c r="AI245" s="328"/>
      <c r="AJ245" s="328"/>
      <c r="AK245" s="328"/>
      <c r="AL245" s="328"/>
      <c r="AM245" s="328"/>
      <c r="AN245" s="328"/>
      <c r="AO245" s="328"/>
      <c r="AP245" s="329"/>
      <c r="AQ245" s="152"/>
      <c r="AR245" s="152"/>
      <c r="AS245" s="152"/>
      <c r="AT245" s="152"/>
    </row>
    <row r="246" spans="1:46" ht="26.25">
      <c r="A246" s="1" t="s">
        <v>567</v>
      </c>
      <c r="B246" s="125">
        <v>10</v>
      </c>
      <c r="C246" s="3" t="s">
        <v>19</v>
      </c>
      <c r="D246" s="258">
        <v>12</v>
      </c>
      <c r="E246" s="258">
        <v>3</v>
      </c>
      <c r="F246" s="263">
        <v>1647</v>
      </c>
      <c r="G246" s="90">
        <v>1647</v>
      </c>
      <c r="H246" s="90">
        <v>171.7</v>
      </c>
      <c r="I246" s="359">
        <v>8</v>
      </c>
      <c r="J246" s="379">
        <f>ROUND(G246*(1+'29_01_H_2020'!$O$14),2)</f>
        <v>2065.17</v>
      </c>
      <c r="K246" s="151">
        <f t="shared" si="116"/>
        <v>43.59</v>
      </c>
      <c r="L246" s="151">
        <f>ROUND(H246*(1+'29_01_H_2020'!$O$14),2)</f>
        <v>215.29</v>
      </c>
      <c r="M246" s="151">
        <f t="shared" si="117"/>
        <v>461.76</v>
      </c>
      <c r="N246" s="151">
        <f t="shared" si="118"/>
        <v>3694.08</v>
      </c>
      <c r="O246" s="151">
        <f t="shared" si="119"/>
        <v>44328.959999999999</v>
      </c>
      <c r="P246" s="151">
        <f>ROUND(O246*'29_01_H_2020'!$O$17,2)</f>
        <v>10457.200000000001</v>
      </c>
      <c r="Q246" s="380">
        <f t="shared" si="121"/>
        <v>54786.16</v>
      </c>
      <c r="R246" s="152"/>
      <c r="S246" s="328"/>
      <c r="T246" s="328"/>
      <c r="U246" s="328"/>
      <c r="V246" s="328"/>
      <c r="W246" s="328"/>
      <c r="X246" s="328"/>
      <c r="Y246" s="328"/>
      <c r="Z246" s="328"/>
      <c r="AA246" s="328"/>
      <c r="AB246" s="328"/>
      <c r="AC246" s="329"/>
      <c r="AD246" s="152"/>
      <c r="AE246" s="152"/>
      <c r="AF246" s="328"/>
      <c r="AG246" s="328"/>
      <c r="AH246" s="328"/>
      <c r="AI246" s="328"/>
      <c r="AJ246" s="328"/>
      <c r="AK246" s="328"/>
      <c r="AL246" s="328"/>
      <c r="AM246" s="328"/>
      <c r="AN246" s="328"/>
      <c r="AO246" s="328"/>
      <c r="AP246" s="329"/>
      <c r="AQ246" s="152"/>
      <c r="AR246" s="152"/>
      <c r="AS246" s="152"/>
      <c r="AT246" s="152"/>
    </row>
    <row r="247" spans="1:46">
      <c r="A247" s="1" t="s">
        <v>568</v>
      </c>
      <c r="B247" s="125">
        <v>10</v>
      </c>
      <c r="C247" s="3" t="s">
        <v>19</v>
      </c>
      <c r="D247" s="258">
        <v>12</v>
      </c>
      <c r="E247" s="258">
        <v>3</v>
      </c>
      <c r="F247" s="263">
        <v>1647</v>
      </c>
      <c r="G247" s="90">
        <v>1647</v>
      </c>
      <c r="H247" s="90">
        <v>158.4</v>
      </c>
      <c r="I247" s="359">
        <v>1</v>
      </c>
      <c r="J247" s="379">
        <f>ROUND(G247*(1+'29_01_H_2020'!$O$14),2)</f>
        <v>2065.17</v>
      </c>
      <c r="K247" s="151">
        <f t="shared" si="116"/>
        <v>40.22</v>
      </c>
      <c r="L247" s="151">
        <f>ROUND(H247*(1+'29_01_H_2020'!$O$14),2)</f>
        <v>198.62</v>
      </c>
      <c r="M247" s="151">
        <f t="shared" si="117"/>
        <v>458.38999999999987</v>
      </c>
      <c r="N247" s="151">
        <f t="shared" si="118"/>
        <v>458.38999999999987</v>
      </c>
      <c r="O247" s="151">
        <f t="shared" si="119"/>
        <v>5500.6799999999985</v>
      </c>
      <c r="P247" s="151">
        <f>ROUND(O247*'29_01_H_2020'!$O$17,2)</f>
        <v>1297.6099999999999</v>
      </c>
      <c r="Q247" s="380">
        <f t="shared" si="121"/>
        <v>6798.2899999999981</v>
      </c>
      <c r="R247" s="152"/>
      <c r="S247" s="328"/>
      <c r="T247" s="328"/>
      <c r="U247" s="328"/>
      <c r="V247" s="328"/>
      <c r="W247" s="328"/>
      <c r="X247" s="328"/>
      <c r="Y247" s="328"/>
      <c r="Z247" s="328"/>
      <c r="AA247" s="328"/>
      <c r="AB247" s="328"/>
      <c r="AC247" s="329"/>
      <c r="AD247" s="152"/>
      <c r="AE247" s="152"/>
      <c r="AF247" s="328"/>
      <c r="AG247" s="328"/>
      <c r="AH247" s="328"/>
      <c r="AI247" s="328"/>
      <c r="AJ247" s="328"/>
      <c r="AK247" s="328"/>
      <c r="AL247" s="328"/>
      <c r="AM247" s="328"/>
      <c r="AN247" s="328"/>
      <c r="AO247" s="328"/>
      <c r="AP247" s="329"/>
      <c r="AQ247" s="152"/>
      <c r="AR247" s="152"/>
      <c r="AS247" s="152"/>
      <c r="AT247" s="152"/>
    </row>
    <row r="248" spans="1:46">
      <c r="A248" s="1" t="s">
        <v>59</v>
      </c>
      <c r="B248" s="125">
        <v>10</v>
      </c>
      <c r="C248" s="3" t="s">
        <v>19</v>
      </c>
      <c r="D248" s="258">
        <v>12</v>
      </c>
      <c r="E248" s="258">
        <v>3</v>
      </c>
      <c r="F248" s="263">
        <v>1647</v>
      </c>
      <c r="G248" s="90">
        <v>1647</v>
      </c>
      <c r="H248" s="90">
        <v>168.48</v>
      </c>
      <c r="I248" s="359">
        <v>11.4</v>
      </c>
      <c r="J248" s="379">
        <f>ROUND(G248*(1+'29_01_H_2020'!$O$14),2)</f>
        <v>2065.17</v>
      </c>
      <c r="K248" s="151">
        <f t="shared" si="116"/>
        <v>42.78</v>
      </c>
      <c r="L248" s="151">
        <f>ROUND(H248*(1+'29_01_H_2020'!$O$14),2)</f>
        <v>211.26</v>
      </c>
      <c r="M248" s="151">
        <f t="shared" si="117"/>
        <v>460.95000000000027</v>
      </c>
      <c r="N248" s="151">
        <f t="shared" si="118"/>
        <v>5254.8300000000036</v>
      </c>
      <c r="O248" s="151">
        <f t="shared" si="119"/>
        <v>63057.960000000043</v>
      </c>
      <c r="P248" s="151">
        <f>ROUND(O248*'29_01_H_2020'!$O$17,2)</f>
        <v>14875.37</v>
      </c>
      <c r="Q248" s="380">
        <f t="shared" si="121"/>
        <v>77933.330000000045</v>
      </c>
      <c r="R248" s="152"/>
      <c r="S248" s="328"/>
      <c r="T248" s="328"/>
      <c r="U248" s="328"/>
      <c r="V248" s="328"/>
      <c r="W248" s="328"/>
      <c r="X248" s="328"/>
      <c r="Y248" s="328"/>
      <c r="Z248" s="328"/>
      <c r="AA248" s="328"/>
      <c r="AB248" s="328"/>
      <c r="AC248" s="329"/>
      <c r="AD248" s="152"/>
      <c r="AE248" s="152"/>
      <c r="AF248" s="328"/>
      <c r="AG248" s="328"/>
      <c r="AH248" s="328"/>
      <c r="AI248" s="328"/>
      <c r="AJ248" s="328"/>
      <c r="AK248" s="328"/>
      <c r="AL248" s="328"/>
      <c r="AM248" s="328"/>
      <c r="AN248" s="328"/>
      <c r="AO248" s="328"/>
      <c r="AP248" s="329"/>
      <c r="AQ248" s="152"/>
      <c r="AR248" s="152"/>
      <c r="AS248" s="152"/>
      <c r="AT248" s="152"/>
    </row>
    <row r="249" spans="1:46">
      <c r="A249" s="1" t="s">
        <v>61</v>
      </c>
      <c r="B249" s="125">
        <v>10</v>
      </c>
      <c r="C249" s="3" t="s">
        <v>26</v>
      </c>
      <c r="D249" s="258">
        <v>10</v>
      </c>
      <c r="E249" s="258">
        <v>3</v>
      </c>
      <c r="F249" s="263">
        <v>1287</v>
      </c>
      <c r="G249" s="90">
        <v>1287</v>
      </c>
      <c r="H249" s="90">
        <v>137.1</v>
      </c>
      <c r="I249" s="359">
        <v>39</v>
      </c>
      <c r="J249" s="379">
        <f>ROUND(G249*(1+'29_01_H_2020'!$O$14),2)</f>
        <v>1613.77</v>
      </c>
      <c r="K249" s="151">
        <f t="shared" si="116"/>
        <v>34.81</v>
      </c>
      <c r="L249" s="151">
        <f>ROUND(H249*(1+'29_01_H_2020'!$O$14),2)</f>
        <v>171.91</v>
      </c>
      <c r="M249" s="151">
        <f t="shared" si="117"/>
        <v>361.58000000000015</v>
      </c>
      <c r="N249" s="151">
        <f t="shared" si="118"/>
        <v>14101.620000000006</v>
      </c>
      <c r="O249" s="151">
        <f t="shared" si="119"/>
        <v>169219.44000000006</v>
      </c>
      <c r="P249" s="151">
        <f>ROUND(O249*'29_01_H_2020'!$O$17,2)</f>
        <v>39918.870000000003</v>
      </c>
      <c r="Q249" s="380">
        <f t="shared" si="121"/>
        <v>209138.31000000006</v>
      </c>
      <c r="R249" s="152"/>
      <c r="S249" s="328"/>
      <c r="T249" s="328"/>
      <c r="U249" s="328"/>
      <c r="V249" s="328"/>
      <c r="W249" s="328"/>
      <c r="X249" s="328"/>
      <c r="Y249" s="328"/>
      <c r="Z249" s="328"/>
      <c r="AA249" s="328"/>
      <c r="AB249" s="328"/>
      <c r="AC249" s="329"/>
      <c r="AD249" s="152"/>
      <c r="AE249" s="152"/>
      <c r="AF249" s="328"/>
      <c r="AG249" s="328"/>
      <c r="AH249" s="328"/>
      <c r="AI249" s="328"/>
      <c r="AJ249" s="328"/>
      <c r="AK249" s="328"/>
      <c r="AL249" s="328"/>
      <c r="AM249" s="328"/>
      <c r="AN249" s="328"/>
      <c r="AO249" s="328"/>
      <c r="AP249" s="329"/>
      <c r="AQ249" s="152"/>
      <c r="AR249" s="152"/>
      <c r="AS249" s="152"/>
      <c r="AT249" s="152"/>
    </row>
    <row r="250" spans="1:46" s="333" customFormat="1">
      <c r="A250" s="603" t="s">
        <v>569</v>
      </c>
      <c r="B250" s="604">
        <v>10</v>
      </c>
      <c r="C250" s="155" t="s">
        <v>26</v>
      </c>
      <c r="D250" s="605">
        <v>10</v>
      </c>
      <c r="E250" s="605">
        <v>3</v>
      </c>
      <c r="F250" s="606">
        <v>1287</v>
      </c>
      <c r="G250" s="607">
        <v>1287</v>
      </c>
      <c r="H250" s="607">
        <v>137.1</v>
      </c>
      <c r="I250" s="608">
        <v>1</v>
      </c>
      <c r="J250" s="379">
        <f>ROUND(G250*(1+'29_01_H_2020'!$O$14),2)</f>
        <v>1613.77</v>
      </c>
      <c r="K250" s="151">
        <f t="shared" ref="K250" si="122">L250-H250</f>
        <v>34.81</v>
      </c>
      <c r="L250" s="151">
        <f>ROUND(H250*(1+'29_01_H_2020'!$O$14),2)</f>
        <v>171.91</v>
      </c>
      <c r="M250" s="151">
        <f t="shared" ref="M250" si="123">(J250+L250)-(G250+H250)</f>
        <v>361.58000000000015</v>
      </c>
      <c r="N250" s="151">
        <f t="shared" ref="N250" si="124">M250*I250</f>
        <v>361.58000000000015</v>
      </c>
      <c r="O250" s="151">
        <f t="shared" ref="O250" si="125">N250*12</f>
        <v>4338.9600000000019</v>
      </c>
      <c r="P250" s="151">
        <f>ROUND(O250*'29_01_H_2020'!$O$17,2)</f>
        <v>1023.56</v>
      </c>
      <c r="Q250" s="380">
        <f t="shared" ref="Q250" si="126">SUM(O250:P250)</f>
        <v>5362.5200000000023</v>
      </c>
      <c r="R250" s="152"/>
      <c r="S250" s="328"/>
      <c r="T250" s="328"/>
      <c r="U250" s="328"/>
      <c r="V250" s="328"/>
      <c r="W250" s="328"/>
      <c r="X250" s="328"/>
      <c r="Y250" s="328"/>
      <c r="Z250" s="328"/>
      <c r="AA250" s="328"/>
      <c r="AB250" s="328"/>
      <c r="AC250" s="329"/>
      <c r="AD250" s="152"/>
      <c r="AE250" s="152"/>
      <c r="AF250" s="328"/>
      <c r="AG250" s="328"/>
      <c r="AH250" s="328"/>
      <c r="AI250" s="328"/>
      <c r="AJ250" s="328"/>
      <c r="AK250" s="328"/>
      <c r="AL250" s="328"/>
      <c r="AM250" s="328"/>
      <c r="AN250" s="328"/>
      <c r="AO250" s="328"/>
      <c r="AP250" s="329"/>
      <c r="AQ250" s="152"/>
      <c r="AR250" s="152"/>
      <c r="AS250" s="152"/>
      <c r="AT250" s="152"/>
    </row>
    <row r="251" spans="1:46" ht="15.75" thickBot="1">
      <c r="A251" s="14" t="s">
        <v>55</v>
      </c>
      <c r="B251" s="15" t="s">
        <v>52</v>
      </c>
      <c r="C251" s="16" t="s">
        <v>52</v>
      </c>
      <c r="D251" s="16" t="s">
        <v>52</v>
      </c>
      <c r="E251" s="16" t="s">
        <v>52</v>
      </c>
      <c r="F251" s="17" t="s">
        <v>52</v>
      </c>
      <c r="G251" s="17" t="s">
        <v>52</v>
      </c>
      <c r="H251" s="17" t="s">
        <v>52</v>
      </c>
      <c r="I251" s="368">
        <f>SUM(I244:I250)</f>
        <v>62.4</v>
      </c>
      <c r="J251" s="404"/>
      <c r="K251" s="405"/>
      <c r="L251" s="405"/>
      <c r="M251" s="405"/>
      <c r="N251" s="405"/>
      <c r="O251" s="405"/>
      <c r="P251" s="405"/>
      <c r="Q251" s="412"/>
      <c r="R251" s="152"/>
      <c r="S251" s="152"/>
      <c r="T251" s="152"/>
      <c r="U251" s="152"/>
      <c r="V251" s="152"/>
      <c r="W251" s="152"/>
      <c r="X251" s="152"/>
      <c r="Y251" s="152"/>
      <c r="Z251" s="328"/>
      <c r="AA251" s="152"/>
      <c r="AB251" s="152"/>
      <c r="AC251" s="152"/>
      <c r="AD251" s="152"/>
      <c r="AE251" s="152"/>
      <c r="AF251" s="152"/>
      <c r="AG251" s="152"/>
      <c r="AH251" s="152"/>
      <c r="AI251" s="152"/>
      <c r="AJ251" s="152"/>
      <c r="AK251" s="152"/>
      <c r="AL251" s="152"/>
      <c r="AM251" s="328"/>
      <c r="AN251" s="152"/>
      <c r="AO251" s="152"/>
      <c r="AP251" s="152"/>
      <c r="AQ251" s="152"/>
      <c r="AR251" s="152"/>
      <c r="AS251" s="152"/>
      <c r="AT251" s="152"/>
    </row>
    <row r="252" spans="1:46">
      <c r="A252" s="142" t="s">
        <v>308</v>
      </c>
      <c r="B252" s="141"/>
      <c r="C252" s="141"/>
      <c r="D252" s="141"/>
      <c r="E252" s="141"/>
      <c r="F252" s="136"/>
      <c r="G252" s="136"/>
      <c r="H252" s="136"/>
      <c r="I252" s="369">
        <f>I251</f>
        <v>62.4</v>
      </c>
      <c r="J252" s="413"/>
      <c r="K252" s="414"/>
      <c r="L252" s="414"/>
      <c r="M252" s="414"/>
      <c r="N252" s="414"/>
      <c r="O252" s="414"/>
      <c r="P252" s="414"/>
      <c r="Q252" s="417"/>
      <c r="R252" s="152"/>
      <c r="S252" s="152"/>
      <c r="T252" s="152"/>
      <c r="U252" s="152"/>
      <c r="V252" s="152"/>
      <c r="W252" s="152"/>
      <c r="X252" s="152"/>
      <c r="Y252" s="152"/>
      <c r="Z252" s="325"/>
      <c r="AA252" s="325"/>
      <c r="AB252" s="325"/>
      <c r="AC252" s="152"/>
      <c r="AD252" s="152"/>
      <c r="AE252" s="152"/>
      <c r="AF252" s="152"/>
      <c r="AG252" s="152"/>
      <c r="AH252" s="152"/>
      <c r="AI252" s="152"/>
      <c r="AJ252" s="152"/>
      <c r="AK252" s="152"/>
      <c r="AL252" s="152"/>
      <c r="AM252" s="325"/>
      <c r="AN252" s="325"/>
      <c r="AO252" s="325"/>
      <c r="AP252" s="152"/>
      <c r="AQ252" s="152"/>
      <c r="AR252" s="152"/>
      <c r="AS252" s="152"/>
      <c r="AT252" s="152"/>
    </row>
    <row r="253" spans="1:46">
      <c r="A253" s="1114" t="s">
        <v>11</v>
      </c>
      <c r="B253" s="1115"/>
      <c r="C253" s="1115"/>
      <c r="D253" s="126"/>
      <c r="E253" s="126"/>
      <c r="F253" s="127"/>
      <c r="G253" s="128"/>
      <c r="H253" s="129"/>
      <c r="I253" s="370">
        <f>I86+I96+I122+I141+I167+I189+I220+I251</f>
        <v>173.35</v>
      </c>
      <c r="J253" s="538"/>
      <c r="K253" s="539"/>
      <c r="L253" s="539"/>
      <c r="M253" s="539"/>
      <c r="N253" s="539"/>
      <c r="O253" s="539"/>
      <c r="P253" s="539"/>
      <c r="Q253" s="540"/>
      <c r="R253" s="152"/>
      <c r="S253" s="152"/>
      <c r="T253" s="152"/>
      <c r="U253" s="152"/>
      <c r="V253" s="152"/>
      <c r="W253" s="152"/>
      <c r="X253" s="152"/>
      <c r="Y253" s="152"/>
      <c r="Z253" s="152"/>
      <c r="AA253" s="324"/>
      <c r="AB253" s="326"/>
      <c r="AC253" s="152"/>
      <c r="AD253" s="152"/>
      <c r="AE253" s="152"/>
      <c r="AF253" s="152"/>
      <c r="AG253" s="152"/>
      <c r="AH253" s="152"/>
      <c r="AI253" s="152"/>
      <c r="AJ253" s="152"/>
      <c r="AK253" s="152"/>
      <c r="AL253" s="152"/>
      <c r="AM253" s="152"/>
      <c r="AN253" s="324"/>
      <c r="AO253" s="326"/>
      <c r="AP253" s="152"/>
      <c r="AQ253" s="152"/>
      <c r="AR253" s="152"/>
      <c r="AS253" s="152"/>
      <c r="AT253" s="152"/>
    </row>
    <row r="254" spans="1:46">
      <c r="A254" s="1114" t="s">
        <v>28</v>
      </c>
      <c r="B254" s="1115"/>
      <c r="C254" s="1115"/>
      <c r="D254" s="126"/>
      <c r="E254" s="126"/>
      <c r="F254" s="127"/>
      <c r="G254" s="128"/>
      <c r="H254" s="129"/>
      <c r="I254" s="370">
        <f>+I131+I150+I179+I196+I232+I102</f>
        <v>282.89999999999998</v>
      </c>
      <c r="J254" s="538"/>
      <c r="K254" s="539"/>
      <c r="L254" s="539"/>
      <c r="M254" s="539"/>
      <c r="N254" s="539"/>
      <c r="O254" s="539"/>
      <c r="P254" s="539"/>
      <c r="Q254" s="541"/>
      <c r="R254" s="152"/>
      <c r="S254" s="152"/>
      <c r="T254" s="152"/>
      <c r="U254" s="152"/>
      <c r="V254" s="152"/>
      <c r="W254" s="152"/>
      <c r="X254" s="152"/>
      <c r="Y254" s="152"/>
      <c r="Z254" s="152"/>
      <c r="AA254" s="152"/>
      <c r="AB254" s="152"/>
      <c r="AC254" s="152"/>
      <c r="AD254" s="152"/>
      <c r="AE254" s="152"/>
      <c r="AF254" s="152"/>
      <c r="AG254" s="152"/>
      <c r="AH254" s="152"/>
      <c r="AI254" s="152"/>
      <c r="AJ254" s="152"/>
      <c r="AK254" s="152"/>
      <c r="AL254" s="152"/>
      <c r="AM254" s="152"/>
      <c r="AN254" s="152"/>
      <c r="AO254" s="152"/>
      <c r="AP254" s="152"/>
      <c r="AQ254" s="152"/>
      <c r="AR254" s="152"/>
      <c r="AS254" s="152"/>
      <c r="AT254" s="152"/>
    </row>
    <row r="255" spans="1:46">
      <c r="A255" s="1114" t="s">
        <v>47</v>
      </c>
      <c r="B255" s="1115"/>
      <c r="C255" s="1115"/>
      <c r="D255" s="126"/>
      <c r="E255" s="126"/>
      <c r="F255" s="127"/>
      <c r="G255" s="128"/>
      <c r="H255" s="129"/>
      <c r="I255" s="370">
        <f>I110+I240+I199</f>
        <v>30.5</v>
      </c>
      <c r="J255" s="538"/>
      <c r="K255" s="539"/>
      <c r="L255" s="539"/>
      <c r="M255" s="539"/>
      <c r="N255" s="539"/>
      <c r="O255" s="539"/>
      <c r="P255" s="539"/>
      <c r="Q255" s="541"/>
      <c r="R255" s="152"/>
      <c r="S255" s="152"/>
      <c r="T255" s="152"/>
      <c r="U255" s="152"/>
      <c r="V255" s="152"/>
      <c r="W255" s="152"/>
      <c r="X255" s="152"/>
      <c r="Y255" s="152"/>
      <c r="Z255" s="152"/>
      <c r="AA255" s="152"/>
      <c r="AB255" s="152"/>
      <c r="AC255" s="152"/>
      <c r="AD255" s="152"/>
      <c r="AE255" s="152"/>
      <c r="AF255" s="152"/>
      <c r="AG255" s="152"/>
      <c r="AH255" s="152"/>
      <c r="AI255" s="152"/>
      <c r="AJ255" s="152"/>
      <c r="AK255" s="152"/>
      <c r="AL255" s="152"/>
      <c r="AM255" s="152"/>
      <c r="AN255" s="152"/>
      <c r="AO255" s="152"/>
      <c r="AP255" s="152"/>
      <c r="AQ255" s="152"/>
      <c r="AR255" s="152"/>
      <c r="AS255" s="152"/>
      <c r="AT255" s="152"/>
    </row>
    <row r="256" spans="1:46" ht="15.75" thickBot="1">
      <c r="A256" s="1114" t="s">
        <v>309</v>
      </c>
      <c r="B256" s="1115"/>
      <c r="C256" s="1115"/>
      <c r="D256" s="126"/>
      <c r="E256" s="126"/>
      <c r="F256" s="127"/>
      <c r="G256" s="128"/>
      <c r="H256" s="129"/>
      <c r="I256" s="370">
        <v>114.575</v>
      </c>
      <c r="J256" s="542"/>
      <c r="K256" s="543"/>
      <c r="L256" s="543"/>
      <c r="M256" s="543"/>
      <c r="N256" s="543"/>
      <c r="O256" s="543"/>
      <c r="P256" s="543"/>
      <c r="Q256" s="544"/>
      <c r="R256" s="152"/>
      <c r="S256" s="152"/>
      <c r="T256" s="152"/>
      <c r="U256" s="152"/>
      <c r="V256" s="152"/>
      <c r="W256" s="152"/>
      <c r="X256" s="152"/>
      <c r="Y256" s="152"/>
      <c r="Z256" s="152"/>
      <c r="AA256" s="152"/>
      <c r="AB256" s="152"/>
      <c r="AC256" s="152"/>
      <c r="AD256" s="152"/>
      <c r="AE256" s="152"/>
      <c r="AF256" s="152"/>
      <c r="AG256" s="152"/>
      <c r="AH256" s="152"/>
      <c r="AI256" s="152"/>
      <c r="AJ256" s="152"/>
      <c r="AK256" s="152"/>
      <c r="AL256" s="152"/>
      <c r="AM256" s="152"/>
      <c r="AN256" s="152"/>
      <c r="AO256" s="152"/>
      <c r="AP256" s="152"/>
      <c r="AQ256" s="152"/>
      <c r="AR256" s="152"/>
      <c r="AS256" s="152"/>
      <c r="AT256" s="152"/>
    </row>
    <row r="257" spans="1:48" ht="15.75" thickBot="1">
      <c r="A257" s="130" t="s">
        <v>310</v>
      </c>
      <c r="B257" s="131"/>
      <c r="C257" s="131"/>
      <c r="D257" s="131"/>
      <c r="E257" s="131"/>
      <c r="F257" s="132"/>
      <c r="G257" s="133"/>
      <c r="H257" s="133"/>
      <c r="I257" s="371">
        <f>I253+I254+I255+I256</f>
        <v>601.32500000000005</v>
      </c>
      <c r="J257" s="545"/>
      <c r="K257" s="546"/>
      <c r="L257" s="546"/>
      <c r="M257" s="546"/>
      <c r="N257" s="546"/>
      <c r="O257" s="546"/>
      <c r="P257" s="546"/>
      <c r="Q257" s="547">
        <f>Q242+Q202+Q88+Q82</f>
        <v>2201887.1379999993</v>
      </c>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152"/>
      <c r="AN257" s="152"/>
      <c r="AO257" s="152"/>
      <c r="AP257" s="152"/>
      <c r="AQ257" s="152"/>
      <c r="AR257" s="152"/>
      <c r="AS257" s="152"/>
      <c r="AT257" s="152"/>
    </row>
    <row r="258" spans="1:48" ht="15.75" thickBot="1">
      <c r="J258" s="215"/>
      <c r="K258" s="418"/>
      <c r="L258" s="418"/>
      <c r="M258" s="418"/>
      <c r="N258" s="418"/>
      <c r="O258" s="418"/>
      <c r="P258" s="418"/>
      <c r="Q258" s="216"/>
      <c r="R258" s="152"/>
      <c r="S258" s="152"/>
      <c r="T258" s="152"/>
      <c r="U258" s="152"/>
      <c r="V258" s="152"/>
      <c r="W258" s="152"/>
      <c r="X258" s="152"/>
      <c r="Y258" s="152"/>
      <c r="Z258" s="152"/>
      <c r="AA258" s="152"/>
      <c r="AB258" s="152"/>
      <c r="AC258" s="152"/>
      <c r="AD258" s="152"/>
      <c r="AE258" s="152"/>
      <c r="AF258" s="152"/>
      <c r="AG258" s="152"/>
      <c r="AH258" s="152"/>
      <c r="AI258" s="152"/>
      <c r="AJ258" s="152"/>
      <c r="AK258" s="152"/>
      <c r="AL258" s="152"/>
      <c r="AM258" s="152"/>
      <c r="AN258" s="152"/>
      <c r="AO258" s="152"/>
      <c r="AP258" s="152"/>
      <c r="AQ258" s="152"/>
      <c r="AR258" s="152"/>
      <c r="AS258" s="152"/>
      <c r="AT258" s="152"/>
    </row>
    <row r="259" spans="1:48">
      <c r="A259" s="1092" t="s">
        <v>313</v>
      </c>
      <c r="B259" s="1093"/>
      <c r="C259" s="1093"/>
      <c r="D259" s="1093"/>
      <c r="E259" s="1093"/>
      <c r="F259" s="1093"/>
      <c r="G259" s="1093"/>
      <c r="H259" s="1093"/>
      <c r="I259" s="1094"/>
      <c r="J259" s="409"/>
      <c r="K259" s="410"/>
      <c r="L259" s="410"/>
      <c r="M259" s="410"/>
      <c r="N259" s="410"/>
      <c r="O259" s="410"/>
      <c r="P259" s="410"/>
      <c r="Q259" s="411"/>
      <c r="R259" s="152"/>
      <c r="S259" s="152"/>
      <c r="T259" s="152"/>
      <c r="U259" s="152"/>
      <c r="V259" s="152"/>
      <c r="W259" s="152"/>
      <c r="X259" s="152"/>
      <c r="Y259" s="152"/>
      <c r="Z259" s="152"/>
      <c r="AA259" s="152"/>
      <c r="AB259" s="152"/>
      <c r="AC259" s="152"/>
      <c r="AD259" s="152"/>
      <c r="AE259" s="152"/>
      <c r="AF259" s="152"/>
      <c r="AG259" s="152"/>
      <c r="AH259" s="152"/>
      <c r="AI259" s="152"/>
      <c r="AJ259" s="152"/>
      <c r="AK259" s="152"/>
      <c r="AL259" s="152"/>
      <c r="AM259" s="152"/>
      <c r="AN259" s="152"/>
      <c r="AO259" s="152"/>
      <c r="AP259" s="152"/>
      <c r="AQ259" s="152"/>
      <c r="AR259" s="152"/>
      <c r="AS259" s="152"/>
      <c r="AT259" s="152"/>
    </row>
    <row r="260" spans="1:48">
      <c r="A260" s="1086" t="s">
        <v>314</v>
      </c>
      <c r="B260" s="1087"/>
      <c r="C260" s="1087"/>
      <c r="D260" s="1087"/>
      <c r="E260" s="1087"/>
      <c r="F260" s="1087"/>
      <c r="G260" s="1087"/>
      <c r="H260" s="1087"/>
      <c r="I260" s="1087"/>
      <c r="J260" s="384"/>
      <c r="K260" s="382"/>
      <c r="L260" s="382"/>
      <c r="M260" s="382"/>
      <c r="N260" s="382"/>
      <c r="O260" s="382"/>
      <c r="P260" s="382"/>
      <c r="Q260" s="549">
        <f>SUM(Q262,Q264:Q267)</f>
        <v>25233.409999999996</v>
      </c>
      <c r="R260" s="152"/>
      <c r="S260" s="152"/>
      <c r="T260" s="152"/>
      <c r="U260" s="152"/>
      <c r="V260" s="152"/>
      <c r="W260" s="152"/>
      <c r="X260" s="152"/>
      <c r="Y260" s="152"/>
      <c r="Z260" s="152"/>
      <c r="AA260" s="152"/>
      <c r="AB260" s="152"/>
      <c r="AC260" s="152"/>
      <c r="AD260" s="152"/>
      <c r="AE260" s="152"/>
      <c r="AF260" s="152"/>
      <c r="AG260" s="152"/>
      <c r="AH260" s="152"/>
      <c r="AI260" s="152"/>
      <c r="AJ260" s="152"/>
      <c r="AK260" s="152"/>
      <c r="AL260" s="152"/>
      <c r="AM260" s="152"/>
      <c r="AN260" s="152"/>
      <c r="AO260" s="152"/>
      <c r="AP260" s="152"/>
      <c r="AQ260" s="152"/>
      <c r="AR260" s="152"/>
      <c r="AS260" s="152"/>
      <c r="AT260" s="152"/>
      <c r="AU260" s="152"/>
      <c r="AV260" s="152"/>
    </row>
    <row r="261" spans="1:48">
      <c r="A261" s="1090" t="s">
        <v>11</v>
      </c>
      <c r="B261" s="1091"/>
      <c r="C261" s="1091"/>
      <c r="D261" s="1091"/>
      <c r="E261" s="1091"/>
      <c r="F261" s="1091"/>
      <c r="G261" s="1091"/>
      <c r="H261" s="1091"/>
      <c r="I261" s="1091"/>
      <c r="J261" s="385"/>
      <c r="K261" s="383"/>
      <c r="L261" s="383"/>
      <c r="M261" s="383"/>
      <c r="N261" s="383"/>
      <c r="O261" s="383"/>
      <c r="P261" s="383"/>
      <c r="Q261" s="386"/>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152"/>
      <c r="AM261" s="152"/>
      <c r="AN261" s="152"/>
      <c r="AO261" s="152"/>
      <c r="AP261" s="152"/>
      <c r="AQ261" s="152"/>
      <c r="AR261" s="152"/>
      <c r="AS261" s="152"/>
      <c r="AT261" s="152"/>
      <c r="AU261" s="152"/>
      <c r="AV261" s="152"/>
    </row>
    <row r="262" spans="1:48">
      <c r="A262" s="609" t="s">
        <v>25</v>
      </c>
      <c r="B262" s="114" t="s">
        <v>16</v>
      </c>
      <c r="C262" s="3" t="s">
        <v>26</v>
      </c>
      <c r="D262" s="258">
        <v>10</v>
      </c>
      <c r="E262" s="258">
        <v>3</v>
      </c>
      <c r="F262" s="4">
        <v>1287</v>
      </c>
      <c r="G262" s="183">
        <v>1159</v>
      </c>
      <c r="H262" s="310">
        <v>290</v>
      </c>
      <c r="I262" s="274">
        <v>1</v>
      </c>
      <c r="J262" s="379">
        <f>ROUND(G262*(1+'29_01_H_2020'!$O$14),2)</f>
        <v>1453.27</v>
      </c>
      <c r="K262" s="151">
        <f>L262-H262</f>
        <v>73.63</v>
      </c>
      <c r="L262" s="151">
        <f>ROUND(H262*(1+'29_01_H_2020'!$O$14),2)</f>
        <v>363.63</v>
      </c>
      <c r="M262" s="151">
        <f>(J262+L262)-(G262+H262)</f>
        <v>367.90000000000009</v>
      </c>
      <c r="N262" s="151">
        <f>M262*I262</f>
        <v>367.90000000000009</v>
      </c>
      <c r="O262" s="151">
        <f t="shared" ref="O262:O267" si="127">N262*12</f>
        <v>4414.8000000000011</v>
      </c>
      <c r="P262" s="151">
        <f>ROUND(O262*'29_01_H_2020'!$O$17,2)</f>
        <v>1041.45</v>
      </c>
      <c r="Q262" s="380">
        <f t="shared" ref="Q262" si="128">SUM(O262:P262)</f>
        <v>5456.2500000000009</v>
      </c>
      <c r="R262" s="152"/>
      <c r="S262" s="328"/>
      <c r="T262" s="328"/>
      <c r="U262" s="328"/>
      <c r="V262" s="328"/>
      <c r="W262" s="328"/>
      <c r="X262" s="328"/>
      <c r="Y262" s="328"/>
      <c r="Z262" s="328"/>
      <c r="AA262" s="328"/>
      <c r="AB262" s="328"/>
      <c r="AC262" s="329"/>
      <c r="AD262" s="152"/>
      <c r="AE262" s="152"/>
      <c r="AF262" s="328"/>
      <c r="AG262" s="328"/>
      <c r="AH262" s="328"/>
      <c r="AI262" s="328"/>
      <c r="AJ262" s="328"/>
      <c r="AK262" s="328"/>
      <c r="AL262" s="328"/>
      <c r="AM262" s="328"/>
      <c r="AN262" s="328"/>
      <c r="AO262" s="328"/>
      <c r="AP262" s="329"/>
      <c r="AQ262" s="152"/>
      <c r="AR262" s="152"/>
      <c r="AS262" s="152"/>
      <c r="AT262" s="152"/>
      <c r="AU262" s="152"/>
      <c r="AV262" s="152"/>
    </row>
    <row r="263" spans="1:48">
      <c r="A263" s="1077" t="s">
        <v>28</v>
      </c>
      <c r="B263" s="1078"/>
      <c r="C263" s="1078"/>
      <c r="D263" s="1078"/>
      <c r="E263" s="1078"/>
      <c r="F263" s="1078"/>
      <c r="G263" s="1078"/>
      <c r="H263" s="1078"/>
      <c r="I263" s="1078"/>
      <c r="J263" s="385"/>
      <c r="K263" s="383"/>
      <c r="L263" s="383"/>
      <c r="M263" s="383"/>
      <c r="N263" s="383"/>
      <c r="O263" s="383"/>
      <c r="P263" s="383"/>
      <c r="Q263" s="386"/>
      <c r="R263" s="152"/>
      <c r="S263" s="152"/>
      <c r="T263" s="152"/>
      <c r="U263" s="152"/>
      <c r="V263" s="152"/>
      <c r="W263" s="152"/>
      <c r="X263" s="152"/>
      <c r="Y263" s="152"/>
      <c r="Z263" s="152"/>
      <c r="AA263" s="152"/>
      <c r="AB263" s="152"/>
      <c r="AC263" s="152"/>
      <c r="AD263" s="152"/>
      <c r="AE263" s="152"/>
      <c r="AF263" s="152"/>
      <c r="AG263" s="152"/>
      <c r="AH263" s="152"/>
      <c r="AI263" s="152"/>
      <c r="AJ263" s="152"/>
      <c r="AK263" s="152"/>
      <c r="AL263" s="152"/>
      <c r="AM263" s="152"/>
      <c r="AN263" s="152"/>
      <c r="AO263" s="152"/>
      <c r="AP263" s="152"/>
      <c r="AQ263" s="152"/>
      <c r="AR263" s="152"/>
      <c r="AS263" s="152"/>
      <c r="AT263" s="152"/>
      <c r="AU263" s="152"/>
      <c r="AV263" s="152"/>
    </row>
    <row r="264" spans="1:48">
      <c r="A264" s="610" t="s">
        <v>38</v>
      </c>
      <c r="B264" s="114" t="s">
        <v>16</v>
      </c>
      <c r="C264" s="3" t="s">
        <v>37</v>
      </c>
      <c r="D264" s="258">
        <v>8</v>
      </c>
      <c r="E264" s="258">
        <v>3</v>
      </c>
      <c r="F264" s="4">
        <v>1093</v>
      </c>
      <c r="G264" s="183">
        <v>1050</v>
      </c>
      <c r="H264" s="310">
        <v>263</v>
      </c>
      <c r="I264" s="274">
        <v>1</v>
      </c>
      <c r="J264" s="379">
        <f>ROUND(G264*(1+'29_01_H_2020'!$O$10),2)</f>
        <v>1316.6</v>
      </c>
      <c r="K264" s="151">
        <f>L264-H264</f>
        <v>66.779999999999973</v>
      </c>
      <c r="L264" s="151">
        <f>ROUND(H264*(1+'29_01_H_2020'!$O$10),2)</f>
        <v>329.78</v>
      </c>
      <c r="M264" s="151">
        <f>(J264+L264)-(G264+H264)</f>
        <v>333.37999999999988</v>
      </c>
      <c r="N264" s="151">
        <f>M264*I264</f>
        <v>333.37999999999988</v>
      </c>
      <c r="O264" s="151">
        <f t="shared" si="127"/>
        <v>4000.5599999999986</v>
      </c>
      <c r="P264" s="151">
        <f>ROUND(O264*'29_01_H_2020'!$O$17,2)</f>
        <v>943.73</v>
      </c>
      <c r="Q264" s="380">
        <f t="shared" ref="Q264" si="129">SUM(O264:P264)</f>
        <v>4944.2899999999991</v>
      </c>
      <c r="R264" s="152"/>
      <c r="S264" s="328"/>
      <c r="T264" s="328"/>
      <c r="U264" s="328"/>
      <c r="V264" s="328"/>
      <c r="W264" s="328"/>
      <c r="X264" s="328"/>
      <c r="Y264" s="328"/>
      <c r="Z264" s="328"/>
      <c r="AA264" s="328"/>
      <c r="AB264" s="328"/>
      <c r="AC264" s="329"/>
      <c r="AD264" s="152"/>
      <c r="AE264" s="152"/>
      <c r="AF264" s="328"/>
      <c r="AG264" s="328"/>
      <c r="AH264" s="328"/>
      <c r="AI264" s="328"/>
      <c r="AJ264" s="328"/>
      <c r="AK264" s="328"/>
      <c r="AL264" s="328"/>
      <c r="AM264" s="328"/>
      <c r="AN264" s="328"/>
      <c r="AO264" s="328"/>
      <c r="AP264" s="329"/>
      <c r="AQ264" s="152"/>
      <c r="AR264" s="152"/>
      <c r="AS264" s="152"/>
      <c r="AT264" s="152"/>
      <c r="AU264" s="152"/>
      <c r="AV264" s="152"/>
    </row>
    <row r="265" spans="1:48">
      <c r="A265" s="610" t="s">
        <v>38</v>
      </c>
      <c r="B265" s="114" t="s">
        <v>16</v>
      </c>
      <c r="C265" s="3" t="s">
        <v>37</v>
      </c>
      <c r="D265" s="258">
        <v>8</v>
      </c>
      <c r="E265" s="258">
        <v>3</v>
      </c>
      <c r="F265" s="4">
        <v>1093</v>
      </c>
      <c r="G265" s="183">
        <v>1050</v>
      </c>
      <c r="H265" s="310">
        <v>263</v>
      </c>
      <c r="I265" s="274">
        <v>1</v>
      </c>
      <c r="J265" s="379">
        <f>ROUND(G265*(1+'29_01_H_2020'!$O$10),2)</f>
        <v>1316.6</v>
      </c>
      <c r="K265" s="151">
        <f>L265-H265</f>
        <v>66.779999999999973</v>
      </c>
      <c r="L265" s="151">
        <f>ROUND(H265*(1+'29_01_H_2020'!$O$10),2)</f>
        <v>329.78</v>
      </c>
      <c r="M265" s="151">
        <f>(J265+L265)-(G265+H265)</f>
        <v>333.37999999999988</v>
      </c>
      <c r="N265" s="151">
        <f>M265*I265</f>
        <v>333.37999999999988</v>
      </c>
      <c r="O265" s="151">
        <f t="shared" si="127"/>
        <v>4000.5599999999986</v>
      </c>
      <c r="P265" s="151">
        <f>ROUND(O265*'29_01_H_2020'!$O$17,2)</f>
        <v>943.73</v>
      </c>
      <c r="Q265" s="380">
        <f t="shared" ref="Q265:Q267" si="130">SUM(O265:P265)</f>
        <v>4944.2899999999991</v>
      </c>
      <c r="R265" s="152"/>
      <c r="S265" s="328"/>
      <c r="T265" s="328"/>
      <c r="U265" s="328"/>
      <c r="V265" s="328"/>
      <c r="W265" s="328"/>
      <c r="X265" s="328"/>
      <c r="Y265" s="328"/>
      <c r="Z265" s="328"/>
      <c r="AA265" s="328"/>
      <c r="AB265" s="328"/>
      <c r="AC265" s="329"/>
      <c r="AD265" s="152"/>
      <c r="AE265" s="152"/>
      <c r="AF265" s="328"/>
      <c r="AG265" s="328"/>
      <c r="AH265" s="328"/>
      <c r="AI265" s="328"/>
      <c r="AJ265" s="328"/>
      <c r="AK265" s="328"/>
      <c r="AL265" s="328"/>
      <c r="AM265" s="328"/>
      <c r="AN265" s="328"/>
      <c r="AO265" s="328"/>
      <c r="AP265" s="329"/>
      <c r="AQ265" s="152"/>
      <c r="AR265" s="152"/>
      <c r="AS265" s="152"/>
      <c r="AT265" s="152"/>
      <c r="AU265" s="152"/>
      <c r="AV265" s="152"/>
    </row>
    <row r="266" spans="1:48">
      <c r="A266" s="610" t="s">
        <v>38</v>
      </c>
      <c r="B266" s="114" t="s">
        <v>16</v>
      </c>
      <c r="C266" s="3" t="s">
        <v>37</v>
      </c>
      <c r="D266" s="258">
        <v>8</v>
      </c>
      <c r="E266" s="258">
        <v>3</v>
      </c>
      <c r="F266" s="4">
        <v>1093</v>
      </c>
      <c r="G266" s="183">
        <v>1050</v>
      </c>
      <c r="H266" s="310">
        <v>263</v>
      </c>
      <c r="I266" s="274">
        <v>1</v>
      </c>
      <c r="J266" s="379">
        <f>ROUND(G266*(1+'29_01_H_2020'!$O$10),2)</f>
        <v>1316.6</v>
      </c>
      <c r="K266" s="151">
        <f>L266-H266</f>
        <v>66.779999999999973</v>
      </c>
      <c r="L266" s="151">
        <f>ROUND(H266*(1+'29_01_H_2020'!$O$10),2)</f>
        <v>329.78</v>
      </c>
      <c r="M266" s="151">
        <f>(J266+L266)-(G266+H266)</f>
        <v>333.37999999999988</v>
      </c>
      <c r="N266" s="151">
        <f>M266*I266</f>
        <v>333.37999999999988</v>
      </c>
      <c r="O266" s="151">
        <f t="shared" si="127"/>
        <v>4000.5599999999986</v>
      </c>
      <c r="P266" s="151">
        <f>ROUND(O266*'29_01_H_2020'!$O$17,2)</f>
        <v>943.73</v>
      </c>
      <c r="Q266" s="380">
        <f t="shared" si="130"/>
        <v>4944.2899999999991</v>
      </c>
      <c r="R266" s="152"/>
      <c r="S266" s="328"/>
      <c r="T266" s="328"/>
      <c r="U266" s="328"/>
      <c r="V266" s="328"/>
      <c r="W266" s="328"/>
      <c r="X266" s="328"/>
      <c r="Y266" s="328"/>
      <c r="Z266" s="328"/>
      <c r="AA266" s="328"/>
      <c r="AB266" s="328"/>
      <c r="AC266" s="329"/>
      <c r="AD266" s="152"/>
      <c r="AE266" s="152"/>
      <c r="AF266" s="328"/>
      <c r="AG266" s="328"/>
      <c r="AH266" s="328"/>
      <c r="AI266" s="328"/>
      <c r="AJ266" s="328"/>
      <c r="AK266" s="328"/>
      <c r="AL266" s="328"/>
      <c r="AM266" s="328"/>
      <c r="AN266" s="328"/>
      <c r="AO266" s="328"/>
      <c r="AP266" s="329"/>
      <c r="AQ266" s="152"/>
      <c r="AR266" s="152"/>
      <c r="AS266" s="152"/>
      <c r="AT266" s="152"/>
      <c r="AU266" s="152"/>
      <c r="AV266" s="152"/>
    </row>
    <row r="267" spans="1:48">
      <c r="A267" s="610" t="s">
        <v>38</v>
      </c>
      <c r="B267" s="114" t="s">
        <v>16</v>
      </c>
      <c r="C267" s="3" t="s">
        <v>37</v>
      </c>
      <c r="D267" s="258">
        <v>8</v>
      </c>
      <c r="E267" s="258">
        <v>3</v>
      </c>
      <c r="F267" s="4">
        <v>1093</v>
      </c>
      <c r="G267" s="183">
        <v>1050</v>
      </c>
      <c r="H267" s="310">
        <v>263</v>
      </c>
      <c r="I267" s="274">
        <v>1</v>
      </c>
      <c r="J267" s="379">
        <f>ROUND(G267*(1+'29_01_H_2020'!$O$10),2)</f>
        <v>1316.6</v>
      </c>
      <c r="K267" s="151">
        <f>L267-H267</f>
        <v>66.779999999999973</v>
      </c>
      <c r="L267" s="151">
        <f>ROUND(H267*(1+'29_01_H_2020'!$O$10),2)</f>
        <v>329.78</v>
      </c>
      <c r="M267" s="151">
        <f>(J267+L267)-(G267+H267)</f>
        <v>333.37999999999988</v>
      </c>
      <c r="N267" s="151">
        <f>M267*I267</f>
        <v>333.37999999999988</v>
      </c>
      <c r="O267" s="151">
        <f t="shared" si="127"/>
        <v>4000.5599999999986</v>
      </c>
      <c r="P267" s="151">
        <f>ROUND(O267*'29_01_H_2020'!$O$17,2)</f>
        <v>943.73</v>
      </c>
      <c r="Q267" s="380">
        <f t="shared" si="130"/>
        <v>4944.2899999999991</v>
      </c>
      <c r="R267" s="152"/>
      <c r="S267" s="328"/>
      <c r="T267" s="328"/>
      <c r="U267" s="328"/>
      <c r="V267" s="328"/>
      <c r="W267" s="328"/>
      <c r="X267" s="328"/>
      <c r="Y267" s="328"/>
      <c r="Z267" s="328"/>
      <c r="AA267" s="328"/>
      <c r="AB267" s="328"/>
      <c r="AC267" s="329"/>
      <c r="AD267" s="152"/>
      <c r="AE267" s="152"/>
      <c r="AF267" s="328"/>
      <c r="AG267" s="328"/>
      <c r="AH267" s="328"/>
      <c r="AI267" s="328"/>
      <c r="AJ267" s="328"/>
      <c r="AK267" s="328"/>
      <c r="AL267" s="328"/>
      <c r="AM267" s="328"/>
      <c r="AN267" s="328"/>
      <c r="AO267" s="328"/>
      <c r="AP267" s="329"/>
      <c r="AQ267" s="152"/>
      <c r="AR267" s="152"/>
      <c r="AS267" s="152"/>
      <c r="AT267" s="152"/>
      <c r="AU267" s="152"/>
      <c r="AV267" s="152"/>
    </row>
    <row r="268" spans="1:48">
      <c r="A268" s="1077" t="s">
        <v>47</v>
      </c>
      <c r="B268" s="1078"/>
      <c r="C268" s="1078"/>
      <c r="D268" s="1078"/>
      <c r="E268" s="1078"/>
      <c r="F268" s="1078"/>
      <c r="G268" s="1078"/>
      <c r="H268" s="1078"/>
      <c r="I268" s="1078"/>
      <c r="J268" s="385"/>
      <c r="K268" s="383"/>
      <c r="L268" s="383"/>
      <c r="M268" s="383"/>
      <c r="N268" s="383"/>
      <c r="O268" s="383"/>
      <c r="P268" s="383"/>
      <c r="Q268" s="391"/>
      <c r="R268" s="152"/>
      <c r="S268" s="152"/>
      <c r="T268" s="152"/>
      <c r="U268" s="152"/>
      <c r="V268" s="152"/>
      <c r="W268" s="152"/>
      <c r="X268" s="152"/>
      <c r="Y268" s="152"/>
      <c r="Z268" s="325"/>
      <c r="AA268" s="152"/>
      <c r="AB268" s="152"/>
      <c r="AC268" s="152"/>
      <c r="AD268" s="152"/>
      <c r="AE268" s="152"/>
      <c r="AF268" s="152"/>
      <c r="AG268" s="152"/>
      <c r="AH268" s="152"/>
      <c r="AI268" s="152"/>
      <c r="AJ268" s="152"/>
      <c r="AK268" s="152"/>
      <c r="AL268" s="152"/>
      <c r="AM268" s="325"/>
      <c r="AN268" s="152"/>
      <c r="AO268" s="152"/>
      <c r="AP268" s="152"/>
      <c r="AQ268" s="152"/>
      <c r="AR268" s="152"/>
      <c r="AS268" s="152"/>
      <c r="AT268" s="152"/>
      <c r="AU268" s="152"/>
      <c r="AV268" s="152"/>
    </row>
    <row r="269" spans="1:48">
      <c r="A269" s="1086" t="s">
        <v>315</v>
      </c>
      <c r="B269" s="1087"/>
      <c r="C269" s="1087"/>
      <c r="D269" s="1087"/>
      <c r="E269" s="1087"/>
      <c r="F269" s="1087"/>
      <c r="G269" s="1087"/>
      <c r="H269" s="1087"/>
      <c r="I269" s="1087"/>
      <c r="J269" s="384"/>
      <c r="K269" s="382"/>
      <c r="L269" s="382"/>
      <c r="M269" s="382"/>
      <c r="N269" s="382"/>
      <c r="O269" s="382"/>
      <c r="P269" s="382"/>
      <c r="Q269" s="549">
        <f>SUM(Q271:Q272)</f>
        <v>15645.609999999993</v>
      </c>
      <c r="R269" s="152"/>
      <c r="S269" s="152"/>
      <c r="T269" s="152"/>
      <c r="U269" s="152"/>
      <c r="V269" s="152"/>
      <c r="W269" s="152"/>
      <c r="X269" s="152"/>
      <c r="Y269" s="152"/>
      <c r="Z269" s="152"/>
      <c r="AA269" s="152"/>
      <c r="AB269" s="152"/>
      <c r="AC269" s="152"/>
      <c r="AD269" s="152"/>
      <c r="AE269" s="152"/>
      <c r="AF269" s="152"/>
      <c r="AG269" s="152"/>
      <c r="AH269" s="152"/>
      <c r="AI269" s="152"/>
      <c r="AJ269" s="152"/>
      <c r="AK269" s="152"/>
      <c r="AL269" s="152"/>
      <c r="AM269" s="152"/>
      <c r="AN269" s="152"/>
      <c r="AO269" s="152"/>
      <c r="AP269" s="152"/>
      <c r="AQ269" s="152"/>
      <c r="AR269" s="152"/>
      <c r="AS269" s="152"/>
      <c r="AT269" s="152"/>
      <c r="AU269" s="152"/>
      <c r="AV269" s="152"/>
    </row>
    <row r="270" spans="1:48">
      <c r="A270" s="1077" t="s">
        <v>28</v>
      </c>
      <c r="B270" s="1078"/>
      <c r="C270" s="1078"/>
      <c r="D270" s="1078"/>
      <c r="E270" s="1078"/>
      <c r="F270" s="1078"/>
      <c r="G270" s="1078"/>
      <c r="H270" s="1078"/>
      <c r="I270" s="1078"/>
      <c r="J270" s="385"/>
      <c r="K270" s="383"/>
      <c r="L270" s="383"/>
      <c r="M270" s="383"/>
      <c r="N270" s="383"/>
      <c r="O270" s="383"/>
      <c r="P270" s="383"/>
      <c r="Q270" s="386"/>
      <c r="R270" s="152"/>
      <c r="S270" s="152"/>
      <c r="T270" s="152"/>
      <c r="U270" s="152"/>
      <c r="V270" s="152"/>
      <c r="W270" s="152"/>
      <c r="X270" s="152"/>
      <c r="Y270" s="152"/>
      <c r="Z270" s="152"/>
      <c r="AA270" s="152"/>
      <c r="AB270" s="152"/>
      <c r="AC270" s="152"/>
      <c r="AD270" s="152"/>
      <c r="AE270" s="152"/>
      <c r="AF270" s="152"/>
      <c r="AG270" s="152"/>
      <c r="AH270" s="152"/>
      <c r="AI270" s="152"/>
      <c r="AJ270" s="152"/>
      <c r="AK270" s="152"/>
      <c r="AL270" s="152"/>
      <c r="AM270" s="152"/>
      <c r="AN270" s="152"/>
      <c r="AO270" s="152"/>
      <c r="AP270" s="152"/>
      <c r="AQ270" s="152"/>
      <c r="AR270" s="152"/>
      <c r="AS270" s="152"/>
      <c r="AT270" s="152"/>
      <c r="AU270" s="152"/>
      <c r="AV270" s="152"/>
    </row>
    <row r="271" spans="1:48">
      <c r="A271" s="598" t="s">
        <v>316</v>
      </c>
      <c r="B271" s="114" t="s">
        <v>16</v>
      </c>
      <c r="C271" s="3" t="s">
        <v>37</v>
      </c>
      <c r="D271" s="262">
        <v>8</v>
      </c>
      <c r="E271" s="262">
        <v>3</v>
      </c>
      <c r="F271" s="266">
        <v>1093</v>
      </c>
      <c r="G271" s="183">
        <v>916</v>
      </c>
      <c r="H271" s="310">
        <v>137.4</v>
      </c>
      <c r="I271" s="274">
        <v>3</v>
      </c>
      <c r="J271" s="379">
        <f>ROUND(G271*(1+'29_01_H_2020'!$O$10),2)</f>
        <v>1148.57</v>
      </c>
      <c r="K271" s="151">
        <f>L271-H271</f>
        <v>34.889999999999986</v>
      </c>
      <c r="L271" s="151">
        <f>ROUND(H271*(1+'29_01_H_2020'!$O$10),2)</f>
        <v>172.29</v>
      </c>
      <c r="M271" s="151">
        <f>(J271+L271)-(G271+H271)</f>
        <v>267.45999999999981</v>
      </c>
      <c r="N271" s="151">
        <f>M271*I271</f>
        <v>802.37999999999943</v>
      </c>
      <c r="O271" s="151">
        <f t="shared" ref="O271:O272" si="131">N271*12</f>
        <v>9628.559999999994</v>
      </c>
      <c r="P271" s="151">
        <f>ROUND(O271*'29_01_H_2020'!$O$17,2)</f>
        <v>2271.38</v>
      </c>
      <c r="Q271" s="380">
        <f t="shared" ref="Q271" si="132">SUM(O271:P271)</f>
        <v>11899.939999999995</v>
      </c>
      <c r="R271" s="152"/>
      <c r="S271" s="328"/>
      <c r="T271" s="328"/>
      <c r="U271" s="328"/>
      <c r="V271" s="328"/>
      <c r="W271" s="328"/>
      <c r="X271" s="328"/>
      <c r="Y271" s="328"/>
      <c r="Z271" s="328"/>
      <c r="AA271" s="328"/>
      <c r="AB271" s="328"/>
      <c r="AC271" s="329"/>
      <c r="AD271" s="329"/>
      <c r="AE271" s="152"/>
      <c r="AF271" s="328"/>
      <c r="AG271" s="328"/>
      <c r="AH271" s="328"/>
      <c r="AI271" s="328"/>
      <c r="AJ271" s="328"/>
      <c r="AK271" s="328"/>
      <c r="AL271" s="328"/>
      <c r="AM271" s="328"/>
      <c r="AN271" s="328"/>
      <c r="AO271" s="328"/>
      <c r="AP271" s="329"/>
      <c r="AQ271" s="152"/>
      <c r="AR271" s="152"/>
      <c r="AS271" s="152"/>
      <c r="AT271" s="152"/>
      <c r="AU271" s="152"/>
      <c r="AV271" s="152"/>
    </row>
    <row r="272" spans="1:48">
      <c r="A272" s="598" t="s">
        <v>316</v>
      </c>
      <c r="B272" s="114" t="s">
        <v>23</v>
      </c>
      <c r="C272" s="3" t="s">
        <v>26</v>
      </c>
      <c r="D272" s="262">
        <v>7</v>
      </c>
      <c r="E272" s="262">
        <v>3</v>
      </c>
      <c r="F272" s="266">
        <v>996</v>
      </c>
      <c r="G272" s="183">
        <v>865</v>
      </c>
      <c r="H272" s="310">
        <v>129.75</v>
      </c>
      <c r="I272" s="274">
        <v>1</v>
      </c>
      <c r="J272" s="379">
        <f>ROUND(G272*(1+'29_01_H_2020'!$O$10),2)</f>
        <v>1084.6199999999999</v>
      </c>
      <c r="K272" s="151">
        <f>L272-H272</f>
        <v>32.94</v>
      </c>
      <c r="L272" s="151">
        <f>ROUND(H272*(1+'29_01_H_2020'!$O$10),2)</f>
        <v>162.69</v>
      </c>
      <c r="M272" s="151">
        <f>(J272+L272)-(G272+H272)</f>
        <v>252.55999999999995</v>
      </c>
      <c r="N272" s="151">
        <f>M272*I272</f>
        <v>252.55999999999995</v>
      </c>
      <c r="O272" s="151">
        <f t="shared" si="131"/>
        <v>3030.7199999999993</v>
      </c>
      <c r="P272" s="151">
        <f>ROUND(O272*'29_01_H_2020'!$O$17,2)</f>
        <v>714.95</v>
      </c>
      <c r="Q272" s="380">
        <f t="shared" ref="Q272" si="133">SUM(O272:P272)</f>
        <v>3745.6699999999992</v>
      </c>
      <c r="R272" s="152"/>
      <c r="S272" s="328"/>
      <c r="T272" s="328"/>
      <c r="U272" s="328"/>
      <c r="V272" s="328"/>
      <c r="W272" s="328"/>
      <c r="X272" s="328"/>
      <c r="Y272" s="328"/>
      <c r="Z272" s="328"/>
      <c r="AA272" s="328"/>
      <c r="AB272" s="328"/>
      <c r="AC272" s="329"/>
      <c r="AD272" s="329"/>
      <c r="AE272" s="152"/>
      <c r="AF272" s="328"/>
      <c r="AG272" s="328"/>
      <c r="AH272" s="328"/>
      <c r="AI272" s="328"/>
      <c r="AJ272" s="328"/>
      <c r="AK272" s="328"/>
      <c r="AL272" s="328"/>
      <c r="AM272" s="328"/>
      <c r="AN272" s="328"/>
      <c r="AO272" s="328"/>
      <c r="AP272" s="329"/>
      <c r="AQ272" s="152"/>
      <c r="AR272" s="152"/>
      <c r="AS272" s="152"/>
      <c r="AT272" s="152"/>
      <c r="AU272" s="152"/>
      <c r="AV272" s="152"/>
    </row>
    <row r="273" spans="1:48">
      <c r="A273" s="1077" t="s">
        <v>47</v>
      </c>
      <c r="B273" s="1078"/>
      <c r="C273" s="1078"/>
      <c r="D273" s="1078"/>
      <c r="E273" s="1078"/>
      <c r="F273" s="1078"/>
      <c r="G273" s="1078"/>
      <c r="H273" s="1078"/>
      <c r="I273" s="1078"/>
      <c r="J273" s="385"/>
      <c r="K273" s="383"/>
      <c r="L273" s="383"/>
      <c r="M273" s="383"/>
      <c r="N273" s="383"/>
      <c r="O273" s="383"/>
      <c r="P273" s="383"/>
      <c r="Q273" s="391"/>
      <c r="R273" s="152"/>
      <c r="S273" s="152"/>
      <c r="T273" s="152"/>
      <c r="U273" s="152"/>
      <c r="V273" s="152"/>
      <c r="W273" s="152"/>
      <c r="X273" s="152"/>
      <c r="Y273" s="152"/>
      <c r="Z273" s="325"/>
      <c r="AA273" s="152"/>
      <c r="AB273" s="152"/>
      <c r="AC273" s="152"/>
      <c r="AD273" s="152"/>
      <c r="AE273" s="152"/>
      <c r="AF273" s="152"/>
      <c r="AG273" s="152"/>
      <c r="AH273" s="152"/>
      <c r="AI273" s="152"/>
      <c r="AJ273" s="152"/>
      <c r="AK273" s="152"/>
      <c r="AL273" s="152"/>
      <c r="AM273" s="325"/>
      <c r="AN273" s="152"/>
      <c r="AO273" s="152"/>
      <c r="AP273" s="152"/>
      <c r="AQ273" s="152"/>
      <c r="AR273" s="152"/>
      <c r="AS273" s="152"/>
      <c r="AT273" s="152"/>
      <c r="AU273" s="152"/>
      <c r="AV273" s="152"/>
    </row>
    <row r="274" spans="1:48">
      <c r="A274" s="1086" t="s">
        <v>317</v>
      </c>
      <c r="B274" s="1087"/>
      <c r="C274" s="1087"/>
      <c r="D274" s="1087"/>
      <c r="E274" s="1087"/>
      <c r="F274" s="1087"/>
      <c r="G274" s="1087"/>
      <c r="H274" s="1087"/>
      <c r="I274" s="1087"/>
      <c r="J274" s="384"/>
      <c r="K274" s="382"/>
      <c r="L274" s="382"/>
      <c r="M274" s="382"/>
      <c r="N274" s="382"/>
      <c r="O274" s="382"/>
      <c r="P274" s="382"/>
      <c r="Q274" s="550">
        <f>SUM(Q276:Q279,Q281:Q292)</f>
        <v>51324.75</v>
      </c>
      <c r="R274" s="152"/>
      <c r="S274" s="152"/>
      <c r="T274" s="152"/>
      <c r="U274" s="152"/>
      <c r="V274" s="152"/>
      <c r="W274" s="152"/>
      <c r="X274" s="152"/>
      <c r="Y274" s="152"/>
      <c r="Z274" s="152"/>
      <c r="AA274" s="152"/>
      <c r="AB274" s="152"/>
      <c r="AC274" s="152"/>
      <c r="AD274" s="152"/>
      <c r="AE274" s="152"/>
      <c r="AF274" s="152"/>
      <c r="AG274" s="152"/>
      <c r="AH274" s="152"/>
      <c r="AI274" s="152"/>
      <c r="AJ274" s="152"/>
      <c r="AK274" s="152"/>
      <c r="AL274" s="152"/>
      <c r="AM274" s="152"/>
      <c r="AN274" s="152"/>
      <c r="AO274" s="152"/>
      <c r="AP274" s="152"/>
      <c r="AQ274" s="152"/>
      <c r="AR274" s="152"/>
      <c r="AS274" s="152"/>
      <c r="AT274" s="152"/>
      <c r="AU274" s="152"/>
      <c r="AV274" s="152"/>
    </row>
    <row r="275" spans="1:48">
      <c r="A275" s="1088" t="s">
        <v>11</v>
      </c>
      <c r="B275" s="1089"/>
      <c r="C275" s="1089"/>
      <c r="D275" s="1089"/>
      <c r="E275" s="1089"/>
      <c r="F275" s="1089"/>
      <c r="G275" s="1089"/>
      <c r="H275" s="1089"/>
      <c r="I275" s="1089"/>
      <c r="J275" s="385"/>
      <c r="K275" s="383"/>
      <c r="L275" s="383"/>
      <c r="M275" s="383"/>
      <c r="N275" s="383"/>
      <c r="O275" s="383"/>
      <c r="P275" s="383"/>
      <c r="Q275" s="548"/>
      <c r="R275" s="152"/>
      <c r="S275" s="152"/>
      <c r="T275" s="152"/>
      <c r="U275" s="152"/>
      <c r="V275" s="152"/>
      <c r="W275" s="152"/>
      <c r="X275" s="152"/>
      <c r="Y275" s="152"/>
      <c r="Z275" s="152"/>
      <c r="AA275" s="152"/>
      <c r="AB275" s="152"/>
      <c r="AC275" s="152"/>
      <c r="AD275" s="152"/>
      <c r="AE275" s="152"/>
      <c r="AF275" s="152"/>
      <c r="AG275" s="152"/>
      <c r="AH275" s="152"/>
      <c r="AI275" s="152"/>
      <c r="AJ275" s="152"/>
      <c r="AK275" s="152"/>
      <c r="AL275" s="152"/>
      <c r="AM275" s="152"/>
      <c r="AN275" s="152"/>
      <c r="AO275" s="152"/>
      <c r="AP275" s="152"/>
      <c r="AQ275" s="152"/>
      <c r="AR275" s="152"/>
      <c r="AS275" s="152"/>
      <c r="AT275" s="152"/>
      <c r="AU275" s="152"/>
      <c r="AV275" s="152"/>
    </row>
    <row r="276" spans="1:48">
      <c r="A276" s="611" t="s">
        <v>318</v>
      </c>
      <c r="B276" s="154">
        <v>10</v>
      </c>
      <c r="C276" s="3" t="s">
        <v>26</v>
      </c>
      <c r="D276" s="258">
        <v>10</v>
      </c>
      <c r="E276" s="258">
        <v>3</v>
      </c>
      <c r="F276" s="4">
        <v>1287</v>
      </c>
      <c r="G276" s="183">
        <v>1265</v>
      </c>
      <c r="H276" s="310">
        <v>0</v>
      </c>
      <c r="I276" s="312">
        <v>1</v>
      </c>
      <c r="J276" s="379">
        <f>ROUND(G276*(1+'29_01_H_2020'!$O$14),2)</f>
        <v>1586.18</v>
      </c>
      <c r="K276" s="151">
        <f>L276-H276</f>
        <v>0</v>
      </c>
      <c r="L276" s="151">
        <f>ROUND(H276*(1+'29_01_H_2020'!$O$14),2)</f>
        <v>0</v>
      </c>
      <c r="M276" s="151">
        <f>(J276+L276)-(G276+H276)</f>
        <v>321.18000000000006</v>
      </c>
      <c r="N276" s="151">
        <f>M276*I276</f>
        <v>321.18000000000006</v>
      </c>
      <c r="O276" s="151">
        <f>N276*12</f>
        <v>3854.1600000000008</v>
      </c>
      <c r="P276" s="151">
        <f>ROUND(O276*'29_01_H_2020'!$O$17,2)</f>
        <v>909.2</v>
      </c>
      <c r="Q276" s="380">
        <f>SUM(O276:P276)</f>
        <v>4763.3600000000006</v>
      </c>
      <c r="R276" s="152"/>
      <c r="S276" s="328"/>
      <c r="T276" s="328"/>
      <c r="U276" s="328"/>
      <c r="V276" s="328"/>
      <c r="W276" s="328"/>
      <c r="X276" s="328"/>
      <c r="Y276" s="328"/>
      <c r="Z276" s="328"/>
      <c r="AA276" s="328"/>
      <c r="AB276" s="328"/>
      <c r="AC276" s="329"/>
      <c r="AD276" s="329"/>
      <c r="AE276" s="152"/>
      <c r="AF276" s="328"/>
      <c r="AG276" s="328"/>
      <c r="AH276" s="328"/>
      <c r="AI276" s="328"/>
      <c r="AJ276" s="328"/>
      <c r="AK276" s="328"/>
      <c r="AL276" s="328"/>
      <c r="AM276" s="328"/>
      <c r="AN276" s="328"/>
      <c r="AO276" s="328"/>
      <c r="AP276" s="329"/>
      <c r="AQ276" s="152"/>
      <c r="AR276" s="152"/>
      <c r="AS276" s="152"/>
      <c r="AT276" s="152"/>
      <c r="AU276" s="152"/>
      <c r="AV276" s="152"/>
    </row>
    <row r="277" spans="1:48">
      <c r="A277" s="611" t="s">
        <v>318</v>
      </c>
      <c r="B277" s="154">
        <v>10</v>
      </c>
      <c r="C277" s="3" t="s">
        <v>26</v>
      </c>
      <c r="D277" s="258">
        <v>10</v>
      </c>
      <c r="E277" s="258">
        <v>3</v>
      </c>
      <c r="F277" s="4">
        <v>1287</v>
      </c>
      <c r="G277" s="183">
        <v>1265</v>
      </c>
      <c r="H277" s="310">
        <v>0</v>
      </c>
      <c r="I277" s="312">
        <v>1</v>
      </c>
      <c r="J277" s="379">
        <f>ROUND(G277*(1+'29_01_H_2020'!$O$14),2)</f>
        <v>1586.18</v>
      </c>
      <c r="K277" s="151">
        <f>L277-H277</f>
        <v>0</v>
      </c>
      <c r="L277" s="151">
        <f>ROUND(H277*(1+'29_01_H_2020'!$O$14),2)</f>
        <v>0</v>
      </c>
      <c r="M277" s="151">
        <f t="shared" ref="M277:M279" si="134">(J277+L277)-(G277+H277)</f>
        <v>321.18000000000006</v>
      </c>
      <c r="N277" s="151">
        <f>M277*I277</f>
        <v>321.18000000000006</v>
      </c>
      <c r="O277" s="151">
        <f t="shared" ref="O277:O279" si="135">N277*12</f>
        <v>3854.1600000000008</v>
      </c>
      <c r="P277" s="151">
        <f>ROUND(O277*'29_01_H_2020'!$O$17,2)</f>
        <v>909.2</v>
      </c>
      <c r="Q277" s="380">
        <f t="shared" ref="Q277:Q279" si="136">SUM(O277:P277)</f>
        <v>4763.3600000000006</v>
      </c>
      <c r="R277" s="152"/>
      <c r="S277" s="328"/>
      <c r="T277" s="328"/>
      <c r="U277" s="328"/>
      <c r="V277" s="328"/>
      <c r="W277" s="328"/>
      <c r="X277" s="328"/>
      <c r="Y277" s="328"/>
      <c r="Z277" s="328"/>
      <c r="AA277" s="328"/>
      <c r="AB277" s="328"/>
      <c r="AC277" s="329"/>
      <c r="AD277" s="152"/>
      <c r="AE277" s="152"/>
      <c r="AF277" s="328"/>
      <c r="AG277" s="328"/>
      <c r="AH277" s="328"/>
      <c r="AI277" s="328"/>
      <c r="AJ277" s="328"/>
      <c r="AK277" s="328"/>
      <c r="AL277" s="328"/>
      <c r="AM277" s="328"/>
      <c r="AN277" s="328"/>
      <c r="AO277" s="328"/>
      <c r="AP277" s="329"/>
      <c r="AQ277" s="152"/>
      <c r="AR277" s="152"/>
      <c r="AS277" s="152"/>
      <c r="AT277" s="152"/>
      <c r="AU277" s="152"/>
      <c r="AV277" s="152"/>
    </row>
    <row r="278" spans="1:48">
      <c r="A278" s="611" t="s">
        <v>318</v>
      </c>
      <c r="B278" s="154">
        <v>10</v>
      </c>
      <c r="C278" s="3" t="s">
        <v>26</v>
      </c>
      <c r="D278" s="258">
        <v>10</v>
      </c>
      <c r="E278" s="258">
        <v>3</v>
      </c>
      <c r="F278" s="4">
        <v>1287</v>
      </c>
      <c r="G278" s="183">
        <v>1265</v>
      </c>
      <c r="H278" s="310">
        <v>0</v>
      </c>
      <c r="I278" s="312">
        <v>1</v>
      </c>
      <c r="J278" s="379">
        <f>ROUND(G278*(1+'29_01_H_2020'!$O$14),2)</f>
        <v>1586.18</v>
      </c>
      <c r="K278" s="151">
        <f>L278-H278</f>
        <v>0</v>
      </c>
      <c r="L278" s="151">
        <f>ROUND(H278*(1+'29_01_H_2020'!$O$14),2)</f>
        <v>0</v>
      </c>
      <c r="M278" s="151">
        <f t="shared" si="134"/>
        <v>321.18000000000006</v>
      </c>
      <c r="N278" s="151">
        <f>M278*I278</f>
        <v>321.18000000000006</v>
      </c>
      <c r="O278" s="151">
        <f t="shared" si="135"/>
        <v>3854.1600000000008</v>
      </c>
      <c r="P278" s="151">
        <f>ROUND(O278*'29_01_H_2020'!$O$17,2)</f>
        <v>909.2</v>
      </c>
      <c r="Q278" s="380">
        <f t="shared" si="136"/>
        <v>4763.3600000000006</v>
      </c>
      <c r="R278" s="152"/>
      <c r="S278" s="328"/>
      <c r="T278" s="328"/>
      <c r="U278" s="328"/>
      <c r="V278" s="328"/>
      <c r="W278" s="328"/>
      <c r="X278" s="328"/>
      <c r="Y278" s="328"/>
      <c r="Z278" s="328"/>
      <c r="AA278" s="328"/>
      <c r="AB278" s="328"/>
      <c r="AC278" s="329"/>
      <c r="AD278" s="152"/>
      <c r="AE278" s="152"/>
      <c r="AF278" s="328"/>
      <c r="AG278" s="328"/>
      <c r="AH278" s="328"/>
      <c r="AI278" s="328"/>
      <c r="AJ278" s="328"/>
      <c r="AK278" s="328"/>
      <c r="AL278" s="328"/>
      <c r="AM278" s="328"/>
      <c r="AN278" s="328"/>
      <c r="AO278" s="328"/>
      <c r="AP278" s="329"/>
      <c r="AQ278" s="152"/>
      <c r="AR278" s="152"/>
      <c r="AS278" s="152"/>
      <c r="AT278" s="152"/>
      <c r="AU278" s="152"/>
      <c r="AV278" s="152"/>
    </row>
    <row r="279" spans="1:48">
      <c r="A279" s="611" t="s">
        <v>318</v>
      </c>
      <c r="B279" s="154">
        <v>10</v>
      </c>
      <c r="C279" s="3" t="s">
        <v>26</v>
      </c>
      <c r="D279" s="258">
        <v>10</v>
      </c>
      <c r="E279" s="258">
        <v>3</v>
      </c>
      <c r="F279" s="4">
        <v>1287</v>
      </c>
      <c r="G279" s="183">
        <v>1265</v>
      </c>
      <c r="H279" s="310">
        <v>0</v>
      </c>
      <c r="I279" s="312">
        <v>1</v>
      </c>
      <c r="J279" s="379">
        <f>ROUND(G279*(1+'29_01_H_2020'!$O$14),2)</f>
        <v>1586.18</v>
      </c>
      <c r="K279" s="151">
        <f>L279-H279</f>
        <v>0</v>
      </c>
      <c r="L279" s="151">
        <f>ROUND(H279*(1+'29_01_H_2020'!$O$14),2)</f>
        <v>0</v>
      </c>
      <c r="M279" s="151">
        <f t="shared" si="134"/>
        <v>321.18000000000006</v>
      </c>
      <c r="N279" s="151">
        <f>M279*I279</f>
        <v>321.18000000000006</v>
      </c>
      <c r="O279" s="151">
        <f t="shared" si="135"/>
        <v>3854.1600000000008</v>
      </c>
      <c r="P279" s="151">
        <f>ROUND(O279*'29_01_H_2020'!$O$17,2)</f>
        <v>909.2</v>
      </c>
      <c r="Q279" s="380">
        <f t="shared" si="136"/>
        <v>4763.3600000000006</v>
      </c>
      <c r="R279" s="152"/>
      <c r="S279" s="328"/>
      <c r="T279" s="328"/>
      <c r="U279" s="328"/>
      <c r="V279" s="328"/>
      <c r="W279" s="328"/>
      <c r="X279" s="328"/>
      <c r="Y279" s="328"/>
      <c r="Z279" s="328"/>
      <c r="AA279" s="328"/>
      <c r="AB279" s="328"/>
      <c r="AC279" s="329"/>
      <c r="AD279" s="152"/>
      <c r="AE279" s="152"/>
      <c r="AF279" s="328"/>
      <c r="AG279" s="328"/>
      <c r="AH279" s="328"/>
      <c r="AI279" s="328"/>
      <c r="AJ279" s="328"/>
      <c r="AK279" s="328"/>
      <c r="AL279" s="328"/>
      <c r="AM279" s="328"/>
      <c r="AN279" s="328"/>
      <c r="AO279" s="328"/>
      <c r="AP279" s="329"/>
      <c r="AQ279" s="152"/>
      <c r="AR279" s="152"/>
      <c r="AS279" s="152"/>
      <c r="AT279" s="152"/>
      <c r="AU279" s="152"/>
      <c r="AV279" s="152"/>
    </row>
    <row r="280" spans="1:48">
      <c r="A280" s="1077" t="s">
        <v>47</v>
      </c>
      <c r="B280" s="1078"/>
      <c r="C280" s="1078"/>
      <c r="D280" s="1078"/>
      <c r="E280" s="1078"/>
      <c r="F280" s="1078"/>
      <c r="G280" s="1078"/>
      <c r="H280" s="1078"/>
      <c r="I280" s="1078"/>
      <c r="J280" s="392"/>
      <c r="K280" s="393"/>
      <c r="L280" s="393"/>
      <c r="M280" s="393"/>
      <c r="N280" s="393"/>
      <c r="O280" s="393"/>
      <c r="P280" s="393"/>
      <c r="Q280" s="548"/>
      <c r="R280" s="152"/>
      <c r="S280" s="152"/>
      <c r="T280" s="152"/>
      <c r="U280" s="152"/>
      <c r="V280" s="152"/>
      <c r="W280" s="152"/>
      <c r="X280" s="152"/>
      <c r="Y280" s="152"/>
      <c r="Z280" s="325"/>
      <c r="AA280" s="325"/>
      <c r="AB280" s="325"/>
      <c r="AC280" s="152"/>
      <c r="AD280" s="152"/>
      <c r="AE280" s="152"/>
      <c r="AF280" s="152"/>
      <c r="AG280" s="152"/>
      <c r="AH280" s="152"/>
      <c r="AI280" s="152"/>
      <c r="AJ280" s="152"/>
      <c r="AK280" s="152"/>
      <c r="AL280" s="152"/>
      <c r="AM280" s="325"/>
      <c r="AN280" s="325"/>
      <c r="AO280" s="325"/>
      <c r="AP280" s="152"/>
      <c r="AQ280" s="152"/>
      <c r="AR280" s="152"/>
      <c r="AS280" s="152"/>
      <c r="AT280" s="152"/>
      <c r="AU280" s="152"/>
      <c r="AV280" s="152"/>
    </row>
    <row r="281" spans="1:48" s="333" customFormat="1">
      <c r="A281" s="121" t="s">
        <v>319</v>
      </c>
      <c r="B281" s="33" t="s">
        <v>16</v>
      </c>
      <c r="C281" s="122" t="s">
        <v>17</v>
      </c>
      <c r="D281" s="122">
        <v>12</v>
      </c>
      <c r="E281" s="261">
        <v>3</v>
      </c>
      <c r="F281" s="263">
        <v>1647</v>
      </c>
      <c r="G281" s="90">
        <v>1800</v>
      </c>
      <c r="H281" s="90">
        <v>411.14</v>
      </c>
      <c r="I281" s="359">
        <v>0.7</v>
      </c>
      <c r="J281" s="379">
        <f>ROUND(G281*(1+'29_01_H_2020'!$O$14),2)</f>
        <v>2257.02</v>
      </c>
      <c r="K281" s="151">
        <f>L281-H281</f>
        <v>104.38999999999999</v>
      </c>
      <c r="L281" s="151">
        <f>ROUND(H281*(1+'29_01_H_2020'!$O$14),2)</f>
        <v>515.53</v>
      </c>
      <c r="M281" s="151">
        <f>(J281+L281)-(G281+H281)</f>
        <v>561.41000000000031</v>
      </c>
      <c r="N281" s="151">
        <f>M281*I281</f>
        <v>392.98700000000019</v>
      </c>
      <c r="O281" s="151">
        <f t="shared" ref="O281" si="137">N281*12</f>
        <v>4715.8440000000028</v>
      </c>
      <c r="P281" s="151">
        <f>ROUND(O281*'29_01_H_2020'!$O$17,2)</f>
        <v>1112.47</v>
      </c>
      <c r="Q281" s="380">
        <f t="shared" ref="Q281" si="138">SUM(O281:P281)</f>
        <v>5828.314000000003</v>
      </c>
      <c r="R281" s="152"/>
      <c r="S281" s="328"/>
      <c r="T281" s="328"/>
      <c r="U281" s="328"/>
      <c r="V281" s="328"/>
      <c r="W281" s="328"/>
      <c r="X281" s="328"/>
      <c r="Y281" s="328"/>
      <c r="Z281" s="328"/>
      <c r="AA281" s="328"/>
      <c r="AB281" s="328"/>
      <c r="AC281" s="329"/>
      <c r="AD281" s="152"/>
      <c r="AE281" s="152"/>
      <c r="AF281" s="328"/>
      <c r="AG281" s="328"/>
      <c r="AH281" s="328"/>
      <c r="AI281" s="328"/>
      <c r="AJ281" s="328"/>
      <c r="AK281" s="328"/>
      <c r="AL281" s="328"/>
      <c r="AM281" s="328"/>
      <c r="AN281" s="328"/>
      <c r="AO281" s="328"/>
      <c r="AP281" s="329"/>
      <c r="AQ281" s="152"/>
      <c r="AR281" s="152"/>
      <c r="AS281" s="152"/>
      <c r="AT281" s="152"/>
    </row>
    <row r="282" spans="1:48" s="333" customFormat="1">
      <c r="A282" s="121" t="s">
        <v>319</v>
      </c>
      <c r="B282" s="33" t="s">
        <v>16</v>
      </c>
      <c r="C282" s="122" t="s">
        <v>251</v>
      </c>
      <c r="D282" s="122">
        <v>9</v>
      </c>
      <c r="E282" s="261">
        <v>3</v>
      </c>
      <c r="F282" s="263">
        <v>1190</v>
      </c>
      <c r="G282" s="90">
        <v>1300</v>
      </c>
      <c r="H282" s="90">
        <v>250</v>
      </c>
      <c r="I282" s="359">
        <v>0.3</v>
      </c>
      <c r="J282" s="379">
        <f>ROUND(G282*(1+'29_01_H_2020'!$O$14),2)</f>
        <v>1630.07</v>
      </c>
      <c r="K282" s="151">
        <f t="shared" ref="K282:K292" si="139">L282-H282</f>
        <v>63.480000000000018</v>
      </c>
      <c r="L282" s="151">
        <f>ROUND(H282*(1+'29_01_H_2020'!$O$14),2)</f>
        <v>313.48</v>
      </c>
      <c r="M282" s="151">
        <f t="shared" ref="M282:M292" si="140">(J282+L282)-(G282+H282)</f>
        <v>393.54999999999995</v>
      </c>
      <c r="N282" s="151">
        <f t="shared" ref="N282:N292" si="141">M282*I282</f>
        <v>118.06499999999998</v>
      </c>
      <c r="O282" s="151">
        <f t="shared" ref="O282:O292" si="142">N282*12</f>
        <v>1416.7799999999997</v>
      </c>
      <c r="P282" s="151">
        <f>ROUND(O282*'29_01_H_2020'!$O$17,2)</f>
        <v>334.22</v>
      </c>
      <c r="Q282" s="380">
        <f t="shared" ref="Q282:Q292" si="143">SUM(O282:P282)</f>
        <v>1750.9999999999998</v>
      </c>
      <c r="R282" s="152"/>
      <c r="S282" s="328"/>
      <c r="T282" s="328"/>
      <c r="U282" s="328"/>
      <c r="V282" s="328"/>
      <c r="W282" s="328"/>
      <c r="X282" s="328"/>
      <c r="Y282" s="328"/>
      <c r="Z282" s="328"/>
      <c r="AA282" s="328"/>
      <c r="AB282" s="328"/>
      <c r="AC282" s="329"/>
      <c r="AD282" s="152"/>
      <c r="AE282" s="152"/>
      <c r="AF282" s="328"/>
      <c r="AG282" s="328"/>
      <c r="AH282" s="328"/>
      <c r="AI282" s="328"/>
      <c r="AJ282" s="328"/>
      <c r="AK282" s="328"/>
      <c r="AL282" s="328"/>
      <c r="AM282" s="328"/>
      <c r="AN282" s="328"/>
      <c r="AO282" s="328"/>
      <c r="AP282" s="329"/>
      <c r="AQ282" s="152"/>
      <c r="AR282" s="152"/>
      <c r="AS282" s="152"/>
      <c r="AT282" s="152"/>
    </row>
    <row r="283" spans="1:48" s="333" customFormat="1">
      <c r="A283" s="121" t="s">
        <v>295</v>
      </c>
      <c r="B283" s="33" t="s">
        <v>16</v>
      </c>
      <c r="C283" s="122" t="s">
        <v>251</v>
      </c>
      <c r="D283" s="122">
        <v>9</v>
      </c>
      <c r="E283" s="261">
        <v>3</v>
      </c>
      <c r="F283" s="263">
        <v>1190</v>
      </c>
      <c r="G283" s="90">
        <v>1350</v>
      </c>
      <c r="H283" s="90">
        <v>400</v>
      </c>
      <c r="I283" s="359">
        <v>0.7</v>
      </c>
      <c r="J283" s="379">
        <f>ROUND(G283*(1+'29_01_H_2020'!$O$14),2)</f>
        <v>1692.77</v>
      </c>
      <c r="K283" s="151">
        <f t="shared" si="139"/>
        <v>101.56</v>
      </c>
      <c r="L283" s="151">
        <f>ROUND(H283*(1+'29_01_H_2020'!$O$14),2)</f>
        <v>501.56</v>
      </c>
      <c r="M283" s="151">
        <f t="shared" si="140"/>
        <v>444.32999999999993</v>
      </c>
      <c r="N283" s="151">
        <f t="shared" si="141"/>
        <v>311.03099999999995</v>
      </c>
      <c r="O283" s="151">
        <f t="shared" si="142"/>
        <v>3732.3719999999994</v>
      </c>
      <c r="P283" s="151">
        <f>ROUND(O283*'29_01_H_2020'!$O$17,2)</f>
        <v>880.47</v>
      </c>
      <c r="Q283" s="380">
        <f t="shared" si="143"/>
        <v>4612.8419999999996</v>
      </c>
      <c r="R283" s="152"/>
      <c r="S283" s="328"/>
      <c r="T283" s="328"/>
      <c r="U283" s="328"/>
      <c r="V283" s="328"/>
      <c r="W283" s="328"/>
      <c r="X283" s="328"/>
      <c r="Y283" s="328"/>
      <c r="Z283" s="328"/>
      <c r="AA283" s="328"/>
      <c r="AB283" s="328"/>
      <c r="AC283" s="329"/>
      <c r="AD283" s="152"/>
      <c r="AE283" s="152"/>
      <c r="AF283" s="328"/>
      <c r="AG283" s="328"/>
      <c r="AH283" s="328"/>
      <c r="AI283" s="328"/>
      <c r="AJ283" s="328"/>
      <c r="AK283" s="328"/>
      <c r="AL283" s="328"/>
      <c r="AM283" s="328"/>
      <c r="AN283" s="328"/>
      <c r="AO283" s="328"/>
      <c r="AP283" s="329"/>
      <c r="AQ283" s="152"/>
      <c r="AR283" s="152"/>
      <c r="AS283" s="152"/>
      <c r="AT283" s="152"/>
    </row>
    <row r="284" spans="1:48" s="333" customFormat="1">
      <c r="A284" s="121" t="s">
        <v>295</v>
      </c>
      <c r="B284" s="33" t="s">
        <v>16</v>
      </c>
      <c r="C284" s="122" t="s">
        <v>251</v>
      </c>
      <c r="D284" s="122">
        <v>9</v>
      </c>
      <c r="E284" s="261">
        <v>3</v>
      </c>
      <c r="F284" s="263">
        <v>1190</v>
      </c>
      <c r="G284" s="90">
        <v>1250</v>
      </c>
      <c r="H284" s="90">
        <v>375</v>
      </c>
      <c r="I284" s="359">
        <v>0.6</v>
      </c>
      <c r="J284" s="379">
        <f>ROUND(G284*(1+'29_01_H_2020'!$O$14),2)</f>
        <v>1567.38</v>
      </c>
      <c r="K284" s="151">
        <f t="shared" si="139"/>
        <v>95.20999999999998</v>
      </c>
      <c r="L284" s="151">
        <f>ROUND(H284*(1+'29_01_H_2020'!$O$14),2)</f>
        <v>470.21</v>
      </c>
      <c r="M284" s="151">
        <f t="shared" si="140"/>
        <v>412.59000000000015</v>
      </c>
      <c r="N284" s="151">
        <f t="shared" si="141"/>
        <v>247.55400000000009</v>
      </c>
      <c r="O284" s="151">
        <f t="shared" si="142"/>
        <v>2970.648000000001</v>
      </c>
      <c r="P284" s="151">
        <f>ROUND(O284*'29_01_H_2020'!$O$17,2)</f>
        <v>700.78</v>
      </c>
      <c r="Q284" s="380">
        <f t="shared" si="143"/>
        <v>3671.4280000000008</v>
      </c>
      <c r="R284" s="152"/>
      <c r="S284" s="328"/>
      <c r="T284" s="328"/>
      <c r="U284" s="328"/>
      <c r="V284" s="328"/>
      <c r="W284" s="328"/>
      <c r="X284" s="328"/>
      <c r="Y284" s="328"/>
      <c r="Z284" s="328"/>
      <c r="AA284" s="328"/>
      <c r="AB284" s="328"/>
      <c r="AC284" s="329"/>
      <c r="AD284" s="152"/>
      <c r="AE284" s="152"/>
      <c r="AF284" s="328"/>
      <c r="AG284" s="328"/>
      <c r="AH284" s="328"/>
      <c r="AI284" s="328"/>
      <c r="AJ284" s="328"/>
      <c r="AK284" s="328"/>
      <c r="AL284" s="328"/>
      <c r="AM284" s="328"/>
      <c r="AN284" s="328"/>
      <c r="AO284" s="328"/>
      <c r="AP284" s="329"/>
      <c r="AQ284" s="152"/>
      <c r="AR284" s="152"/>
      <c r="AS284" s="152"/>
      <c r="AT284" s="152"/>
    </row>
    <row r="285" spans="1:48" s="333" customFormat="1">
      <c r="A285" s="121" t="s">
        <v>295</v>
      </c>
      <c r="B285" s="33" t="s">
        <v>16</v>
      </c>
      <c r="C285" s="122" t="s">
        <v>251</v>
      </c>
      <c r="D285" s="122">
        <v>9</v>
      </c>
      <c r="E285" s="261">
        <v>3</v>
      </c>
      <c r="F285" s="263">
        <v>1190</v>
      </c>
      <c r="G285" s="90">
        <v>1250</v>
      </c>
      <c r="H285" s="90">
        <v>105</v>
      </c>
      <c r="I285" s="359">
        <v>0.2</v>
      </c>
      <c r="J285" s="379">
        <f>ROUND(G285*(1+'29_01_H_2020'!$O$14),2)</f>
        <v>1567.38</v>
      </c>
      <c r="K285" s="151">
        <f t="shared" si="139"/>
        <v>26.659999999999997</v>
      </c>
      <c r="L285" s="151">
        <f>ROUND(H285*(1+'29_01_H_2020'!$O$14),2)</f>
        <v>131.66</v>
      </c>
      <c r="M285" s="151">
        <f t="shared" si="140"/>
        <v>344.04000000000019</v>
      </c>
      <c r="N285" s="151">
        <f t="shared" si="141"/>
        <v>68.808000000000035</v>
      </c>
      <c r="O285" s="151">
        <f t="shared" si="142"/>
        <v>825.69600000000037</v>
      </c>
      <c r="P285" s="151">
        <f>ROUND(O285*'29_01_H_2020'!$O$17,2)</f>
        <v>194.78</v>
      </c>
      <c r="Q285" s="380">
        <f t="shared" si="143"/>
        <v>1020.4760000000003</v>
      </c>
      <c r="R285" s="152"/>
      <c r="S285" s="328"/>
      <c r="T285" s="328"/>
      <c r="U285" s="328"/>
      <c r="V285" s="328"/>
      <c r="W285" s="328"/>
      <c r="X285" s="328"/>
      <c r="Y285" s="328"/>
      <c r="Z285" s="328"/>
      <c r="AA285" s="328"/>
      <c r="AB285" s="328"/>
      <c r="AC285" s="329"/>
      <c r="AD285" s="152"/>
      <c r="AE285" s="152"/>
      <c r="AF285" s="328"/>
      <c r="AG285" s="328"/>
      <c r="AH285" s="328"/>
      <c r="AI285" s="328"/>
      <c r="AJ285" s="328"/>
      <c r="AK285" s="328"/>
      <c r="AL285" s="328"/>
      <c r="AM285" s="328"/>
      <c r="AN285" s="328"/>
      <c r="AO285" s="328"/>
      <c r="AP285" s="329"/>
      <c r="AQ285" s="152"/>
      <c r="AR285" s="152"/>
      <c r="AS285" s="152"/>
      <c r="AT285" s="152"/>
    </row>
    <row r="286" spans="1:48" s="333" customFormat="1">
      <c r="A286" s="121" t="s">
        <v>571</v>
      </c>
      <c r="B286" s="33">
        <v>23</v>
      </c>
      <c r="C286" s="122" t="s">
        <v>45</v>
      </c>
      <c r="D286" s="122">
        <v>4</v>
      </c>
      <c r="E286" s="261">
        <v>3</v>
      </c>
      <c r="F286" s="263">
        <v>899</v>
      </c>
      <c r="G286" s="90">
        <v>750</v>
      </c>
      <c r="H286" s="90">
        <v>62.5</v>
      </c>
      <c r="I286" s="359">
        <v>1</v>
      </c>
      <c r="J286" s="379">
        <f>ROUND(G286*(1+'29_01_H_2020'!$O$14),2)</f>
        <v>940.43</v>
      </c>
      <c r="K286" s="151">
        <f t="shared" si="139"/>
        <v>15.870000000000005</v>
      </c>
      <c r="L286" s="151">
        <f>ROUND(H286*(1+'29_01_H_2020'!$O$14),2)</f>
        <v>78.37</v>
      </c>
      <c r="M286" s="151">
        <f t="shared" si="140"/>
        <v>206.29999999999995</v>
      </c>
      <c r="N286" s="151">
        <f t="shared" si="141"/>
        <v>206.29999999999995</v>
      </c>
      <c r="O286" s="151">
        <f t="shared" si="142"/>
        <v>2475.5999999999995</v>
      </c>
      <c r="P286" s="151">
        <f>ROUND(O286*'29_01_H_2020'!$O$17,2)</f>
        <v>583.99</v>
      </c>
      <c r="Q286" s="380">
        <f t="shared" si="143"/>
        <v>3059.5899999999992</v>
      </c>
      <c r="R286" s="152"/>
      <c r="S286" s="328"/>
      <c r="T286" s="328"/>
      <c r="U286" s="328"/>
      <c r="V286" s="328"/>
      <c r="W286" s="328"/>
      <c r="X286" s="328"/>
      <c r="Y286" s="328"/>
      <c r="Z286" s="328"/>
      <c r="AA286" s="328"/>
      <c r="AB286" s="328"/>
      <c r="AC286" s="329"/>
      <c r="AD286" s="152"/>
      <c r="AE286" s="152"/>
      <c r="AF286" s="328"/>
      <c r="AG286" s="328"/>
      <c r="AH286" s="328"/>
      <c r="AI286" s="328"/>
      <c r="AJ286" s="328"/>
      <c r="AK286" s="328"/>
      <c r="AL286" s="328"/>
      <c r="AM286" s="328"/>
      <c r="AN286" s="328"/>
      <c r="AO286" s="328"/>
      <c r="AP286" s="329"/>
      <c r="AQ286" s="152"/>
      <c r="AR286" s="152"/>
      <c r="AS286" s="152"/>
      <c r="AT286" s="152"/>
    </row>
    <row r="287" spans="1:48" s="333" customFormat="1">
      <c r="A287" s="121" t="s">
        <v>571</v>
      </c>
      <c r="B287" s="33">
        <v>23</v>
      </c>
      <c r="C287" s="122" t="s">
        <v>45</v>
      </c>
      <c r="D287" s="122">
        <v>4</v>
      </c>
      <c r="E287" s="261">
        <v>3</v>
      </c>
      <c r="F287" s="263">
        <v>899</v>
      </c>
      <c r="G287" s="90">
        <v>750</v>
      </c>
      <c r="H287" s="90">
        <v>62.5</v>
      </c>
      <c r="I287" s="359">
        <v>1</v>
      </c>
      <c r="J287" s="379">
        <f>ROUND(G287*(1+'29_01_H_2020'!$O$14),2)</f>
        <v>940.43</v>
      </c>
      <c r="K287" s="151">
        <f t="shared" si="139"/>
        <v>15.870000000000005</v>
      </c>
      <c r="L287" s="151">
        <f>ROUND(H287*(1+'29_01_H_2020'!$O$14),2)</f>
        <v>78.37</v>
      </c>
      <c r="M287" s="151">
        <f t="shared" si="140"/>
        <v>206.29999999999995</v>
      </c>
      <c r="N287" s="151">
        <f t="shared" si="141"/>
        <v>206.29999999999995</v>
      </c>
      <c r="O287" s="151">
        <f t="shared" si="142"/>
        <v>2475.5999999999995</v>
      </c>
      <c r="P287" s="151">
        <f>ROUND(O287*'29_01_H_2020'!$O$17,2)</f>
        <v>583.99</v>
      </c>
      <c r="Q287" s="380">
        <f t="shared" si="143"/>
        <v>3059.5899999999992</v>
      </c>
      <c r="R287" s="152"/>
      <c r="S287" s="328"/>
      <c r="T287" s="328"/>
      <c r="U287" s="328"/>
      <c r="V287" s="328"/>
      <c r="W287" s="328"/>
      <c r="X287" s="328"/>
      <c r="Y287" s="328"/>
      <c r="Z287" s="328"/>
      <c r="AA287" s="328"/>
      <c r="AB287" s="328"/>
      <c r="AC287" s="329"/>
      <c r="AD287" s="152"/>
      <c r="AE287" s="152"/>
      <c r="AF287" s="328"/>
      <c r="AG287" s="328"/>
      <c r="AH287" s="328"/>
      <c r="AI287" s="328"/>
      <c r="AJ287" s="328"/>
      <c r="AK287" s="328"/>
      <c r="AL287" s="328"/>
      <c r="AM287" s="328"/>
      <c r="AN287" s="328"/>
      <c r="AO287" s="328"/>
      <c r="AP287" s="329"/>
      <c r="AQ287" s="152"/>
      <c r="AR287" s="152"/>
      <c r="AS287" s="152"/>
      <c r="AT287" s="152"/>
    </row>
    <row r="288" spans="1:48" s="333" customFormat="1">
      <c r="A288" s="338" t="s">
        <v>571</v>
      </c>
      <c r="B288" s="7" t="s">
        <v>572</v>
      </c>
      <c r="C288" s="334" t="s">
        <v>35</v>
      </c>
      <c r="D288" s="258">
        <v>4</v>
      </c>
      <c r="E288" s="258">
        <v>3</v>
      </c>
      <c r="F288" s="263">
        <v>705</v>
      </c>
      <c r="G288" s="90">
        <v>690</v>
      </c>
      <c r="H288" s="90">
        <v>57.5</v>
      </c>
      <c r="I288" s="359">
        <v>1</v>
      </c>
      <c r="J288" s="379">
        <f>ROUND(G288*(1+'29_01_H_2020'!$O$14),2)</f>
        <v>865.19</v>
      </c>
      <c r="K288" s="151">
        <f t="shared" si="139"/>
        <v>14.599999999999994</v>
      </c>
      <c r="L288" s="151">
        <f>ROUND(H288*(1+'29_01_H_2020'!$O$14),2)</f>
        <v>72.099999999999994</v>
      </c>
      <c r="M288" s="151">
        <f t="shared" si="140"/>
        <v>189.79000000000008</v>
      </c>
      <c r="N288" s="151">
        <f t="shared" si="141"/>
        <v>189.79000000000008</v>
      </c>
      <c r="O288" s="151">
        <f t="shared" si="142"/>
        <v>2277.4800000000009</v>
      </c>
      <c r="P288" s="151">
        <f>ROUND(O288*'29_01_H_2020'!$O$17,2)</f>
        <v>537.26</v>
      </c>
      <c r="Q288" s="380">
        <f t="shared" si="143"/>
        <v>2814.7400000000007</v>
      </c>
      <c r="R288" s="152"/>
      <c r="S288" s="328"/>
      <c r="T288" s="328"/>
      <c r="U288" s="328"/>
      <c r="V288" s="328"/>
      <c r="W288" s="328"/>
      <c r="X288" s="328"/>
      <c r="Y288" s="328"/>
      <c r="Z288" s="328"/>
      <c r="AA288" s="328"/>
      <c r="AB288" s="328"/>
      <c r="AC288" s="329"/>
      <c r="AD288" s="152"/>
      <c r="AE288" s="152"/>
      <c r="AF288" s="328"/>
      <c r="AG288" s="328"/>
      <c r="AH288" s="328"/>
      <c r="AI288" s="328"/>
      <c r="AJ288" s="328"/>
      <c r="AK288" s="328"/>
      <c r="AL288" s="328"/>
      <c r="AM288" s="328"/>
      <c r="AN288" s="328"/>
      <c r="AO288" s="328"/>
      <c r="AP288" s="329"/>
      <c r="AQ288" s="152"/>
      <c r="AR288" s="152"/>
      <c r="AS288" s="152"/>
      <c r="AT288" s="152"/>
    </row>
    <row r="289" spans="1:48" s="333" customFormat="1">
      <c r="A289" s="338" t="s">
        <v>571</v>
      </c>
      <c r="B289" s="33" t="s">
        <v>572</v>
      </c>
      <c r="C289" s="334" t="s">
        <v>35</v>
      </c>
      <c r="D289" s="258">
        <v>4</v>
      </c>
      <c r="E289" s="258">
        <v>3</v>
      </c>
      <c r="F289" s="263">
        <v>705</v>
      </c>
      <c r="G289" s="90">
        <v>690</v>
      </c>
      <c r="H289" s="90">
        <v>57.5</v>
      </c>
      <c r="I289" s="359">
        <v>1</v>
      </c>
      <c r="J289" s="379">
        <f>ROUND(G289*(1+'29_01_H_2020'!$O$14),2)</f>
        <v>865.19</v>
      </c>
      <c r="K289" s="151">
        <f t="shared" si="139"/>
        <v>14.599999999999994</v>
      </c>
      <c r="L289" s="151">
        <f>ROUND(H289*(1+'29_01_H_2020'!$O$14),2)</f>
        <v>72.099999999999994</v>
      </c>
      <c r="M289" s="151">
        <f t="shared" si="140"/>
        <v>189.79000000000008</v>
      </c>
      <c r="N289" s="151">
        <f t="shared" si="141"/>
        <v>189.79000000000008</v>
      </c>
      <c r="O289" s="151">
        <f t="shared" si="142"/>
        <v>2277.4800000000009</v>
      </c>
      <c r="P289" s="151">
        <f>ROUND(O289*'29_01_H_2020'!$O$17,2)</f>
        <v>537.26</v>
      </c>
      <c r="Q289" s="380">
        <f t="shared" si="143"/>
        <v>2814.7400000000007</v>
      </c>
      <c r="R289" s="152"/>
      <c r="S289" s="328"/>
      <c r="T289" s="328"/>
      <c r="U289" s="328"/>
      <c r="V289" s="328"/>
      <c r="W289" s="328"/>
      <c r="X289" s="328"/>
      <c r="Y289" s="328"/>
      <c r="Z289" s="328"/>
      <c r="AA289" s="328"/>
      <c r="AB289" s="328"/>
      <c r="AC289" s="329"/>
      <c r="AD289" s="152"/>
      <c r="AE289" s="152"/>
      <c r="AF289" s="328"/>
      <c r="AG289" s="328"/>
      <c r="AH289" s="328"/>
      <c r="AI289" s="328"/>
      <c r="AJ289" s="328"/>
      <c r="AK289" s="328"/>
      <c r="AL289" s="328"/>
      <c r="AM289" s="328"/>
      <c r="AN289" s="328"/>
      <c r="AO289" s="328"/>
      <c r="AP289" s="329"/>
      <c r="AQ289" s="152"/>
      <c r="AR289" s="152"/>
      <c r="AS289" s="152"/>
      <c r="AT289" s="152"/>
    </row>
    <row r="290" spans="1:48" s="333" customFormat="1">
      <c r="A290" s="338" t="s">
        <v>320</v>
      </c>
      <c r="B290" s="7">
        <v>13</v>
      </c>
      <c r="C290" s="334" t="s">
        <v>45</v>
      </c>
      <c r="D290" s="258">
        <v>2</v>
      </c>
      <c r="E290" s="258">
        <v>3</v>
      </c>
      <c r="F290" s="263">
        <v>530</v>
      </c>
      <c r="G290" s="90">
        <v>530</v>
      </c>
      <c r="H290" s="90">
        <v>45</v>
      </c>
      <c r="I290" s="359">
        <v>0.6</v>
      </c>
      <c r="J290" s="379">
        <f>ROUND(G290*(1+'29_01_H_2020'!$O$14),2)</f>
        <v>664.57</v>
      </c>
      <c r="K290" s="151">
        <f t="shared" si="139"/>
        <v>11.43</v>
      </c>
      <c r="L290" s="151">
        <f>ROUND(H290*(1+'29_01_H_2020'!$O$14),2)</f>
        <v>56.43</v>
      </c>
      <c r="M290" s="151">
        <f t="shared" si="140"/>
        <v>146</v>
      </c>
      <c r="N290" s="151">
        <f t="shared" si="141"/>
        <v>87.6</v>
      </c>
      <c r="O290" s="151">
        <f t="shared" si="142"/>
        <v>1051.1999999999998</v>
      </c>
      <c r="P290" s="151">
        <f>ROUND(O290*'29_01_H_2020'!$O$17,2)</f>
        <v>247.98</v>
      </c>
      <c r="Q290" s="380">
        <f t="shared" si="143"/>
        <v>1299.1799999999998</v>
      </c>
      <c r="R290" s="152"/>
      <c r="S290" s="328"/>
      <c r="T290" s="328"/>
      <c r="U290" s="328"/>
      <c r="V290" s="328"/>
      <c r="W290" s="328"/>
      <c r="X290" s="328"/>
      <c r="Y290" s="328"/>
      <c r="Z290" s="328"/>
      <c r="AA290" s="328"/>
      <c r="AB290" s="328"/>
      <c r="AC290" s="329"/>
      <c r="AD290" s="152"/>
      <c r="AE290" s="152"/>
      <c r="AF290" s="328"/>
      <c r="AG290" s="328"/>
      <c r="AH290" s="328"/>
      <c r="AI290" s="328"/>
      <c r="AJ290" s="328"/>
      <c r="AK290" s="328"/>
      <c r="AL290" s="328"/>
      <c r="AM290" s="328"/>
      <c r="AN290" s="328"/>
      <c r="AO290" s="328"/>
      <c r="AP290" s="329"/>
      <c r="AQ290" s="152"/>
      <c r="AR290" s="152"/>
      <c r="AS290" s="152"/>
      <c r="AT290" s="152"/>
    </row>
    <row r="291" spans="1:48" s="333" customFormat="1">
      <c r="A291" s="338" t="s">
        <v>320</v>
      </c>
      <c r="B291" s="7">
        <v>13</v>
      </c>
      <c r="C291" s="334" t="s">
        <v>45</v>
      </c>
      <c r="D291" s="258">
        <v>2</v>
      </c>
      <c r="E291" s="258">
        <v>3</v>
      </c>
      <c r="F291" s="263">
        <v>530</v>
      </c>
      <c r="G291" s="90">
        <v>530</v>
      </c>
      <c r="H291" s="90">
        <v>45</v>
      </c>
      <c r="I291" s="359">
        <v>0.6</v>
      </c>
      <c r="J291" s="379">
        <f>ROUND(G291*(1+'29_01_H_2020'!$O$14),2)</f>
        <v>664.57</v>
      </c>
      <c r="K291" s="151">
        <f t="shared" si="139"/>
        <v>11.43</v>
      </c>
      <c r="L291" s="151">
        <f>ROUND(H291*(1+'29_01_H_2020'!$O$14),2)</f>
        <v>56.43</v>
      </c>
      <c r="M291" s="151">
        <f t="shared" si="140"/>
        <v>146</v>
      </c>
      <c r="N291" s="151">
        <f t="shared" si="141"/>
        <v>87.6</v>
      </c>
      <c r="O291" s="151">
        <f t="shared" si="142"/>
        <v>1051.1999999999998</v>
      </c>
      <c r="P291" s="151">
        <f>ROUND(O291*'29_01_H_2020'!$O$17,2)</f>
        <v>247.98</v>
      </c>
      <c r="Q291" s="380">
        <f t="shared" si="143"/>
        <v>1299.1799999999998</v>
      </c>
      <c r="R291" s="152"/>
      <c r="S291" s="328"/>
      <c r="T291" s="328"/>
      <c r="U291" s="328"/>
      <c r="V291" s="328"/>
      <c r="W291" s="328"/>
      <c r="X291" s="328"/>
      <c r="Y291" s="328"/>
      <c r="Z291" s="328"/>
      <c r="AA291" s="328"/>
      <c r="AB291" s="328"/>
      <c r="AC291" s="329"/>
      <c r="AD291" s="152"/>
      <c r="AE291" s="152"/>
      <c r="AF291" s="328"/>
      <c r="AG291" s="328"/>
      <c r="AH291" s="328"/>
      <c r="AI291" s="328"/>
      <c r="AJ291" s="328"/>
      <c r="AK291" s="328"/>
      <c r="AL291" s="328"/>
      <c r="AM291" s="328"/>
      <c r="AN291" s="328"/>
      <c r="AO291" s="328"/>
      <c r="AP291" s="329"/>
      <c r="AQ291" s="152"/>
      <c r="AR291" s="152"/>
      <c r="AS291" s="152"/>
      <c r="AT291" s="152"/>
    </row>
    <row r="292" spans="1:48" s="333" customFormat="1" ht="15.75" thickBot="1">
      <c r="A292" s="338" t="s">
        <v>321</v>
      </c>
      <c r="B292" s="7">
        <v>13</v>
      </c>
      <c r="C292" s="334" t="s">
        <v>45</v>
      </c>
      <c r="D292" s="258">
        <v>2</v>
      </c>
      <c r="E292" s="258">
        <v>3</v>
      </c>
      <c r="F292" s="263">
        <v>530</v>
      </c>
      <c r="G292" s="90">
        <v>510</v>
      </c>
      <c r="H292" s="90">
        <v>42.5</v>
      </c>
      <c r="I292" s="359">
        <v>0.5</v>
      </c>
      <c r="J292" s="379">
        <f>ROUND(G292*(1+'29_01_H_2020'!$O$14),2)</f>
        <v>639.49</v>
      </c>
      <c r="K292" s="151">
        <f t="shared" si="139"/>
        <v>10.79</v>
      </c>
      <c r="L292" s="151">
        <f>ROUND(H292*(1+'29_01_H_2020'!$O$14),2)</f>
        <v>53.29</v>
      </c>
      <c r="M292" s="151">
        <f t="shared" si="140"/>
        <v>140.27999999999997</v>
      </c>
      <c r="N292" s="151">
        <f t="shared" si="141"/>
        <v>70.139999999999986</v>
      </c>
      <c r="O292" s="151">
        <f t="shared" si="142"/>
        <v>841.67999999999984</v>
      </c>
      <c r="P292" s="151">
        <f>ROUND(O292*'29_01_H_2020'!$O$17,2)</f>
        <v>198.55</v>
      </c>
      <c r="Q292" s="380">
        <f t="shared" si="143"/>
        <v>1040.2299999999998</v>
      </c>
      <c r="R292" s="152"/>
      <c r="S292" s="328"/>
      <c r="T292" s="328"/>
      <c r="U292" s="328"/>
      <c r="V292" s="328"/>
      <c r="W292" s="328"/>
      <c r="X292" s="328"/>
      <c r="Y292" s="328"/>
      <c r="Z292" s="328"/>
      <c r="AA292" s="328"/>
      <c r="AB292" s="328"/>
      <c r="AC292" s="329"/>
      <c r="AD292" s="152"/>
      <c r="AE292" s="152"/>
      <c r="AF292" s="328"/>
      <c r="AG292" s="328"/>
      <c r="AH292" s="328"/>
      <c r="AI292" s="328"/>
      <c r="AJ292" s="328"/>
      <c r="AK292" s="328"/>
      <c r="AL292" s="328"/>
      <c r="AM292" s="328"/>
      <c r="AN292" s="328"/>
      <c r="AO292" s="328"/>
      <c r="AP292" s="329"/>
      <c r="AQ292" s="152"/>
      <c r="AR292" s="152"/>
      <c r="AS292" s="152"/>
      <c r="AT292" s="152"/>
    </row>
    <row r="293" spans="1:48" s="333" customFormat="1" ht="15.75" thickBot="1">
      <c r="A293" s="156" t="s">
        <v>55</v>
      </c>
      <c r="B293" s="157" t="s">
        <v>52</v>
      </c>
      <c r="C293" s="157"/>
      <c r="D293" s="157" t="s">
        <v>52</v>
      </c>
      <c r="E293" s="157" t="s">
        <v>52</v>
      </c>
      <c r="F293" s="157" t="s">
        <v>52</v>
      </c>
      <c r="G293" s="157" t="s">
        <v>52</v>
      </c>
      <c r="H293" s="157" t="s">
        <v>52</v>
      </c>
      <c r="I293" s="331">
        <f>SUM(I262,I264:I267,I271:I272,I276:I279,I281:I292)</f>
        <v>21.200000000000003</v>
      </c>
      <c r="J293" s="397"/>
      <c r="K293" s="398"/>
      <c r="L293" s="398"/>
      <c r="M293" s="398"/>
      <c r="N293" s="398"/>
      <c r="O293" s="398"/>
      <c r="P293" s="398"/>
      <c r="Q293" s="419">
        <f>Q274+Q269+Q260</f>
        <v>92203.76999999999</v>
      </c>
      <c r="R293" s="152"/>
      <c r="S293" s="152"/>
      <c r="T293" s="152"/>
      <c r="U293" s="152"/>
      <c r="V293" s="152"/>
      <c r="W293" s="152"/>
      <c r="X293" s="152"/>
      <c r="Y293" s="152"/>
      <c r="Z293" s="152"/>
      <c r="AA293" s="324"/>
      <c r="AB293" s="326"/>
      <c r="AC293" s="152"/>
      <c r="AD293" s="152"/>
      <c r="AE293" s="152"/>
      <c r="AF293" s="152"/>
      <c r="AG293" s="152"/>
      <c r="AH293" s="152"/>
      <c r="AI293" s="152"/>
      <c r="AJ293" s="152"/>
      <c r="AK293" s="152"/>
      <c r="AL293" s="152"/>
      <c r="AM293" s="152"/>
      <c r="AN293" s="324"/>
      <c r="AO293" s="326"/>
      <c r="AP293" s="152"/>
      <c r="AQ293" s="152"/>
      <c r="AR293" s="152"/>
      <c r="AS293" s="152"/>
      <c r="AT293" s="152"/>
      <c r="AU293" s="152"/>
      <c r="AV293" s="152"/>
    </row>
    <row r="294" spans="1:48" s="333" customFormat="1" ht="15.75" thickBot="1">
      <c r="J294" s="394"/>
      <c r="K294" s="395"/>
      <c r="L294" s="395"/>
      <c r="M294" s="395"/>
      <c r="N294" s="395"/>
      <c r="O294" s="395"/>
      <c r="P294" s="395"/>
      <c r="Q294" s="396"/>
      <c r="R294" s="152"/>
      <c r="S294" s="152"/>
      <c r="T294" s="152"/>
      <c r="U294" s="152"/>
      <c r="V294" s="152"/>
      <c r="W294" s="152"/>
      <c r="X294" s="152"/>
      <c r="Y294" s="152"/>
      <c r="Z294" s="152"/>
      <c r="AA294" s="152"/>
      <c r="AB294" s="152"/>
      <c r="AC294" s="152"/>
      <c r="AD294" s="152"/>
      <c r="AE294" s="152"/>
      <c r="AF294" s="152"/>
      <c r="AG294" s="152"/>
      <c r="AH294" s="152"/>
      <c r="AI294" s="152"/>
      <c r="AJ294" s="152"/>
      <c r="AK294" s="152"/>
      <c r="AL294" s="152"/>
      <c r="AM294" s="152"/>
      <c r="AN294" s="152"/>
      <c r="AO294" s="152"/>
      <c r="AP294" s="152"/>
      <c r="AQ294" s="152"/>
      <c r="AR294" s="152"/>
      <c r="AS294" s="152"/>
      <c r="AT294" s="152"/>
      <c r="AU294" s="152"/>
      <c r="AV294" s="152"/>
    </row>
    <row r="295" spans="1:48" s="333" customFormat="1" ht="15.75" thickBot="1">
      <c r="A295" s="1081" t="s">
        <v>342</v>
      </c>
      <c r="B295" s="1082"/>
      <c r="C295" s="1082"/>
      <c r="D295" s="1082"/>
      <c r="E295" s="1082"/>
      <c r="F295" s="1082"/>
      <c r="G295" s="1082"/>
      <c r="H295" s="1082"/>
      <c r="I295" s="1083"/>
      <c r="J295" s="409"/>
      <c r="K295" s="410"/>
      <c r="L295" s="410"/>
      <c r="M295" s="410"/>
      <c r="N295" s="410"/>
      <c r="O295" s="410"/>
      <c r="P295" s="410"/>
      <c r="Q295" s="411"/>
      <c r="R295" s="152"/>
      <c r="S295" s="152"/>
      <c r="T295" s="152"/>
      <c r="U295" s="152"/>
      <c r="V295" s="152"/>
      <c r="W295" s="152"/>
      <c r="X295" s="152"/>
      <c r="Y295" s="152"/>
      <c r="Z295" s="152"/>
      <c r="AA295" s="152"/>
      <c r="AB295" s="152"/>
      <c r="AC295" s="152"/>
      <c r="AD295" s="152"/>
      <c r="AE295" s="152"/>
      <c r="AF295" s="152"/>
      <c r="AG295" s="152"/>
      <c r="AH295" s="152"/>
      <c r="AI295" s="152"/>
      <c r="AJ295" s="152"/>
      <c r="AK295" s="152"/>
      <c r="AL295" s="152"/>
      <c r="AM295" s="152"/>
      <c r="AN295" s="152"/>
      <c r="AO295" s="152"/>
      <c r="AP295" s="152"/>
      <c r="AQ295" s="152"/>
      <c r="AR295" s="152"/>
      <c r="AS295" s="152"/>
      <c r="AT295" s="152"/>
    </row>
    <row r="296" spans="1:48" s="333" customFormat="1" ht="15" customHeight="1">
      <c r="A296" s="1075" t="s">
        <v>343</v>
      </c>
      <c r="B296" s="1076"/>
      <c r="C296" s="1076"/>
      <c r="D296" s="1076"/>
      <c r="E296" s="1076"/>
      <c r="F296" s="1076"/>
      <c r="G296" s="1076"/>
      <c r="H296" s="1076"/>
      <c r="I296" s="1084"/>
      <c r="J296" s="384"/>
      <c r="K296" s="382"/>
      <c r="L296" s="382"/>
      <c r="M296" s="382"/>
      <c r="N296" s="382"/>
      <c r="O296" s="382"/>
      <c r="P296" s="382"/>
      <c r="Q296" s="549">
        <f>SUM(Q298:Q299,Q301:Q319)</f>
        <v>65388.925999999985</v>
      </c>
      <c r="R296" s="152"/>
      <c r="S296" s="152"/>
      <c r="T296" s="152"/>
      <c r="U296" s="152"/>
      <c r="V296" s="152"/>
      <c r="W296" s="152"/>
      <c r="X296" s="152"/>
      <c r="Y296" s="152"/>
      <c r="Z296" s="152"/>
      <c r="AA296" s="152"/>
      <c r="AB296" s="152"/>
      <c r="AC296" s="152"/>
      <c r="AD296" s="152"/>
      <c r="AE296" s="152"/>
      <c r="AF296" s="152"/>
      <c r="AG296" s="152"/>
      <c r="AH296" s="152"/>
      <c r="AI296" s="152"/>
      <c r="AJ296" s="152"/>
      <c r="AK296" s="152"/>
      <c r="AL296" s="152"/>
      <c r="AM296" s="152"/>
      <c r="AN296" s="152"/>
      <c r="AO296" s="152"/>
      <c r="AP296" s="152"/>
      <c r="AQ296" s="152"/>
      <c r="AR296" s="152"/>
      <c r="AS296" s="152"/>
      <c r="AT296" s="152"/>
    </row>
    <row r="297" spans="1:48" s="333" customFormat="1">
      <c r="A297" s="1079" t="s">
        <v>11</v>
      </c>
      <c r="B297" s="1080"/>
      <c r="C297" s="1080"/>
      <c r="D297" s="1080"/>
      <c r="E297" s="1080"/>
      <c r="F297" s="1080"/>
      <c r="G297" s="1080"/>
      <c r="H297" s="1080"/>
      <c r="I297" s="1085"/>
      <c r="J297" s="385"/>
      <c r="K297" s="383"/>
      <c r="L297" s="383"/>
      <c r="M297" s="383"/>
      <c r="N297" s="383"/>
      <c r="O297" s="383"/>
      <c r="P297" s="383"/>
      <c r="Q297" s="386"/>
      <c r="R297" s="152"/>
      <c r="S297" s="152"/>
      <c r="T297" s="152"/>
      <c r="U297" s="152"/>
      <c r="V297" s="152"/>
      <c r="W297" s="152"/>
      <c r="X297" s="152"/>
      <c r="Y297" s="152"/>
      <c r="Z297" s="152"/>
      <c r="AA297" s="152"/>
      <c r="AB297" s="152"/>
      <c r="AC297" s="152"/>
      <c r="AD297" s="152"/>
      <c r="AE297" s="152"/>
      <c r="AF297" s="152"/>
      <c r="AG297" s="152"/>
      <c r="AH297" s="152"/>
      <c r="AI297" s="152"/>
      <c r="AJ297" s="152"/>
      <c r="AK297" s="152"/>
      <c r="AL297" s="152"/>
      <c r="AM297" s="152"/>
      <c r="AN297" s="152"/>
      <c r="AO297" s="152"/>
      <c r="AP297" s="152"/>
      <c r="AQ297" s="152"/>
      <c r="AR297" s="152"/>
      <c r="AS297" s="152"/>
      <c r="AT297" s="152"/>
    </row>
    <row r="298" spans="1:48" s="333" customFormat="1">
      <c r="A298" s="338" t="s">
        <v>25</v>
      </c>
      <c r="B298" s="343" t="s">
        <v>118</v>
      </c>
      <c r="C298" s="334" t="s">
        <v>26</v>
      </c>
      <c r="D298" s="334">
        <v>10</v>
      </c>
      <c r="E298" s="334">
        <v>3</v>
      </c>
      <c r="F298" s="4">
        <v>1287</v>
      </c>
      <c r="G298" s="345">
        <v>1089</v>
      </c>
      <c r="H298" s="345"/>
      <c r="I298" s="344">
        <v>1</v>
      </c>
      <c r="J298" s="379">
        <f>ROUND(G298*(1+'29_01_H_2020'!$O$14),2)</f>
        <v>1365.5</v>
      </c>
      <c r="K298" s="151">
        <f>L298-H298</f>
        <v>0</v>
      </c>
      <c r="L298" s="151">
        <f>ROUND(H298*(1+'29_01_H_2020'!$O$14),2)</f>
        <v>0</v>
      </c>
      <c r="M298" s="151">
        <f>(J298+L298)-(G298+H298)</f>
        <v>276.5</v>
      </c>
      <c r="N298" s="151">
        <f>M298*I298</f>
        <v>276.5</v>
      </c>
      <c r="O298" s="151">
        <f t="shared" ref="O298:O319" si="144">N298*12</f>
        <v>3318</v>
      </c>
      <c r="P298" s="151">
        <f>ROUND(O298*'29_01_H_2020'!$O$17,2)</f>
        <v>782.72</v>
      </c>
      <c r="Q298" s="380">
        <f t="shared" ref="Q298" si="145">SUM(O298:P298)</f>
        <v>4100.72</v>
      </c>
      <c r="R298" s="152"/>
      <c r="S298" s="328"/>
      <c r="T298" s="328"/>
      <c r="U298" s="328"/>
      <c r="V298" s="328"/>
      <c r="W298" s="328"/>
      <c r="X298" s="328"/>
      <c r="Y298" s="328"/>
      <c r="Z298" s="328"/>
      <c r="AA298" s="328"/>
      <c r="AB298" s="328"/>
      <c r="AC298" s="329"/>
      <c r="AD298" s="152"/>
      <c r="AE298" s="152"/>
      <c r="AF298" s="328"/>
      <c r="AG298" s="328"/>
      <c r="AH298" s="328"/>
      <c r="AI298" s="328"/>
      <c r="AJ298" s="328"/>
      <c r="AK298" s="328"/>
      <c r="AL298" s="328"/>
      <c r="AM298" s="328"/>
      <c r="AN298" s="328"/>
      <c r="AO298" s="328"/>
      <c r="AP298" s="329"/>
      <c r="AQ298" s="152"/>
      <c r="AR298" s="152"/>
      <c r="AS298" s="152"/>
      <c r="AT298" s="152"/>
    </row>
    <row r="299" spans="1:48" s="333" customFormat="1">
      <c r="A299" s="338" t="s">
        <v>25</v>
      </c>
      <c r="B299" s="343" t="s">
        <v>118</v>
      </c>
      <c r="C299" s="334" t="s">
        <v>26</v>
      </c>
      <c r="D299" s="334">
        <v>10</v>
      </c>
      <c r="E299" s="334">
        <v>3</v>
      </c>
      <c r="F299" s="4">
        <v>1287</v>
      </c>
      <c r="G299" s="345">
        <v>1287</v>
      </c>
      <c r="H299" s="345">
        <v>128.69999999999999</v>
      </c>
      <c r="I299" s="344">
        <v>0.15</v>
      </c>
      <c r="J299" s="379">
        <f>ROUND(G299*(1+'29_01_H_2020'!$O$14),2)</f>
        <v>1613.77</v>
      </c>
      <c r="K299" s="151">
        <f>L299-H299</f>
        <v>32.680000000000007</v>
      </c>
      <c r="L299" s="151">
        <f>ROUND(H299*(1+'29_01_H_2020'!$O$14),2)</f>
        <v>161.38</v>
      </c>
      <c r="M299" s="151">
        <f>(J299+L299)-(G299+H299)</f>
        <v>359.45000000000005</v>
      </c>
      <c r="N299" s="151">
        <f>M299*I299</f>
        <v>53.917500000000004</v>
      </c>
      <c r="O299" s="151">
        <f t="shared" si="144"/>
        <v>647.01</v>
      </c>
      <c r="P299" s="151">
        <f>ROUND(O299*'29_01_H_2020'!$O$17,2)</f>
        <v>152.63</v>
      </c>
      <c r="Q299" s="380">
        <f t="shared" ref="Q299" si="146">SUM(O299:P299)</f>
        <v>799.64</v>
      </c>
      <c r="R299" s="152"/>
      <c r="S299" s="328"/>
      <c r="T299" s="328"/>
      <c r="U299" s="328"/>
      <c r="V299" s="328"/>
      <c r="W299" s="328"/>
      <c r="X299" s="328"/>
      <c r="Y299" s="328"/>
      <c r="Z299" s="328"/>
      <c r="AA299" s="328"/>
      <c r="AB299" s="328"/>
      <c r="AC299" s="329"/>
      <c r="AD299" s="152"/>
      <c r="AE299" s="152"/>
      <c r="AF299" s="328"/>
      <c r="AG299" s="328"/>
      <c r="AH299" s="328"/>
      <c r="AI299" s="328"/>
      <c r="AJ299" s="328"/>
      <c r="AK299" s="328"/>
      <c r="AL299" s="328"/>
      <c r="AM299" s="328"/>
      <c r="AN299" s="328"/>
      <c r="AO299" s="328"/>
      <c r="AP299" s="329"/>
      <c r="AQ299" s="152"/>
      <c r="AR299" s="152"/>
      <c r="AS299" s="152"/>
      <c r="AT299" s="152"/>
    </row>
    <row r="300" spans="1:48">
      <c r="A300" s="1077" t="s">
        <v>28</v>
      </c>
      <c r="B300" s="1078"/>
      <c r="C300" s="1078"/>
      <c r="D300" s="1078"/>
      <c r="E300" s="1078"/>
      <c r="F300" s="1078"/>
      <c r="G300" s="1078"/>
      <c r="H300" s="1078"/>
      <c r="I300" s="1078"/>
      <c r="J300" s="385"/>
      <c r="K300" s="383"/>
      <c r="L300" s="383"/>
      <c r="M300" s="383"/>
      <c r="N300" s="383"/>
      <c r="O300" s="383"/>
      <c r="P300" s="383"/>
      <c r="Q300" s="386"/>
      <c r="R300" s="152"/>
      <c r="S300" s="152"/>
      <c r="T300" s="152"/>
      <c r="U300" s="152"/>
      <c r="V300" s="152"/>
      <c r="W300" s="152"/>
      <c r="X300" s="152"/>
      <c r="Y300" s="152"/>
      <c r="Z300" s="152"/>
      <c r="AA300" s="152"/>
      <c r="AB300" s="152"/>
      <c r="AC300" s="152"/>
      <c r="AD300" s="152"/>
      <c r="AE300" s="152"/>
      <c r="AF300" s="152"/>
      <c r="AG300" s="152"/>
      <c r="AH300" s="152"/>
      <c r="AI300" s="152"/>
      <c r="AJ300" s="152"/>
      <c r="AK300" s="152"/>
      <c r="AL300" s="152"/>
      <c r="AM300" s="152"/>
      <c r="AN300" s="152"/>
      <c r="AO300" s="152"/>
      <c r="AP300" s="152"/>
      <c r="AQ300" s="152"/>
      <c r="AR300" s="152"/>
      <c r="AS300" s="152"/>
      <c r="AT300" s="152"/>
    </row>
    <row r="301" spans="1:48">
      <c r="A301" s="595" t="s">
        <v>38</v>
      </c>
      <c r="B301" s="7" t="s">
        <v>118</v>
      </c>
      <c r="C301" s="3" t="s">
        <v>344</v>
      </c>
      <c r="D301" s="3">
        <v>8</v>
      </c>
      <c r="E301" s="3">
        <v>3</v>
      </c>
      <c r="F301" s="4">
        <v>1093</v>
      </c>
      <c r="G301" s="183">
        <v>915</v>
      </c>
      <c r="H301" s="183"/>
      <c r="I301" s="344">
        <v>1</v>
      </c>
      <c r="J301" s="379">
        <f>ROUND(G301*(1+'29_01_H_2020'!$O$10),2)</f>
        <v>1147.32</v>
      </c>
      <c r="K301" s="151">
        <f t="shared" ref="K301:K319" si="147">L301-H301</f>
        <v>0</v>
      </c>
      <c r="L301" s="151">
        <f>ROUND(H301*(1+'29_01_H_2020'!$O$10),2)</f>
        <v>0</v>
      </c>
      <c r="M301" s="151">
        <f t="shared" ref="M301:M319" si="148">(J301+L301)-(G301+H301)</f>
        <v>232.31999999999994</v>
      </c>
      <c r="N301" s="151">
        <f t="shared" ref="N301:N319" si="149">M301*I301</f>
        <v>232.31999999999994</v>
      </c>
      <c r="O301" s="151">
        <f t="shared" si="144"/>
        <v>2787.8399999999992</v>
      </c>
      <c r="P301" s="151">
        <f>ROUND(O301*'29_01_H_2020'!$O$17,2)</f>
        <v>657.65</v>
      </c>
      <c r="Q301" s="380">
        <f t="shared" ref="Q301" si="150">SUM(O301:P301)</f>
        <v>3445.4899999999993</v>
      </c>
      <c r="R301" s="152"/>
      <c r="S301" s="328"/>
      <c r="T301" s="328"/>
      <c r="U301" s="328"/>
      <c r="V301" s="328"/>
      <c r="W301" s="328"/>
      <c r="X301" s="328"/>
      <c r="Y301" s="328"/>
      <c r="Z301" s="328"/>
      <c r="AA301" s="328"/>
      <c r="AB301" s="328"/>
      <c r="AC301" s="329"/>
      <c r="AD301" s="152"/>
      <c r="AE301" s="152"/>
      <c r="AF301" s="328"/>
      <c r="AG301" s="328"/>
      <c r="AH301" s="328"/>
      <c r="AI301" s="328"/>
      <c r="AJ301" s="328"/>
      <c r="AK301" s="328"/>
      <c r="AL301" s="328"/>
      <c r="AM301" s="328"/>
      <c r="AN301" s="328"/>
      <c r="AO301" s="328"/>
      <c r="AP301" s="329"/>
      <c r="AQ301" s="152"/>
      <c r="AR301" s="152"/>
      <c r="AS301" s="152"/>
      <c r="AT301" s="152"/>
    </row>
    <row r="302" spans="1:48">
      <c r="A302" s="595" t="s">
        <v>38</v>
      </c>
      <c r="B302" s="7" t="s">
        <v>118</v>
      </c>
      <c r="C302" s="3" t="s">
        <v>344</v>
      </c>
      <c r="D302" s="3">
        <v>8</v>
      </c>
      <c r="E302" s="3">
        <v>3</v>
      </c>
      <c r="F302" s="4">
        <v>1093</v>
      </c>
      <c r="G302" s="183">
        <v>1093</v>
      </c>
      <c r="H302" s="183"/>
      <c r="I302" s="344">
        <v>1.25</v>
      </c>
      <c r="J302" s="379">
        <f>ROUND(G302*(1+'29_01_H_2020'!$O$10),2)</f>
        <v>1370.51</v>
      </c>
      <c r="K302" s="151">
        <f t="shared" si="147"/>
        <v>0</v>
      </c>
      <c r="L302" s="151">
        <f>ROUND(H302*(1+'29_01_H_2020'!$O$10),2)</f>
        <v>0</v>
      </c>
      <c r="M302" s="151">
        <f t="shared" si="148"/>
        <v>277.51</v>
      </c>
      <c r="N302" s="151">
        <f t="shared" si="149"/>
        <v>346.88749999999999</v>
      </c>
      <c r="O302" s="151">
        <f t="shared" si="144"/>
        <v>4162.6499999999996</v>
      </c>
      <c r="P302" s="151">
        <f>ROUND(O302*'29_01_H_2020'!$O$17,2)</f>
        <v>981.97</v>
      </c>
      <c r="Q302" s="380">
        <f t="shared" ref="Q302:Q319" si="151">SUM(O302:P302)</f>
        <v>5144.62</v>
      </c>
      <c r="R302" s="152"/>
      <c r="S302" s="328"/>
      <c r="T302" s="328"/>
      <c r="U302" s="328"/>
      <c r="V302" s="328"/>
      <c r="W302" s="328"/>
      <c r="X302" s="328"/>
      <c r="Y302" s="328"/>
      <c r="Z302" s="328"/>
      <c r="AA302" s="328"/>
      <c r="AB302" s="328"/>
      <c r="AC302" s="329"/>
      <c r="AD302" s="152"/>
      <c r="AE302" s="152"/>
      <c r="AF302" s="328"/>
      <c r="AG302" s="328"/>
      <c r="AH302" s="328"/>
      <c r="AI302" s="328"/>
      <c r="AJ302" s="328"/>
      <c r="AK302" s="328"/>
      <c r="AL302" s="328"/>
      <c r="AM302" s="328"/>
      <c r="AN302" s="328"/>
      <c r="AO302" s="328"/>
      <c r="AP302" s="329"/>
      <c r="AQ302" s="152"/>
      <c r="AR302" s="152"/>
      <c r="AS302" s="152"/>
      <c r="AT302" s="152"/>
    </row>
    <row r="303" spans="1:48">
      <c r="A303" s="595" t="s">
        <v>38</v>
      </c>
      <c r="B303" s="7" t="s">
        <v>118</v>
      </c>
      <c r="C303" s="3" t="s">
        <v>344</v>
      </c>
      <c r="D303" s="3">
        <v>8</v>
      </c>
      <c r="E303" s="3">
        <v>3</v>
      </c>
      <c r="F303" s="4">
        <v>1093</v>
      </c>
      <c r="G303" s="183">
        <v>990</v>
      </c>
      <c r="H303" s="183"/>
      <c r="I303" s="344">
        <v>1</v>
      </c>
      <c r="J303" s="379">
        <f>ROUND(G303*(1+'29_01_H_2020'!$O$10),2)</f>
        <v>1241.3599999999999</v>
      </c>
      <c r="K303" s="151">
        <f t="shared" si="147"/>
        <v>0</v>
      </c>
      <c r="L303" s="151">
        <f>ROUND(H303*(1+'29_01_H_2020'!$O$10),2)</f>
        <v>0</v>
      </c>
      <c r="M303" s="151">
        <f t="shared" si="148"/>
        <v>251.3599999999999</v>
      </c>
      <c r="N303" s="151">
        <f t="shared" si="149"/>
        <v>251.3599999999999</v>
      </c>
      <c r="O303" s="151">
        <f t="shared" si="144"/>
        <v>3016.3199999999988</v>
      </c>
      <c r="P303" s="151">
        <f>ROUND(O303*'29_01_H_2020'!$O$17,2)</f>
        <v>711.55</v>
      </c>
      <c r="Q303" s="380">
        <f t="shared" si="151"/>
        <v>3727.869999999999</v>
      </c>
      <c r="R303" s="152"/>
      <c r="S303" s="328"/>
      <c r="T303" s="328"/>
      <c r="U303" s="328"/>
      <c r="V303" s="328"/>
      <c r="W303" s="328"/>
      <c r="X303" s="328"/>
      <c r="Y303" s="328"/>
      <c r="Z303" s="328"/>
      <c r="AA303" s="328"/>
      <c r="AB303" s="328"/>
      <c r="AC303" s="329"/>
      <c r="AD303" s="152"/>
      <c r="AE303" s="152"/>
      <c r="AF303" s="328"/>
      <c r="AG303" s="328"/>
      <c r="AH303" s="328"/>
      <c r="AI303" s="328"/>
      <c r="AJ303" s="328"/>
      <c r="AK303" s="328"/>
      <c r="AL303" s="328"/>
      <c r="AM303" s="328"/>
      <c r="AN303" s="328"/>
      <c r="AO303" s="328"/>
      <c r="AP303" s="329"/>
      <c r="AQ303" s="152"/>
      <c r="AR303" s="152"/>
      <c r="AS303" s="152"/>
      <c r="AT303" s="152"/>
    </row>
    <row r="304" spans="1:48">
      <c r="A304" s="595" t="s">
        <v>38</v>
      </c>
      <c r="B304" s="7" t="s">
        <v>118</v>
      </c>
      <c r="C304" s="3" t="s">
        <v>344</v>
      </c>
      <c r="D304" s="3">
        <v>8</v>
      </c>
      <c r="E304" s="3">
        <v>3</v>
      </c>
      <c r="F304" s="4">
        <v>1093</v>
      </c>
      <c r="G304" s="183">
        <v>915</v>
      </c>
      <c r="H304" s="183"/>
      <c r="I304" s="344">
        <v>0.5</v>
      </c>
      <c r="J304" s="379">
        <f>ROUND(G304*(1+'29_01_H_2020'!$O$10),2)</f>
        <v>1147.32</v>
      </c>
      <c r="K304" s="151">
        <f t="shared" si="147"/>
        <v>0</v>
      </c>
      <c r="L304" s="151">
        <f>ROUND(H304*(1+'29_01_H_2020'!$O$10),2)</f>
        <v>0</v>
      </c>
      <c r="M304" s="151">
        <f t="shared" si="148"/>
        <v>232.31999999999994</v>
      </c>
      <c r="N304" s="151">
        <f t="shared" si="149"/>
        <v>116.15999999999997</v>
      </c>
      <c r="O304" s="151">
        <f t="shared" si="144"/>
        <v>1393.9199999999996</v>
      </c>
      <c r="P304" s="151">
        <f>ROUND(O304*'29_01_H_2020'!$O$17,2)</f>
        <v>328.83</v>
      </c>
      <c r="Q304" s="380">
        <f t="shared" si="151"/>
        <v>1722.7499999999995</v>
      </c>
      <c r="R304" s="152"/>
      <c r="S304" s="328"/>
      <c r="T304" s="328"/>
      <c r="U304" s="328"/>
      <c r="V304" s="328"/>
      <c r="W304" s="328"/>
      <c r="X304" s="328"/>
      <c r="Y304" s="328"/>
      <c r="Z304" s="328"/>
      <c r="AA304" s="328"/>
      <c r="AB304" s="328"/>
      <c r="AC304" s="329"/>
      <c r="AD304" s="152"/>
      <c r="AE304" s="152"/>
      <c r="AF304" s="328"/>
      <c r="AG304" s="328"/>
      <c r="AH304" s="328"/>
      <c r="AI304" s="328"/>
      <c r="AJ304" s="328"/>
      <c r="AK304" s="328"/>
      <c r="AL304" s="328"/>
      <c r="AM304" s="328"/>
      <c r="AN304" s="328"/>
      <c r="AO304" s="328"/>
      <c r="AP304" s="329"/>
      <c r="AQ304" s="152"/>
      <c r="AR304" s="152"/>
      <c r="AS304" s="152"/>
      <c r="AT304" s="152"/>
    </row>
    <row r="305" spans="1:46">
      <c r="A305" s="595" t="s">
        <v>38</v>
      </c>
      <c r="B305" s="7" t="s">
        <v>146</v>
      </c>
      <c r="C305" s="3" t="s">
        <v>42</v>
      </c>
      <c r="D305" s="3">
        <v>6</v>
      </c>
      <c r="E305" s="3">
        <v>3</v>
      </c>
      <c r="F305" s="4">
        <v>899</v>
      </c>
      <c r="G305" s="183">
        <v>640</v>
      </c>
      <c r="H305" s="183"/>
      <c r="I305" s="344">
        <v>1</v>
      </c>
      <c r="J305" s="379">
        <f>ROUND(G305*(1+'29_01_H_2020'!$O$10),2)</f>
        <v>802.5</v>
      </c>
      <c r="K305" s="151">
        <f t="shared" si="147"/>
        <v>0</v>
      </c>
      <c r="L305" s="151">
        <f>ROUND(H305*(1+'29_01_H_2020'!$O$10),2)</f>
        <v>0</v>
      </c>
      <c r="M305" s="151">
        <f t="shared" si="148"/>
        <v>162.5</v>
      </c>
      <c r="N305" s="151">
        <f t="shared" si="149"/>
        <v>162.5</v>
      </c>
      <c r="O305" s="151">
        <f t="shared" si="144"/>
        <v>1950</v>
      </c>
      <c r="P305" s="151">
        <f>ROUND(O305*'29_01_H_2020'!$O$17,2)</f>
        <v>460.01</v>
      </c>
      <c r="Q305" s="380">
        <f t="shared" si="151"/>
        <v>2410.0100000000002</v>
      </c>
      <c r="R305" s="152"/>
      <c r="S305" s="328"/>
      <c r="T305" s="328"/>
      <c r="U305" s="328"/>
      <c r="V305" s="328"/>
      <c r="W305" s="328"/>
      <c r="X305" s="328"/>
      <c r="Y305" s="328"/>
      <c r="Z305" s="328"/>
      <c r="AA305" s="328"/>
      <c r="AB305" s="328"/>
      <c r="AC305" s="329"/>
      <c r="AD305" s="152"/>
      <c r="AE305" s="152"/>
      <c r="AF305" s="328"/>
      <c r="AG305" s="328"/>
      <c r="AH305" s="328"/>
      <c r="AI305" s="328"/>
      <c r="AJ305" s="328"/>
      <c r="AK305" s="328"/>
      <c r="AL305" s="328"/>
      <c r="AM305" s="328"/>
      <c r="AN305" s="328"/>
      <c r="AO305" s="328"/>
      <c r="AP305" s="329"/>
      <c r="AQ305" s="152"/>
      <c r="AR305" s="152"/>
      <c r="AS305" s="152"/>
      <c r="AT305" s="152"/>
    </row>
    <row r="306" spans="1:46">
      <c r="A306" s="595" t="s">
        <v>345</v>
      </c>
      <c r="B306" s="7" t="s">
        <v>118</v>
      </c>
      <c r="C306" s="3" t="s">
        <v>346</v>
      </c>
      <c r="D306" s="3">
        <v>8</v>
      </c>
      <c r="E306" s="3">
        <v>1</v>
      </c>
      <c r="F306" s="4">
        <v>745</v>
      </c>
      <c r="G306" s="183">
        <v>745</v>
      </c>
      <c r="H306" s="183"/>
      <c r="I306" s="344">
        <v>0.25</v>
      </c>
      <c r="J306" s="379">
        <f>ROUND(G306*(1+'29_01_H_2020'!$O$10),2)</f>
        <v>934.16</v>
      </c>
      <c r="K306" s="151">
        <f t="shared" si="147"/>
        <v>0</v>
      </c>
      <c r="L306" s="151">
        <f>ROUND(H306*(1+'29_01_H_2020'!$O$10),2)</f>
        <v>0</v>
      </c>
      <c r="M306" s="151">
        <f t="shared" si="148"/>
        <v>189.15999999999997</v>
      </c>
      <c r="N306" s="151">
        <f t="shared" si="149"/>
        <v>47.289999999999992</v>
      </c>
      <c r="O306" s="151">
        <f t="shared" si="144"/>
        <v>567.4799999999999</v>
      </c>
      <c r="P306" s="151">
        <f>ROUND(O306*'29_01_H_2020'!$O$17,2)</f>
        <v>133.87</v>
      </c>
      <c r="Q306" s="380">
        <f t="shared" si="151"/>
        <v>701.34999999999991</v>
      </c>
      <c r="R306" s="152"/>
      <c r="S306" s="328"/>
      <c r="T306" s="328"/>
      <c r="U306" s="328"/>
      <c r="V306" s="328"/>
      <c r="W306" s="328"/>
      <c r="X306" s="328"/>
      <c r="Y306" s="328"/>
      <c r="Z306" s="328"/>
      <c r="AA306" s="328"/>
      <c r="AB306" s="328"/>
      <c r="AC306" s="329"/>
      <c r="AD306" s="152"/>
      <c r="AE306" s="152"/>
      <c r="AF306" s="328"/>
      <c r="AG306" s="328"/>
      <c r="AH306" s="328"/>
      <c r="AI306" s="328"/>
      <c r="AJ306" s="328"/>
      <c r="AK306" s="328"/>
      <c r="AL306" s="328"/>
      <c r="AM306" s="328"/>
      <c r="AN306" s="328"/>
      <c r="AO306" s="328"/>
      <c r="AP306" s="329"/>
      <c r="AQ306" s="152"/>
      <c r="AR306" s="152"/>
      <c r="AS306" s="152"/>
      <c r="AT306" s="152"/>
    </row>
    <row r="307" spans="1:46">
      <c r="A307" s="595" t="s">
        <v>269</v>
      </c>
      <c r="B307" s="7" t="s">
        <v>118</v>
      </c>
      <c r="C307" s="3" t="s">
        <v>346</v>
      </c>
      <c r="D307" s="3">
        <v>8</v>
      </c>
      <c r="E307" s="3">
        <v>3</v>
      </c>
      <c r="F307" s="4">
        <v>1093</v>
      </c>
      <c r="G307" s="183">
        <v>1093</v>
      </c>
      <c r="H307" s="183">
        <v>109.3</v>
      </c>
      <c r="I307" s="344">
        <v>0.3</v>
      </c>
      <c r="J307" s="379">
        <f>ROUND(G307*(1+'29_01_H_2020'!$O$10),2)</f>
        <v>1370.51</v>
      </c>
      <c r="K307" s="151">
        <f t="shared" si="147"/>
        <v>27.750000000000014</v>
      </c>
      <c r="L307" s="151">
        <f>ROUND(H307*(1+'29_01_H_2020'!$O$10),2)</f>
        <v>137.05000000000001</v>
      </c>
      <c r="M307" s="151">
        <f t="shared" si="148"/>
        <v>305.26</v>
      </c>
      <c r="N307" s="151">
        <f t="shared" si="149"/>
        <v>91.577999999999989</v>
      </c>
      <c r="O307" s="151">
        <f t="shared" si="144"/>
        <v>1098.9359999999999</v>
      </c>
      <c r="P307" s="151">
        <f>ROUND(O307*'29_01_H_2020'!$O$17,2)</f>
        <v>259.24</v>
      </c>
      <c r="Q307" s="380">
        <f t="shared" si="151"/>
        <v>1358.1759999999999</v>
      </c>
      <c r="R307" s="152"/>
      <c r="S307" s="328"/>
      <c r="T307" s="328"/>
      <c r="U307" s="328"/>
      <c r="V307" s="328"/>
      <c r="W307" s="328"/>
      <c r="X307" s="328"/>
      <c r="Y307" s="328"/>
      <c r="Z307" s="328"/>
      <c r="AA307" s="328"/>
      <c r="AB307" s="328"/>
      <c r="AC307" s="329"/>
      <c r="AD307" s="152"/>
      <c r="AE307" s="152"/>
      <c r="AF307" s="328"/>
      <c r="AG307" s="328"/>
      <c r="AH307" s="328"/>
      <c r="AI307" s="328"/>
      <c r="AJ307" s="328"/>
      <c r="AK307" s="328"/>
      <c r="AL307" s="328"/>
      <c r="AM307" s="328"/>
      <c r="AN307" s="328"/>
      <c r="AO307" s="328"/>
      <c r="AP307" s="329"/>
      <c r="AQ307" s="152"/>
      <c r="AR307" s="152"/>
      <c r="AS307" s="152"/>
      <c r="AT307" s="152"/>
    </row>
    <row r="308" spans="1:46">
      <c r="A308" s="595" t="s">
        <v>226</v>
      </c>
      <c r="B308" s="7" t="s">
        <v>146</v>
      </c>
      <c r="C308" s="3" t="s">
        <v>19</v>
      </c>
      <c r="D308" s="3">
        <v>8</v>
      </c>
      <c r="E308" s="3">
        <v>3</v>
      </c>
      <c r="F308" s="4">
        <v>1093</v>
      </c>
      <c r="G308" s="183">
        <v>974</v>
      </c>
      <c r="H308" s="183">
        <v>97.4</v>
      </c>
      <c r="I308" s="344">
        <v>0.5</v>
      </c>
      <c r="J308" s="379">
        <f>ROUND(G308*(1+'29_01_H_2020'!$O$10),2)</f>
        <v>1221.3</v>
      </c>
      <c r="K308" s="151">
        <f t="shared" si="147"/>
        <v>24.72999999999999</v>
      </c>
      <c r="L308" s="151">
        <f>ROUND(H308*(1+'29_01_H_2020'!$O$10),2)</f>
        <v>122.13</v>
      </c>
      <c r="M308" s="151">
        <f t="shared" si="148"/>
        <v>272.02999999999975</v>
      </c>
      <c r="N308" s="151">
        <f t="shared" si="149"/>
        <v>136.01499999999987</v>
      </c>
      <c r="O308" s="151">
        <f t="shared" si="144"/>
        <v>1632.1799999999985</v>
      </c>
      <c r="P308" s="151">
        <f>ROUND(O308*'29_01_H_2020'!$O$17,2)</f>
        <v>385.03</v>
      </c>
      <c r="Q308" s="380">
        <f t="shared" si="151"/>
        <v>2017.2099999999984</v>
      </c>
      <c r="R308" s="152"/>
      <c r="S308" s="328"/>
      <c r="T308" s="328"/>
      <c r="U308" s="328"/>
      <c r="V308" s="328"/>
      <c r="W308" s="328"/>
      <c r="X308" s="328"/>
      <c r="Y308" s="328"/>
      <c r="Z308" s="328"/>
      <c r="AA308" s="328"/>
      <c r="AB308" s="328"/>
      <c r="AC308" s="329"/>
      <c r="AD308" s="152"/>
      <c r="AE308" s="152"/>
      <c r="AF308" s="328"/>
      <c r="AG308" s="328"/>
      <c r="AH308" s="328"/>
      <c r="AI308" s="328"/>
      <c r="AJ308" s="328"/>
      <c r="AK308" s="328"/>
      <c r="AL308" s="328"/>
      <c r="AM308" s="328"/>
      <c r="AN308" s="328"/>
      <c r="AO308" s="328"/>
      <c r="AP308" s="329"/>
      <c r="AQ308" s="152"/>
      <c r="AR308" s="152"/>
      <c r="AS308" s="152"/>
      <c r="AT308" s="152"/>
    </row>
    <row r="309" spans="1:46">
      <c r="A309" s="595" t="s">
        <v>40</v>
      </c>
      <c r="B309" s="7" t="s">
        <v>146</v>
      </c>
      <c r="C309" s="3" t="s">
        <v>26</v>
      </c>
      <c r="D309" s="3">
        <v>7</v>
      </c>
      <c r="E309" s="3">
        <v>3</v>
      </c>
      <c r="F309" s="4">
        <v>996</v>
      </c>
      <c r="G309" s="183">
        <v>856</v>
      </c>
      <c r="H309" s="183">
        <v>25.68</v>
      </c>
      <c r="I309" s="344">
        <v>3</v>
      </c>
      <c r="J309" s="379">
        <f>ROUND(G309*(1+'29_01_H_2020'!$O$10),2)</f>
        <v>1073.3399999999999</v>
      </c>
      <c r="K309" s="151">
        <f t="shared" si="147"/>
        <v>6.5200000000000031</v>
      </c>
      <c r="L309" s="151">
        <f>ROUND(H309*(1+'29_01_H_2020'!$O$10),2)</f>
        <v>32.200000000000003</v>
      </c>
      <c r="M309" s="151">
        <f t="shared" si="148"/>
        <v>223.86</v>
      </c>
      <c r="N309" s="151">
        <f t="shared" si="149"/>
        <v>671.58</v>
      </c>
      <c r="O309" s="151">
        <f t="shared" si="144"/>
        <v>8058.9600000000009</v>
      </c>
      <c r="P309" s="151">
        <f>ROUND(O309*'29_01_H_2020'!$O$17,2)</f>
        <v>1901.11</v>
      </c>
      <c r="Q309" s="380">
        <f t="shared" si="151"/>
        <v>9960.0700000000015</v>
      </c>
      <c r="R309" s="152"/>
      <c r="S309" s="328"/>
      <c r="T309" s="328"/>
      <c r="U309" s="328"/>
      <c r="V309" s="328"/>
      <c r="W309" s="328"/>
      <c r="X309" s="328"/>
      <c r="Y309" s="328"/>
      <c r="Z309" s="328"/>
      <c r="AA309" s="328"/>
      <c r="AB309" s="328"/>
      <c r="AC309" s="329"/>
      <c r="AD309" s="152"/>
      <c r="AE309" s="152"/>
      <c r="AF309" s="328"/>
      <c r="AG309" s="328"/>
      <c r="AH309" s="328"/>
      <c r="AI309" s="328"/>
      <c r="AJ309" s="328"/>
      <c r="AK309" s="328"/>
      <c r="AL309" s="328"/>
      <c r="AM309" s="328"/>
      <c r="AN309" s="328"/>
      <c r="AO309" s="328"/>
      <c r="AP309" s="329"/>
      <c r="AQ309" s="152"/>
      <c r="AR309" s="152"/>
      <c r="AS309" s="152"/>
      <c r="AT309" s="152"/>
    </row>
    <row r="310" spans="1:46">
      <c r="A310" s="595" t="s">
        <v>40</v>
      </c>
      <c r="B310" s="7" t="s">
        <v>146</v>
      </c>
      <c r="C310" s="3" t="s">
        <v>26</v>
      </c>
      <c r="D310" s="3">
        <v>7</v>
      </c>
      <c r="E310" s="3">
        <v>3</v>
      </c>
      <c r="F310" s="4">
        <v>996</v>
      </c>
      <c r="G310" s="183">
        <v>924</v>
      </c>
      <c r="H310" s="183"/>
      <c r="I310" s="344">
        <v>1.7</v>
      </c>
      <c r="J310" s="379">
        <f>ROUND(G310*(1+'29_01_H_2020'!$O$10),2)</f>
        <v>1158.5999999999999</v>
      </c>
      <c r="K310" s="151">
        <f t="shared" si="147"/>
        <v>0</v>
      </c>
      <c r="L310" s="151">
        <f>ROUND(H310*(1+'29_01_H_2020'!$O$10),2)</f>
        <v>0</v>
      </c>
      <c r="M310" s="151">
        <f t="shared" si="148"/>
        <v>234.59999999999991</v>
      </c>
      <c r="N310" s="151">
        <f t="shared" si="149"/>
        <v>398.81999999999982</v>
      </c>
      <c r="O310" s="151">
        <f t="shared" si="144"/>
        <v>4785.8399999999983</v>
      </c>
      <c r="P310" s="151">
        <f>ROUND(O310*'29_01_H_2020'!$O$17,2)</f>
        <v>1128.98</v>
      </c>
      <c r="Q310" s="380">
        <f t="shared" si="151"/>
        <v>5914.8199999999979</v>
      </c>
      <c r="R310" s="152"/>
      <c r="S310" s="328"/>
      <c r="T310" s="328"/>
      <c r="U310" s="328"/>
      <c r="V310" s="328"/>
      <c r="W310" s="328"/>
      <c r="X310" s="328"/>
      <c r="Y310" s="328"/>
      <c r="Z310" s="328"/>
      <c r="AA310" s="328"/>
      <c r="AB310" s="328"/>
      <c r="AC310" s="329"/>
      <c r="AD310" s="152"/>
      <c r="AE310" s="152"/>
      <c r="AF310" s="328"/>
      <c r="AG310" s="328"/>
      <c r="AH310" s="328"/>
      <c r="AI310" s="328"/>
      <c r="AJ310" s="328"/>
      <c r="AK310" s="328"/>
      <c r="AL310" s="328"/>
      <c r="AM310" s="328"/>
      <c r="AN310" s="328"/>
      <c r="AO310" s="328"/>
      <c r="AP310" s="329"/>
      <c r="AQ310" s="152"/>
      <c r="AR310" s="152"/>
      <c r="AS310" s="152"/>
      <c r="AT310" s="152"/>
    </row>
    <row r="311" spans="1:46">
      <c r="A311" s="595" t="s">
        <v>40</v>
      </c>
      <c r="B311" s="7" t="s">
        <v>146</v>
      </c>
      <c r="C311" s="3" t="s">
        <v>26</v>
      </c>
      <c r="D311" s="3">
        <v>7</v>
      </c>
      <c r="E311" s="3">
        <v>3</v>
      </c>
      <c r="F311" s="4">
        <v>996</v>
      </c>
      <c r="G311" s="183">
        <v>785</v>
      </c>
      <c r="H311" s="183"/>
      <c r="I311" s="344">
        <v>1</v>
      </c>
      <c r="J311" s="379">
        <f>ROUND(G311*(1+'29_01_H_2020'!$O$10),2)</f>
        <v>984.31</v>
      </c>
      <c r="K311" s="151">
        <f t="shared" si="147"/>
        <v>0</v>
      </c>
      <c r="L311" s="151">
        <f>ROUND(H311*(1+'29_01_H_2020'!$O$10),2)</f>
        <v>0</v>
      </c>
      <c r="M311" s="151">
        <f t="shared" si="148"/>
        <v>199.30999999999995</v>
      </c>
      <c r="N311" s="151">
        <f t="shared" si="149"/>
        <v>199.30999999999995</v>
      </c>
      <c r="O311" s="151">
        <f t="shared" si="144"/>
        <v>2391.7199999999993</v>
      </c>
      <c r="P311" s="151">
        <f>ROUND(O311*'29_01_H_2020'!$O$17,2)</f>
        <v>564.21</v>
      </c>
      <c r="Q311" s="380">
        <f t="shared" si="151"/>
        <v>2955.9299999999994</v>
      </c>
      <c r="R311" s="152"/>
      <c r="S311" s="328"/>
      <c r="T311" s="328"/>
      <c r="U311" s="328"/>
      <c r="V311" s="328"/>
      <c r="W311" s="328"/>
      <c r="X311" s="328"/>
      <c r="Y311" s="328"/>
      <c r="Z311" s="328"/>
      <c r="AA311" s="328"/>
      <c r="AB311" s="328"/>
      <c r="AC311" s="329"/>
      <c r="AD311" s="152"/>
      <c r="AE311" s="152"/>
      <c r="AF311" s="328"/>
      <c r="AG311" s="328"/>
      <c r="AH311" s="328"/>
      <c r="AI311" s="328"/>
      <c r="AJ311" s="328"/>
      <c r="AK311" s="328"/>
      <c r="AL311" s="328"/>
      <c r="AM311" s="328"/>
      <c r="AN311" s="328"/>
      <c r="AO311" s="328"/>
      <c r="AP311" s="329"/>
      <c r="AQ311" s="152"/>
      <c r="AR311" s="152"/>
      <c r="AS311" s="152"/>
      <c r="AT311" s="152"/>
    </row>
    <row r="312" spans="1:46">
      <c r="A312" s="595" t="s">
        <v>40</v>
      </c>
      <c r="B312" s="7" t="s">
        <v>146</v>
      </c>
      <c r="C312" s="3" t="s">
        <v>26</v>
      </c>
      <c r="D312" s="3">
        <v>7</v>
      </c>
      <c r="E312" s="3">
        <v>3</v>
      </c>
      <c r="F312" s="4">
        <v>996</v>
      </c>
      <c r="G312" s="183">
        <v>915</v>
      </c>
      <c r="H312" s="183"/>
      <c r="I312" s="344">
        <v>1</v>
      </c>
      <c r="J312" s="379">
        <f>ROUND(G312*(1+'29_01_H_2020'!$O$10),2)</f>
        <v>1147.32</v>
      </c>
      <c r="K312" s="151">
        <f t="shared" si="147"/>
        <v>0</v>
      </c>
      <c r="L312" s="151">
        <f>ROUND(H312*(1+'29_01_H_2020'!$O$10),2)</f>
        <v>0</v>
      </c>
      <c r="M312" s="151">
        <f t="shared" si="148"/>
        <v>232.31999999999994</v>
      </c>
      <c r="N312" s="151">
        <f t="shared" si="149"/>
        <v>232.31999999999994</v>
      </c>
      <c r="O312" s="151">
        <f t="shared" si="144"/>
        <v>2787.8399999999992</v>
      </c>
      <c r="P312" s="151">
        <f>ROUND(O312*'29_01_H_2020'!$O$17,2)</f>
        <v>657.65</v>
      </c>
      <c r="Q312" s="380">
        <f t="shared" si="151"/>
        <v>3445.4899999999993</v>
      </c>
      <c r="R312" s="152"/>
      <c r="S312" s="328"/>
      <c r="T312" s="328"/>
      <c r="U312" s="328"/>
      <c r="V312" s="328"/>
      <c r="W312" s="328"/>
      <c r="X312" s="328"/>
      <c r="Y312" s="328"/>
      <c r="Z312" s="328"/>
      <c r="AA312" s="328"/>
      <c r="AB312" s="328"/>
      <c r="AC312" s="329"/>
      <c r="AD312" s="152"/>
      <c r="AE312" s="152"/>
      <c r="AF312" s="328"/>
      <c r="AG312" s="328"/>
      <c r="AH312" s="328"/>
      <c r="AI312" s="328"/>
      <c r="AJ312" s="328"/>
      <c r="AK312" s="328"/>
      <c r="AL312" s="328"/>
      <c r="AM312" s="328"/>
      <c r="AN312" s="328"/>
      <c r="AO312" s="328"/>
      <c r="AP312" s="329"/>
      <c r="AQ312" s="152"/>
      <c r="AR312" s="152"/>
      <c r="AS312" s="152"/>
      <c r="AT312" s="152"/>
    </row>
    <row r="313" spans="1:46">
      <c r="A313" s="595" t="s">
        <v>40</v>
      </c>
      <c r="B313" s="7" t="s">
        <v>146</v>
      </c>
      <c r="C313" s="3" t="s">
        <v>26</v>
      </c>
      <c r="D313" s="3">
        <v>7</v>
      </c>
      <c r="E313" s="3">
        <v>3</v>
      </c>
      <c r="F313" s="4">
        <v>996</v>
      </c>
      <c r="G313" s="183">
        <v>996</v>
      </c>
      <c r="H313" s="183"/>
      <c r="I313" s="344">
        <v>0.5</v>
      </c>
      <c r="J313" s="379">
        <f>ROUND(G313*(1+'29_01_H_2020'!$O$10),2)</f>
        <v>1248.8800000000001</v>
      </c>
      <c r="K313" s="151">
        <f t="shared" si="147"/>
        <v>0</v>
      </c>
      <c r="L313" s="151">
        <f>ROUND(H313*(1+'29_01_H_2020'!$O$10),2)</f>
        <v>0</v>
      </c>
      <c r="M313" s="151">
        <f t="shared" si="148"/>
        <v>252.88000000000011</v>
      </c>
      <c r="N313" s="151">
        <f t="shared" si="149"/>
        <v>126.44000000000005</v>
      </c>
      <c r="O313" s="151">
        <f t="shared" si="144"/>
        <v>1517.2800000000007</v>
      </c>
      <c r="P313" s="151">
        <f>ROUND(O313*'29_01_H_2020'!$O$17,2)</f>
        <v>357.93</v>
      </c>
      <c r="Q313" s="380">
        <f t="shared" si="151"/>
        <v>1875.2100000000007</v>
      </c>
      <c r="R313" s="152"/>
      <c r="S313" s="328"/>
      <c r="T313" s="328"/>
      <c r="U313" s="328"/>
      <c r="V313" s="328"/>
      <c r="W313" s="328"/>
      <c r="X313" s="328"/>
      <c r="Y313" s="328"/>
      <c r="Z313" s="328"/>
      <c r="AA313" s="328"/>
      <c r="AB313" s="328"/>
      <c r="AC313" s="329"/>
      <c r="AD313" s="152"/>
      <c r="AE313" s="152"/>
      <c r="AF313" s="328"/>
      <c r="AG313" s="328"/>
      <c r="AH313" s="328"/>
      <c r="AI313" s="328"/>
      <c r="AJ313" s="328"/>
      <c r="AK313" s="328"/>
      <c r="AL313" s="328"/>
      <c r="AM313" s="328"/>
      <c r="AN313" s="328"/>
      <c r="AO313" s="328"/>
      <c r="AP313" s="329"/>
      <c r="AQ313" s="152"/>
      <c r="AR313" s="152"/>
      <c r="AS313" s="152"/>
      <c r="AT313" s="152"/>
    </row>
    <row r="314" spans="1:46">
      <c r="A314" s="595" t="s">
        <v>40</v>
      </c>
      <c r="B314" s="7" t="s">
        <v>146</v>
      </c>
      <c r="C314" s="3" t="s">
        <v>26</v>
      </c>
      <c r="D314" s="3">
        <v>7</v>
      </c>
      <c r="E314" s="3">
        <v>3</v>
      </c>
      <c r="F314" s="4">
        <v>996</v>
      </c>
      <c r="G314" s="183">
        <v>919</v>
      </c>
      <c r="H314" s="183"/>
      <c r="I314" s="344">
        <v>0.5</v>
      </c>
      <c r="J314" s="379">
        <f>ROUND(G314*(1+'29_01_H_2020'!$O$10),2)</f>
        <v>1152.33</v>
      </c>
      <c r="K314" s="151">
        <f t="shared" si="147"/>
        <v>0</v>
      </c>
      <c r="L314" s="151">
        <f>ROUND(H314*(1+'29_01_H_2020'!$O$10),2)</f>
        <v>0</v>
      </c>
      <c r="M314" s="151">
        <f t="shared" si="148"/>
        <v>233.32999999999993</v>
      </c>
      <c r="N314" s="151">
        <f t="shared" si="149"/>
        <v>116.66499999999996</v>
      </c>
      <c r="O314" s="151">
        <f t="shared" si="144"/>
        <v>1399.9799999999996</v>
      </c>
      <c r="P314" s="151">
        <f>ROUND(O314*'29_01_H_2020'!$O$17,2)</f>
        <v>330.26</v>
      </c>
      <c r="Q314" s="380">
        <f t="shared" si="151"/>
        <v>1730.2399999999996</v>
      </c>
      <c r="R314" s="152"/>
      <c r="S314" s="328"/>
      <c r="T314" s="328"/>
      <c r="U314" s="328"/>
      <c r="V314" s="328"/>
      <c r="W314" s="328"/>
      <c r="X314" s="328"/>
      <c r="Y314" s="328"/>
      <c r="Z314" s="328"/>
      <c r="AA314" s="328"/>
      <c r="AB314" s="328"/>
      <c r="AC314" s="329"/>
      <c r="AD314" s="152"/>
      <c r="AE314" s="152"/>
      <c r="AF314" s="328"/>
      <c r="AG314" s="328"/>
      <c r="AH314" s="328"/>
      <c r="AI314" s="328"/>
      <c r="AJ314" s="328"/>
      <c r="AK314" s="328"/>
      <c r="AL314" s="328"/>
      <c r="AM314" s="328"/>
      <c r="AN314" s="328"/>
      <c r="AO314" s="328"/>
      <c r="AP314" s="329"/>
      <c r="AQ314" s="152"/>
      <c r="AR314" s="152"/>
      <c r="AS314" s="152"/>
      <c r="AT314" s="152"/>
    </row>
    <row r="315" spans="1:46">
      <c r="A315" s="595" t="s">
        <v>40</v>
      </c>
      <c r="B315" s="7" t="s">
        <v>146</v>
      </c>
      <c r="C315" s="3" t="s">
        <v>26</v>
      </c>
      <c r="D315" s="3">
        <v>7</v>
      </c>
      <c r="E315" s="3">
        <v>3</v>
      </c>
      <c r="F315" s="4">
        <v>996</v>
      </c>
      <c r="G315" s="183">
        <v>835</v>
      </c>
      <c r="H315" s="183"/>
      <c r="I315" s="344">
        <v>1</v>
      </c>
      <c r="J315" s="379">
        <f>ROUND(G315*(1+'29_01_H_2020'!$O$10),2)</f>
        <v>1047.01</v>
      </c>
      <c r="K315" s="151">
        <f t="shared" si="147"/>
        <v>0</v>
      </c>
      <c r="L315" s="151">
        <f>ROUND(H315*(1+'29_01_H_2020'!$O$10),2)</f>
        <v>0</v>
      </c>
      <c r="M315" s="151">
        <f t="shared" si="148"/>
        <v>212.01</v>
      </c>
      <c r="N315" s="151">
        <f t="shared" si="149"/>
        <v>212.01</v>
      </c>
      <c r="O315" s="151">
        <f t="shared" si="144"/>
        <v>2544.12</v>
      </c>
      <c r="P315" s="151">
        <f>ROUND(O315*'29_01_H_2020'!$O$17,2)</f>
        <v>600.16</v>
      </c>
      <c r="Q315" s="380">
        <f t="shared" si="151"/>
        <v>3144.2799999999997</v>
      </c>
      <c r="R315" s="152"/>
      <c r="S315" s="328"/>
      <c r="T315" s="328"/>
      <c r="U315" s="328"/>
      <c r="V315" s="328"/>
      <c r="W315" s="328"/>
      <c r="X315" s="328"/>
      <c r="Y315" s="328"/>
      <c r="Z315" s="328"/>
      <c r="AA315" s="328"/>
      <c r="AB315" s="328"/>
      <c r="AC315" s="329"/>
      <c r="AD315" s="152"/>
      <c r="AE315" s="152"/>
      <c r="AF315" s="328"/>
      <c r="AG315" s="328"/>
      <c r="AH315" s="328"/>
      <c r="AI315" s="328"/>
      <c r="AJ315" s="328"/>
      <c r="AK315" s="328"/>
      <c r="AL315" s="328"/>
      <c r="AM315" s="328"/>
      <c r="AN315" s="328"/>
      <c r="AO315" s="328"/>
      <c r="AP315" s="329"/>
      <c r="AQ315" s="152"/>
      <c r="AR315" s="152"/>
      <c r="AS315" s="152"/>
      <c r="AT315" s="152"/>
    </row>
    <row r="316" spans="1:46">
      <c r="A316" s="595" t="s">
        <v>40</v>
      </c>
      <c r="B316" s="7" t="s">
        <v>146</v>
      </c>
      <c r="C316" s="3" t="s">
        <v>26</v>
      </c>
      <c r="D316" s="3">
        <v>7</v>
      </c>
      <c r="E316" s="3">
        <v>3</v>
      </c>
      <c r="F316" s="4">
        <v>996</v>
      </c>
      <c r="G316" s="183">
        <v>762</v>
      </c>
      <c r="H316" s="183"/>
      <c r="I316" s="344">
        <v>1</v>
      </c>
      <c r="J316" s="379">
        <f>ROUND(G316*(1+'29_01_H_2020'!$O$10),2)</f>
        <v>955.47</v>
      </c>
      <c r="K316" s="151">
        <f t="shared" si="147"/>
        <v>0</v>
      </c>
      <c r="L316" s="151">
        <f>ROUND(H316*(1+'29_01_H_2020'!$O$10),2)</f>
        <v>0</v>
      </c>
      <c r="M316" s="151">
        <f t="shared" si="148"/>
        <v>193.47000000000003</v>
      </c>
      <c r="N316" s="151">
        <f t="shared" si="149"/>
        <v>193.47000000000003</v>
      </c>
      <c r="O316" s="151">
        <f t="shared" si="144"/>
        <v>2321.6400000000003</v>
      </c>
      <c r="P316" s="151">
        <f>ROUND(O316*'29_01_H_2020'!$O$17,2)</f>
        <v>547.66999999999996</v>
      </c>
      <c r="Q316" s="380">
        <f t="shared" si="151"/>
        <v>2869.3100000000004</v>
      </c>
      <c r="R316" s="152"/>
      <c r="S316" s="328"/>
      <c r="T316" s="328"/>
      <c r="U316" s="328"/>
      <c r="V316" s="328"/>
      <c r="W316" s="328"/>
      <c r="X316" s="328"/>
      <c r="Y316" s="328"/>
      <c r="Z316" s="328"/>
      <c r="AA316" s="328"/>
      <c r="AB316" s="328"/>
      <c r="AC316" s="329"/>
      <c r="AD316" s="152"/>
      <c r="AE316" s="152"/>
      <c r="AF316" s="328"/>
      <c r="AG316" s="328"/>
      <c r="AH316" s="328"/>
      <c r="AI316" s="328"/>
      <c r="AJ316" s="328"/>
      <c r="AK316" s="328"/>
      <c r="AL316" s="328"/>
      <c r="AM316" s="328"/>
      <c r="AN316" s="328"/>
      <c r="AO316" s="328"/>
      <c r="AP316" s="329"/>
      <c r="AQ316" s="152"/>
      <c r="AR316" s="152"/>
      <c r="AS316" s="152"/>
      <c r="AT316" s="152"/>
    </row>
    <row r="317" spans="1:46">
      <c r="A317" s="595" t="s">
        <v>40</v>
      </c>
      <c r="B317" s="7" t="s">
        <v>146</v>
      </c>
      <c r="C317" s="3" t="s">
        <v>42</v>
      </c>
      <c r="D317" s="3">
        <v>6</v>
      </c>
      <c r="E317" s="3">
        <v>3</v>
      </c>
      <c r="F317" s="4">
        <v>899</v>
      </c>
      <c r="G317" s="183">
        <v>899</v>
      </c>
      <c r="H317" s="183"/>
      <c r="I317" s="344">
        <v>1</v>
      </c>
      <c r="J317" s="379">
        <f>ROUND(G317*(1+'29_01_H_2020'!$O$10),2)</f>
        <v>1127.26</v>
      </c>
      <c r="K317" s="151">
        <f t="shared" si="147"/>
        <v>0</v>
      </c>
      <c r="L317" s="151">
        <f>ROUND(H317*(1+'29_01_H_2020'!$O$10),2)</f>
        <v>0</v>
      </c>
      <c r="M317" s="151">
        <f t="shared" si="148"/>
        <v>228.26</v>
      </c>
      <c r="N317" s="151">
        <f t="shared" si="149"/>
        <v>228.26</v>
      </c>
      <c r="O317" s="151">
        <f t="shared" si="144"/>
        <v>2739.12</v>
      </c>
      <c r="P317" s="151">
        <f>ROUND(O317*'29_01_H_2020'!$O$17,2)</f>
        <v>646.16</v>
      </c>
      <c r="Q317" s="380">
        <f t="shared" si="151"/>
        <v>3385.2799999999997</v>
      </c>
      <c r="R317" s="152"/>
      <c r="S317" s="328"/>
      <c r="T317" s="328"/>
      <c r="U317" s="328"/>
      <c r="V317" s="328"/>
      <c r="W317" s="328"/>
      <c r="X317" s="328"/>
      <c r="Y317" s="328"/>
      <c r="Z317" s="328"/>
      <c r="AA317" s="328"/>
      <c r="AB317" s="328"/>
      <c r="AC317" s="329"/>
      <c r="AD317" s="152"/>
      <c r="AE317" s="152"/>
      <c r="AF317" s="328"/>
      <c r="AG317" s="328"/>
      <c r="AH317" s="328"/>
      <c r="AI317" s="328"/>
      <c r="AJ317" s="328"/>
      <c r="AK317" s="328"/>
      <c r="AL317" s="328"/>
      <c r="AM317" s="328"/>
      <c r="AN317" s="328"/>
      <c r="AO317" s="328"/>
      <c r="AP317" s="329"/>
      <c r="AQ317" s="152"/>
      <c r="AR317" s="152"/>
      <c r="AS317" s="152"/>
      <c r="AT317" s="152"/>
    </row>
    <row r="318" spans="1:46">
      <c r="A318" s="595" t="s">
        <v>40</v>
      </c>
      <c r="B318" s="7" t="s">
        <v>146</v>
      </c>
      <c r="C318" s="3" t="s">
        <v>42</v>
      </c>
      <c r="D318" s="3">
        <v>6</v>
      </c>
      <c r="E318" s="3">
        <v>2</v>
      </c>
      <c r="F318" s="4">
        <v>740</v>
      </c>
      <c r="G318" s="183">
        <v>660</v>
      </c>
      <c r="H318" s="183"/>
      <c r="I318" s="344">
        <v>1</v>
      </c>
      <c r="J318" s="379">
        <f>ROUND(G318*(1+'29_01_H_2020'!$O$10),2)</f>
        <v>827.57</v>
      </c>
      <c r="K318" s="151">
        <f t="shared" si="147"/>
        <v>0</v>
      </c>
      <c r="L318" s="151">
        <f>ROUND(H318*(1+'29_01_H_2020'!$O$10),2)</f>
        <v>0</v>
      </c>
      <c r="M318" s="151">
        <f t="shared" si="148"/>
        <v>167.57000000000005</v>
      </c>
      <c r="N318" s="151">
        <f t="shared" si="149"/>
        <v>167.57000000000005</v>
      </c>
      <c r="O318" s="151">
        <f t="shared" si="144"/>
        <v>2010.8400000000006</v>
      </c>
      <c r="P318" s="151">
        <f>ROUND(O318*'29_01_H_2020'!$O$17,2)</f>
        <v>474.36</v>
      </c>
      <c r="Q318" s="380">
        <f t="shared" si="151"/>
        <v>2485.2000000000007</v>
      </c>
      <c r="R318" s="152"/>
      <c r="S318" s="328"/>
      <c r="T318" s="328"/>
      <c r="U318" s="328"/>
      <c r="V318" s="328"/>
      <c r="W318" s="328"/>
      <c r="X318" s="328"/>
      <c r="Y318" s="328"/>
      <c r="Z318" s="328"/>
      <c r="AA318" s="328"/>
      <c r="AB318" s="328"/>
      <c r="AC318" s="329"/>
      <c r="AD318" s="152"/>
      <c r="AE318" s="152"/>
      <c r="AF318" s="328"/>
      <c r="AG318" s="328"/>
      <c r="AH318" s="328"/>
      <c r="AI318" s="328"/>
      <c r="AJ318" s="328"/>
      <c r="AK318" s="328"/>
      <c r="AL318" s="328"/>
      <c r="AM318" s="328"/>
      <c r="AN318" s="328"/>
      <c r="AO318" s="328"/>
      <c r="AP318" s="329"/>
      <c r="AQ318" s="152"/>
      <c r="AR318" s="152"/>
      <c r="AS318" s="152"/>
      <c r="AT318" s="152"/>
    </row>
    <row r="319" spans="1:46" ht="15.75" thickBot="1">
      <c r="A319" s="595" t="s">
        <v>40</v>
      </c>
      <c r="B319" s="7" t="s">
        <v>146</v>
      </c>
      <c r="C319" s="3" t="s">
        <v>26</v>
      </c>
      <c r="D319" s="3">
        <v>7</v>
      </c>
      <c r="E319" s="3">
        <v>2</v>
      </c>
      <c r="F319" s="4">
        <v>835</v>
      </c>
      <c r="G319" s="183">
        <v>583</v>
      </c>
      <c r="H319" s="183"/>
      <c r="I319" s="344">
        <v>1</v>
      </c>
      <c r="J319" s="379">
        <f>ROUND(G319*(1+'29_01_H_2020'!$O$10),2)</f>
        <v>731.02</v>
      </c>
      <c r="K319" s="151">
        <f t="shared" si="147"/>
        <v>0</v>
      </c>
      <c r="L319" s="151">
        <f>ROUND(H319*(1+'29_01_H_2020'!$O$10),2)</f>
        <v>0</v>
      </c>
      <c r="M319" s="151">
        <f t="shared" si="148"/>
        <v>148.01999999999998</v>
      </c>
      <c r="N319" s="151">
        <f t="shared" si="149"/>
        <v>148.01999999999998</v>
      </c>
      <c r="O319" s="151">
        <f t="shared" si="144"/>
        <v>1776.2399999999998</v>
      </c>
      <c r="P319" s="151">
        <f>ROUND(O319*'29_01_H_2020'!$O$17,2)</f>
        <v>419.02</v>
      </c>
      <c r="Q319" s="380">
        <f t="shared" si="151"/>
        <v>2195.2599999999998</v>
      </c>
      <c r="R319" s="152"/>
      <c r="S319" s="328"/>
      <c r="T319" s="328"/>
      <c r="U319" s="328"/>
      <c r="V319" s="328"/>
      <c r="W319" s="328"/>
      <c r="X319" s="328"/>
      <c r="Y319" s="328"/>
      <c r="Z319" s="328"/>
      <c r="AA319" s="328"/>
      <c r="AB319" s="328"/>
      <c r="AC319" s="329"/>
      <c r="AD319" s="152"/>
      <c r="AE319" s="152"/>
      <c r="AF319" s="328"/>
      <c r="AG319" s="328"/>
      <c r="AH319" s="328"/>
      <c r="AI319" s="328"/>
      <c r="AJ319" s="328"/>
      <c r="AK319" s="328"/>
      <c r="AL319" s="328"/>
      <c r="AM319" s="328"/>
      <c r="AN319" s="328"/>
      <c r="AO319" s="328"/>
      <c r="AP319" s="329"/>
      <c r="AQ319" s="152"/>
      <c r="AR319" s="152"/>
      <c r="AS319" s="152"/>
      <c r="AT319" s="152"/>
    </row>
    <row r="320" spans="1:46">
      <c r="A320" s="1075" t="s">
        <v>347</v>
      </c>
      <c r="B320" s="1076"/>
      <c r="C320" s="1076"/>
      <c r="D320" s="1076"/>
      <c r="E320" s="1076"/>
      <c r="F320" s="1076"/>
      <c r="G320" s="1076"/>
      <c r="H320" s="1076"/>
      <c r="I320" s="1076"/>
      <c r="J320" s="384"/>
      <c r="K320" s="382"/>
      <c r="L320" s="382"/>
      <c r="M320" s="382"/>
      <c r="N320" s="382"/>
      <c r="O320" s="382"/>
      <c r="P320" s="382"/>
      <c r="Q320" s="549">
        <f>Q322</f>
        <v>1771.2739999999997</v>
      </c>
      <c r="R320" s="152"/>
      <c r="S320" s="152"/>
      <c r="T320" s="152"/>
      <c r="U320" s="152"/>
      <c r="V320" s="152"/>
      <c r="W320" s="152"/>
      <c r="X320" s="152"/>
      <c r="Y320" s="152"/>
      <c r="Z320" s="328"/>
      <c r="AA320" s="152"/>
      <c r="AB320" s="152"/>
      <c r="AC320" s="152"/>
      <c r="AD320" s="152"/>
      <c r="AE320" s="152"/>
      <c r="AF320" s="152"/>
      <c r="AG320" s="152"/>
      <c r="AH320" s="152"/>
      <c r="AI320" s="152"/>
      <c r="AJ320" s="152"/>
      <c r="AK320" s="152"/>
      <c r="AL320" s="152"/>
      <c r="AM320" s="328"/>
      <c r="AN320" s="152"/>
      <c r="AO320" s="152"/>
      <c r="AP320" s="152"/>
      <c r="AQ320" s="152"/>
      <c r="AR320" s="152"/>
      <c r="AS320" s="152"/>
      <c r="AT320" s="152"/>
    </row>
    <row r="321" spans="1:46">
      <c r="A321" s="1077" t="s">
        <v>28</v>
      </c>
      <c r="B321" s="1078"/>
      <c r="C321" s="1078"/>
      <c r="D321" s="1078"/>
      <c r="E321" s="1078"/>
      <c r="F321" s="1078"/>
      <c r="G321" s="1078"/>
      <c r="H321" s="1078"/>
      <c r="I321" s="1078"/>
      <c r="J321" s="385"/>
      <c r="K321" s="383"/>
      <c r="L321" s="383"/>
      <c r="M321" s="383"/>
      <c r="N321" s="383"/>
      <c r="O321" s="383"/>
      <c r="P321" s="383"/>
      <c r="Q321" s="386"/>
      <c r="R321" s="152"/>
      <c r="S321" s="152"/>
      <c r="T321" s="152"/>
      <c r="U321" s="152"/>
      <c r="V321" s="152"/>
      <c r="W321" s="152"/>
      <c r="X321" s="152"/>
      <c r="Y321" s="152"/>
      <c r="Z321" s="152"/>
      <c r="AA321" s="152"/>
      <c r="AB321" s="152"/>
      <c r="AC321" s="152"/>
      <c r="AD321" s="152"/>
      <c r="AE321" s="152"/>
      <c r="AF321" s="152"/>
      <c r="AG321" s="152"/>
      <c r="AH321" s="152"/>
      <c r="AI321" s="152"/>
      <c r="AJ321" s="152"/>
      <c r="AK321" s="152"/>
      <c r="AL321" s="152"/>
      <c r="AM321" s="152"/>
      <c r="AN321" s="152"/>
      <c r="AO321" s="152"/>
      <c r="AP321" s="152"/>
      <c r="AQ321" s="152"/>
      <c r="AR321" s="152"/>
      <c r="AS321" s="152"/>
      <c r="AT321" s="152"/>
    </row>
    <row r="322" spans="1:46" ht="15.75" thickBot="1">
      <c r="A322" s="686" t="s">
        <v>225</v>
      </c>
      <c r="B322" s="184" t="s">
        <v>118</v>
      </c>
      <c r="C322" s="185" t="s">
        <v>344</v>
      </c>
      <c r="D322" s="185" t="s">
        <v>252</v>
      </c>
      <c r="E322" s="185" t="s">
        <v>69</v>
      </c>
      <c r="F322" s="186">
        <v>1093</v>
      </c>
      <c r="G322" s="187">
        <v>980</v>
      </c>
      <c r="H322" s="185">
        <v>196</v>
      </c>
      <c r="I322" s="372">
        <v>0.4</v>
      </c>
      <c r="J322" s="379">
        <f>ROUND(G322*(1+'29_01_H_2020'!$O$10),2)</f>
        <v>1228.82</v>
      </c>
      <c r="K322" s="151">
        <f>L322-H322</f>
        <v>49.759999999999991</v>
      </c>
      <c r="L322" s="151">
        <f>ROUND(H322*(1+'29_01_H_2020'!$O$10),2)</f>
        <v>245.76</v>
      </c>
      <c r="M322" s="151">
        <f>(J322+L322)-(G322+H322)</f>
        <v>298.57999999999993</v>
      </c>
      <c r="N322" s="151">
        <f>M322*I322</f>
        <v>119.43199999999997</v>
      </c>
      <c r="O322" s="151">
        <f t="shared" ref="O322" si="152">N322*12</f>
        <v>1433.1839999999997</v>
      </c>
      <c r="P322" s="151">
        <f>ROUND(O322*'29_01_H_2020'!$O$17,2)</f>
        <v>338.09</v>
      </c>
      <c r="Q322" s="380">
        <f t="shared" ref="Q322" si="153">SUM(O322:P322)</f>
        <v>1771.2739999999997</v>
      </c>
      <c r="R322" s="152"/>
      <c r="S322" s="328"/>
      <c r="T322" s="328"/>
      <c r="U322" s="328"/>
      <c r="V322" s="328"/>
      <c r="W322" s="328"/>
      <c r="X322" s="328"/>
      <c r="Y322" s="328"/>
      <c r="Z322" s="328"/>
      <c r="AA322" s="328"/>
      <c r="AB322" s="328"/>
      <c r="AC322" s="329"/>
      <c r="AD322" s="152"/>
      <c r="AE322" s="152"/>
      <c r="AF322" s="328"/>
      <c r="AG322" s="328"/>
      <c r="AH322" s="328"/>
      <c r="AI322" s="328"/>
      <c r="AJ322" s="328"/>
      <c r="AK322" s="328"/>
      <c r="AL322" s="328"/>
      <c r="AM322" s="328"/>
      <c r="AN322" s="328"/>
      <c r="AO322" s="328"/>
      <c r="AP322" s="329"/>
      <c r="AQ322" s="152"/>
      <c r="AR322" s="152"/>
      <c r="AS322" s="152"/>
      <c r="AT322" s="152"/>
    </row>
    <row r="323" spans="1:46">
      <c r="A323" s="1075" t="s">
        <v>348</v>
      </c>
      <c r="B323" s="1076"/>
      <c r="C323" s="1076"/>
      <c r="D323" s="1076"/>
      <c r="E323" s="1076"/>
      <c r="F323" s="1076"/>
      <c r="G323" s="1076"/>
      <c r="H323" s="1076"/>
      <c r="I323" s="1076"/>
      <c r="J323" s="384"/>
      <c r="K323" s="382"/>
      <c r="L323" s="382"/>
      <c r="M323" s="382"/>
      <c r="N323" s="382"/>
      <c r="O323" s="382"/>
      <c r="P323" s="382"/>
      <c r="Q323" s="549">
        <f>SUM(Q325:Q329,Q331:Q332)</f>
        <v>22284.470000000005</v>
      </c>
      <c r="R323" s="152"/>
      <c r="S323" s="152"/>
      <c r="T323" s="152"/>
      <c r="U323" s="152"/>
      <c r="V323" s="152"/>
      <c r="W323" s="152"/>
      <c r="X323" s="152"/>
      <c r="Y323" s="152"/>
      <c r="Z323" s="152"/>
      <c r="AA323" s="152"/>
      <c r="AB323" s="152"/>
      <c r="AC323" s="152"/>
      <c r="AD323" s="152"/>
      <c r="AE323" s="152"/>
      <c r="AF323" s="152"/>
      <c r="AG323" s="152"/>
      <c r="AH323" s="152"/>
      <c r="AI323" s="152"/>
      <c r="AJ323" s="152"/>
      <c r="AK323" s="152"/>
      <c r="AL323" s="152"/>
      <c r="AM323" s="152"/>
      <c r="AN323" s="152"/>
      <c r="AO323" s="152"/>
      <c r="AP323" s="152"/>
      <c r="AQ323" s="152"/>
      <c r="AR323" s="152"/>
      <c r="AS323" s="152"/>
      <c r="AT323" s="152"/>
    </row>
    <row r="324" spans="1:46">
      <c r="A324" s="1079" t="s">
        <v>11</v>
      </c>
      <c r="B324" s="1080"/>
      <c r="C324" s="1080"/>
      <c r="D324" s="1080"/>
      <c r="E324" s="1080"/>
      <c r="F324" s="1080"/>
      <c r="G324" s="1080"/>
      <c r="H324" s="1080"/>
      <c r="I324" s="1080"/>
      <c r="J324" s="385"/>
      <c r="K324" s="383"/>
      <c r="L324" s="383"/>
      <c r="M324" s="383"/>
      <c r="N324" s="383"/>
      <c r="O324" s="383"/>
      <c r="P324" s="383"/>
      <c r="Q324" s="386"/>
      <c r="R324" s="152"/>
      <c r="S324" s="152"/>
      <c r="T324" s="152"/>
      <c r="U324" s="152"/>
      <c r="V324" s="152"/>
      <c r="W324" s="152"/>
      <c r="X324" s="152"/>
      <c r="Y324" s="152"/>
      <c r="Z324" s="152"/>
      <c r="AA324" s="152"/>
      <c r="AB324" s="152"/>
      <c r="AC324" s="152"/>
      <c r="AD324" s="152"/>
      <c r="AE324" s="152"/>
      <c r="AF324" s="152"/>
      <c r="AG324" s="152"/>
      <c r="AH324" s="152"/>
      <c r="AI324" s="152"/>
      <c r="AJ324" s="152"/>
      <c r="AK324" s="152"/>
      <c r="AL324" s="152"/>
      <c r="AM324" s="152"/>
      <c r="AN324" s="152"/>
      <c r="AO324" s="152"/>
      <c r="AP324" s="152"/>
      <c r="AQ324" s="152"/>
      <c r="AR324" s="152"/>
      <c r="AS324" s="152"/>
      <c r="AT324" s="152"/>
    </row>
    <row r="325" spans="1:46">
      <c r="A325" s="5" t="s">
        <v>25</v>
      </c>
      <c r="B325" s="114" t="s">
        <v>16</v>
      </c>
      <c r="C325" s="3" t="s">
        <v>26</v>
      </c>
      <c r="D325" s="3">
        <v>10</v>
      </c>
      <c r="E325" s="3">
        <v>3</v>
      </c>
      <c r="F325" s="4">
        <v>1287</v>
      </c>
      <c r="G325" s="183">
        <v>1211</v>
      </c>
      <c r="H325" s="183"/>
      <c r="I325" s="344">
        <v>1</v>
      </c>
      <c r="J325" s="379">
        <f>ROUND(G325*(1+'29_01_H_2020'!$O$14),2)</f>
        <v>1518.47</v>
      </c>
      <c r="K325" s="151">
        <f>L325-H325</f>
        <v>0</v>
      </c>
      <c r="L325" s="151">
        <f>ROUND(H325*(1+'29_01_H_2020'!$O$14),2)</f>
        <v>0</v>
      </c>
      <c r="M325" s="151">
        <f>(J325+L325)-(G325+H325)</f>
        <v>307.47000000000003</v>
      </c>
      <c r="N325" s="151">
        <f>M325*I325</f>
        <v>307.47000000000003</v>
      </c>
      <c r="O325" s="151">
        <f t="shared" ref="O325:O332" si="154">N325*12</f>
        <v>3689.6400000000003</v>
      </c>
      <c r="P325" s="151">
        <f>ROUND(O325*'29_01_H_2020'!$O$17,2)</f>
        <v>870.39</v>
      </c>
      <c r="Q325" s="380">
        <f t="shared" ref="Q325" si="155">SUM(O325:P325)</f>
        <v>4560.0300000000007</v>
      </c>
      <c r="R325" s="152"/>
      <c r="S325" s="328"/>
      <c r="T325" s="328"/>
      <c r="U325" s="328"/>
      <c r="V325" s="328"/>
      <c r="W325" s="328"/>
      <c r="X325" s="328"/>
      <c r="Y325" s="328"/>
      <c r="Z325" s="328"/>
      <c r="AA325" s="328"/>
      <c r="AB325" s="328"/>
      <c r="AC325" s="329"/>
      <c r="AD325" s="152"/>
      <c r="AE325" s="152"/>
      <c r="AF325" s="328"/>
      <c r="AG325" s="328"/>
      <c r="AH325" s="328"/>
      <c r="AI325" s="328"/>
      <c r="AJ325" s="328"/>
      <c r="AK325" s="328"/>
      <c r="AL325" s="328"/>
      <c r="AM325" s="328"/>
      <c r="AN325" s="328"/>
      <c r="AO325" s="328"/>
      <c r="AP325" s="329"/>
      <c r="AQ325" s="152"/>
      <c r="AR325" s="152"/>
      <c r="AS325" s="152"/>
      <c r="AT325" s="152"/>
    </row>
    <row r="326" spans="1:46">
      <c r="A326" s="5" t="s">
        <v>25</v>
      </c>
      <c r="B326" s="114" t="s">
        <v>16</v>
      </c>
      <c r="C326" s="3" t="s">
        <v>251</v>
      </c>
      <c r="D326" s="3">
        <v>9</v>
      </c>
      <c r="E326" s="3">
        <v>3</v>
      </c>
      <c r="F326" s="4">
        <v>1190</v>
      </c>
      <c r="G326" s="183">
        <v>1190</v>
      </c>
      <c r="H326" s="183"/>
      <c r="I326" s="344">
        <v>0.4</v>
      </c>
      <c r="J326" s="379">
        <f>ROUND(G326*(1+'29_01_H_2020'!$O$14),2)</f>
        <v>1492.14</v>
      </c>
      <c r="K326" s="151">
        <f>L326-H326</f>
        <v>0</v>
      </c>
      <c r="L326" s="151">
        <f>ROUND(H326*(1+'29_01_H_2020'!$O$14),2)</f>
        <v>0</v>
      </c>
      <c r="M326" s="151">
        <f>(J326+L326)-(G326+H326)</f>
        <v>302.1400000000001</v>
      </c>
      <c r="N326" s="151">
        <f>M326*I326</f>
        <v>120.85600000000005</v>
      </c>
      <c r="O326" s="151">
        <f t="shared" si="154"/>
        <v>1450.2720000000006</v>
      </c>
      <c r="P326" s="151">
        <f>ROUND(O326*'29_01_H_2020'!$O$17,2)</f>
        <v>342.12</v>
      </c>
      <c r="Q326" s="380">
        <f t="shared" ref="Q326:Q329" si="156">SUM(O326:P326)</f>
        <v>1792.3920000000007</v>
      </c>
      <c r="R326" s="152"/>
      <c r="S326" s="328"/>
      <c r="T326" s="328"/>
      <c r="U326" s="328"/>
      <c r="V326" s="328"/>
      <c r="W326" s="328"/>
      <c r="X326" s="328"/>
      <c r="Y326" s="328"/>
      <c r="Z326" s="328"/>
      <c r="AA326" s="328"/>
      <c r="AB326" s="328"/>
      <c r="AC326" s="329"/>
      <c r="AD326" s="152"/>
      <c r="AE326" s="152"/>
      <c r="AF326" s="328"/>
      <c r="AG326" s="328"/>
      <c r="AH326" s="328"/>
      <c r="AI326" s="328"/>
      <c r="AJ326" s="328"/>
      <c r="AK326" s="328"/>
      <c r="AL326" s="328"/>
      <c r="AM326" s="328"/>
      <c r="AN326" s="328"/>
      <c r="AO326" s="328"/>
      <c r="AP326" s="329"/>
      <c r="AQ326" s="152"/>
      <c r="AR326" s="152"/>
      <c r="AS326" s="152"/>
      <c r="AT326" s="152"/>
    </row>
    <row r="327" spans="1:46">
      <c r="A327" s="5" t="s">
        <v>25</v>
      </c>
      <c r="B327" s="114" t="s">
        <v>16</v>
      </c>
      <c r="C327" s="3" t="s">
        <v>251</v>
      </c>
      <c r="D327" s="3">
        <v>9</v>
      </c>
      <c r="E327" s="3">
        <v>2</v>
      </c>
      <c r="F327" s="4">
        <v>1015</v>
      </c>
      <c r="G327" s="183">
        <v>1015</v>
      </c>
      <c r="H327" s="183"/>
      <c r="I327" s="344">
        <v>0.4</v>
      </c>
      <c r="J327" s="379">
        <f>ROUND(G327*(1+'29_01_H_2020'!$O$14),2)</f>
        <v>1272.71</v>
      </c>
      <c r="K327" s="151">
        <f>L327-H327</f>
        <v>0</v>
      </c>
      <c r="L327" s="151">
        <f>ROUND(H327*(1+'29_01_H_2020'!$O$14),2)</f>
        <v>0</v>
      </c>
      <c r="M327" s="151">
        <f>(J327+L327)-(G327+H327)</f>
        <v>257.71000000000004</v>
      </c>
      <c r="N327" s="151">
        <f>M327*I327</f>
        <v>103.08400000000002</v>
      </c>
      <c r="O327" s="151">
        <f t="shared" si="154"/>
        <v>1237.0080000000003</v>
      </c>
      <c r="P327" s="151">
        <f>ROUND(O327*'29_01_H_2020'!$O$17,2)</f>
        <v>291.81</v>
      </c>
      <c r="Q327" s="380">
        <f t="shared" si="156"/>
        <v>1528.8180000000002</v>
      </c>
      <c r="R327" s="152"/>
      <c r="S327" s="328"/>
      <c r="T327" s="328"/>
      <c r="U327" s="328"/>
      <c r="V327" s="328"/>
      <c r="W327" s="328"/>
      <c r="X327" s="328"/>
      <c r="Y327" s="328"/>
      <c r="Z327" s="328"/>
      <c r="AA327" s="328"/>
      <c r="AB327" s="328"/>
      <c r="AC327" s="329"/>
      <c r="AD327" s="152"/>
      <c r="AE327" s="152"/>
      <c r="AF327" s="328"/>
      <c r="AG327" s="328"/>
      <c r="AH327" s="328"/>
      <c r="AI327" s="328"/>
      <c r="AJ327" s="328"/>
      <c r="AK327" s="328"/>
      <c r="AL327" s="328"/>
      <c r="AM327" s="328"/>
      <c r="AN327" s="328"/>
      <c r="AO327" s="328"/>
      <c r="AP327" s="329"/>
      <c r="AQ327" s="152"/>
      <c r="AR327" s="152"/>
      <c r="AS327" s="152"/>
      <c r="AT327" s="152"/>
    </row>
    <row r="328" spans="1:46">
      <c r="A328" s="5" t="s">
        <v>25</v>
      </c>
      <c r="B328" s="114" t="s">
        <v>16</v>
      </c>
      <c r="C328" s="3" t="s">
        <v>251</v>
      </c>
      <c r="D328" s="3">
        <v>9</v>
      </c>
      <c r="E328" s="3">
        <v>3</v>
      </c>
      <c r="F328" s="4">
        <v>1190</v>
      </c>
      <c r="G328" s="183">
        <v>1074</v>
      </c>
      <c r="H328" s="183"/>
      <c r="I328" s="344">
        <v>1</v>
      </c>
      <c r="J328" s="379">
        <f>ROUND(G328*(1+'29_01_H_2020'!$O$14),2)</f>
        <v>1346.69</v>
      </c>
      <c r="K328" s="151">
        <f>L328-H328</f>
        <v>0</v>
      </c>
      <c r="L328" s="151">
        <f>ROUND(H328*(1+'29_01_H_2020'!$O$14),2)</f>
        <v>0</v>
      </c>
      <c r="M328" s="151">
        <f>(J328+L328)-(G328+H328)</f>
        <v>272.69000000000005</v>
      </c>
      <c r="N328" s="151">
        <f>M328*I328</f>
        <v>272.69000000000005</v>
      </c>
      <c r="O328" s="151">
        <f t="shared" si="154"/>
        <v>3272.2800000000007</v>
      </c>
      <c r="P328" s="151">
        <f>ROUND(O328*'29_01_H_2020'!$O$17,2)</f>
        <v>771.93</v>
      </c>
      <c r="Q328" s="380">
        <f t="shared" si="156"/>
        <v>4044.2100000000005</v>
      </c>
      <c r="R328" s="152"/>
      <c r="S328" s="328"/>
      <c r="T328" s="328"/>
      <c r="U328" s="328"/>
      <c r="V328" s="328"/>
      <c r="W328" s="328"/>
      <c r="X328" s="328"/>
      <c r="Y328" s="328"/>
      <c r="Z328" s="328"/>
      <c r="AA328" s="328"/>
      <c r="AB328" s="328"/>
      <c r="AC328" s="329"/>
      <c r="AD328" s="152"/>
      <c r="AE328" s="152"/>
      <c r="AF328" s="328"/>
      <c r="AG328" s="328"/>
      <c r="AH328" s="328"/>
      <c r="AI328" s="328"/>
      <c r="AJ328" s="328"/>
      <c r="AK328" s="328"/>
      <c r="AL328" s="328"/>
      <c r="AM328" s="328"/>
      <c r="AN328" s="328"/>
      <c r="AO328" s="328"/>
      <c r="AP328" s="329"/>
      <c r="AQ328" s="152"/>
      <c r="AR328" s="152"/>
      <c r="AS328" s="152"/>
      <c r="AT328" s="152"/>
    </row>
    <row r="329" spans="1:46">
      <c r="A329" s="5" t="s">
        <v>25</v>
      </c>
      <c r="B329" s="114" t="s">
        <v>16</v>
      </c>
      <c r="C329" s="3" t="s">
        <v>228</v>
      </c>
      <c r="D329" s="3">
        <v>8</v>
      </c>
      <c r="E329" s="3">
        <v>3</v>
      </c>
      <c r="F329" s="4">
        <v>1093</v>
      </c>
      <c r="G329" s="183">
        <v>1025</v>
      </c>
      <c r="H329" s="183"/>
      <c r="I329" s="344">
        <v>1</v>
      </c>
      <c r="J329" s="379">
        <f>ROUND(G329*(1+'29_01_H_2020'!$O$14),2)</f>
        <v>1285.25</v>
      </c>
      <c r="K329" s="151">
        <f>L329-H329</f>
        <v>0</v>
      </c>
      <c r="L329" s="151">
        <f>ROUND(H329*(1+'29_01_H_2020'!$O$14),2)</f>
        <v>0</v>
      </c>
      <c r="M329" s="151">
        <f>(J329+L329)-(G329+H329)</f>
        <v>260.25</v>
      </c>
      <c r="N329" s="151">
        <f>M329*I329</f>
        <v>260.25</v>
      </c>
      <c r="O329" s="151">
        <f t="shared" si="154"/>
        <v>3123</v>
      </c>
      <c r="P329" s="151">
        <f>ROUND(O329*'29_01_H_2020'!$O$17,2)</f>
        <v>736.72</v>
      </c>
      <c r="Q329" s="380">
        <f t="shared" si="156"/>
        <v>3859.7200000000003</v>
      </c>
      <c r="R329" s="152"/>
      <c r="S329" s="328"/>
      <c r="T329" s="328"/>
      <c r="U329" s="328"/>
      <c r="V329" s="328"/>
      <c r="W329" s="328"/>
      <c r="X329" s="328"/>
      <c r="Y329" s="328"/>
      <c r="Z329" s="328"/>
      <c r="AA329" s="328"/>
      <c r="AB329" s="328"/>
      <c r="AC329" s="329"/>
      <c r="AD329" s="152"/>
      <c r="AE329" s="152"/>
      <c r="AF329" s="328"/>
      <c r="AG329" s="328"/>
      <c r="AH329" s="328"/>
      <c r="AI329" s="328"/>
      <c r="AJ329" s="328"/>
      <c r="AK329" s="328"/>
      <c r="AL329" s="328"/>
      <c r="AM329" s="328"/>
      <c r="AN329" s="328"/>
      <c r="AO329" s="328"/>
      <c r="AP329" s="329"/>
      <c r="AQ329" s="152"/>
      <c r="AR329" s="152"/>
      <c r="AS329" s="152"/>
      <c r="AT329" s="152"/>
    </row>
    <row r="330" spans="1:46">
      <c r="A330" s="1077" t="s">
        <v>28</v>
      </c>
      <c r="B330" s="1078"/>
      <c r="C330" s="1078"/>
      <c r="D330" s="1078"/>
      <c r="E330" s="1078"/>
      <c r="F330" s="1078"/>
      <c r="G330" s="1078"/>
      <c r="H330" s="1078"/>
      <c r="I330" s="1078"/>
      <c r="J330" s="385"/>
      <c r="K330" s="383"/>
      <c r="L330" s="383"/>
      <c r="M330" s="383"/>
      <c r="N330" s="383"/>
      <c r="O330" s="383"/>
      <c r="P330" s="383"/>
      <c r="Q330" s="386"/>
      <c r="R330" s="152"/>
      <c r="S330" s="152"/>
      <c r="T330" s="152"/>
      <c r="U330" s="152"/>
      <c r="V330" s="152"/>
      <c r="W330" s="152"/>
      <c r="X330" s="152"/>
      <c r="Y330" s="152"/>
      <c r="Z330" s="152"/>
      <c r="AA330" s="152"/>
      <c r="AB330" s="152"/>
      <c r="AC330" s="152"/>
      <c r="AD330" s="152"/>
      <c r="AE330" s="152"/>
      <c r="AF330" s="152"/>
      <c r="AG330" s="152"/>
      <c r="AH330" s="152"/>
      <c r="AI330" s="152"/>
      <c r="AJ330" s="152"/>
      <c r="AK330" s="152"/>
      <c r="AL330" s="152"/>
      <c r="AM330" s="152"/>
      <c r="AN330" s="152"/>
      <c r="AO330" s="152"/>
      <c r="AP330" s="152"/>
      <c r="AQ330" s="152"/>
      <c r="AR330" s="152"/>
      <c r="AS330" s="152"/>
      <c r="AT330" s="152"/>
    </row>
    <row r="331" spans="1:46">
      <c r="A331" s="188" t="s">
        <v>40</v>
      </c>
      <c r="B331" s="114" t="s">
        <v>23</v>
      </c>
      <c r="C331" s="3" t="s">
        <v>26</v>
      </c>
      <c r="D331" s="3">
        <v>7</v>
      </c>
      <c r="E331" s="3">
        <v>3</v>
      </c>
      <c r="F331" s="4">
        <v>996</v>
      </c>
      <c r="G331" s="183">
        <v>939</v>
      </c>
      <c r="H331" s="183"/>
      <c r="I331" s="344">
        <v>1</v>
      </c>
      <c r="J331" s="379">
        <f>ROUND(G331*(1+'29_01_H_2020'!$O$10),2)</f>
        <v>1177.4100000000001</v>
      </c>
      <c r="K331" s="151">
        <f>L331-H331</f>
        <v>0</v>
      </c>
      <c r="L331" s="151">
        <f>ROUND(H331*(1+'29_01_H_2020'!$O$10),2)</f>
        <v>0</v>
      </c>
      <c r="M331" s="151">
        <f>(J331+L331)-(G331+H331)</f>
        <v>238.41000000000008</v>
      </c>
      <c r="N331" s="151">
        <f>M331*I331</f>
        <v>238.41000000000008</v>
      </c>
      <c r="O331" s="151">
        <f t="shared" si="154"/>
        <v>2860.920000000001</v>
      </c>
      <c r="P331" s="151">
        <f>ROUND(O331*'29_01_H_2020'!$O$17,2)</f>
        <v>674.89</v>
      </c>
      <c r="Q331" s="380">
        <f t="shared" ref="Q331" si="157">SUM(O331:P331)</f>
        <v>3535.8100000000009</v>
      </c>
      <c r="R331" s="152"/>
      <c r="S331" s="328"/>
      <c r="T331" s="328"/>
      <c r="U331" s="328"/>
      <c r="V331" s="328"/>
      <c r="W331" s="328"/>
      <c r="X331" s="328"/>
      <c r="Y331" s="328"/>
      <c r="Z331" s="328"/>
      <c r="AA331" s="328"/>
      <c r="AB331" s="328"/>
      <c r="AC331" s="329"/>
      <c r="AD331" s="152"/>
      <c r="AE331" s="152"/>
      <c r="AF331" s="328"/>
      <c r="AG331" s="328"/>
      <c r="AH331" s="328"/>
      <c r="AI331" s="328"/>
      <c r="AJ331" s="328"/>
      <c r="AK331" s="328"/>
      <c r="AL331" s="328"/>
      <c r="AM331" s="328"/>
      <c r="AN331" s="328"/>
      <c r="AO331" s="328"/>
      <c r="AP331" s="329"/>
      <c r="AQ331" s="152"/>
      <c r="AR331" s="152"/>
      <c r="AS331" s="152"/>
      <c r="AT331" s="152"/>
    </row>
    <row r="332" spans="1:46" ht="15.75" thickBot="1">
      <c r="A332" s="687" t="s">
        <v>40</v>
      </c>
      <c r="B332" s="189" t="s">
        <v>23</v>
      </c>
      <c r="C332" s="185" t="s">
        <v>26</v>
      </c>
      <c r="D332" s="185">
        <v>7</v>
      </c>
      <c r="E332" s="185">
        <v>3</v>
      </c>
      <c r="F332" s="186">
        <v>996</v>
      </c>
      <c r="G332" s="187">
        <v>787</v>
      </c>
      <c r="H332" s="187"/>
      <c r="I332" s="372">
        <v>1</v>
      </c>
      <c r="J332" s="379">
        <f>ROUND(G332*(1+'29_01_H_2020'!$O$10),2)</f>
        <v>986.82</v>
      </c>
      <c r="K332" s="387">
        <f>L332-H332</f>
        <v>0</v>
      </c>
      <c r="L332" s="151">
        <f>ROUND(H332*(1+'29_01_H_2020'!$O$10),2)</f>
        <v>0</v>
      </c>
      <c r="M332" s="387">
        <f>(J332+L332)-(G332+H332)</f>
        <v>199.82000000000005</v>
      </c>
      <c r="N332" s="387">
        <f>M332*I332</f>
        <v>199.82000000000005</v>
      </c>
      <c r="O332" s="387">
        <f t="shared" si="154"/>
        <v>2397.8400000000006</v>
      </c>
      <c r="P332" s="151">
        <f>ROUND(O332*'29_01_H_2020'!$O$17,2)</f>
        <v>565.65</v>
      </c>
      <c r="Q332" s="388">
        <f t="shared" ref="Q332" si="158">SUM(O332:P332)</f>
        <v>2963.4900000000007</v>
      </c>
      <c r="R332" s="152"/>
      <c r="S332" s="328"/>
      <c r="T332" s="328"/>
      <c r="U332" s="328"/>
      <c r="V332" s="328"/>
      <c r="W332" s="328"/>
      <c r="X332" s="328"/>
      <c r="Y332" s="328"/>
      <c r="Z332" s="328"/>
      <c r="AA332" s="328"/>
      <c r="AB332" s="328"/>
      <c r="AC332" s="329"/>
      <c r="AD332" s="152"/>
      <c r="AE332" s="152"/>
      <c r="AF332" s="328"/>
      <c r="AG332" s="328"/>
      <c r="AH332" s="328"/>
      <c r="AI332" s="328"/>
      <c r="AJ332" s="328"/>
      <c r="AK332" s="328"/>
      <c r="AL332" s="328"/>
      <c r="AM332" s="328"/>
      <c r="AN332" s="328"/>
      <c r="AO332" s="328"/>
      <c r="AP332" s="329"/>
      <c r="AQ332" s="152"/>
      <c r="AR332" s="152"/>
      <c r="AS332" s="152"/>
      <c r="AT332" s="152"/>
    </row>
    <row r="333" spans="1:46" ht="15.75" thickBot="1">
      <c r="A333" s="156" t="s">
        <v>55</v>
      </c>
      <c r="B333" s="157" t="s">
        <v>52</v>
      </c>
      <c r="C333" s="157" t="s">
        <v>52</v>
      </c>
      <c r="D333" s="157" t="s">
        <v>52</v>
      </c>
      <c r="E333" s="157" t="s">
        <v>52</v>
      </c>
      <c r="F333" s="157" t="s">
        <v>52</v>
      </c>
      <c r="G333" s="157" t="s">
        <v>52</v>
      </c>
      <c r="H333" s="157" t="s">
        <v>52</v>
      </c>
      <c r="I333" s="331">
        <f>SUM(I298:I299,I301:I319,I322,I325:I329,I331:I332)</f>
        <v>25.849999999999994</v>
      </c>
      <c r="J333" s="389"/>
      <c r="K333" s="390"/>
      <c r="L333" s="390"/>
      <c r="M333" s="390"/>
      <c r="N333" s="390"/>
      <c r="O333" s="390"/>
      <c r="P333" s="390"/>
      <c r="Q333" s="419">
        <f>SUM(Q298:Q299,Q301:Q319,Q322,Q325:Q329,Q331:Q332)</f>
        <v>89444.67</v>
      </c>
      <c r="R333" s="152"/>
      <c r="S333" s="328"/>
      <c r="T333" s="152"/>
      <c r="U333" s="152"/>
      <c r="V333" s="152"/>
      <c r="W333" s="152"/>
      <c r="X333" s="152"/>
      <c r="Y333" s="152"/>
      <c r="Z333" s="328"/>
      <c r="AA333" s="152"/>
      <c r="AB333" s="152"/>
      <c r="AC333" s="152"/>
      <c r="AD333" s="152"/>
      <c r="AE333" s="152"/>
      <c r="AF333" s="152"/>
      <c r="AG333" s="152"/>
      <c r="AH333" s="152"/>
      <c r="AI333" s="152"/>
      <c r="AJ333" s="152"/>
      <c r="AK333" s="152"/>
      <c r="AL333" s="152"/>
      <c r="AM333" s="328"/>
      <c r="AN333" s="152"/>
      <c r="AO333" s="152"/>
      <c r="AP333" s="152"/>
      <c r="AQ333" s="152"/>
      <c r="AR333" s="152"/>
      <c r="AS333" s="152"/>
      <c r="AT333" s="152"/>
    </row>
    <row r="334" spans="1:46">
      <c r="P334" s="147"/>
      <c r="Q334" s="228"/>
      <c r="R334" s="152"/>
      <c r="S334" s="152"/>
      <c r="T334" s="152"/>
      <c r="U334" s="152"/>
      <c r="V334" s="152"/>
      <c r="W334" s="152"/>
      <c r="X334" s="152"/>
      <c r="Y334" s="152"/>
      <c r="Z334" s="325"/>
      <c r="AA334" s="325"/>
      <c r="AB334" s="325"/>
      <c r="AC334" s="152"/>
      <c r="AD334" s="152"/>
      <c r="AE334" s="152"/>
      <c r="AF334" s="152"/>
      <c r="AG334" s="152"/>
      <c r="AH334" s="152"/>
      <c r="AI334" s="152"/>
      <c r="AJ334" s="152"/>
      <c r="AK334" s="152"/>
      <c r="AL334" s="152"/>
      <c r="AM334" s="325"/>
      <c r="AN334" s="325"/>
      <c r="AO334" s="325"/>
      <c r="AP334" s="152"/>
      <c r="AQ334" s="152"/>
      <c r="AR334" s="152"/>
      <c r="AS334" s="152"/>
      <c r="AT334" s="152"/>
    </row>
    <row r="335" spans="1:46">
      <c r="P335" s="147"/>
      <c r="Q335" s="227"/>
      <c r="R335" s="152"/>
      <c r="S335" s="152"/>
      <c r="T335" s="152"/>
      <c r="U335" s="152"/>
      <c r="V335" s="152"/>
      <c r="W335" s="152"/>
      <c r="X335" s="152"/>
      <c r="Y335" s="152"/>
      <c r="Z335" s="152"/>
      <c r="AA335" s="324"/>
      <c r="AB335" s="326"/>
      <c r="AC335" s="152"/>
      <c r="AD335" s="152"/>
      <c r="AE335" s="152"/>
      <c r="AF335" s="152"/>
      <c r="AG335" s="152"/>
      <c r="AH335" s="152"/>
      <c r="AI335" s="152"/>
      <c r="AJ335" s="152"/>
      <c r="AK335" s="152"/>
      <c r="AL335" s="152"/>
      <c r="AM335" s="152"/>
      <c r="AN335" s="324"/>
      <c r="AO335" s="326"/>
      <c r="AP335" s="152"/>
      <c r="AQ335" s="152"/>
      <c r="AR335" s="152"/>
      <c r="AS335" s="152"/>
      <c r="AT335" s="152"/>
    </row>
    <row r="336" spans="1:46">
      <c r="R336" s="152"/>
      <c r="S336" s="152"/>
      <c r="T336" s="152"/>
      <c r="U336" s="152"/>
      <c r="V336" s="152"/>
      <c r="W336" s="152"/>
      <c r="X336" s="152"/>
      <c r="Y336" s="152"/>
      <c r="Z336" s="152"/>
      <c r="AA336" s="152"/>
      <c r="AB336" s="152"/>
      <c r="AC336" s="152"/>
      <c r="AD336" s="152"/>
      <c r="AE336" s="152"/>
      <c r="AF336" s="152"/>
      <c r="AG336" s="152"/>
      <c r="AH336" s="152"/>
      <c r="AI336" s="152"/>
      <c r="AJ336" s="152"/>
      <c r="AK336" s="152"/>
      <c r="AL336" s="152"/>
      <c r="AM336" s="152"/>
      <c r="AN336" s="152"/>
      <c r="AO336" s="152"/>
      <c r="AP336" s="152"/>
      <c r="AQ336" s="152"/>
      <c r="AR336" s="152"/>
      <c r="AS336" s="152"/>
      <c r="AT336" s="152"/>
    </row>
    <row r="337" spans="10:46" ht="15" customHeight="1">
      <c r="J337" s="147"/>
      <c r="K337" s="355"/>
      <c r="L337" s="356"/>
      <c r="M337" s="356"/>
      <c r="N337" s="356"/>
      <c r="O337" s="356"/>
      <c r="P337" s="356"/>
      <c r="Q337" s="228"/>
      <c r="R337" s="152"/>
      <c r="S337" s="152"/>
      <c r="T337" s="357"/>
      <c r="U337" s="217"/>
      <c r="V337" s="217"/>
      <c r="W337" s="217"/>
      <c r="X337" s="217"/>
      <c r="Y337" s="217"/>
      <c r="Z337" s="325"/>
      <c r="AA337" s="325"/>
      <c r="AB337" s="325"/>
      <c r="AC337" s="152"/>
      <c r="AD337" s="152"/>
      <c r="AE337" s="152"/>
      <c r="AF337" s="152"/>
      <c r="AG337" s="357"/>
      <c r="AH337" s="217"/>
      <c r="AI337" s="217"/>
      <c r="AJ337" s="217"/>
      <c r="AK337" s="217"/>
      <c r="AL337" s="217"/>
      <c r="AM337" s="325"/>
      <c r="AN337" s="325"/>
      <c r="AO337" s="325"/>
      <c r="AP337" s="152"/>
      <c r="AQ337" s="152"/>
      <c r="AR337" s="152"/>
      <c r="AS337" s="152"/>
      <c r="AT337" s="152"/>
    </row>
    <row r="338" spans="10:46">
      <c r="J338" s="147"/>
      <c r="K338" s="356"/>
      <c r="L338" s="356"/>
      <c r="M338" s="356"/>
      <c r="N338" s="356"/>
      <c r="O338" s="356"/>
      <c r="P338" s="356"/>
      <c r="Q338" s="228"/>
      <c r="R338" s="152"/>
      <c r="S338" s="152"/>
      <c r="T338" s="217"/>
      <c r="U338" s="217"/>
      <c r="V338" s="217"/>
      <c r="W338" s="217"/>
      <c r="X338" s="217"/>
      <c r="Y338" s="217"/>
      <c r="Z338" s="324"/>
      <c r="AA338" s="324"/>
      <c r="AB338" s="326"/>
      <c r="AC338" s="152"/>
      <c r="AD338" s="152"/>
      <c r="AE338" s="152"/>
      <c r="AF338" s="152"/>
      <c r="AG338" s="217"/>
      <c r="AH338" s="217"/>
      <c r="AI338" s="217"/>
      <c r="AJ338" s="217"/>
      <c r="AK338" s="217"/>
      <c r="AL338" s="217"/>
      <c r="AM338" s="324"/>
      <c r="AN338" s="324"/>
      <c r="AO338" s="326"/>
      <c r="AP338" s="152"/>
      <c r="AQ338" s="152"/>
      <c r="AR338" s="152"/>
      <c r="AS338" s="152"/>
      <c r="AT338" s="152"/>
    </row>
    <row r="339" spans="10:46">
      <c r="J339" s="147"/>
      <c r="K339" s="147"/>
      <c r="L339" s="147"/>
      <c r="M339" s="147"/>
      <c r="N339" s="147"/>
      <c r="O339" s="147"/>
      <c r="P339" s="147"/>
      <c r="Q339" s="147"/>
      <c r="R339" s="152"/>
      <c r="S339" s="152"/>
      <c r="T339" s="152"/>
      <c r="U339" s="152"/>
      <c r="V339" s="152"/>
      <c r="W339" s="152"/>
      <c r="X339" s="152"/>
      <c r="Y339" s="152"/>
      <c r="Z339" s="152"/>
      <c r="AA339" s="152"/>
      <c r="AB339" s="152"/>
      <c r="AC339" s="152"/>
      <c r="AD339" s="152"/>
      <c r="AE339" s="152"/>
      <c r="AF339" s="152"/>
      <c r="AG339" s="152"/>
      <c r="AH339" s="152"/>
      <c r="AI339" s="152"/>
      <c r="AJ339" s="152"/>
      <c r="AK339" s="152"/>
      <c r="AL339" s="152"/>
      <c r="AM339" s="152"/>
      <c r="AN339" s="152"/>
      <c r="AO339" s="152"/>
      <c r="AP339" s="152"/>
      <c r="AQ339" s="152"/>
      <c r="AR339" s="152"/>
      <c r="AS339" s="152"/>
      <c r="AT339" s="152"/>
    </row>
    <row r="340" spans="10:46" ht="15" customHeight="1">
      <c r="J340" s="355"/>
      <c r="K340" s="355"/>
      <c r="L340" s="355"/>
      <c r="M340" s="355"/>
      <c r="N340" s="355"/>
      <c r="O340" s="355"/>
      <c r="P340" s="355"/>
      <c r="Q340" s="228"/>
      <c r="R340" s="152"/>
      <c r="S340" s="152"/>
      <c r="T340" s="357"/>
      <c r="U340" s="217"/>
      <c r="V340" s="217"/>
      <c r="W340" s="217"/>
      <c r="X340" s="217"/>
      <c r="Y340" s="217"/>
      <c r="Z340" s="325"/>
      <c r="AA340" s="325"/>
      <c r="AB340" s="325"/>
      <c r="AC340" s="152"/>
      <c r="AD340" s="152"/>
      <c r="AE340" s="152"/>
      <c r="AF340" s="152"/>
      <c r="AG340" s="357"/>
      <c r="AH340" s="217"/>
      <c r="AI340" s="217"/>
      <c r="AJ340" s="217"/>
      <c r="AK340" s="217"/>
      <c r="AL340" s="217"/>
      <c r="AM340" s="325"/>
      <c r="AN340" s="325"/>
      <c r="AO340" s="325"/>
      <c r="AP340" s="152"/>
      <c r="AQ340" s="152"/>
      <c r="AR340" s="152"/>
      <c r="AS340" s="152"/>
      <c r="AT340" s="152"/>
    </row>
    <row r="341" spans="10:46">
      <c r="J341" s="355"/>
      <c r="K341" s="355"/>
      <c r="L341" s="355"/>
      <c r="M341" s="355"/>
      <c r="N341" s="355"/>
      <c r="O341" s="355"/>
      <c r="P341" s="355"/>
      <c r="Q341" s="227"/>
      <c r="R341" s="152"/>
      <c r="S341" s="152"/>
      <c r="T341" s="217"/>
      <c r="U341" s="217"/>
      <c r="V341" s="217"/>
      <c r="W341" s="217"/>
      <c r="X341" s="217"/>
      <c r="Y341" s="217"/>
      <c r="Z341" s="324"/>
      <c r="AA341" s="324"/>
      <c r="AB341" s="326"/>
      <c r="AC341" s="152"/>
      <c r="AD341" s="152"/>
      <c r="AE341" s="152"/>
      <c r="AF341" s="152"/>
      <c r="AG341" s="217"/>
      <c r="AH341" s="217"/>
      <c r="AI341" s="217"/>
      <c r="AJ341" s="217"/>
      <c r="AK341" s="217"/>
      <c r="AL341" s="217"/>
      <c r="AM341" s="324"/>
      <c r="AN341" s="324"/>
      <c r="AO341" s="326"/>
      <c r="AP341" s="152"/>
      <c r="AQ341" s="152"/>
      <c r="AR341" s="152"/>
      <c r="AS341" s="152"/>
      <c r="AT341" s="152"/>
    </row>
    <row r="342" spans="10:46">
      <c r="J342" s="147"/>
      <c r="K342" s="147"/>
      <c r="L342" s="147"/>
      <c r="M342" s="147"/>
      <c r="N342" s="147"/>
      <c r="O342" s="147"/>
      <c r="P342" s="147"/>
      <c r="Q342" s="147"/>
      <c r="R342" s="152"/>
      <c r="S342" s="152"/>
      <c r="T342" s="152"/>
      <c r="U342" s="152"/>
      <c r="V342" s="152"/>
      <c r="W342" s="152"/>
      <c r="X342" s="152"/>
      <c r="Y342" s="152"/>
      <c r="Z342" s="152"/>
      <c r="AA342" s="152"/>
      <c r="AB342" s="152"/>
      <c r="AC342" s="152"/>
      <c r="AD342" s="152"/>
      <c r="AE342" s="152"/>
      <c r="AF342" s="152"/>
      <c r="AG342" s="152"/>
      <c r="AH342" s="152"/>
      <c r="AI342" s="152"/>
      <c r="AJ342" s="152"/>
      <c r="AK342" s="152"/>
      <c r="AL342" s="152"/>
      <c r="AM342" s="152"/>
      <c r="AN342" s="152"/>
      <c r="AO342" s="152"/>
      <c r="AP342" s="152"/>
      <c r="AQ342" s="152"/>
      <c r="AR342" s="152"/>
      <c r="AS342" s="152"/>
      <c r="AT342" s="152"/>
    </row>
    <row r="343" spans="10:46">
      <c r="J343" s="147"/>
      <c r="K343" s="147"/>
      <c r="L343" s="147"/>
      <c r="M343" s="147"/>
      <c r="N343" s="147"/>
      <c r="O343" s="147"/>
      <c r="P343" s="147"/>
      <c r="Q343" s="147"/>
      <c r="R343" s="152"/>
      <c r="S343" s="152"/>
      <c r="T343" s="152"/>
      <c r="U343" s="152"/>
      <c r="V343" s="152"/>
      <c r="W343" s="152"/>
      <c r="X343" s="152"/>
      <c r="Y343" s="152"/>
      <c r="Z343" s="152"/>
      <c r="AA343" s="152"/>
      <c r="AB343" s="152"/>
      <c r="AC343" s="152"/>
      <c r="AD343" s="152"/>
      <c r="AE343" s="152"/>
      <c r="AF343" s="152"/>
      <c r="AG343" s="152"/>
      <c r="AH343" s="152"/>
      <c r="AI343" s="152"/>
      <c r="AJ343" s="152"/>
      <c r="AK343" s="152"/>
      <c r="AL343" s="152"/>
      <c r="AM343" s="152"/>
      <c r="AN343" s="152"/>
      <c r="AO343" s="152"/>
      <c r="AP343" s="152"/>
      <c r="AQ343" s="152"/>
      <c r="AR343" s="152"/>
      <c r="AS343" s="152"/>
      <c r="AT343" s="152"/>
    </row>
    <row r="344" spans="10:46">
      <c r="J344" s="147"/>
      <c r="K344" s="147"/>
      <c r="L344" s="147"/>
      <c r="M344" s="147"/>
      <c r="N344" s="147"/>
      <c r="O344" s="147"/>
      <c r="P344" s="147"/>
      <c r="Q344" s="147"/>
      <c r="R344" s="152"/>
      <c r="S344" s="152"/>
      <c r="T344" s="152"/>
      <c r="U344" s="152"/>
      <c r="V344" s="152"/>
      <c r="W344" s="152"/>
      <c r="X344" s="152"/>
      <c r="Y344" s="152"/>
      <c r="Z344" s="152"/>
      <c r="AA344" s="152"/>
      <c r="AB344" s="152"/>
      <c r="AC344" s="152"/>
      <c r="AD344" s="152"/>
      <c r="AE344" s="152"/>
      <c r="AF344" s="152"/>
      <c r="AG344" s="152"/>
      <c r="AH344" s="152"/>
      <c r="AI344" s="152"/>
      <c r="AJ344" s="152"/>
      <c r="AK344" s="152"/>
      <c r="AL344" s="152"/>
      <c r="AM344" s="152"/>
      <c r="AN344" s="152"/>
      <c r="AO344" s="152"/>
      <c r="AP344" s="152"/>
      <c r="AQ344" s="152"/>
      <c r="AR344" s="152"/>
      <c r="AS344" s="152"/>
      <c r="AT344" s="152"/>
    </row>
    <row r="345" spans="10:46" ht="15" customHeight="1">
      <c r="J345" s="358"/>
      <c r="K345" s="358"/>
      <c r="L345" s="358"/>
      <c r="M345" s="358"/>
      <c r="N345" s="358"/>
      <c r="O345" s="358"/>
      <c r="P345" s="358"/>
      <c r="Q345" s="228"/>
      <c r="R345" s="152"/>
      <c r="S345" s="152"/>
      <c r="T345" s="357"/>
      <c r="U345" s="217"/>
      <c r="V345" s="217"/>
      <c r="W345" s="217"/>
      <c r="X345" s="217"/>
      <c r="Y345" s="217"/>
      <c r="Z345" s="325"/>
      <c r="AA345" s="325"/>
      <c r="AB345" s="325"/>
      <c r="AC345" s="152"/>
      <c r="AD345" s="152"/>
      <c r="AE345" s="152"/>
      <c r="AF345" s="152"/>
      <c r="AG345" s="357"/>
      <c r="AH345" s="217"/>
      <c r="AI345" s="217"/>
      <c r="AJ345" s="217"/>
      <c r="AK345" s="217"/>
      <c r="AL345" s="217"/>
      <c r="AM345" s="325"/>
      <c r="AN345" s="325"/>
      <c r="AO345" s="325"/>
      <c r="AP345" s="152"/>
      <c r="AQ345" s="152"/>
      <c r="AR345" s="152"/>
      <c r="AS345" s="152"/>
      <c r="AT345" s="152"/>
    </row>
    <row r="346" spans="10:46">
      <c r="J346" s="358"/>
      <c r="K346" s="358"/>
      <c r="L346" s="358"/>
      <c r="M346" s="358"/>
      <c r="N346" s="358"/>
      <c r="O346" s="358"/>
      <c r="P346" s="358"/>
      <c r="Q346" s="227"/>
      <c r="R346" s="152"/>
      <c r="S346" s="152"/>
      <c r="T346" s="217"/>
      <c r="U346" s="217"/>
      <c r="V346" s="217"/>
      <c r="W346" s="217"/>
      <c r="X346" s="217"/>
      <c r="Y346" s="217"/>
      <c r="Z346" s="324"/>
      <c r="AA346" s="324"/>
      <c r="AB346" s="326"/>
      <c r="AC346" s="152"/>
      <c r="AD346" s="152"/>
      <c r="AE346" s="152"/>
      <c r="AF346" s="152"/>
      <c r="AG346" s="217"/>
      <c r="AH346" s="217"/>
      <c r="AI346" s="217"/>
      <c r="AJ346" s="217"/>
      <c r="AK346" s="217"/>
      <c r="AL346" s="217"/>
      <c r="AM346" s="324"/>
      <c r="AN346" s="324"/>
      <c r="AO346" s="326"/>
      <c r="AP346" s="152"/>
      <c r="AQ346" s="152"/>
      <c r="AR346" s="152"/>
      <c r="AS346" s="152"/>
      <c r="AT346" s="152"/>
    </row>
    <row r="347" spans="10:46">
      <c r="J347" s="147"/>
      <c r="K347" s="147"/>
      <c r="L347" s="147"/>
      <c r="M347" s="147"/>
      <c r="N347" s="147"/>
      <c r="O347" s="147"/>
      <c r="P347" s="147"/>
      <c r="Q347" s="147"/>
      <c r="R347" s="152"/>
      <c r="S347" s="152"/>
      <c r="T347" s="152"/>
      <c r="U347" s="152"/>
      <c r="V347" s="152"/>
      <c r="W347" s="152"/>
      <c r="X347" s="152"/>
      <c r="Y347" s="152"/>
      <c r="Z347" s="152"/>
      <c r="AA347" s="152"/>
      <c r="AB347" s="152"/>
      <c r="AC347" s="152"/>
      <c r="AD347" s="152"/>
      <c r="AE347" s="152"/>
      <c r="AF347" s="152"/>
      <c r="AG347" s="152"/>
      <c r="AH347" s="152"/>
      <c r="AI347" s="152"/>
      <c r="AJ347" s="152"/>
      <c r="AK347" s="152"/>
      <c r="AL347" s="152"/>
      <c r="AM347" s="152"/>
      <c r="AN347" s="152"/>
      <c r="AO347" s="152"/>
      <c r="AP347" s="152"/>
      <c r="AQ347" s="152"/>
      <c r="AR347" s="152"/>
      <c r="AS347" s="152"/>
      <c r="AT347" s="152"/>
    </row>
    <row r="348" spans="10:46">
      <c r="J348" s="147"/>
      <c r="K348" s="147"/>
      <c r="L348" s="147"/>
      <c r="M348" s="147"/>
      <c r="N348" s="147"/>
      <c r="O348" s="147"/>
      <c r="P348" s="147"/>
      <c r="Q348" s="147"/>
      <c r="R348" s="152"/>
      <c r="S348" s="152"/>
      <c r="T348" s="152"/>
      <c r="U348" s="152"/>
      <c r="V348" s="152"/>
      <c r="W348" s="152"/>
      <c r="X348" s="152"/>
      <c r="Y348" s="152"/>
      <c r="Z348" s="152"/>
      <c r="AA348" s="152"/>
      <c r="AB348" s="152"/>
      <c r="AC348" s="152"/>
      <c r="AD348" s="152"/>
      <c r="AE348" s="152"/>
      <c r="AF348" s="152"/>
      <c r="AG348" s="152"/>
      <c r="AH348" s="152"/>
      <c r="AI348" s="152"/>
      <c r="AJ348" s="152"/>
      <c r="AK348" s="152"/>
      <c r="AL348" s="152"/>
      <c r="AM348" s="152"/>
      <c r="AN348" s="152"/>
      <c r="AO348" s="152"/>
      <c r="AP348" s="152"/>
      <c r="AQ348" s="152"/>
      <c r="AR348" s="152"/>
      <c r="AS348" s="152"/>
      <c r="AT348" s="152"/>
    </row>
    <row r="349" spans="10:46">
      <c r="J349" s="147"/>
      <c r="K349" s="147"/>
      <c r="L349" s="147"/>
      <c r="M349" s="147"/>
      <c r="N349" s="147"/>
      <c r="O349" s="147"/>
      <c r="P349" s="147"/>
      <c r="Q349" s="147"/>
      <c r="R349" s="152"/>
      <c r="S349" s="152"/>
      <c r="T349" s="152"/>
      <c r="U349" s="152"/>
      <c r="V349" s="152"/>
      <c r="W349" s="152"/>
      <c r="X349" s="152"/>
      <c r="Y349" s="152"/>
      <c r="Z349" s="152"/>
      <c r="AA349" s="152"/>
      <c r="AB349" s="152"/>
      <c r="AC349" s="152"/>
      <c r="AD349" s="152"/>
      <c r="AE349" s="152"/>
      <c r="AF349" s="152"/>
      <c r="AG349" s="152"/>
      <c r="AH349" s="152"/>
      <c r="AI349" s="152"/>
      <c r="AJ349" s="152"/>
      <c r="AK349" s="152"/>
      <c r="AL349" s="152"/>
      <c r="AM349" s="152"/>
      <c r="AN349" s="152"/>
      <c r="AO349" s="152"/>
      <c r="AP349" s="152"/>
      <c r="AQ349" s="152"/>
      <c r="AR349" s="152"/>
      <c r="AS349" s="152"/>
      <c r="AT349" s="152"/>
    </row>
    <row r="350" spans="10:46">
      <c r="J350" s="147"/>
      <c r="K350" s="147"/>
      <c r="L350" s="147"/>
      <c r="M350" s="147"/>
      <c r="N350" s="147"/>
      <c r="O350" s="147"/>
      <c r="P350" s="147"/>
      <c r="Q350" s="147"/>
      <c r="S350" s="147"/>
    </row>
    <row r="351" spans="10:46">
      <c r="J351" s="147"/>
      <c r="K351" s="147"/>
      <c r="L351" s="147"/>
      <c r="M351" s="147"/>
      <c r="N351" s="147"/>
      <c r="O351" s="147"/>
      <c r="P351" s="147"/>
      <c r="Q351" s="147"/>
      <c r="S351" s="147"/>
    </row>
    <row r="352" spans="10:46">
      <c r="J352" s="147"/>
      <c r="K352" s="147"/>
      <c r="L352" s="147"/>
      <c r="M352" s="147"/>
      <c r="N352" s="147"/>
      <c r="O352" s="147"/>
      <c r="P352" s="147"/>
      <c r="Q352" s="147"/>
      <c r="S352" s="147"/>
    </row>
    <row r="353" spans="10:19">
      <c r="J353" s="147"/>
      <c r="K353" s="147"/>
      <c r="L353" s="147"/>
      <c r="M353" s="147"/>
      <c r="N353" s="147"/>
      <c r="O353" s="147"/>
      <c r="P353" s="147"/>
      <c r="Q353" s="147"/>
      <c r="S353" s="147"/>
    </row>
    <row r="354" spans="10:19">
      <c r="J354" s="147"/>
      <c r="K354" s="147"/>
      <c r="L354" s="147"/>
      <c r="M354" s="147"/>
      <c r="N354" s="147"/>
      <c r="O354" s="147"/>
      <c r="P354" s="147"/>
      <c r="Q354" s="147"/>
      <c r="S354" s="147"/>
    </row>
    <row r="355" spans="10:19">
      <c r="S355" s="147"/>
    </row>
    <row r="356" spans="10:19">
      <c r="S356" s="147"/>
    </row>
    <row r="357" spans="10:19">
      <c r="S357" s="147"/>
    </row>
    <row r="358" spans="10:19">
      <c r="S358" s="147"/>
    </row>
    <row r="359" spans="10:19">
      <c r="S359" s="147"/>
    </row>
    <row r="360" spans="10:19">
      <c r="S360" s="147"/>
    </row>
    <row r="361" spans="10:19">
      <c r="S361" s="147"/>
    </row>
    <row r="362" spans="10:19">
      <c r="S362" s="147"/>
    </row>
    <row r="363" spans="10:19">
      <c r="S363" s="147"/>
    </row>
    <row r="364" spans="10:19">
      <c r="S364" s="147"/>
    </row>
    <row r="365" spans="10:19">
      <c r="S365" s="147"/>
    </row>
    <row r="366" spans="10:19">
      <c r="S366" s="147"/>
    </row>
    <row r="367" spans="10:19">
      <c r="S367" s="147"/>
    </row>
    <row r="368" spans="10:19">
      <c r="S368" s="147"/>
    </row>
    <row r="369" spans="19:19">
      <c r="S369" s="147"/>
    </row>
    <row r="370" spans="19:19">
      <c r="S370" s="147"/>
    </row>
    <row r="371" spans="19:19">
      <c r="S371" s="147"/>
    </row>
    <row r="372" spans="19:19">
      <c r="S372" s="147"/>
    </row>
    <row r="373" spans="19:19">
      <c r="S373" s="147"/>
    </row>
    <row r="374" spans="19:19">
      <c r="S374" s="147"/>
    </row>
    <row r="375" spans="19:19">
      <c r="S375" s="147"/>
    </row>
    <row r="376" spans="19:19">
      <c r="S376" s="147"/>
    </row>
    <row r="377" spans="19:19">
      <c r="S377" s="147"/>
    </row>
    <row r="378" spans="19:19">
      <c r="S378" s="147"/>
    </row>
    <row r="379" spans="19:19">
      <c r="S379" s="147"/>
    </row>
    <row r="380" spans="19:19">
      <c r="S380" s="147"/>
    </row>
    <row r="381" spans="19:19">
      <c r="S381" s="147"/>
    </row>
    <row r="382" spans="19:19">
      <c r="S382" s="147"/>
    </row>
    <row r="383" spans="19:19">
      <c r="S383" s="147"/>
    </row>
    <row r="384" spans="19:19">
      <c r="S384" s="147"/>
    </row>
    <row r="385" spans="19:19">
      <c r="S385" s="147"/>
    </row>
    <row r="386" spans="19:19">
      <c r="S386" s="147"/>
    </row>
    <row r="387" spans="19:19">
      <c r="S387" s="147"/>
    </row>
    <row r="388" spans="19:19">
      <c r="S388" s="147"/>
    </row>
    <row r="389" spans="19:19">
      <c r="S389" s="147"/>
    </row>
    <row r="390" spans="19:19">
      <c r="S390" s="147"/>
    </row>
    <row r="391" spans="19:19">
      <c r="S391" s="147"/>
    </row>
    <row r="392" spans="19:19">
      <c r="S392" s="147"/>
    </row>
    <row r="393" spans="19:19">
      <c r="S393" s="147"/>
    </row>
    <row r="394" spans="19:19">
      <c r="S394" s="147"/>
    </row>
    <row r="395" spans="19:19">
      <c r="S395" s="147"/>
    </row>
    <row r="396" spans="19:19">
      <c r="S396" s="147"/>
    </row>
    <row r="397" spans="19:19">
      <c r="S397" s="147"/>
    </row>
    <row r="398" spans="19:19">
      <c r="S398" s="147"/>
    </row>
    <row r="399" spans="19:19">
      <c r="S399" s="147"/>
    </row>
    <row r="400" spans="19:19">
      <c r="S400" s="147"/>
    </row>
  </sheetData>
  <mergeCells count="58">
    <mergeCell ref="A10:I10"/>
    <mergeCell ref="A42:I42"/>
    <mergeCell ref="A81:I81"/>
    <mergeCell ref="A82:I82"/>
    <mergeCell ref="A142:I142"/>
    <mergeCell ref="A97:I97"/>
    <mergeCell ref="A103:I103"/>
    <mergeCell ref="A113:I113"/>
    <mergeCell ref="A123:I123"/>
    <mergeCell ref="A134:I134"/>
    <mergeCell ref="A153:I153"/>
    <mergeCell ref="A168:I168"/>
    <mergeCell ref="A253:C253"/>
    <mergeCell ref="A254:C254"/>
    <mergeCell ref="A190:I190"/>
    <mergeCell ref="A197:I197"/>
    <mergeCell ref="A221:I221"/>
    <mergeCell ref="A203:I203"/>
    <mergeCell ref="P1:Q1"/>
    <mergeCell ref="A6:I6"/>
    <mergeCell ref="A9:I9"/>
    <mergeCell ref="A8:I8"/>
    <mergeCell ref="A3:Q4"/>
    <mergeCell ref="A259:I259"/>
    <mergeCell ref="A89:I89"/>
    <mergeCell ref="A90:I90"/>
    <mergeCell ref="A83:I83"/>
    <mergeCell ref="A88:I88"/>
    <mergeCell ref="A202:I202"/>
    <mergeCell ref="A112:I112"/>
    <mergeCell ref="A133:I133"/>
    <mergeCell ref="A182:I182"/>
    <mergeCell ref="A243:I243"/>
    <mergeCell ref="A233:I233"/>
    <mergeCell ref="A152:I152"/>
    <mergeCell ref="A181:I181"/>
    <mergeCell ref="A256:C256"/>
    <mergeCell ref="A242:I242"/>
    <mergeCell ref="A255:C255"/>
    <mergeCell ref="A270:I270"/>
    <mergeCell ref="A273:I273"/>
    <mergeCell ref="A274:I274"/>
    <mergeCell ref="A275:I275"/>
    <mergeCell ref="A260:I260"/>
    <mergeCell ref="A261:I261"/>
    <mergeCell ref="A263:I263"/>
    <mergeCell ref="A268:I268"/>
    <mergeCell ref="A269:I269"/>
    <mergeCell ref="A280:I280"/>
    <mergeCell ref="A295:I295"/>
    <mergeCell ref="A296:I296"/>
    <mergeCell ref="A300:I300"/>
    <mergeCell ref="A297:I297"/>
    <mergeCell ref="A320:I320"/>
    <mergeCell ref="A323:I323"/>
    <mergeCell ref="A330:I330"/>
    <mergeCell ref="A324:I324"/>
    <mergeCell ref="A321:I321"/>
  </mergeCells>
  <pageMargins left="0.23622047244094491" right="0.23622047244094491" top="0.74803149606299213" bottom="0.74803149606299213" header="0.31496062992125984" footer="0.31496062992125984"/>
  <pageSetup paperSize="9" scale="65"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BAF43-3536-4BEF-A364-C02EA0A28CAF}">
  <dimension ref="A1:K39"/>
  <sheetViews>
    <sheetView zoomScaleNormal="100" workbookViewId="0">
      <selection activeCell="F1" sqref="F1:G1"/>
    </sheetView>
  </sheetViews>
  <sheetFormatPr defaultRowHeight="12.75"/>
  <cols>
    <col min="1" max="1" width="30.140625" style="94" customWidth="1"/>
    <col min="2" max="6" width="9.140625" style="94"/>
    <col min="7" max="7" width="10.85546875" style="94" customWidth="1"/>
    <col min="8" max="8" width="9.140625" style="94"/>
    <col min="9" max="9" width="9.42578125" style="94" bestFit="1" customWidth="1"/>
    <col min="10" max="16384" width="9.140625" style="94"/>
  </cols>
  <sheetData>
    <row r="1" spans="1:10">
      <c r="F1" s="1130" t="s">
        <v>717</v>
      </c>
      <c r="G1" s="1130"/>
    </row>
    <row r="2" spans="1:10">
      <c r="A2" s="1139" t="s">
        <v>493</v>
      </c>
      <c r="B2" s="1139"/>
      <c r="C2" s="1139"/>
      <c r="D2" s="1139"/>
      <c r="E2" s="1139"/>
      <c r="F2" s="1139"/>
      <c r="G2" s="1139"/>
    </row>
    <row r="3" spans="1:10" ht="13.5" thickBot="1">
      <c r="G3" s="507" t="s">
        <v>489</v>
      </c>
    </row>
    <row r="4" spans="1:10">
      <c r="A4" s="1131" t="s">
        <v>151</v>
      </c>
      <c r="B4" s="1133" t="s">
        <v>152</v>
      </c>
      <c r="C4" s="1135" t="s">
        <v>238</v>
      </c>
      <c r="D4" s="1135" t="s">
        <v>154</v>
      </c>
      <c r="E4" s="1135" t="s">
        <v>322</v>
      </c>
      <c r="F4" s="1140" t="s">
        <v>239</v>
      </c>
      <c r="G4" s="1137" t="s">
        <v>679</v>
      </c>
    </row>
    <row r="5" spans="1:10" ht="74.25" customHeight="1">
      <c r="A5" s="1132"/>
      <c r="B5" s="1134"/>
      <c r="C5" s="1136"/>
      <c r="D5" s="1136"/>
      <c r="E5" s="1136"/>
      <c r="F5" s="1141"/>
      <c r="G5" s="1138"/>
    </row>
    <row r="6" spans="1:10">
      <c r="A6" s="95"/>
      <c r="B6" s="96"/>
      <c r="C6" s="96"/>
      <c r="D6" s="96"/>
      <c r="E6" s="96"/>
      <c r="F6" s="298"/>
      <c r="G6" s="303"/>
    </row>
    <row r="7" spans="1:10">
      <c r="A7" s="1142" t="s">
        <v>492</v>
      </c>
      <c r="B7" s="1143"/>
      <c r="C7" s="1143"/>
      <c r="D7" s="1143"/>
      <c r="E7" s="1143"/>
      <c r="F7" s="1144"/>
      <c r="G7" s="308"/>
    </row>
    <row r="8" spans="1:10">
      <c r="A8" s="1145" t="s">
        <v>235</v>
      </c>
      <c r="B8" s="1146"/>
      <c r="C8" s="1146"/>
      <c r="D8" s="1146"/>
      <c r="E8" s="1146"/>
      <c r="F8" s="1146"/>
      <c r="G8" s="303"/>
    </row>
    <row r="9" spans="1:10">
      <c r="A9" s="1109" t="s">
        <v>231</v>
      </c>
      <c r="B9" s="1110"/>
      <c r="C9" s="1110"/>
      <c r="D9" s="1110"/>
      <c r="E9" s="1110"/>
      <c r="F9" s="1110"/>
      <c r="G9" s="307"/>
    </row>
    <row r="10" spans="1:10">
      <c r="A10" s="91" t="s">
        <v>157</v>
      </c>
      <c r="B10" s="81"/>
      <c r="C10" s="82"/>
      <c r="D10" s="83"/>
      <c r="E10" s="82"/>
      <c r="F10" s="299"/>
      <c r="G10" s="306"/>
    </row>
    <row r="11" spans="1:10">
      <c r="A11" s="92" t="s">
        <v>232</v>
      </c>
      <c r="B11" s="89">
        <v>1</v>
      </c>
      <c r="C11" s="90">
        <v>2030</v>
      </c>
      <c r="D11" s="90">
        <v>263.89999999999998</v>
      </c>
      <c r="E11" s="90">
        <v>406</v>
      </c>
      <c r="F11" s="300">
        <v>2699.9</v>
      </c>
      <c r="G11" s="304">
        <f>ROUND((C11+D11+E11)*('29_01_H_2020'!$O$14)*B11*12*(1+'29_01_H_2020'!$O$17),2)</f>
        <v>10166.58</v>
      </c>
      <c r="I11" s="219"/>
      <c r="J11" s="219"/>
    </row>
    <row r="12" spans="1:10">
      <c r="A12" s="92" t="s">
        <v>233</v>
      </c>
      <c r="B12" s="89">
        <v>7</v>
      </c>
      <c r="C12" s="90">
        <v>1750</v>
      </c>
      <c r="D12" s="90">
        <v>185.75</v>
      </c>
      <c r="E12" s="90">
        <v>350</v>
      </c>
      <c r="F12" s="300">
        <v>2285.75</v>
      </c>
      <c r="G12" s="304">
        <f>ROUND((C12+D12+E12)*('29_01_H_2020'!$O$14)*B12*12*(1+'29_01_H_2020'!$O$17),2)</f>
        <v>60249.58</v>
      </c>
      <c r="I12" s="219"/>
      <c r="J12" s="219"/>
    </row>
    <row r="13" spans="1:10">
      <c r="A13" s="92" t="s">
        <v>65</v>
      </c>
      <c r="B13" s="89">
        <v>3</v>
      </c>
      <c r="C13" s="90">
        <v>1630</v>
      </c>
      <c r="D13" s="90">
        <v>211.9</v>
      </c>
      <c r="E13" s="90">
        <v>326</v>
      </c>
      <c r="F13" s="300">
        <v>2167.9</v>
      </c>
      <c r="G13" s="304">
        <f>ROUND((C13+D13+E13)*('29_01_H_2020'!$O$14)*B13*12*(1+'29_01_H_2020'!$O$17),2)</f>
        <v>24489.94</v>
      </c>
      <c r="I13" s="219"/>
      <c r="J13" s="219"/>
    </row>
    <row r="14" spans="1:10">
      <c r="A14" s="92" t="s">
        <v>234</v>
      </c>
      <c r="B14" s="89">
        <v>1</v>
      </c>
      <c r="C14" s="90">
        <v>1550</v>
      </c>
      <c r="D14" s="90">
        <v>124</v>
      </c>
      <c r="E14" s="90">
        <v>310</v>
      </c>
      <c r="F14" s="300">
        <v>1984</v>
      </c>
      <c r="G14" s="304">
        <f>ROUND((C14+D14+E14)*('29_01_H_2020'!$O$14)*B14*12*(1+'29_01_H_2020'!$O$17),2)</f>
        <v>7470.83</v>
      </c>
      <c r="I14" s="219"/>
      <c r="J14" s="219"/>
    </row>
    <row r="15" spans="1:10">
      <c r="A15" s="92" t="s">
        <v>25</v>
      </c>
      <c r="B15" s="89">
        <v>25.5</v>
      </c>
      <c r="C15" s="90">
        <v>1465</v>
      </c>
      <c r="D15" s="90">
        <v>169.12</v>
      </c>
      <c r="E15" s="90">
        <v>293</v>
      </c>
      <c r="F15" s="300">
        <v>1927.12</v>
      </c>
      <c r="G15" s="304">
        <f>ROUND((C15+D15+E15)*('29_01_H_2020'!$O$14)*B15*12*(1+'29_01_H_2020'!$O$17),2)</f>
        <v>185044.52</v>
      </c>
      <c r="I15" s="219"/>
      <c r="J15" s="219"/>
    </row>
    <row r="16" spans="1:10">
      <c r="A16" s="28" t="s">
        <v>55</v>
      </c>
      <c r="B16" s="88">
        <f>SUM(B11:B15)</f>
        <v>37.5</v>
      </c>
      <c r="C16" s="9" t="s">
        <v>52</v>
      </c>
      <c r="D16" s="9" t="s">
        <v>52</v>
      </c>
      <c r="E16" s="9" t="s">
        <v>52</v>
      </c>
      <c r="F16" s="301" t="s">
        <v>52</v>
      </c>
      <c r="G16" s="305" t="s">
        <v>52</v>
      </c>
    </row>
    <row r="17" spans="1:10" ht="51">
      <c r="A17" s="93" t="s">
        <v>187</v>
      </c>
      <c r="B17" s="84"/>
      <c r="C17" s="85"/>
      <c r="D17" s="86"/>
      <c r="E17" s="85"/>
      <c r="F17" s="299"/>
      <c r="G17" s="306"/>
    </row>
    <row r="18" spans="1:10">
      <c r="A18" s="551" t="s">
        <v>225</v>
      </c>
      <c r="B18" s="89">
        <v>19</v>
      </c>
      <c r="C18" s="90">
        <v>1140</v>
      </c>
      <c r="D18" s="90">
        <v>123.9</v>
      </c>
      <c r="E18" s="90">
        <v>228</v>
      </c>
      <c r="F18" s="300">
        <v>1491.9</v>
      </c>
      <c r="G18" s="555">
        <f>ROUND((C18+D18+E18)*('29_01_H_2020'!$O$10)*B18*12*(1+'29_01_H_2020'!$O$17),2)</f>
        <v>106738.38</v>
      </c>
      <c r="I18" s="219"/>
      <c r="J18" s="219"/>
    </row>
    <row r="19" spans="1:10">
      <c r="A19" s="551" t="s">
        <v>229</v>
      </c>
      <c r="B19" s="89">
        <v>3.75</v>
      </c>
      <c r="C19" s="90">
        <v>1120</v>
      </c>
      <c r="D19" s="90">
        <v>129.6</v>
      </c>
      <c r="E19" s="90">
        <v>224</v>
      </c>
      <c r="F19" s="300">
        <v>1473.6</v>
      </c>
      <c r="G19" s="555">
        <f>ROUND((C19+D19+E19)*('29_01_H_2020'!$O$10)*B19*12*(1+'29_01_H_2020'!$O$17),2)</f>
        <v>20808.37</v>
      </c>
      <c r="I19" s="219"/>
      <c r="J19" s="219"/>
    </row>
    <row r="20" spans="1:10">
      <c r="A20" s="551" t="s">
        <v>227</v>
      </c>
      <c r="B20" s="89">
        <v>7</v>
      </c>
      <c r="C20" s="90">
        <v>1120</v>
      </c>
      <c r="D20" s="90">
        <v>130.4</v>
      </c>
      <c r="E20" s="90">
        <v>224</v>
      </c>
      <c r="F20" s="300">
        <v>1474.4</v>
      </c>
      <c r="G20" s="555">
        <f>ROUND((C20+D20+E20)*('29_01_H_2020'!$O$10)*B20*12*(1+'29_01_H_2020'!$O$17),2)</f>
        <v>38863.39</v>
      </c>
      <c r="I20" s="219"/>
      <c r="J20" s="219"/>
    </row>
    <row r="21" spans="1:10">
      <c r="A21" s="551" t="s">
        <v>236</v>
      </c>
      <c r="B21" s="89">
        <v>35</v>
      </c>
      <c r="C21" s="90">
        <v>1020</v>
      </c>
      <c r="D21" s="90">
        <v>109.31</v>
      </c>
      <c r="E21" s="90">
        <v>204</v>
      </c>
      <c r="F21" s="300">
        <v>1333.31</v>
      </c>
      <c r="G21" s="555">
        <f>ROUND((C21+D21+E21)*('29_01_H_2020'!$O$10)*B21*12*(1+'29_01_H_2020'!$O$17),2)</f>
        <v>175722.13</v>
      </c>
      <c r="I21" s="219"/>
      <c r="J21" s="219"/>
    </row>
    <row r="22" spans="1:10">
      <c r="A22" s="28" t="s">
        <v>55</v>
      </c>
      <c r="B22" s="88">
        <f>SUM(B18:B21)</f>
        <v>64.75</v>
      </c>
      <c r="C22" s="9" t="s">
        <v>52</v>
      </c>
      <c r="D22" s="9" t="s">
        <v>52</v>
      </c>
      <c r="E22" s="9" t="s">
        <v>52</v>
      </c>
      <c r="F22" s="301" t="s">
        <v>52</v>
      </c>
      <c r="G22" s="305" t="s">
        <v>52</v>
      </c>
    </row>
    <row r="23" spans="1:10">
      <c r="A23" s="1109" t="s">
        <v>237</v>
      </c>
      <c r="B23" s="1110"/>
      <c r="C23" s="1110"/>
      <c r="D23" s="1110"/>
      <c r="E23" s="1110"/>
      <c r="F23" s="1110"/>
      <c r="G23" s="307"/>
    </row>
    <row r="24" spans="1:10" ht="51">
      <c r="A24" s="93" t="s">
        <v>186</v>
      </c>
      <c r="B24" s="84"/>
      <c r="C24" s="85"/>
      <c r="D24" s="86"/>
      <c r="E24" s="85"/>
      <c r="F24" s="299"/>
      <c r="G24" s="306"/>
    </row>
    <row r="25" spans="1:10">
      <c r="A25" s="92" t="s">
        <v>25</v>
      </c>
      <c r="B25" s="89">
        <v>2.25</v>
      </c>
      <c r="C25" s="90">
        <v>1260</v>
      </c>
      <c r="D25" s="90">
        <v>138.6</v>
      </c>
      <c r="E25" s="90">
        <v>252</v>
      </c>
      <c r="F25" s="300">
        <v>1650.6</v>
      </c>
      <c r="G25" s="304">
        <f>ROUND((C25+D25+E25)*('29_01_H_2020'!$O$14)*B25*12*(1+'29_01_H_2020'!$O$17),2)</f>
        <v>13984.65</v>
      </c>
      <c r="I25" s="219"/>
      <c r="J25" s="219"/>
    </row>
    <row r="26" spans="1:10">
      <c r="A26" s="28" t="s">
        <v>55</v>
      </c>
      <c r="B26" s="88">
        <f>SUM(B25:B25)</f>
        <v>2.25</v>
      </c>
      <c r="C26" s="9" t="s">
        <v>52</v>
      </c>
      <c r="D26" s="9" t="s">
        <v>52</v>
      </c>
      <c r="E26" s="9" t="s">
        <v>52</v>
      </c>
      <c r="F26" s="301" t="s">
        <v>52</v>
      </c>
      <c r="G26" s="305" t="s">
        <v>52</v>
      </c>
    </row>
    <row r="27" spans="1:10" ht="63.75">
      <c r="A27" s="93" t="s">
        <v>205</v>
      </c>
      <c r="B27" s="84"/>
      <c r="C27" s="85"/>
      <c r="D27" s="86"/>
      <c r="E27" s="85"/>
      <c r="F27" s="299"/>
      <c r="G27" s="306"/>
    </row>
    <row r="28" spans="1:10">
      <c r="A28" s="551" t="s">
        <v>225</v>
      </c>
      <c r="B28" s="89">
        <v>2.5</v>
      </c>
      <c r="C28" s="90">
        <v>1100</v>
      </c>
      <c r="D28" s="90">
        <v>99</v>
      </c>
      <c r="E28" s="90">
        <v>220</v>
      </c>
      <c r="F28" s="300">
        <v>1419</v>
      </c>
      <c r="G28" s="555">
        <f>ROUND((C28+D28+E28)*('29_01_H_2020'!$O$10)*B28*12*(1+'29_01_H_2020'!$O$17),2)</f>
        <v>13358.25</v>
      </c>
      <c r="I28" s="219"/>
      <c r="J28" s="219"/>
    </row>
    <row r="29" spans="1:10">
      <c r="A29" s="551" t="s">
        <v>236</v>
      </c>
      <c r="B29" s="89">
        <v>2</v>
      </c>
      <c r="C29" s="90">
        <v>915</v>
      </c>
      <c r="D29" s="90">
        <v>77.78</v>
      </c>
      <c r="E29" s="90">
        <v>183</v>
      </c>
      <c r="F29" s="300">
        <v>1175.78</v>
      </c>
      <c r="G29" s="555">
        <f>ROUND((C29+D29+E29)*('29_01_H_2020'!$O$10)*B29*12*(1+'29_01_H_2020'!$O$17),2)</f>
        <v>8854.89</v>
      </c>
      <c r="I29" s="219"/>
      <c r="J29" s="219"/>
    </row>
    <row r="30" spans="1:10">
      <c r="A30" s="28" t="s">
        <v>55</v>
      </c>
      <c r="B30" s="88">
        <f>SUM(B28:B29)</f>
        <v>4.5</v>
      </c>
      <c r="C30" s="9" t="s">
        <v>52</v>
      </c>
      <c r="D30" s="9" t="s">
        <v>52</v>
      </c>
      <c r="E30" s="9" t="s">
        <v>52</v>
      </c>
      <c r="F30" s="301" t="s">
        <v>52</v>
      </c>
      <c r="G30" s="305" t="s">
        <v>52</v>
      </c>
    </row>
    <row r="31" spans="1:10" ht="38.25">
      <c r="A31" s="93" t="s">
        <v>212</v>
      </c>
      <c r="B31" s="84"/>
      <c r="C31" s="85"/>
      <c r="D31" s="86"/>
      <c r="E31" s="85"/>
      <c r="F31" s="299"/>
      <c r="G31" s="306"/>
    </row>
    <row r="32" spans="1:10">
      <c r="A32" s="92" t="s">
        <v>48</v>
      </c>
      <c r="B32" s="89">
        <v>3</v>
      </c>
      <c r="C32" s="90">
        <v>820</v>
      </c>
      <c r="D32" s="90">
        <v>46.47</v>
      </c>
      <c r="E32" s="90">
        <v>164</v>
      </c>
      <c r="F32" s="300">
        <v>1030.47</v>
      </c>
      <c r="G32" s="304">
        <f>ROUND((C32+D32+E32)*('29_01_H_2020'!$O$10)*B32*12*(1+'29_01_H_2020'!$O$17),2)</f>
        <v>11640.83</v>
      </c>
      <c r="I32" s="219"/>
      <c r="J32" s="219"/>
    </row>
    <row r="33" spans="1:11">
      <c r="A33" s="28" t="s">
        <v>55</v>
      </c>
      <c r="B33" s="88">
        <f>SUM(B32)</f>
        <v>3</v>
      </c>
      <c r="C33" s="9" t="s">
        <v>52</v>
      </c>
      <c r="D33" s="9" t="s">
        <v>52</v>
      </c>
      <c r="E33" s="9" t="s">
        <v>52</v>
      </c>
      <c r="F33" s="301" t="s">
        <v>52</v>
      </c>
      <c r="G33" s="305" t="s">
        <v>52</v>
      </c>
    </row>
    <row r="34" spans="1:11" ht="13.5" thickBot="1">
      <c r="A34" s="79" t="s">
        <v>57</v>
      </c>
      <c r="B34" s="87">
        <f>SUM(B16,B22,B26,B30,B33)</f>
        <v>112</v>
      </c>
      <c r="C34" s="80"/>
      <c r="D34" s="80"/>
      <c r="E34" s="80"/>
      <c r="F34" s="302"/>
      <c r="G34" s="309">
        <f>ROUNDUP(+G32+G29+G28+G25+G21+G20+G19+G18+G15+G14+G13+G12+G11,0)</f>
        <v>677393</v>
      </c>
      <c r="I34" s="220"/>
      <c r="J34" s="220"/>
      <c r="K34" s="221"/>
    </row>
    <row r="36" spans="1:11">
      <c r="H36" s="799"/>
    </row>
    <row r="39" spans="1:11">
      <c r="G39" s="804"/>
    </row>
  </sheetData>
  <mergeCells count="13">
    <mergeCell ref="F1:G1"/>
    <mergeCell ref="A23:F23"/>
    <mergeCell ref="A4:A5"/>
    <mergeCell ref="B4:B5"/>
    <mergeCell ref="C4:C5"/>
    <mergeCell ref="D4:D5"/>
    <mergeCell ref="E4:E5"/>
    <mergeCell ref="G4:G5"/>
    <mergeCell ref="A2:G2"/>
    <mergeCell ref="F4:F5"/>
    <mergeCell ref="A7:F7"/>
    <mergeCell ref="A9:F9"/>
    <mergeCell ref="A8:F8"/>
  </mergeCells>
  <pageMargins left="0.23622047244094491" right="0.23622047244094491" top="0.74803149606299213" bottom="0.74803149606299213" header="0.31496062992125984" footer="0.31496062992125984"/>
  <pageSetup paperSize="9" scale="65"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A92FD-5DE5-454A-BE15-6380DDA7E3D8}">
  <dimension ref="B1:H159"/>
  <sheetViews>
    <sheetView workbookViewId="0">
      <selection activeCell="Q10" sqref="Q10"/>
    </sheetView>
  </sheetViews>
  <sheetFormatPr defaultRowHeight="15"/>
  <cols>
    <col min="2" max="2" width="42.28515625" customWidth="1"/>
    <col min="3" max="3" width="12.85546875" customWidth="1"/>
    <col min="5" max="5" width="10.85546875" customWidth="1"/>
    <col min="7" max="7" width="11.85546875" customWidth="1"/>
    <col min="8" max="8" width="12.140625" customWidth="1"/>
  </cols>
  <sheetData>
    <row r="1" spans="2:8" s="333" customFormat="1">
      <c r="F1" s="1147" t="s">
        <v>718</v>
      </c>
      <c r="G1" s="1147"/>
    </row>
    <row r="3" spans="2:8" ht="37.5" customHeight="1">
      <c r="B3" s="1152" t="s">
        <v>518</v>
      </c>
      <c r="C3" s="1152"/>
      <c r="D3" s="1152"/>
      <c r="E3" s="1152"/>
      <c r="F3" s="1152"/>
      <c r="G3" s="1152"/>
    </row>
    <row r="4" spans="2:8" ht="16.5" thickBot="1">
      <c r="B4" s="559"/>
      <c r="C4" s="560"/>
      <c r="D4" s="560"/>
      <c r="E4" s="560"/>
      <c r="F4" s="560"/>
      <c r="G4" s="560"/>
      <c r="H4" s="582" t="s">
        <v>489</v>
      </c>
    </row>
    <row r="5" spans="2:8" ht="15.75">
      <c r="B5" s="1153" t="s">
        <v>0</v>
      </c>
      <c r="C5" s="1154"/>
      <c r="D5" s="1154"/>
      <c r="E5" s="1154"/>
      <c r="F5" s="1154"/>
      <c r="G5" s="1155"/>
      <c r="H5" s="176"/>
    </row>
    <row r="6" spans="2:8">
      <c r="B6" s="1156" t="s">
        <v>151</v>
      </c>
      <c r="C6" s="1158" t="s">
        <v>152</v>
      </c>
      <c r="D6" s="1158" t="s">
        <v>153</v>
      </c>
      <c r="E6" s="1158" t="s">
        <v>154</v>
      </c>
      <c r="F6" s="1158" t="s">
        <v>322</v>
      </c>
      <c r="G6" s="1160" t="s">
        <v>155</v>
      </c>
      <c r="H6" s="1148" t="s">
        <v>679</v>
      </c>
    </row>
    <row r="7" spans="2:8" ht="59.25" customHeight="1" thickBot="1">
      <c r="B7" s="1157"/>
      <c r="C7" s="1159"/>
      <c r="D7" s="1159"/>
      <c r="E7" s="1159"/>
      <c r="F7" s="1159"/>
      <c r="G7" s="1161"/>
      <c r="H7" s="1138"/>
    </row>
    <row r="8" spans="2:8" ht="15.75" thickBot="1">
      <c r="B8" s="1149" t="s">
        <v>543</v>
      </c>
      <c r="C8" s="1150"/>
      <c r="D8" s="1150"/>
      <c r="E8" s="1150"/>
      <c r="F8" s="1150"/>
      <c r="G8" s="1151"/>
      <c r="H8" s="176"/>
    </row>
    <row r="9" spans="2:8" ht="54">
      <c r="B9" s="561" t="s">
        <v>519</v>
      </c>
      <c r="C9" s="562"/>
      <c r="D9" s="562"/>
      <c r="E9" s="562"/>
      <c r="F9" s="562"/>
      <c r="G9" s="583"/>
      <c r="H9" s="176"/>
    </row>
    <row r="10" spans="2:8">
      <c r="B10" s="563" t="s">
        <v>156</v>
      </c>
      <c r="C10" s="564"/>
      <c r="D10" s="565" t="s">
        <v>52</v>
      </c>
      <c r="E10" s="565" t="s">
        <v>52</v>
      </c>
      <c r="F10" s="565" t="s">
        <v>52</v>
      </c>
      <c r="G10" s="565" t="s">
        <v>52</v>
      </c>
      <c r="H10" s="565" t="s">
        <v>52</v>
      </c>
    </row>
    <row r="11" spans="2:8">
      <c r="B11" s="566" t="s">
        <v>157</v>
      </c>
      <c r="C11" s="588">
        <f>SUM(C12:C27)</f>
        <v>16</v>
      </c>
      <c r="D11" s="568" t="s">
        <v>52</v>
      </c>
      <c r="E11" s="568" t="s">
        <v>52</v>
      </c>
      <c r="F11" s="568" t="s">
        <v>52</v>
      </c>
      <c r="G11" s="568" t="s">
        <v>52</v>
      </c>
      <c r="H11" s="568" t="s">
        <v>52</v>
      </c>
    </row>
    <row r="12" spans="2:8">
      <c r="B12" s="569" t="s">
        <v>520</v>
      </c>
      <c r="C12" s="570">
        <v>1</v>
      </c>
      <c r="D12" s="580">
        <v>1562.5</v>
      </c>
      <c r="E12" s="581">
        <v>0</v>
      </c>
      <c r="F12" s="581">
        <v>0</v>
      </c>
      <c r="G12" s="585">
        <v>1562.5</v>
      </c>
      <c r="H12" s="304">
        <f>ROUND((D12+E12+F12)*('29_01_H_2020'!$O$14)*C12*12*(1+'29_01_H_2020'!$O$17),2)</f>
        <v>5883.66</v>
      </c>
    </row>
    <row r="13" spans="2:8">
      <c r="B13" s="569" t="s">
        <v>507</v>
      </c>
      <c r="C13" s="570">
        <v>1</v>
      </c>
      <c r="D13" s="580">
        <v>1770</v>
      </c>
      <c r="E13" s="581">
        <v>0</v>
      </c>
      <c r="F13" s="581">
        <v>0</v>
      </c>
      <c r="G13" s="585">
        <v>1770</v>
      </c>
      <c r="H13" s="304">
        <f>ROUND((D13+E13+F13)*('29_01_H_2020'!$O$14)*C13*12*(1+'29_01_H_2020'!$O$17),2)</f>
        <v>6665.01</v>
      </c>
    </row>
    <row r="14" spans="2:8">
      <c r="B14" s="569" t="s">
        <v>521</v>
      </c>
      <c r="C14" s="570">
        <v>1</v>
      </c>
      <c r="D14" s="580">
        <v>2093.75</v>
      </c>
      <c r="E14" s="581">
        <v>0</v>
      </c>
      <c r="F14" s="581">
        <v>0</v>
      </c>
      <c r="G14" s="585">
        <v>2093.75</v>
      </c>
      <c r="H14" s="304">
        <f>ROUND((D14+E14+F14)*('29_01_H_2020'!$O$14)*C14*12*(1+'29_01_H_2020'!$O$17),2)</f>
        <v>7884.1</v>
      </c>
    </row>
    <row r="15" spans="2:8">
      <c r="B15" s="569" t="s">
        <v>522</v>
      </c>
      <c r="C15" s="570">
        <v>1</v>
      </c>
      <c r="D15" s="580">
        <v>1710</v>
      </c>
      <c r="E15" s="581">
        <v>0</v>
      </c>
      <c r="F15" s="581">
        <v>0</v>
      </c>
      <c r="G15" s="585">
        <v>1710</v>
      </c>
      <c r="H15" s="304">
        <f>ROUND((D15+E15+F15)*('29_01_H_2020'!$O$14)*C15*12*(1+'29_01_H_2020'!$O$17),2)</f>
        <v>6439.07</v>
      </c>
    </row>
    <row r="16" spans="2:8">
      <c r="B16" s="569" t="s">
        <v>277</v>
      </c>
      <c r="C16" s="570">
        <v>1</v>
      </c>
      <c r="D16" s="580">
        <v>1236</v>
      </c>
      <c r="E16" s="581">
        <v>0</v>
      </c>
      <c r="F16" s="581">
        <v>0</v>
      </c>
      <c r="G16" s="585">
        <v>1236</v>
      </c>
      <c r="H16" s="304">
        <f>ROUND((D16+E16+F16)*('29_01_H_2020'!$O$14)*C16*12*(1+'29_01_H_2020'!$O$17),2)</f>
        <v>4654.21</v>
      </c>
    </row>
    <row r="17" spans="2:8">
      <c r="B17" s="569" t="s">
        <v>277</v>
      </c>
      <c r="C17" s="570">
        <v>1</v>
      </c>
      <c r="D17" s="580">
        <v>1026</v>
      </c>
      <c r="E17" s="581">
        <v>0</v>
      </c>
      <c r="F17" s="581">
        <v>0</v>
      </c>
      <c r="G17" s="585">
        <v>1026</v>
      </c>
      <c r="H17" s="304">
        <f>ROUND((D17+E17+F17)*('29_01_H_2020'!$O$14)*C17*12*(1+'29_01_H_2020'!$O$17),2)</f>
        <v>3863.44</v>
      </c>
    </row>
    <row r="18" spans="2:8">
      <c r="B18" s="569" t="s">
        <v>520</v>
      </c>
      <c r="C18" s="570">
        <v>1</v>
      </c>
      <c r="D18" s="580">
        <v>2082</v>
      </c>
      <c r="E18" s="581">
        <v>0</v>
      </c>
      <c r="F18" s="581">
        <v>0</v>
      </c>
      <c r="G18" s="585">
        <v>2082</v>
      </c>
      <c r="H18" s="304">
        <f>ROUND((D18+E18+F18)*('29_01_H_2020'!$O$14)*C18*12*(1+'29_01_H_2020'!$O$17),2)</f>
        <v>7839.85</v>
      </c>
    </row>
    <row r="19" spans="2:8">
      <c r="B19" s="569" t="s">
        <v>520</v>
      </c>
      <c r="C19" s="570">
        <v>1</v>
      </c>
      <c r="D19" s="580">
        <v>1806</v>
      </c>
      <c r="E19" s="581">
        <v>0</v>
      </c>
      <c r="F19" s="581">
        <v>0</v>
      </c>
      <c r="G19" s="585">
        <v>1806</v>
      </c>
      <c r="H19" s="304">
        <f>ROUND((D19+E19+F19)*('29_01_H_2020'!$O$14)*C19*12*(1+'29_01_H_2020'!$O$17),2)</f>
        <v>6800.57</v>
      </c>
    </row>
    <row r="20" spans="2:8">
      <c r="B20" s="569" t="s">
        <v>520</v>
      </c>
      <c r="C20" s="570">
        <v>1</v>
      </c>
      <c r="D20" s="580">
        <v>1770</v>
      </c>
      <c r="E20" s="581">
        <v>0</v>
      </c>
      <c r="F20" s="581">
        <v>0</v>
      </c>
      <c r="G20" s="585">
        <v>1770</v>
      </c>
      <c r="H20" s="304">
        <f>ROUND((D20+E20+F20)*('29_01_H_2020'!$O$14)*C20*12*(1+'29_01_H_2020'!$O$17),2)</f>
        <v>6665.01</v>
      </c>
    </row>
    <row r="21" spans="2:8">
      <c r="B21" s="569" t="s">
        <v>277</v>
      </c>
      <c r="C21" s="570">
        <v>1</v>
      </c>
      <c r="D21" s="580">
        <v>1074</v>
      </c>
      <c r="E21" s="581">
        <v>0</v>
      </c>
      <c r="F21" s="581">
        <v>0</v>
      </c>
      <c r="G21" s="585">
        <v>1074</v>
      </c>
      <c r="H21" s="304">
        <f>ROUND((D21+E21+F21)*('29_01_H_2020'!$O$14)*C21*12*(1+'29_01_H_2020'!$O$17),2)</f>
        <v>4044.19</v>
      </c>
    </row>
    <row r="22" spans="2:8">
      <c r="B22" s="569" t="s">
        <v>522</v>
      </c>
      <c r="C22" s="570">
        <v>1</v>
      </c>
      <c r="D22" s="580">
        <v>1188</v>
      </c>
      <c r="E22" s="581">
        <v>0</v>
      </c>
      <c r="F22" s="581">
        <v>0</v>
      </c>
      <c r="G22" s="585">
        <v>1188</v>
      </c>
      <c r="H22" s="304">
        <f>ROUND((D22+E22+F22)*('29_01_H_2020'!$O$14)*C22*12*(1+'29_01_H_2020'!$O$17),2)</f>
        <v>4473.46</v>
      </c>
    </row>
    <row r="23" spans="2:8">
      <c r="B23" s="569" t="s">
        <v>522</v>
      </c>
      <c r="C23" s="570">
        <v>1</v>
      </c>
      <c r="D23" s="580">
        <v>1300</v>
      </c>
      <c r="E23" s="581">
        <v>0</v>
      </c>
      <c r="F23" s="581">
        <v>0</v>
      </c>
      <c r="G23" s="585">
        <v>1300</v>
      </c>
      <c r="H23" s="304">
        <f>ROUND((D23+E23+F23)*('29_01_H_2020'!$O$14)*C23*12*(1+'29_01_H_2020'!$O$17),2)</f>
        <v>4895.2</v>
      </c>
    </row>
    <row r="24" spans="2:8">
      <c r="B24" s="569" t="s">
        <v>277</v>
      </c>
      <c r="C24" s="570">
        <v>1</v>
      </c>
      <c r="D24" s="580">
        <v>1074</v>
      </c>
      <c r="E24" s="581">
        <v>0</v>
      </c>
      <c r="F24" s="581">
        <v>0</v>
      </c>
      <c r="G24" s="585">
        <v>1074</v>
      </c>
      <c r="H24" s="304">
        <f>ROUND((D24+E24+F24)*('29_01_H_2020'!$O$14)*C24*12*(1+'29_01_H_2020'!$O$17),2)</f>
        <v>4044.19</v>
      </c>
    </row>
    <row r="25" spans="2:8">
      <c r="B25" s="569" t="s">
        <v>507</v>
      </c>
      <c r="C25" s="570">
        <v>1</v>
      </c>
      <c r="D25" s="580">
        <v>1843.75</v>
      </c>
      <c r="E25" s="581">
        <v>0</v>
      </c>
      <c r="F25" s="581">
        <v>0</v>
      </c>
      <c r="G25" s="585">
        <v>1843.75</v>
      </c>
      <c r="H25" s="304">
        <f>ROUND((D25+E25+F25)*('29_01_H_2020'!$O$14)*C25*12*(1+'29_01_H_2020'!$O$17),2)</f>
        <v>6942.71</v>
      </c>
    </row>
    <row r="26" spans="2:8">
      <c r="B26" s="569" t="s">
        <v>277</v>
      </c>
      <c r="C26" s="570">
        <v>1</v>
      </c>
      <c r="D26" s="580">
        <v>1074</v>
      </c>
      <c r="E26" s="581">
        <v>0</v>
      </c>
      <c r="F26" s="581">
        <v>0</v>
      </c>
      <c r="G26" s="585">
        <v>1074</v>
      </c>
      <c r="H26" s="304">
        <f>ROUND((D26+E26+F26)*('29_01_H_2020'!$O$14)*C26*12*(1+'29_01_H_2020'!$O$17),2)</f>
        <v>4044.19</v>
      </c>
    </row>
    <row r="27" spans="2:8">
      <c r="B27" s="569" t="s">
        <v>523</v>
      </c>
      <c r="C27" s="570">
        <v>1</v>
      </c>
      <c r="D27" s="580">
        <v>2082</v>
      </c>
      <c r="E27" s="581">
        <v>0</v>
      </c>
      <c r="F27" s="581">
        <v>0</v>
      </c>
      <c r="G27" s="585">
        <v>2082</v>
      </c>
      <c r="H27" s="304">
        <f>ROUND((D27+E27+F27)*('29_01_H_2020'!$O$14)*C27*12*(1+'29_01_H_2020'!$O$17),2)</f>
        <v>7839.85</v>
      </c>
    </row>
    <row r="28" spans="2:8" ht="38.25" hidden="1">
      <c r="B28" s="566" t="s">
        <v>186</v>
      </c>
      <c r="C28" s="567"/>
      <c r="D28" s="568">
        <f>SUM(D29:D30)</f>
        <v>0</v>
      </c>
      <c r="E28" s="568">
        <f>SUM(E29:E30)</f>
        <v>0</v>
      </c>
      <c r="F28" s="568">
        <f>SUM(F29:F30)</f>
        <v>0</v>
      </c>
      <c r="G28" s="584">
        <f>SUM(G29:G30)</f>
        <v>0</v>
      </c>
      <c r="H28" s="304">
        <f>ROUND((D28+E28+F28)*('29_01_H_2020'!$O$14)*C28*12*(1+'29_01_H_2020'!$O$17),2)</f>
        <v>0</v>
      </c>
    </row>
    <row r="29" spans="2:8" hidden="1">
      <c r="B29" s="573"/>
      <c r="C29" s="574"/>
      <c r="D29" s="571"/>
      <c r="E29" s="571"/>
      <c r="F29" s="571"/>
      <c r="G29" s="586"/>
      <c r="H29" s="304">
        <f>ROUND((D29+E29+F29)*('29_01_H_2020'!$O$14)*C29*12*(1+'29_01_H_2020'!$O$17),2)</f>
        <v>0</v>
      </c>
    </row>
    <row r="30" spans="2:8" hidden="1">
      <c r="B30" s="573"/>
      <c r="C30" s="574"/>
      <c r="D30" s="571"/>
      <c r="E30" s="571"/>
      <c r="F30" s="571"/>
      <c r="G30" s="586"/>
      <c r="H30" s="304">
        <f>ROUND((D30+E30+F30)*('29_01_H_2020'!$O$14)*C30*12*(1+'29_01_H_2020'!$O$17),2)</f>
        <v>0</v>
      </c>
    </row>
    <row r="31" spans="2:8" ht="38.25">
      <c r="B31" s="566" t="s">
        <v>187</v>
      </c>
      <c r="C31" s="588">
        <f>SUM(C32:C135)</f>
        <v>104</v>
      </c>
      <c r="D31" s="588" t="s">
        <v>52</v>
      </c>
      <c r="E31" s="588" t="s">
        <v>52</v>
      </c>
      <c r="F31" s="588" t="s">
        <v>52</v>
      </c>
      <c r="G31" s="588" t="s">
        <v>52</v>
      </c>
      <c r="H31" s="588" t="s">
        <v>52</v>
      </c>
    </row>
    <row r="32" spans="2:8">
      <c r="B32" s="573" t="s">
        <v>524</v>
      </c>
      <c r="C32" s="570">
        <v>1</v>
      </c>
      <c r="D32" s="580">
        <v>902.75</v>
      </c>
      <c r="E32" s="581">
        <v>0</v>
      </c>
      <c r="F32" s="581">
        <v>0</v>
      </c>
      <c r="G32" s="585">
        <v>902.75</v>
      </c>
      <c r="H32" s="555">
        <f>ROUND((D32+E32+F32)*('29_01_H_2020'!$O$10)*C32*12*(1+'29_01_H_2020'!$O$17),2)</f>
        <v>3399.34</v>
      </c>
    </row>
    <row r="33" spans="2:8">
      <c r="B33" s="573" t="s">
        <v>525</v>
      </c>
      <c r="C33" s="570">
        <v>1</v>
      </c>
      <c r="D33" s="580">
        <v>1012</v>
      </c>
      <c r="E33" s="581">
        <v>0</v>
      </c>
      <c r="F33" s="581">
        <v>0</v>
      </c>
      <c r="G33" s="585">
        <v>1012</v>
      </c>
      <c r="H33" s="555">
        <f>ROUND((D33+E33+F33)*('29_01_H_2020'!$O$10)*C33*12*(1+'29_01_H_2020'!$O$17),2)</f>
        <v>3810.73</v>
      </c>
    </row>
    <row r="34" spans="2:8">
      <c r="B34" s="573" t="s">
        <v>526</v>
      </c>
      <c r="C34" s="570">
        <v>1</v>
      </c>
      <c r="D34" s="580">
        <v>1288</v>
      </c>
      <c r="E34" s="581">
        <v>0</v>
      </c>
      <c r="F34" s="581">
        <v>0</v>
      </c>
      <c r="G34" s="585">
        <v>1288</v>
      </c>
      <c r="H34" s="555">
        <f>ROUND((D34+E34+F34)*('29_01_H_2020'!$O$10)*C34*12*(1+'29_01_H_2020'!$O$17),2)</f>
        <v>4850.0200000000004</v>
      </c>
    </row>
    <row r="35" spans="2:8">
      <c r="B35" s="573" t="s">
        <v>527</v>
      </c>
      <c r="C35" s="570">
        <v>1</v>
      </c>
      <c r="D35" s="580">
        <v>937.25</v>
      </c>
      <c r="E35" s="581">
        <v>0</v>
      </c>
      <c r="F35" s="581">
        <v>0</v>
      </c>
      <c r="G35" s="585">
        <v>937.25</v>
      </c>
      <c r="H35" s="555">
        <f>ROUND((D35+E35+F35)*('29_01_H_2020'!$O$10)*C35*12*(1+'29_01_H_2020'!$O$17),2)</f>
        <v>3529.25</v>
      </c>
    </row>
    <row r="36" spans="2:8">
      <c r="B36" s="573" t="s">
        <v>528</v>
      </c>
      <c r="C36" s="570">
        <v>1</v>
      </c>
      <c r="D36" s="580">
        <v>1466.25</v>
      </c>
      <c r="E36" s="581">
        <v>0</v>
      </c>
      <c r="F36" s="581">
        <v>0</v>
      </c>
      <c r="G36" s="585">
        <v>1466.25</v>
      </c>
      <c r="H36" s="555">
        <f>ROUND((D36+E36+F36)*('29_01_H_2020'!$O$10)*C36*12*(1+'29_01_H_2020'!$O$17),2)</f>
        <v>5521.22</v>
      </c>
    </row>
    <row r="37" spans="2:8">
      <c r="B37" s="573" t="s">
        <v>529</v>
      </c>
      <c r="C37" s="570">
        <v>1</v>
      </c>
      <c r="D37" s="580">
        <v>1247.75</v>
      </c>
      <c r="E37" s="581">
        <v>0</v>
      </c>
      <c r="F37" s="581">
        <v>0</v>
      </c>
      <c r="G37" s="585">
        <v>1247.75</v>
      </c>
      <c r="H37" s="555">
        <f>ROUND((D37+E37+F37)*('29_01_H_2020'!$O$10)*C37*12*(1+'29_01_H_2020'!$O$17),2)</f>
        <v>4698.45</v>
      </c>
    </row>
    <row r="38" spans="2:8">
      <c r="B38" s="573" t="s">
        <v>530</v>
      </c>
      <c r="C38" s="570">
        <v>1</v>
      </c>
      <c r="D38" s="580">
        <v>1500.75</v>
      </c>
      <c r="E38" s="581">
        <v>0</v>
      </c>
      <c r="F38" s="581">
        <v>0</v>
      </c>
      <c r="G38" s="585">
        <v>1500.75</v>
      </c>
      <c r="H38" s="555">
        <f>ROUND((D38+E38+F38)*('29_01_H_2020'!$O$10)*C38*12*(1+'29_01_H_2020'!$O$17),2)</f>
        <v>5651.13</v>
      </c>
    </row>
    <row r="39" spans="2:8">
      <c r="B39" s="573" t="s">
        <v>511</v>
      </c>
      <c r="C39" s="570">
        <v>1</v>
      </c>
      <c r="D39" s="580">
        <v>977.5</v>
      </c>
      <c r="E39" s="581">
        <v>0</v>
      </c>
      <c r="F39" s="581">
        <v>0</v>
      </c>
      <c r="G39" s="585">
        <v>977.5</v>
      </c>
      <c r="H39" s="555">
        <f>ROUND((D39+E39+F39)*('29_01_H_2020'!$O$10)*C39*12*(1+'29_01_H_2020'!$O$17),2)</f>
        <v>3680.82</v>
      </c>
    </row>
    <row r="40" spans="2:8">
      <c r="B40" s="573" t="s">
        <v>527</v>
      </c>
      <c r="C40" s="570">
        <v>1</v>
      </c>
      <c r="D40" s="580">
        <v>1075.25</v>
      </c>
      <c r="E40" s="581">
        <v>0</v>
      </c>
      <c r="F40" s="581">
        <v>0</v>
      </c>
      <c r="G40" s="585">
        <v>1075.25</v>
      </c>
      <c r="H40" s="555">
        <f>ROUND((D40+E40+F40)*('29_01_H_2020'!$O$10)*C40*12*(1+'29_01_H_2020'!$O$17),2)</f>
        <v>4048.9</v>
      </c>
    </row>
    <row r="41" spans="2:8">
      <c r="B41" s="573" t="s">
        <v>530</v>
      </c>
      <c r="C41" s="570">
        <v>1</v>
      </c>
      <c r="D41" s="580">
        <v>1247.75</v>
      </c>
      <c r="E41" s="581">
        <v>0</v>
      </c>
      <c r="F41" s="581">
        <v>0</v>
      </c>
      <c r="G41" s="585">
        <v>1247.75</v>
      </c>
      <c r="H41" s="555">
        <f>ROUND((D41+E41+F41)*('29_01_H_2020'!$O$10)*C41*12*(1+'29_01_H_2020'!$O$17),2)</f>
        <v>4698.45</v>
      </c>
    </row>
    <row r="42" spans="2:8">
      <c r="B42" s="573" t="s">
        <v>511</v>
      </c>
      <c r="C42" s="570">
        <v>1</v>
      </c>
      <c r="D42" s="580">
        <v>948.75</v>
      </c>
      <c r="E42" s="581">
        <v>0</v>
      </c>
      <c r="F42" s="581">
        <v>0</v>
      </c>
      <c r="G42" s="585">
        <v>948.75</v>
      </c>
      <c r="H42" s="555">
        <f>ROUND((D42+E42+F42)*('29_01_H_2020'!$O$10)*C42*12*(1+'29_01_H_2020'!$O$17),2)</f>
        <v>3572.56</v>
      </c>
    </row>
    <row r="43" spans="2:8">
      <c r="B43" s="573" t="s">
        <v>527</v>
      </c>
      <c r="C43" s="570">
        <v>1</v>
      </c>
      <c r="D43" s="580">
        <v>937.25</v>
      </c>
      <c r="E43" s="581">
        <v>0</v>
      </c>
      <c r="F43" s="581">
        <v>0</v>
      </c>
      <c r="G43" s="585">
        <v>937.25</v>
      </c>
      <c r="H43" s="555">
        <f>ROUND((D43+E43+F43)*('29_01_H_2020'!$O$10)*C43*12*(1+'29_01_H_2020'!$O$17),2)</f>
        <v>3529.25</v>
      </c>
    </row>
    <row r="44" spans="2:8">
      <c r="B44" s="573" t="s">
        <v>529</v>
      </c>
      <c r="C44" s="570">
        <v>1</v>
      </c>
      <c r="D44" s="580">
        <v>1288</v>
      </c>
      <c r="E44" s="581">
        <v>0</v>
      </c>
      <c r="F44" s="581">
        <v>0</v>
      </c>
      <c r="G44" s="585">
        <v>1288</v>
      </c>
      <c r="H44" s="555">
        <f>ROUND((D44+E44+F44)*('29_01_H_2020'!$O$10)*C44*12*(1+'29_01_H_2020'!$O$17),2)</f>
        <v>4850.0200000000004</v>
      </c>
    </row>
    <row r="45" spans="2:8">
      <c r="B45" s="573" t="s">
        <v>530</v>
      </c>
      <c r="C45" s="570">
        <v>1</v>
      </c>
      <c r="D45" s="580">
        <v>1293.75</v>
      </c>
      <c r="E45" s="581">
        <v>0</v>
      </c>
      <c r="F45" s="581">
        <v>0</v>
      </c>
      <c r="G45" s="585">
        <v>1293.75</v>
      </c>
      <c r="H45" s="555">
        <f>ROUND((D45+E45+F45)*('29_01_H_2020'!$O$10)*C45*12*(1+'29_01_H_2020'!$O$17),2)</f>
        <v>4871.67</v>
      </c>
    </row>
    <row r="46" spans="2:8">
      <c r="B46" s="573" t="s">
        <v>511</v>
      </c>
      <c r="C46" s="570">
        <v>1</v>
      </c>
      <c r="D46" s="580">
        <v>948.75</v>
      </c>
      <c r="E46" s="581">
        <v>0</v>
      </c>
      <c r="F46" s="581">
        <v>0</v>
      </c>
      <c r="G46" s="585">
        <v>948.75</v>
      </c>
      <c r="H46" s="555">
        <f>ROUND((D46+E46+F46)*('29_01_H_2020'!$O$10)*C46*12*(1+'29_01_H_2020'!$O$17),2)</f>
        <v>3572.56</v>
      </c>
    </row>
    <row r="47" spans="2:8">
      <c r="B47" s="573" t="s">
        <v>527</v>
      </c>
      <c r="C47" s="570">
        <v>1</v>
      </c>
      <c r="D47" s="580">
        <v>1012</v>
      </c>
      <c r="E47" s="581">
        <v>0</v>
      </c>
      <c r="F47" s="581">
        <v>0</v>
      </c>
      <c r="G47" s="585">
        <v>1012</v>
      </c>
      <c r="H47" s="555">
        <f>ROUND((D47+E47+F47)*('29_01_H_2020'!$O$10)*C47*12*(1+'29_01_H_2020'!$O$17),2)</f>
        <v>3810.73</v>
      </c>
    </row>
    <row r="48" spans="2:8">
      <c r="B48" s="573" t="s">
        <v>530</v>
      </c>
      <c r="C48" s="570">
        <v>1</v>
      </c>
      <c r="D48" s="580">
        <v>1144.25</v>
      </c>
      <c r="E48" s="581">
        <v>0</v>
      </c>
      <c r="F48" s="581">
        <v>0</v>
      </c>
      <c r="G48" s="585">
        <v>1144.25</v>
      </c>
      <c r="H48" s="555">
        <f>ROUND((D48+E48+F48)*('29_01_H_2020'!$O$10)*C48*12*(1+'29_01_H_2020'!$O$17),2)</f>
        <v>4308.72</v>
      </c>
    </row>
    <row r="49" spans="2:8">
      <c r="B49" s="573" t="s">
        <v>511</v>
      </c>
      <c r="C49" s="570">
        <v>1</v>
      </c>
      <c r="D49" s="580">
        <v>948.75</v>
      </c>
      <c r="E49" s="581">
        <v>0</v>
      </c>
      <c r="F49" s="581">
        <v>0</v>
      </c>
      <c r="G49" s="585">
        <v>948.75</v>
      </c>
      <c r="H49" s="555">
        <f>ROUND((D49+E49+F49)*('29_01_H_2020'!$O$10)*C49*12*(1+'29_01_H_2020'!$O$17),2)</f>
        <v>3572.56</v>
      </c>
    </row>
    <row r="50" spans="2:8">
      <c r="B50" s="573" t="s">
        <v>529</v>
      </c>
      <c r="C50" s="570">
        <v>1</v>
      </c>
      <c r="D50" s="580">
        <v>1161.5</v>
      </c>
      <c r="E50" s="581">
        <v>0</v>
      </c>
      <c r="F50" s="581">
        <v>0</v>
      </c>
      <c r="G50" s="585">
        <v>1161.5</v>
      </c>
      <c r="H50" s="555">
        <f>ROUND((D50+E50+F50)*('29_01_H_2020'!$O$10)*C50*12*(1+'29_01_H_2020'!$O$17),2)</f>
        <v>4373.67</v>
      </c>
    </row>
    <row r="51" spans="2:8">
      <c r="B51" s="573" t="s">
        <v>530</v>
      </c>
      <c r="C51" s="570">
        <v>1</v>
      </c>
      <c r="D51" s="580">
        <v>1178.75</v>
      </c>
      <c r="E51" s="581">
        <v>0</v>
      </c>
      <c r="F51" s="581">
        <v>0</v>
      </c>
      <c r="G51" s="585">
        <v>1178.75</v>
      </c>
      <c r="H51" s="555">
        <f>ROUND((D51+E51+F51)*('29_01_H_2020'!$O$10)*C51*12*(1+'29_01_H_2020'!$O$17),2)</f>
        <v>4438.63</v>
      </c>
    </row>
    <row r="52" spans="2:8">
      <c r="B52" s="573" t="s">
        <v>511</v>
      </c>
      <c r="C52" s="570">
        <v>1</v>
      </c>
      <c r="D52" s="580">
        <v>879.75</v>
      </c>
      <c r="E52" s="581">
        <v>0</v>
      </c>
      <c r="F52" s="581">
        <v>0</v>
      </c>
      <c r="G52" s="585">
        <v>879.75</v>
      </c>
      <c r="H52" s="555">
        <f>ROUND((D52+E52+F52)*('29_01_H_2020'!$O$10)*C52*12*(1+'29_01_H_2020'!$O$17),2)</f>
        <v>3312.73</v>
      </c>
    </row>
    <row r="53" spans="2:8">
      <c r="B53" s="573" t="s">
        <v>526</v>
      </c>
      <c r="C53" s="570">
        <v>1</v>
      </c>
      <c r="D53" s="580">
        <v>1012</v>
      </c>
      <c r="E53" s="581">
        <v>0</v>
      </c>
      <c r="F53" s="581">
        <v>0</v>
      </c>
      <c r="G53" s="585">
        <v>1012</v>
      </c>
      <c r="H53" s="555">
        <f>ROUND((D53+E53+F53)*('29_01_H_2020'!$O$10)*C53*12*(1+'29_01_H_2020'!$O$17),2)</f>
        <v>3810.73</v>
      </c>
    </row>
    <row r="54" spans="2:8">
      <c r="B54" s="573" t="s">
        <v>511</v>
      </c>
      <c r="C54" s="570">
        <v>1</v>
      </c>
      <c r="D54" s="580">
        <v>977.5</v>
      </c>
      <c r="E54" s="581">
        <v>0</v>
      </c>
      <c r="F54" s="581">
        <v>0</v>
      </c>
      <c r="G54" s="585">
        <v>977.5</v>
      </c>
      <c r="H54" s="555">
        <f>ROUND((D54+E54+F54)*('29_01_H_2020'!$O$10)*C54*12*(1+'29_01_H_2020'!$O$17),2)</f>
        <v>3680.82</v>
      </c>
    </row>
    <row r="55" spans="2:8">
      <c r="B55" s="573" t="s">
        <v>527</v>
      </c>
      <c r="C55" s="570">
        <v>1</v>
      </c>
      <c r="D55" s="580">
        <v>1035</v>
      </c>
      <c r="E55" s="581">
        <v>0</v>
      </c>
      <c r="F55" s="581">
        <v>0</v>
      </c>
      <c r="G55" s="585">
        <v>1035</v>
      </c>
      <c r="H55" s="555">
        <f>ROUND((D55+E55+F55)*('29_01_H_2020'!$O$10)*C55*12*(1+'29_01_H_2020'!$O$17),2)</f>
        <v>3897.33</v>
      </c>
    </row>
    <row r="56" spans="2:8">
      <c r="B56" s="573" t="s">
        <v>511</v>
      </c>
      <c r="C56" s="570">
        <v>1</v>
      </c>
      <c r="D56" s="580">
        <v>977.5</v>
      </c>
      <c r="E56" s="581">
        <v>0</v>
      </c>
      <c r="F56" s="581">
        <v>0</v>
      </c>
      <c r="G56" s="585">
        <v>977.5</v>
      </c>
      <c r="H56" s="555">
        <f>ROUND((D56+E56+F56)*('29_01_H_2020'!$O$10)*C56*12*(1+'29_01_H_2020'!$O$17),2)</f>
        <v>3680.82</v>
      </c>
    </row>
    <row r="57" spans="2:8">
      <c r="B57" s="573" t="s">
        <v>511</v>
      </c>
      <c r="C57" s="570">
        <v>1</v>
      </c>
      <c r="D57" s="580">
        <v>925.75</v>
      </c>
      <c r="E57" s="581">
        <v>0</v>
      </c>
      <c r="F57" s="581">
        <v>0</v>
      </c>
      <c r="G57" s="585">
        <v>925.75</v>
      </c>
      <c r="H57" s="555">
        <f>ROUND((D57+E57+F57)*('29_01_H_2020'!$O$10)*C57*12*(1+'29_01_H_2020'!$O$17),2)</f>
        <v>3485.95</v>
      </c>
    </row>
    <row r="58" spans="2:8">
      <c r="B58" s="573" t="s">
        <v>527</v>
      </c>
      <c r="C58" s="570">
        <v>1</v>
      </c>
      <c r="D58" s="580">
        <v>902.75</v>
      </c>
      <c r="E58" s="581">
        <v>0</v>
      </c>
      <c r="F58" s="581">
        <v>0</v>
      </c>
      <c r="G58" s="585">
        <v>902.75</v>
      </c>
      <c r="H58" s="555">
        <f>ROUND((D58+E58+F58)*('29_01_H_2020'!$O$10)*C58*12*(1+'29_01_H_2020'!$O$17),2)</f>
        <v>3399.34</v>
      </c>
    </row>
    <row r="59" spans="2:8">
      <c r="B59" s="573" t="s">
        <v>528</v>
      </c>
      <c r="C59" s="570">
        <v>1</v>
      </c>
      <c r="D59" s="580">
        <v>1164</v>
      </c>
      <c r="E59" s="581">
        <v>0</v>
      </c>
      <c r="F59" s="581">
        <v>0</v>
      </c>
      <c r="G59" s="585">
        <v>1164</v>
      </c>
      <c r="H59" s="555">
        <f>ROUND((D59+E59+F59)*('29_01_H_2020'!$O$10)*C59*12*(1+'29_01_H_2020'!$O$17),2)</f>
        <v>4383.09</v>
      </c>
    </row>
    <row r="60" spans="2:8">
      <c r="B60" s="573" t="s">
        <v>511</v>
      </c>
      <c r="C60" s="570">
        <v>1</v>
      </c>
      <c r="D60" s="580">
        <v>902.75</v>
      </c>
      <c r="E60" s="581">
        <v>0</v>
      </c>
      <c r="F60" s="581">
        <v>0</v>
      </c>
      <c r="G60" s="585">
        <v>902.75</v>
      </c>
      <c r="H60" s="555">
        <f>ROUND((D60+E60+F60)*('29_01_H_2020'!$O$10)*C60*12*(1+'29_01_H_2020'!$O$17),2)</f>
        <v>3399.34</v>
      </c>
    </row>
    <row r="61" spans="2:8">
      <c r="B61" s="573" t="s">
        <v>511</v>
      </c>
      <c r="C61" s="570">
        <v>1</v>
      </c>
      <c r="D61" s="580">
        <v>925.75</v>
      </c>
      <c r="E61" s="581">
        <v>0</v>
      </c>
      <c r="F61" s="581">
        <v>0</v>
      </c>
      <c r="G61" s="585">
        <v>925.75</v>
      </c>
      <c r="H61" s="555">
        <f>ROUND((D61+E61+F61)*('29_01_H_2020'!$O$10)*C61*12*(1+'29_01_H_2020'!$O$17),2)</f>
        <v>3485.95</v>
      </c>
    </row>
    <row r="62" spans="2:8">
      <c r="B62" s="573" t="s">
        <v>511</v>
      </c>
      <c r="C62" s="570">
        <v>1</v>
      </c>
      <c r="D62" s="580">
        <v>948.75</v>
      </c>
      <c r="E62" s="581">
        <v>0</v>
      </c>
      <c r="F62" s="581">
        <v>0</v>
      </c>
      <c r="G62" s="585">
        <v>948.75</v>
      </c>
      <c r="H62" s="555">
        <f>ROUND((D62+E62+F62)*('29_01_H_2020'!$O$10)*C62*12*(1+'29_01_H_2020'!$O$17),2)</f>
        <v>3572.56</v>
      </c>
    </row>
    <row r="63" spans="2:8">
      <c r="B63" s="573" t="s">
        <v>511</v>
      </c>
      <c r="C63" s="570">
        <v>1</v>
      </c>
      <c r="D63" s="580">
        <v>925.75</v>
      </c>
      <c r="E63" s="581">
        <v>0</v>
      </c>
      <c r="F63" s="581">
        <v>0</v>
      </c>
      <c r="G63" s="585">
        <v>925.75</v>
      </c>
      <c r="H63" s="555">
        <f>ROUND((D63+E63+F63)*('29_01_H_2020'!$O$10)*C63*12*(1+'29_01_H_2020'!$O$17),2)</f>
        <v>3485.95</v>
      </c>
    </row>
    <row r="64" spans="2:8">
      <c r="B64" s="573" t="s">
        <v>526</v>
      </c>
      <c r="C64" s="570">
        <v>1</v>
      </c>
      <c r="D64" s="580">
        <v>1201.75</v>
      </c>
      <c r="E64" s="581">
        <v>0</v>
      </c>
      <c r="F64" s="581">
        <v>0</v>
      </c>
      <c r="G64" s="585">
        <v>1201.75</v>
      </c>
      <c r="H64" s="555">
        <f>ROUND((D64+E64+F64)*('29_01_H_2020'!$O$10)*C64*12*(1+'29_01_H_2020'!$O$17),2)</f>
        <v>4525.24</v>
      </c>
    </row>
    <row r="65" spans="2:8">
      <c r="B65" s="573" t="s">
        <v>528</v>
      </c>
      <c r="C65" s="570">
        <v>1</v>
      </c>
      <c r="D65" s="580">
        <v>954.5</v>
      </c>
      <c r="E65" s="581">
        <v>0</v>
      </c>
      <c r="F65" s="581">
        <v>0</v>
      </c>
      <c r="G65" s="585">
        <v>954.5</v>
      </c>
      <c r="H65" s="555">
        <f>ROUND((D65+E65+F65)*('29_01_H_2020'!$O$10)*C65*12*(1+'29_01_H_2020'!$O$17),2)</f>
        <v>3594.21</v>
      </c>
    </row>
    <row r="66" spans="2:8">
      <c r="B66" s="573" t="s">
        <v>511</v>
      </c>
      <c r="C66" s="570">
        <v>1</v>
      </c>
      <c r="D66" s="580">
        <v>879.75</v>
      </c>
      <c r="E66" s="581">
        <v>0</v>
      </c>
      <c r="F66" s="581">
        <v>0</v>
      </c>
      <c r="G66" s="585">
        <v>879.75</v>
      </c>
      <c r="H66" s="555">
        <f>ROUND((D66+E66+F66)*('29_01_H_2020'!$O$10)*C66*12*(1+'29_01_H_2020'!$O$17),2)</f>
        <v>3312.73</v>
      </c>
    </row>
    <row r="67" spans="2:8">
      <c r="B67" s="573" t="s">
        <v>511</v>
      </c>
      <c r="C67" s="570">
        <v>1</v>
      </c>
      <c r="D67" s="580">
        <v>902.75</v>
      </c>
      <c r="E67" s="581">
        <v>0</v>
      </c>
      <c r="F67" s="581">
        <v>0</v>
      </c>
      <c r="G67" s="585">
        <v>902.75</v>
      </c>
      <c r="H67" s="555">
        <f>ROUND((D67+E67+F67)*('29_01_H_2020'!$O$10)*C67*12*(1+'29_01_H_2020'!$O$17),2)</f>
        <v>3399.34</v>
      </c>
    </row>
    <row r="68" spans="2:8">
      <c r="B68" s="573" t="s">
        <v>511</v>
      </c>
      <c r="C68" s="570">
        <v>1</v>
      </c>
      <c r="D68" s="580">
        <v>902.75</v>
      </c>
      <c r="E68" s="581">
        <v>0</v>
      </c>
      <c r="F68" s="581">
        <v>0</v>
      </c>
      <c r="G68" s="585">
        <v>902.75</v>
      </c>
      <c r="H68" s="555">
        <f>ROUND((D68+E68+F68)*('29_01_H_2020'!$O$10)*C68*12*(1+'29_01_H_2020'!$O$17),2)</f>
        <v>3399.34</v>
      </c>
    </row>
    <row r="69" spans="2:8">
      <c r="B69" s="573" t="s">
        <v>527</v>
      </c>
      <c r="C69" s="570">
        <v>1</v>
      </c>
      <c r="D69" s="580">
        <v>833.75</v>
      </c>
      <c r="E69" s="581">
        <v>0</v>
      </c>
      <c r="F69" s="581">
        <v>0</v>
      </c>
      <c r="G69" s="585">
        <v>833.75</v>
      </c>
      <c r="H69" s="555">
        <f>ROUND((D69+E69+F69)*('29_01_H_2020'!$O$10)*C69*12*(1+'29_01_H_2020'!$O$17),2)</f>
        <v>3139.52</v>
      </c>
    </row>
    <row r="70" spans="2:8">
      <c r="B70" s="573" t="s">
        <v>511</v>
      </c>
      <c r="C70" s="570">
        <v>1</v>
      </c>
      <c r="D70" s="580">
        <v>879.75</v>
      </c>
      <c r="E70" s="581">
        <v>0</v>
      </c>
      <c r="F70" s="581">
        <v>0</v>
      </c>
      <c r="G70" s="585">
        <v>879.75</v>
      </c>
      <c r="H70" s="555">
        <f>ROUND((D70+E70+F70)*('29_01_H_2020'!$O$10)*C70*12*(1+'29_01_H_2020'!$O$17),2)</f>
        <v>3312.73</v>
      </c>
    </row>
    <row r="71" spans="2:8">
      <c r="B71" s="573" t="s">
        <v>511</v>
      </c>
      <c r="C71" s="570">
        <v>1</v>
      </c>
      <c r="D71" s="580">
        <v>902.75</v>
      </c>
      <c r="E71" s="581">
        <v>0</v>
      </c>
      <c r="F71" s="581">
        <v>0</v>
      </c>
      <c r="G71" s="585">
        <v>902.75</v>
      </c>
      <c r="H71" s="555">
        <f>ROUND((D71+E71+F71)*('29_01_H_2020'!$O$10)*C71*12*(1+'29_01_H_2020'!$O$17),2)</f>
        <v>3399.34</v>
      </c>
    </row>
    <row r="72" spans="2:8">
      <c r="B72" s="573" t="s">
        <v>511</v>
      </c>
      <c r="C72" s="570">
        <v>1</v>
      </c>
      <c r="D72" s="580">
        <v>879.75</v>
      </c>
      <c r="E72" s="581">
        <v>0</v>
      </c>
      <c r="F72" s="581">
        <v>0</v>
      </c>
      <c r="G72" s="585">
        <v>879.75</v>
      </c>
      <c r="H72" s="555">
        <f>ROUND((D72+E72+F72)*('29_01_H_2020'!$O$10)*C72*12*(1+'29_01_H_2020'!$O$17),2)</f>
        <v>3312.73</v>
      </c>
    </row>
    <row r="73" spans="2:8">
      <c r="B73" s="573" t="s">
        <v>511</v>
      </c>
      <c r="C73" s="570">
        <v>1</v>
      </c>
      <c r="D73" s="580">
        <v>948.75</v>
      </c>
      <c r="E73" s="581">
        <v>0</v>
      </c>
      <c r="F73" s="581">
        <v>0</v>
      </c>
      <c r="G73" s="585">
        <v>948.75</v>
      </c>
      <c r="H73" s="555">
        <f>ROUND((D73+E73+F73)*('29_01_H_2020'!$O$10)*C73*12*(1+'29_01_H_2020'!$O$17),2)</f>
        <v>3572.56</v>
      </c>
    </row>
    <row r="74" spans="2:8">
      <c r="B74" s="573" t="s">
        <v>511</v>
      </c>
      <c r="C74" s="570">
        <v>1</v>
      </c>
      <c r="D74" s="580">
        <v>977.5</v>
      </c>
      <c r="E74" s="581">
        <v>0</v>
      </c>
      <c r="F74" s="581">
        <v>0</v>
      </c>
      <c r="G74" s="585">
        <v>977.5</v>
      </c>
      <c r="H74" s="555">
        <f>ROUND((D74+E74+F74)*('29_01_H_2020'!$O$10)*C74*12*(1+'29_01_H_2020'!$O$17),2)</f>
        <v>3680.82</v>
      </c>
    </row>
    <row r="75" spans="2:8">
      <c r="B75" s="573" t="s">
        <v>511</v>
      </c>
      <c r="C75" s="570">
        <v>1</v>
      </c>
      <c r="D75" s="580">
        <v>879.75</v>
      </c>
      <c r="E75" s="581">
        <v>0</v>
      </c>
      <c r="F75" s="581">
        <v>0</v>
      </c>
      <c r="G75" s="585">
        <v>879.75</v>
      </c>
      <c r="H75" s="555">
        <f>ROUND((D75+E75+F75)*('29_01_H_2020'!$O$10)*C75*12*(1+'29_01_H_2020'!$O$17),2)</f>
        <v>3312.73</v>
      </c>
    </row>
    <row r="76" spans="2:8">
      <c r="B76" s="573" t="s">
        <v>511</v>
      </c>
      <c r="C76" s="570">
        <v>1</v>
      </c>
      <c r="D76" s="580">
        <v>925.75</v>
      </c>
      <c r="E76" s="581">
        <v>0</v>
      </c>
      <c r="F76" s="581">
        <v>0</v>
      </c>
      <c r="G76" s="585">
        <v>925.75</v>
      </c>
      <c r="H76" s="555">
        <f>ROUND((D76+E76+F76)*('29_01_H_2020'!$O$10)*C76*12*(1+'29_01_H_2020'!$O$17),2)</f>
        <v>3485.95</v>
      </c>
    </row>
    <row r="77" spans="2:8">
      <c r="B77" s="573" t="s">
        <v>530</v>
      </c>
      <c r="C77" s="570">
        <v>1</v>
      </c>
      <c r="D77" s="580">
        <v>1566</v>
      </c>
      <c r="E77" s="581">
        <v>0</v>
      </c>
      <c r="F77" s="581">
        <v>0</v>
      </c>
      <c r="G77" s="585">
        <v>1566</v>
      </c>
      <c r="H77" s="555">
        <f>ROUND((D77+E77+F77)*('29_01_H_2020'!$O$10)*C77*12*(1+'29_01_H_2020'!$O$17),2)</f>
        <v>5896.84</v>
      </c>
    </row>
    <row r="78" spans="2:8">
      <c r="B78" s="573" t="s">
        <v>528</v>
      </c>
      <c r="C78" s="570">
        <v>1</v>
      </c>
      <c r="D78" s="580">
        <v>1530</v>
      </c>
      <c r="E78" s="581">
        <v>0</v>
      </c>
      <c r="F78" s="581">
        <v>0</v>
      </c>
      <c r="G78" s="585">
        <v>1530</v>
      </c>
      <c r="H78" s="555">
        <f>ROUND((D78+E78+F78)*('29_01_H_2020'!$O$10)*C78*12*(1+'29_01_H_2020'!$O$17),2)</f>
        <v>5761.28</v>
      </c>
    </row>
    <row r="79" spans="2:8">
      <c r="B79" s="573" t="s">
        <v>530</v>
      </c>
      <c r="C79" s="570">
        <v>1</v>
      </c>
      <c r="D79" s="580">
        <v>1566</v>
      </c>
      <c r="E79" s="581">
        <v>0</v>
      </c>
      <c r="F79" s="581">
        <v>0</v>
      </c>
      <c r="G79" s="585">
        <v>1566</v>
      </c>
      <c r="H79" s="555">
        <f>ROUND((D79+E79+F79)*('29_01_H_2020'!$O$10)*C79*12*(1+'29_01_H_2020'!$O$17),2)</f>
        <v>5896.84</v>
      </c>
    </row>
    <row r="80" spans="2:8">
      <c r="B80" s="573" t="s">
        <v>511</v>
      </c>
      <c r="C80" s="570">
        <v>1</v>
      </c>
      <c r="D80" s="580">
        <v>1188</v>
      </c>
      <c r="E80" s="581">
        <v>0</v>
      </c>
      <c r="F80" s="581">
        <v>0</v>
      </c>
      <c r="G80" s="585">
        <v>1188</v>
      </c>
      <c r="H80" s="555">
        <f>ROUND((D80+E80+F80)*('29_01_H_2020'!$O$10)*C80*12*(1+'29_01_H_2020'!$O$17),2)</f>
        <v>4473.46</v>
      </c>
    </row>
    <row r="81" spans="2:8">
      <c r="B81" s="573" t="s">
        <v>526</v>
      </c>
      <c r="C81" s="570">
        <v>1</v>
      </c>
      <c r="D81" s="580">
        <v>1278</v>
      </c>
      <c r="E81" s="581">
        <v>0</v>
      </c>
      <c r="F81" s="581">
        <v>0</v>
      </c>
      <c r="G81" s="585">
        <v>1278</v>
      </c>
      <c r="H81" s="555">
        <f>ROUND((D81+E81+F81)*('29_01_H_2020'!$O$10)*C81*12*(1+'29_01_H_2020'!$O$17),2)</f>
        <v>4812.3599999999997</v>
      </c>
    </row>
    <row r="82" spans="2:8">
      <c r="B82" s="573" t="s">
        <v>526</v>
      </c>
      <c r="C82" s="570">
        <v>1</v>
      </c>
      <c r="D82" s="580">
        <v>1188</v>
      </c>
      <c r="E82" s="581">
        <v>0</v>
      </c>
      <c r="F82" s="581">
        <v>0</v>
      </c>
      <c r="G82" s="585">
        <v>1188</v>
      </c>
      <c r="H82" s="555">
        <f>ROUND((D82+E82+F82)*('29_01_H_2020'!$O$10)*C82*12*(1+'29_01_H_2020'!$O$17),2)</f>
        <v>4473.46</v>
      </c>
    </row>
    <row r="83" spans="2:8">
      <c r="B83" s="573" t="s">
        <v>526</v>
      </c>
      <c r="C83" s="570">
        <v>1</v>
      </c>
      <c r="D83" s="580">
        <v>1344</v>
      </c>
      <c r="E83" s="581">
        <v>0</v>
      </c>
      <c r="F83" s="581">
        <v>0</v>
      </c>
      <c r="G83" s="585">
        <v>1344</v>
      </c>
      <c r="H83" s="555">
        <f>ROUND((D83+E83+F83)*('29_01_H_2020'!$O$10)*C83*12*(1+'29_01_H_2020'!$O$17),2)</f>
        <v>5060.8900000000003</v>
      </c>
    </row>
    <row r="84" spans="2:8">
      <c r="B84" s="573" t="s">
        <v>526</v>
      </c>
      <c r="C84" s="570">
        <v>1</v>
      </c>
      <c r="D84" s="580">
        <v>1164</v>
      </c>
      <c r="E84" s="581">
        <v>0</v>
      </c>
      <c r="F84" s="581">
        <v>0</v>
      </c>
      <c r="G84" s="585">
        <v>1164</v>
      </c>
      <c r="H84" s="555">
        <f>ROUND((D84+E84+F84)*('29_01_H_2020'!$O$10)*C84*12*(1+'29_01_H_2020'!$O$17),2)</f>
        <v>4383.09</v>
      </c>
    </row>
    <row r="85" spans="2:8">
      <c r="B85" s="573" t="s">
        <v>526</v>
      </c>
      <c r="C85" s="570">
        <v>1</v>
      </c>
      <c r="D85" s="580">
        <v>1326</v>
      </c>
      <c r="E85" s="581">
        <v>0</v>
      </c>
      <c r="F85" s="581">
        <v>0</v>
      </c>
      <c r="G85" s="585">
        <v>1326</v>
      </c>
      <c r="H85" s="555">
        <f>ROUND((D85+E85+F85)*('29_01_H_2020'!$O$10)*C85*12*(1+'29_01_H_2020'!$O$17),2)</f>
        <v>4993.1099999999997</v>
      </c>
    </row>
    <row r="86" spans="2:8">
      <c r="B86" s="573" t="s">
        <v>527</v>
      </c>
      <c r="C86" s="570">
        <v>1</v>
      </c>
      <c r="D86" s="580">
        <v>833.75</v>
      </c>
      <c r="E86" s="581">
        <v>0</v>
      </c>
      <c r="F86" s="581">
        <v>0</v>
      </c>
      <c r="G86" s="585">
        <v>833.75</v>
      </c>
      <c r="H86" s="555">
        <f>ROUND((D86+E86+F86)*('29_01_H_2020'!$O$10)*C86*12*(1+'29_01_H_2020'!$O$17),2)</f>
        <v>3139.52</v>
      </c>
    </row>
    <row r="87" spans="2:8">
      <c r="B87" s="573" t="s">
        <v>511</v>
      </c>
      <c r="C87" s="570">
        <v>1</v>
      </c>
      <c r="D87" s="580">
        <v>977.5</v>
      </c>
      <c r="E87" s="581">
        <v>0</v>
      </c>
      <c r="F87" s="581">
        <v>0</v>
      </c>
      <c r="G87" s="585">
        <v>977.5</v>
      </c>
      <c r="H87" s="555">
        <f>ROUND((D87+E87+F87)*('29_01_H_2020'!$O$10)*C87*12*(1+'29_01_H_2020'!$O$17),2)</f>
        <v>3680.82</v>
      </c>
    </row>
    <row r="88" spans="2:8">
      <c r="B88" s="573" t="s">
        <v>526</v>
      </c>
      <c r="C88" s="570">
        <v>1</v>
      </c>
      <c r="D88" s="580">
        <v>1224.75</v>
      </c>
      <c r="E88" s="581">
        <v>0</v>
      </c>
      <c r="F88" s="581">
        <v>0</v>
      </c>
      <c r="G88" s="585">
        <v>1224.75</v>
      </c>
      <c r="H88" s="555">
        <f>ROUND((D88+E88+F88)*('29_01_H_2020'!$O$10)*C88*12*(1+'29_01_H_2020'!$O$17),2)</f>
        <v>4611.8500000000004</v>
      </c>
    </row>
    <row r="89" spans="2:8">
      <c r="B89" s="573" t="s">
        <v>527</v>
      </c>
      <c r="C89" s="570">
        <v>1</v>
      </c>
      <c r="D89" s="580">
        <v>1132.75</v>
      </c>
      <c r="E89" s="581">
        <v>0</v>
      </c>
      <c r="F89" s="581">
        <v>0</v>
      </c>
      <c r="G89" s="585">
        <v>1132.75</v>
      </c>
      <c r="H89" s="555">
        <f>ROUND((D89+E89+F89)*('29_01_H_2020'!$O$10)*C89*12*(1+'29_01_H_2020'!$O$17),2)</f>
        <v>4265.42</v>
      </c>
    </row>
    <row r="90" spans="2:8">
      <c r="B90" s="573" t="s">
        <v>527</v>
      </c>
      <c r="C90" s="570">
        <v>1</v>
      </c>
      <c r="D90" s="580">
        <v>1109.75</v>
      </c>
      <c r="E90" s="581">
        <v>0</v>
      </c>
      <c r="F90" s="581">
        <v>0</v>
      </c>
      <c r="G90" s="585">
        <v>1109.75</v>
      </c>
      <c r="H90" s="555">
        <f>ROUND((D90+E90+F90)*('29_01_H_2020'!$O$10)*C90*12*(1+'29_01_H_2020'!$O$17),2)</f>
        <v>4178.8100000000004</v>
      </c>
    </row>
    <row r="91" spans="2:8">
      <c r="B91" s="573" t="s">
        <v>527</v>
      </c>
      <c r="C91" s="570">
        <v>1</v>
      </c>
      <c r="D91" s="580">
        <v>937.25</v>
      </c>
      <c r="E91" s="581">
        <v>0</v>
      </c>
      <c r="F91" s="581">
        <v>0</v>
      </c>
      <c r="G91" s="585">
        <v>937.25</v>
      </c>
      <c r="H91" s="555">
        <f>ROUND((D91+E91+F91)*('29_01_H_2020'!$O$10)*C91*12*(1+'29_01_H_2020'!$O$17),2)</f>
        <v>3529.25</v>
      </c>
    </row>
    <row r="92" spans="2:8">
      <c r="B92" s="573" t="s">
        <v>511</v>
      </c>
      <c r="C92" s="570">
        <v>1</v>
      </c>
      <c r="D92" s="580">
        <v>1247.75</v>
      </c>
      <c r="E92" s="581">
        <v>0</v>
      </c>
      <c r="F92" s="581">
        <v>0</v>
      </c>
      <c r="G92" s="585">
        <v>1247.75</v>
      </c>
      <c r="H92" s="555">
        <f>ROUND((D92+E92+F92)*('29_01_H_2020'!$O$10)*C92*12*(1+'29_01_H_2020'!$O$17),2)</f>
        <v>4698.45</v>
      </c>
    </row>
    <row r="93" spans="2:8">
      <c r="B93" s="573" t="s">
        <v>527</v>
      </c>
      <c r="C93" s="570">
        <v>1</v>
      </c>
      <c r="D93" s="580">
        <v>1035</v>
      </c>
      <c r="E93" s="581">
        <v>0</v>
      </c>
      <c r="F93" s="581">
        <v>0</v>
      </c>
      <c r="G93" s="585">
        <v>1035</v>
      </c>
      <c r="H93" s="555">
        <f>ROUND((D93+E93+F93)*('29_01_H_2020'!$O$10)*C93*12*(1+'29_01_H_2020'!$O$17),2)</f>
        <v>3897.33</v>
      </c>
    </row>
    <row r="94" spans="2:8">
      <c r="B94" s="573" t="s">
        <v>511</v>
      </c>
      <c r="C94" s="570">
        <v>1</v>
      </c>
      <c r="D94" s="580">
        <v>902.75</v>
      </c>
      <c r="E94" s="581">
        <v>0</v>
      </c>
      <c r="F94" s="581">
        <v>0</v>
      </c>
      <c r="G94" s="585">
        <v>902.75</v>
      </c>
      <c r="H94" s="555">
        <f>ROUND((D94+E94+F94)*('29_01_H_2020'!$O$10)*C94*12*(1+'29_01_H_2020'!$O$17),2)</f>
        <v>3399.34</v>
      </c>
    </row>
    <row r="95" spans="2:8">
      <c r="B95" s="573" t="s">
        <v>511</v>
      </c>
      <c r="C95" s="570">
        <v>1</v>
      </c>
      <c r="D95" s="580">
        <v>977.5</v>
      </c>
      <c r="E95" s="581">
        <v>0</v>
      </c>
      <c r="F95" s="581">
        <v>0</v>
      </c>
      <c r="G95" s="585">
        <v>977.5</v>
      </c>
      <c r="H95" s="555">
        <f>ROUND((D95+E95+F95)*('29_01_H_2020'!$O$10)*C95*12*(1+'29_01_H_2020'!$O$17),2)</f>
        <v>3680.82</v>
      </c>
    </row>
    <row r="96" spans="2:8">
      <c r="B96" s="573" t="s">
        <v>511</v>
      </c>
      <c r="C96" s="570">
        <v>1</v>
      </c>
      <c r="D96" s="580">
        <v>902.75</v>
      </c>
      <c r="E96" s="581">
        <v>0</v>
      </c>
      <c r="F96" s="581">
        <v>0</v>
      </c>
      <c r="G96" s="585">
        <v>902.75</v>
      </c>
      <c r="H96" s="555">
        <f>ROUND((D96+E96+F96)*('29_01_H_2020'!$O$10)*C96*12*(1+'29_01_H_2020'!$O$17),2)</f>
        <v>3399.34</v>
      </c>
    </row>
    <row r="97" spans="2:8">
      <c r="B97" s="573" t="s">
        <v>527</v>
      </c>
      <c r="C97" s="570">
        <v>1</v>
      </c>
      <c r="D97" s="580">
        <v>902.75</v>
      </c>
      <c r="E97" s="581">
        <v>0</v>
      </c>
      <c r="F97" s="581">
        <v>0</v>
      </c>
      <c r="G97" s="585">
        <v>902.75</v>
      </c>
      <c r="H97" s="555">
        <f>ROUND((D97+E97+F97)*('29_01_H_2020'!$O$10)*C97*12*(1+'29_01_H_2020'!$O$17),2)</f>
        <v>3399.34</v>
      </c>
    </row>
    <row r="98" spans="2:8">
      <c r="B98" s="573" t="s">
        <v>528</v>
      </c>
      <c r="C98" s="570">
        <v>1</v>
      </c>
      <c r="D98" s="580">
        <v>1380</v>
      </c>
      <c r="E98" s="581">
        <v>0</v>
      </c>
      <c r="F98" s="581">
        <v>0</v>
      </c>
      <c r="G98" s="585">
        <v>1380</v>
      </c>
      <c r="H98" s="555">
        <f>ROUND((D98+E98+F98)*('29_01_H_2020'!$O$10)*C98*12*(1+'29_01_H_2020'!$O$17),2)</f>
        <v>5196.45</v>
      </c>
    </row>
    <row r="99" spans="2:8">
      <c r="B99" s="573" t="s">
        <v>530</v>
      </c>
      <c r="C99" s="570">
        <v>1</v>
      </c>
      <c r="D99" s="580">
        <v>1426</v>
      </c>
      <c r="E99" s="581">
        <v>0</v>
      </c>
      <c r="F99" s="581">
        <v>0</v>
      </c>
      <c r="G99" s="585">
        <v>1426</v>
      </c>
      <c r="H99" s="555">
        <f>ROUND((D99+E99+F99)*('29_01_H_2020'!$O$10)*C99*12*(1+'29_01_H_2020'!$O$17),2)</f>
        <v>5369.66</v>
      </c>
    </row>
    <row r="100" spans="2:8">
      <c r="B100" s="573" t="s">
        <v>511</v>
      </c>
      <c r="C100" s="570">
        <v>1</v>
      </c>
      <c r="D100" s="580">
        <v>1138.5</v>
      </c>
      <c r="E100" s="581">
        <v>0</v>
      </c>
      <c r="F100" s="581">
        <v>0</v>
      </c>
      <c r="G100" s="585">
        <v>1138.5</v>
      </c>
      <c r="H100" s="555">
        <f>ROUND((D100+E100+F100)*('29_01_H_2020'!$O$10)*C100*12*(1+'29_01_H_2020'!$O$17),2)</f>
        <v>4287.07</v>
      </c>
    </row>
    <row r="101" spans="2:8">
      <c r="B101" s="573" t="s">
        <v>526</v>
      </c>
      <c r="C101" s="570">
        <v>1</v>
      </c>
      <c r="D101" s="580">
        <v>1138.5</v>
      </c>
      <c r="E101" s="581">
        <v>0</v>
      </c>
      <c r="F101" s="581">
        <v>0</v>
      </c>
      <c r="G101" s="585">
        <v>1138.5</v>
      </c>
      <c r="H101" s="555">
        <f>ROUND((D101+E101+F101)*('29_01_H_2020'!$O$10)*C101*12*(1+'29_01_H_2020'!$O$17),2)</f>
        <v>4287.07</v>
      </c>
    </row>
    <row r="102" spans="2:8">
      <c r="B102" s="573" t="s">
        <v>527</v>
      </c>
      <c r="C102" s="570">
        <v>1</v>
      </c>
      <c r="D102" s="580">
        <v>937.25</v>
      </c>
      <c r="E102" s="581">
        <v>0</v>
      </c>
      <c r="F102" s="581">
        <v>0</v>
      </c>
      <c r="G102" s="585">
        <v>937.25</v>
      </c>
      <c r="H102" s="555">
        <f>ROUND((D102+E102+F102)*('29_01_H_2020'!$O$10)*C102*12*(1+'29_01_H_2020'!$O$17),2)</f>
        <v>3529.25</v>
      </c>
    </row>
    <row r="103" spans="2:8">
      <c r="B103" s="573" t="s">
        <v>530</v>
      </c>
      <c r="C103" s="570">
        <v>1</v>
      </c>
      <c r="D103" s="580">
        <v>1500.75</v>
      </c>
      <c r="E103" s="581">
        <v>0</v>
      </c>
      <c r="F103" s="581">
        <v>0</v>
      </c>
      <c r="G103" s="585">
        <v>1500.75</v>
      </c>
      <c r="H103" s="555">
        <f>ROUND((D103+E103+F103)*('29_01_H_2020'!$O$10)*C103*12*(1+'29_01_H_2020'!$O$17),2)</f>
        <v>5651.13</v>
      </c>
    </row>
    <row r="104" spans="2:8">
      <c r="B104" s="573" t="s">
        <v>511</v>
      </c>
      <c r="C104" s="570">
        <v>1</v>
      </c>
      <c r="D104" s="580">
        <v>948.75</v>
      </c>
      <c r="E104" s="581">
        <v>0</v>
      </c>
      <c r="F104" s="581">
        <v>0</v>
      </c>
      <c r="G104" s="585">
        <v>948.75</v>
      </c>
      <c r="H104" s="555">
        <f>ROUND((D104+E104+F104)*('29_01_H_2020'!$O$10)*C104*12*(1+'29_01_H_2020'!$O$17),2)</f>
        <v>3572.56</v>
      </c>
    </row>
    <row r="105" spans="2:8">
      <c r="B105" s="573" t="s">
        <v>511</v>
      </c>
      <c r="C105" s="570">
        <v>1</v>
      </c>
      <c r="D105" s="580">
        <v>1138.5</v>
      </c>
      <c r="E105" s="581">
        <v>0</v>
      </c>
      <c r="F105" s="581">
        <v>0</v>
      </c>
      <c r="G105" s="585">
        <v>1138.5</v>
      </c>
      <c r="H105" s="555">
        <f>ROUND((D105+E105+F105)*('29_01_H_2020'!$O$10)*C105*12*(1+'29_01_H_2020'!$O$17),2)</f>
        <v>4287.07</v>
      </c>
    </row>
    <row r="106" spans="2:8">
      <c r="B106" s="573" t="s">
        <v>526</v>
      </c>
      <c r="C106" s="570">
        <v>1</v>
      </c>
      <c r="D106" s="580">
        <v>1201.75</v>
      </c>
      <c r="E106" s="581">
        <v>0</v>
      </c>
      <c r="F106" s="581">
        <v>0</v>
      </c>
      <c r="G106" s="585">
        <v>1201.75</v>
      </c>
      <c r="H106" s="555">
        <f>ROUND((D106+E106+F106)*('29_01_H_2020'!$O$10)*C106*12*(1+'29_01_H_2020'!$O$17),2)</f>
        <v>4525.24</v>
      </c>
    </row>
    <row r="107" spans="2:8">
      <c r="B107" s="573" t="s">
        <v>527</v>
      </c>
      <c r="C107" s="570">
        <v>1</v>
      </c>
      <c r="D107" s="580">
        <v>1069.5</v>
      </c>
      <c r="E107" s="581">
        <v>0</v>
      </c>
      <c r="F107" s="581">
        <v>0</v>
      </c>
      <c r="G107" s="585">
        <v>1069.5</v>
      </c>
      <c r="H107" s="555">
        <f>ROUND((D107+E107+F107)*('29_01_H_2020'!$O$10)*C107*12*(1+'29_01_H_2020'!$O$17),2)</f>
        <v>4027.25</v>
      </c>
    </row>
    <row r="108" spans="2:8">
      <c r="B108" s="573" t="s">
        <v>527</v>
      </c>
      <c r="C108" s="570">
        <v>1</v>
      </c>
      <c r="D108" s="580">
        <v>833.75</v>
      </c>
      <c r="E108" s="581">
        <v>0</v>
      </c>
      <c r="F108" s="581">
        <v>0</v>
      </c>
      <c r="G108" s="585">
        <v>833.75</v>
      </c>
      <c r="H108" s="555">
        <f>ROUND((D108+E108+F108)*('29_01_H_2020'!$O$10)*C108*12*(1+'29_01_H_2020'!$O$17),2)</f>
        <v>3139.52</v>
      </c>
    </row>
    <row r="109" spans="2:8">
      <c r="B109" s="573" t="s">
        <v>527</v>
      </c>
      <c r="C109" s="570">
        <v>1</v>
      </c>
      <c r="D109" s="580">
        <v>937.25</v>
      </c>
      <c r="E109" s="581">
        <v>0</v>
      </c>
      <c r="F109" s="581">
        <v>0</v>
      </c>
      <c r="G109" s="585">
        <v>937.25</v>
      </c>
      <c r="H109" s="555">
        <f>ROUND((D109+E109+F109)*('29_01_H_2020'!$O$10)*C109*12*(1+'29_01_H_2020'!$O$17),2)</f>
        <v>3529.25</v>
      </c>
    </row>
    <row r="110" spans="2:8">
      <c r="B110" s="573" t="s">
        <v>527</v>
      </c>
      <c r="C110" s="570">
        <v>1</v>
      </c>
      <c r="D110" s="580">
        <v>856.75</v>
      </c>
      <c r="E110" s="581">
        <v>0</v>
      </c>
      <c r="F110" s="581">
        <v>0</v>
      </c>
      <c r="G110" s="585">
        <v>856.75</v>
      </c>
      <c r="H110" s="555">
        <f>ROUND((D110+E110+F110)*('29_01_H_2020'!$O$10)*C110*12*(1+'29_01_H_2020'!$O$17),2)</f>
        <v>3226.13</v>
      </c>
    </row>
    <row r="111" spans="2:8">
      <c r="B111" s="573" t="s">
        <v>530</v>
      </c>
      <c r="C111" s="570">
        <v>1</v>
      </c>
      <c r="D111" s="580">
        <v>1063.75</v>
      </c>
      <c r="E111" s="581">
        <v>0</v>
      </c>
      <c r="F111" s="581">
        <v>0</v>
      </c>
      <c r="G111" s="585">
        <v>1063.75</v>
      </c>
      <c r="H111" s="555">
        <f>ROUND((D111+E111+F111)*('29_01_H_2020'!$O$10)*C111*12*(1+'29_01_H_2020'!$O$17),2)</f>
        <v>4005.59</v>
      </c>
    </row>
    <row r="112" spans="2:8">
      <c r="B112" s="573" t="s">
        <v>526</v>
      </c>
      <c r="C112" s="570">
        <v>1</v>
      </c>
      <c r="D112" s="580">
        <v>1201.75</v>
      </c>
      <c r="E112" s="581">
        <v>0</v>
      </c>
      <c r="F112" s="581">
        <v>0</v>
      </c>
      <c r="G112" s="585">
        <v>1201.75</v>
      </c>
      <c r="H112" s="555">
        <f>ROUND((D112+E112+F112)*('29_01_H_2020'!$O$10)*C112*12*(1+'29_01_H_2020'!$O$17),2)</f>
        <v>4525.24</v>
      </c>
    </row>
    <row r="113" spans="2:8">
      <c r="B113" s="573" t="s">
        <v>530</v>
      </c>
      <c r="C113" s="570">
        <v>1</v>
      </c>
      <c r="D113" s="580">
        <v>1266</v>
      </c>
      <c r="E113" s="581">
        <v>0</v>
      </c>
      <c r="F113" s="581">
        <v>0</v>
      </c>
      <c r="G113" s="585">
        <v>1266</v>
      </c>
      <c r="H113" s="555">
        <f>ROUND((D113+E113+F113)*('29_01_H_2020'!$O$10)*C113*12*(1+'29_01_H_2020'!$O$17),2)</f>
        <v>4767.17</v>
      </c>
    </row>
    <row r="114" spans="2:8">
      <c r="B114" s="573" t="s">
        <v>511</v>
      </c>
      <c r="C114" s="570">
        <v>1</v>
      </c>
      <c r="D114" s="580">
        <v>879.75</v>
      </c>
      <c r="E114" s="581">
        <v>0</v>
      </c>
      <c r="F114" s="581">
        <v>0</v>
      </c>
      <c r="G114" s="585">
        <v>879.75</v>
      </c>
      <c r="H114" s="555">
        <f>ROUND((D114+E114+F114)*('29_01_H_2020'!$O$10)*C114*12*(1+'29_01_H_2020'!$O$17),2)</f>
        <v>3312.73</v>
      </c>
    </row>
    <row r="115" spans="2:8">
      <c r="B115" s="573" t="s">
        <v>526</v>
      </c>
      <c r="C115" s="570">
        <v>1</v>
      </c>
      <c r="D115" s="580">
        <v>1270.75</v>
      </c>
      <c r="E115" s="581">
        <v>0</v>
      </c>
      <c r="F115" s="581">
        <v>0</v>
      </c>
      <c r="G115" s="585">
        <v>1270.75</v>
      </c>
      <c r="H115" s="555">
        <f>ROUND((D115+E115+F115)*('29_01_H_2020'!$O$10)*C115*12*(1+'29_01_H_2020'!$O$17),2)</f>
        <v>4785.0600000000004</v>
      </c>
    </row>
    <row r="116" spans="2:8">
      <c r="B116" s="573" t="s">
        <v>530</v>
      </c>
      <c r="C116" s="570">
        <v>1</v>
      </c>
      <c r="D116" s="580">
        <v>1500.75</v>
      </c>
      <c r="E116" s="581">
        <v>0</v>
      </c>
      <c r="F116" s="581">
        <v>0</v>
      </c>
      <c r="G116" s="585">
        <v>1500.75</v>
      </c>
      <c r="H116" s="555">
        <f>ROUND((D116+E116+F116)*('29_01_H_2020'!$O$10)*C116*12*(1+'29_01_H_2020'!$O$17),2)</f>
        <v>5651.13</v>
      </c>
    </row>
    <row r="117" spans="2:8">
      <c r="B117" s="573" t="s">
        <v>528</v>
      </c>
      <c r="C117" s="570">
        <v>1</v>
      </c>
      <c r="D117" s="580">
        <v>1466.25</v>
      </c>
      <c r="E117" s="581">
        <v>0</v>
      </c>
      <c r="F117" s="581">
        <v>0</v>
      </c>
      <c r="G117" s="585">
        <v>1466.25</v>
      </c>
      <c r="H117" s="555">
        <f>ROUND((D117+E117+F117)*('29_01_H_2020'!$O$10)*C117*12*(1+'29_01_H_2020'!$O$17),2)</f>
        <v>5521.22</v>
      </c>
    </row>
    <row r="118" spans="2:8">
      <c r="B118" s="573" t="s">
        <v>530</v>
      </c>
      <c r="C118" s="570">
        <v>1</v>
      </c>
      <c r="D118" s="580">
        <v>1530</v>
      </c>
      <c r="E118" s="581">
        <v>0</v>
      </c>
      <c r="F118" s="581">
        <v>0</v>
      </c>
      <c r="G118" s="585">
        <v>1530</v>
      </c>
      <c r="H118" s="555">
        <f>ROUND((D118+E118+F118)*('29_01_H_2020'!$O$10)*C118*12*(1+'29_01_H_2020'!$O$17),2)</f>
        <v>5761.28</v>
      </c>
    </row>
    <row r="119" spans="2:8">
      <c r="B119" s="573" t="s">
        <v>511</v>
      </c>
      <c r="C119" s="570">
        <v>1</v>
      </c>
      <c r="D119" s="580">
        <v>1161.5</v>
      </c>
      <c r="E119" s="581">
        <v>0</v>
      </c>
      <c r="F119" s="581">
        <v>0</v>
      </c>
      <c r="G119" s="585">
        <v>1161.5</v>
      </c>
      <c r="H119" s="555">
        <f>ROUND((D119+E119+F119)*('29_01_H_2020'!$O$10)*C119*12*(1+'29_01_H_2020'!$O$17),2)</f>
        <v>4373.67</v>
      </c>
    </row>
    <row r="120" spans="2:8">
      <c r="B120" s="573" t="s">
        <v>527</v>
      </c>
      <c r="C120" s="570">
        <v>1</v>
      </c>
      <c r="D120" s="580">
        <v>937.25</v>
      </c>
      <c r="E120" s="581">
        <v>0</v>
      </c>
      <c r="F120" s="581">
        <v>0</v>
      </c>
      <c r="G120" s="585">
        <v>937.25</v>
      </c>
      <c r="H120" s="555">
        <f>ROUND((D120+E120+F120)*('29_01_H_2020'!$O$10)*C120*12*(1+'29_01_H_2020'!$O$17),2)</f>
        <v>3529.25</v>
      </c>
    </row>
    <row r="121" spans="2:8">
      <c r="B121" s="575" t="s">
        <v>531</v>
      </c>
      <c r="C121" s="570">
        <v>1</v>
      </c>
      <c r="D121" s="580">
        <v>1398</v>
      </c>
      <c r="E121" s="581">
        <v>0</v>
      </c>
      <c r="F121" s="581">
        <v>0</v>
      </c>
      <c r="G121" s="585">
        <v>1398</v>
      </c>
      <c r="H121" s="555">
        <f>ROUND((D121+E121+F121)*('29_01_H_2020'!$O$10)*C121*12*(1+'29_01_H_2020'!$O$17),2)</f>
        <v>5264.23</v>
      </c>
    </row>
    <row r="122" spans="2:8">
      <c r="B122" s="575" t="s">
        <v>532</v>
      </c>
      <c r="C122" s="570">
        <v>1</v>
      </c>
      <c r="D122" s="580">
        <v>1161.5</v>
      </c>
      <c r="E122" s="581">
        <v>0</v>
      </c>
      <c r="F122" s="581">
        <v>0</v>
      </c>
      <c r="G122" s="585">
        <v>1161.5</v>
      </c>
      <c r="H122" s="555">
        <f>ROUND((D122+E122+F122)*('29_01_H_2020'!$O$10)*C122*12*(1+'29_01_H_2020'!$O$17),2)</f>
        <v>4373.67</v>
      </c>
    </row>
    <row r="123" spans="2:8">
      <c r="B123" s="575" t="s">
        <v>533</v>
      </c>
      <c r="C123" s="570">
        <v>1</v>
      </c>
      <c r="D123" s="580">
        <v>879.75</v>
      </c>
      <c r="E123" s="581">
        <v>0</v>
      </c>
      <c r="F123" s="581">
        <v>0</v>
      </c>
      <c r="G123" s="585">
        <v>879.75</v>
      </c>
      <c r="H123" s="555">
        <f>ROUND((D123+E123+F123)*('29_01_H_2020'!$O$10)*C123*12*(1+'29_01_H_2020'!$O$17),2)</f>
        <v>3312.73</v>
      </c>
    </row>
    <row r="124" spans="2:8">
      <c r="B124" s="575" t="s">
        <v>532</v>
      </c>
      <c r="C124" s="570">
        <v>1</v>
      </c>
      <c r="D124" s="580">
        <v>1161.5</v>
      </c>
      <c r="E124" s="581">
        <v>0</v>
      </c>
      <c r="F124" s="581">
        <v>0</v>
      </c>
      <c r="G124" s="585">
        <v>1161.5</v>
      </c>
      <c r="H124" s="555">
        <f>ROUND((D124+E124+F124)*('29_01_H_2020'!$O$10)*C124*12*(1+'29_01_H_2020'!$O$17),2)</f>
        <v>4373.67</v>
      </c>
    </row>
    <row r="125" spans="2:8">
      <c r="B125" s="575" t="s">
        <v>534</v>
      </c>
      <c r="C125" s="570">
        <v>1</v>
      </c>
      <c r="D125" s="580">
        <v>977.5</v>
      </c>
      <c r="E125" s="581">
        <v>0</v>
      </c>
      <c r="F125" s="581">
        <v>0</v>
      </c>
      <c r="G125" s="585">
        <v>977.5</v>
      </c>
      <c r="H125" s="555">
        <f>ROUND((D125+E125+F125)*('29_01_H_2020'!$O$10)*C125*12*(1+'29_01_H_2020'!$O$17),2)</f>
        <v>3680.82</v>
      </c>
    </row>
    <row r="126" spans="2:8">
      <c r="B126" s="575" t="s">
        <v>535</v>
      </c>
      <c r="C126" s="570">
        <v>1</v>
      </c>
      <c r="D126" s="580">
        <v>977.5</v>
      </c>
      <c r="E126" s="581">
        <v>0</v>
      </c>
      <c r="F126" s="581">
        <v>0</v>
      </c>
      <c r="G126" s="585">
        <v>977.5</v>
      </c>
      <c r="H126" s="555">
        <f>ROUND((D126+E126+F126)*('29_01_H_2020'!$O$10)*C126*12*(1+'29_01_H_2020'!$O$17),2)</f>
        <v>3680.82</v>
      </c>
    </row>
    <row r="127" spans="2:8">
      <c r="B127" s="575" t="s">
        <v>533</v>
      </c>
      <c r="C127" s="570">
        <v>1</v>
      </c>
      <c r="D127" s="580">
        <v>937.25</v>
      </c>
      <c r="E127" s="581">
        <v>0</v>
      </c>
      <c r="F127" s="581">
        <v>0</v>
      </c>
      <c r="G127" s="585">
        <v>937.25</v>
      </c>
      <c r="H127" s="555">
        <f>ROUND((D127+E127+F127)*('29_01_H_2020'!$O$10)*C127*12*(1+'29_01_H_2020'!$O$17),2)</f>
        <v>3529.25</v>
      </c>
    </row>
    <row r="128" spans="2:8">
      <c r="B128" s="575" t="s">
        <v>536</v>
      </c>
      <c r="C128" s="570">
        <v>1</v>
      </c>
      <c r="D128" s="580">
        <v>851</v>
      </c>
      <c r="E128" s="581">
        <v>0</v>
      </c>
      <c r="F128" s="581">
        <v>0</v>
      </c>
      <c r="G128" s="585">
        <v>851</v>
      </c>
      <c r="H128" s="555">
        <f>ROUND((D128+E128+F128)*('29_01_H_2020'!$O$10)*C128*12*(1+'29_01_H_2020'!$O$17),2)</f>
        <v>3204.47</v>
      </c>
    </row>
    <row r="129" spans="2:8">
      <c r="B129" s="575" t="s">
        <v>537</v>
      </c>
      <c r="C129" s="570">
        <v>1</v>
      </c>
      <c r="D129" s="580">
        <v>782</v>
      </c>
      <c r="E129" s="581">
        <v>0</v>
      </c>
      <c r="F129" s="581">
        <v>0</v>
      </c>
      <c r="G129" s="585">
        <v>782</v>
      </c>
      <c r="H129" s="555">
        <f>ROUND((D129+E129+F129)*('29_01_H_2020'!$O$10)*C129*12*(1+'29_01_H_2020'!$O$17),2)</f>
        <v>2944.65</v>
      </c>
    </row>
    <row r="130" spans="2:8">
      <c r="B130" s="575" t="s">
        <v>532</v>
      </c>
      <c r="C130" s="570">
        <v>1</v>
      </c>
      <c r="D130" s="580">
        <v>1058</v>
      </c>
      <c r="E130" s="581">
        <v>0</v>
      </c>
      <c r="F130" s="581">
        <v>0</v>
      </c>
      <c r="G130" s="585">
        <v>1058</v>
      </c>
      <c r="H130" s="555">
        <f>ROUND((D130+E130+F130)*('29_01_H_2020'!$O$10)*C130*12*(1+'29_01_H_2020'!$O$17),2)</f>
        <v>3983.94</v>
      </c>
    </row>
    <row r="131" spans="2:8">
      <c r="B131" s="575" t="s">
        <v>533</v>
      </c>
      <c r="C131" s="570">
        <v>1</v>
      </c>
      <c r="D131" s="580">
        <v>902.75</v>
      </c>
      <c r="E131" s="581">
        <v>0</v>
      </c>
      <c r="F131" s="581">
        <v>0</v>
      </c>
      <c r="G131" s="585">
        <v>902.75</v>
      </c>
      <c r="H131" s="555">
        <f>ROUND((D131+E131+F131)*('29_01_H_2020'!$O$10)*C131*12*(1+'29_01_H_2020'!$O$17),2)</f>
        <v>3399.34</v>
      </c>
    </row>
    <row r="132" spans="2:8">
      <c r="B132" s="575" t="s">
        <v>538</v>
      </c>
      <c r="C132" s="570">
        <v>1</v>
      </c>
      <c r="D132" s="580">
        <v>885</v>
      </c>
      <c r="E132" s="581">
        <v>0</v>
      </c>
      <c r="F132" s="581">
        <v>0</v>
      </c>
      <c r="G132" s="585">
        <v>885</v>
      </c>
      <c r="H132" s="555">
        <f>ROUND((D132+E132+F132)*('29_01_H_2020'!$O$10)*C132*12*(1+'29_01_H_2020'!$O$17),2)</f>
        <v>3332.5</v>
      </c>
    </row>
    <row r="133" spans="2:8">
      <c r="B133" s="575" t="s">
        <v>537</v>
      </c>
      <c r="C133" s="570">
        <v>1</v>
      </c>
      <c r="D133" s="580">
        <v>805</v>
      </c>
      <c r="E133" s="581">
        <v>0</v>
      </c>
      <c r="F133" s="581">
        <v>0</v>
      </c>
      <c r="G133" s="585">
        <v>805</v>
      </c>
      <c r="H133" s="555">
        <f>ROUND((D133+E133+F133)*('29_01_H_2020'!$O$10)*C133*12*(1+'29_01_H_2020'!$O$17),2)</f>
        <v>3031.26</v>
      </c>
    </row>
    <row r="134" spans="2:8">
      <c r="B134" s="573" t="s">
        <v>511</v>
      </c>
      <c r="C134" s="570">
        <v>1</v>
      </c>
      <c r="D134" s="580">
        <v>977.5</v>
      </c>
      <c r="E134" s="581">
        <v>0</v>
      </c>
      <c r="F134" s="581">
        <v>0</v>
      </c>
      <c r="G134" s="585">
        <v>977.5</v>
      </c>
      <c r="H134" s="555">
        <f>ROUND((D134+E134+F134)*('29_01_H_2020'!$O$10)*C134*12*(1+'29_01_H_2020'!$O$17),2)</f>
        <v>3680.82</v>
      </c>
    </row>
    <row r="135" spans="2:8" ht="15.75" thickBot="1">
      <c r="B135" s="573" t="s">
        <v>530</v>
      </c>
      <c r="C135" s="570">
        <v>1</v>
      </c>
      <c r="D135" s="580">
        <v>1262.5</v>
      </c>
      <c r="E135" s="581">
        <v>0</v>
      </c>
      <c r="F135" s="581">
        <v>0</v>
      </c>
      <c r="G135" s="585">
        <v>1262.5</v>
      </c>
      <c r="H135" s="555">
        <f>ROUND((D135+E135+F135)*('29_01_H_2020'!$O$10)*C135*12*(1+'29_01_H_2020'!$O$17),2)</f>
        <v>4753.99</v>
      </c>
    </row>
    <row r="136" spans="2:8" ht="51.75" hidden="1" thickBot="1">
      <c r="B136" s="566" t="s">
        <v>205</v>
      </c>
      <c r="C136" s="567"/>
      <c r="D136" s="568">
        <f>SUM(D137:D138)</f>
        <v>0</v>
      </c>
      <c r="E136" s="568">
        <f>SUM(E137:E138)</f>
        <v>0</v>
      </c>
      <c r="F136" s="568">
        <f>SUM(F137:F138)</f>
        <v>0</v>
      </c>
      <c r="G136" s="568">
        <f>SUM(G137:G138)</f>
        <v>0</v>
      </c>
    </row>
    <row r="137" spans="2:8" ht="15.75" hidden="1" thickBot="1">
      <c r="B137" s="576"/>
      <c r="C137" s="577"/>
      <c r="D137" s="577"/>
      <c r="E137" s="577"/>
      <c r="F137" s="577"/>
      <c r="G137" s="578"/>
    </row>
    <row r="138" spans="2:8" ht="15.75" hidden="1" thickBot="1">
      <c r="B138" s="576"/>
      <c r="C138" s="577"/>
      <c r="D138" s="577"/>
      <c r="E138" s="577"/>
      <c r="F138" s="577"/>
      <c r="G138" s="578"/>
    </row>
    <row r="139" spans="2:8" ht="15.75" hidden="1" thickBot="1">
      <c r="B139" s="563" t="s">
        <v>206</v>
      </c>
      <c r="C139" s="564"/>
      <c r="D139" s="565">
        <f>D140+D143+D146+D149</f>
        <v>0</v>
      </c>
      <c r="E139" s="565">
        <f>E140+E143+E146+E149</f>
        <v>0</v>
      </c>
      <c r="F139" s="565">
        <f>F140+F143+F146+F149</f>
        <v>0</v>
      </c>
      <c r="G139" s="565">
        <f>G140+G143+G146+G149</f>
        <v>0</v>
      </c>
    </row>
    <row r="140" spans="2:8" ht="15.75" hidden="1" thickBot="1">
      <c r="B140" s="566" t="s">
        <v>539</v>
      </c>
      <c r="C140" s="567"/>
      <c r="D140" s="568">
        <f>SUM(D141:D142)</f>
        <v>0</v>
      </c>
      <c r="E140" s="568">
        <f>SUM(E141:E142)</f>
        <v>0</v>
      </c>
      <c r="F140" s="568">
        <f>SUM(F141:F142)</f>
        <v>0</v>
      </c>
      <c r="G140" s="568">
        <f>SUM(G141:G142)</f>
        <v>0</v>
      </c>
    </row>
    <row r="141" spans="2:8" ht="15.75" hidden="1" thickBot="1">
      <c r="B141" s="569"/>
      <c r="C141" s="579"/>
      <c r="D141" s="571"/>
      <c r="E141" s="571"/>
      <c r="F141" s="571"/>
      <c r="G141" s="572"/>
    </row>
    <row r="142" spans="2:8" ht="15.75" hidden="1" thickBot="1">
      <c r="B142" s="569"/>
      <c r="C142" s="579"/>
      <c r="D142" s="571"/>
      <c r="E142" s="571"/>
      <c r="F142" s="571"/>
      <c r="G142" s="572"/>
    </row>
    <row r="143" spans="2:8" ht="39" hidden="1" thickBot="1">
      <c r="B143" s="566" t="s">
        <v>540</v>
      </c>
      <c r="C143" s="567"/>
      <c r="D143" s="568">
        <f>SUM(D144:D145)</f>
        <v>0</v>
      </c>
      <c r="E143" s="568">
        <f>SUM(E144:E145)</f>
        <v>0</v>
      </c>
      <c r="F143" s="568">
        <f>SUM(F144:F145)</f>
        <v>0</v>
      </c>
      <c r="G143" s="568">
        <f>SUM(G144:G145)</f>
        <v>0</v>
      </c>
    </row>
    <row r="144" spans="2:8" ht="15.75" hidden="1" thickBot="1">
      <c r="B144" s="573"/>
      <c r="C144" s="574"/>
      <c r="D144" s="571"/>
      <c r="E144" s="571"/>
      <c r="F144" s="571"/>
      <c r="G144" s="572"/>
    </row>
    <row r="145" spans="2:8" ht="15.75" hidden="1" thickBot="1">
      <c r="B145" s="573"/>
      <c r="C145" s="574"/>
      <c r="D145" s="571"/>
      <c r="E145" s="571"/>
      <c r="F145" s="571"/>
      <c r="G145" s="572"/>
    </row>
    <row r="146" spans="2:8" ht="39" hidden="1" thickBot="1">
      <c r="B146" s="566" t="s">
        <v>541</v>
      </c>
      <c r="C146" s="567"/>
      <c r="D146" s="568">
        <f>SUM(D147:D148)</f>
        <v>0</v>
      </c>
      <c r="E146" s="568">
        <f>SUM(E147:E148)</f>
        <v>0</v>
      </c>
      <c r="F146" s="568">
        <f>SUM(F147:F148)</f>
        <v>0</v>
      </c>
      <c r="G146" s="568">
        <f>SUM(G147:G148)</f>
        <v>0</v>
      </c>
    </row>
    <row r="147" spans="2:8" ht="15.75" hidden="1" thickBot="1">
      <c r="B147" s="576"/>
      <c r="C147" s="577"/>
      <c r="D147" s="577"/>
      <c r="E147" s="577"/>
      <c r="F147" s="577"/>
      <c r="G147" s="578"/>
    </row>
    <row r="148" spans="2:8" ht="15.75" hidden="1" thickBot="1">
      <c r="B148" s="576"/>
      <c r="C148" s="577"/>
      <c r="D148" s="577"/>
      <c r="E148" s="577"/>
      <c r="F148" s="577"/>
      <c r="G148" s="578"/>
    </row>
    <row r="149" spans="2:8" ht="51.75" hidden="1" thickBot="1">
      <c r="B149" s="566" t="s">
        <v>542</v>
      </c>
      <c r="C149" s="567"/>
      <c r="D149" s="568">
        <f>SUM(D150:D151)</f>
        <v>0</v>
      </c>
      <c r="E149" s="568">
        <f>SUM(E150:E151)</f>
        <v>0</v>
      </c>
      <c r="F149" s="568">
        <f>SUM(F150:F151)</f>
        <v>0</v>
      </c>
      <c r="G149" s="568">
        <f>SUM(G150:G151)</f>
        <v>0</v>
      </c>
    </row>
    <row r="150" spans="2:8" ht="15.75" hidden="1" thickBot="1">
      <c r="B150" s="576"/>
      <c r="C150" s="577"/>
      <c r="D150" s="577"/>
      <c r="E150" s="577"/>
      <c r="F150" s="577"/>
      <c r="G150" s="578"/>
    </row>
    <row r="151" spans="2:8" ht="15.75" hidden="1" thickBot="1">
      <c r="B151" s="576"/>
      <c r="C151" s="577"/>
      <c r="D151" s="577"/>
      <c r="E151" s="577"/>
      <c r="F151" s="577"/>
      <c r="G151" s="578"/>
    </row>
    <row r="152" spans="2:8" ht="26.25" hidden="1" thickBot="1">
      <c r="B152" s="566" t="s">
        <v>212</v>
      </c>
      <c r="C152" s="567"/>
      <c r="D152" s="568">
        <f>SUM(D153:D154)</f>
        <v>0</v>
      </c>
      <c r="E152" s="568">
        <f>SUM(E153:E154)</f>
        <v>0</v>
      </c>
      <c r="F152" s="568">
        <f>SUM(F153:F154)</f>
        <v>0</v>
      </c>
      <c r="G152" s="568">
        <f>SUM(G153:G154)</f>
        <v>0</v>
      </c>
    </row>
    <row r="153" spans="2:8" ht="15.75" hidden="1" thickBot="1">
      <c r="B153" s="576"/>
      <c r="C153" s="577"/>
      <c r="D153" s="577"/>
      <c r="E153" s="577"/>
      <c r="F153" s="577"/>
      <c r="G153" s="587"/>
      <c r="H153" s="176"/>
    </row>
    <row r="154" spans="2:8" ht="15.75" hidden="1" thickBot="1">
      <c r="B154" s="576"/>
      <c r="C154" s="577"/>
      <c r="D154" s="577"/>
      <c r="E154" s="577"/>
      <c r="F154" s="577"/>
      <c r="G154" s="587"/>
      <c r="H154" s="589"/>
    </row>
    <row r="155" spans="2:8" ht="15.75" thickBot="1">
      <c r="B155" s="590" t="s">
        <v>55</v>
      </c>
      <c r="C155" s="591">
        <f>SUM(C9:C154)</f>
        <v>240</v>
      </c>
      <c r="D155" s="592" t="s">
        <v>215</v>
      </c>
      <c r="E155" s="592" t="s">
        <v>215</v>
      </c>
      <c r="F155" s="592" t="s">
        <v>215</v>
      </c>
      <c r="G155" s="593" t="s">
        <v>215</v>
      </c>
      <c r="H155" s="594">
        <f>SUM(H12:H27:H32:H135)</f>
        <v>515847.0100000003</v>
      </c>
    </row>
    <row r="159" spans="2:8">
      <c r="H159" s="805"/>
    </row>
  </sheetData>
  <mergeCells count="11">
    <mergeCell ref="F1:G1"/>
    <mergeCell ref="H6:H7"/>
    <mergeCell ref="B8:G8"/>
    <mergeCell ref="B3:G3"/>
    <mergeCell ref="B5:G5"/>
    <mergeCell ref="B6:B7"/>
    <mergeCell ref="C6:C7"/>
    <mergeCell ref="D6:D7"/>
    <mergeCell ref="E6:E7"/>
    <mergeCell ref="F6:F7"/>
    <mergeCell ref="G6:G7"/>
  </mergeCells>
  <pageMargins left="0.23622047244094491" right="0.23622047244094491" top="0.74803149606299213" bottom="0.74803149606299213" header="0.31496062992125984" footer="0.31496062992125984"/>
  <pageSetup paperSize="9" scale="65" orientation="landscape"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2E17D-5D1F-4A95-BCCD-EC0040C63AD5}">
  <dimension ref="A1:BF293"/>
  <sheetViews>
    <sheetView zoomScaleNormal="100" workbookViewId="0">
      <pane ySplit="4" topLeftCell="A5" activePane="bottomLeft" state="frozen"/>
      <selection activeCell="P1" sqref="P1:Q1"/>
      <selection pane="bottomLeft" activeCell="V182" sqref="V182"/>
    </sheetView>
  </sheetViews>
  <sheetFormatPr defaultRowHeight="15"/>
  <cols>
    <col min="1" max="1" width="35.85546875" customWidth="1"/>
    <col min="10" max="10" width="11.85546875" customWidth="1"/>
    <col min="11" max="11" width="12.28515625" customWidth="1"/>
    <col min="12" max="12" width="9.28515625" customWidth="1"/>
    <col min="13" max="13" width="11.28515625" customWidth="1"/>
    <col min="14" max="15" width="10" customWidth="1"/>
    <col min="16" max="16" width="9.5703125" customWidth="1"/>
    <col min="17" max="17" width="13" customWidth="1"/>
    <col min="18" max="18" width="11.28515625" customWidth="1"/>
    <col min="19" max="19" width="10.140625" customWidth="1"/>
    <col min="20" max="20" width="11.42578125" style="147" bestFit="1" customWidth="1"/>
    <col min="21" max="21" width="11.140625" style="147" customWidth="1"/>
    <col min="22" max="22" width="28" customWidth="1"/>
    <col min="23" max="23" width="13.28515625" customWidth="1"/>
    <col min="29" max="29" width="10" bestFit="1" customWidth="1"/>
    <col min="31" max="33" width="10" bestFit="1" customWidth="1"/>
    <col min="44" max="46" width="10" bestFit="1" customWidth="1"/>
  </cols>
  <sheetData>
    <row r="1" spans="1:50" s="333" customFormat="1">
      <c r="P1" s="1130" t="s">
        <v>719</v>
      </c>
      <c r="Q1" s="1130"/>
      <c r="T1" s="147"/>
      <c r="U1" s="147"/>
    </row>
    <row r="2" spans="1:50" ht="33.75" customHeight="1">
      <c r="A2" s="1178" t="s">
        <v>720</v>
      </c>
      <c r="B2" s="1178"/>
      <c r="C2" s="1178"/>
      <c r="D2" s="1178"/>
      <c r="E2" s="1178"/>
      <c r="F2" s="1178"/>
      <c r="G2" s="1178"/>
      <c r="H2" s="1178"/>
      <c r="I2" s="1178"/>
      <c r="J2" s="1178"/>
      <c r="K2" s="1178"/>
      <c r="L2" s="1178"/>
      <c r="M2" s="1178"/>
      <c r="N2" s="1178"/>
      <c r="O2" s="1178"/>
      <c r="P2" s="1178"/>
      <c r="Q2" s="1178"/>
      <c r="R2" s="213"/>
    </row>
    <row r="3" spans="1:50" ht="15" customHeight="1" thickBot="1">
      <c r="A3" s="428"/>
      <c r="B3" s="428"/>
      <c r="C3" s="428"/>
      <c r="D3" s="428"/>
      <c r="E3" s="428"/>
      <c r="F3" s="428"/>
      <c r="G3" s="428"/>
      <c r="H3" s="428"/>
      <c r="I3" s="428"/>
      <c r="J3" s="428"/>
      <c r="K3" s="428"/>
      <c r="L3" s="428"/>
      <c r="M3" s="428"/>
      <c r="N3" s="428"/>
      <c r="O3" s="428"/>
      <c r="P3" s="428"/>
      <c r="Q3" s="506" t="s">
        <v>489</v>
      </c>
      <c r="R3" s="213"/>
      <c r="S3" s="213"/>
      <c r="T3" s="152"/>
      <c r="U3" s="152"/>
      <c r="V3" s="213"/>
      <c r="W3" s="213"/>
      <c r="X3" s="486"/>
      <c r="Y3" s="486"/>
      <c r="Z3" s="486"/>
      <c r="AA3" s="486"/>
      <c r="AB3" s="486"/>
      <c r="AC3" s="486"/>
      <c r="AD3" s="486"/>
      <c r="AE3" s="486"/>
      <c r="AF3" s="486"/>
      <c r="AG3" s="486"/>
      <c r="AH3" s="486"/>
      <c r="AI3" s="213"/>
      <c r="AJ3" s="213"/>
      <c r="AK3" s="486"/>
      <c r="AL3" s="486"/>
      <c r="AM3" s="486"/>
      <c r="AN3" s="486"/>
      <c r="AO3" s="486"/>
      <c r="AP3" s="486"/>
      <c r="AQ3" s="486"/>
      <c r="AR3" s="486"/>
      <c r="AS3" s="486"/>
      <c r="AT3" s="486"/>
      <c r="AU3" s="486"/>
      <c r="AV3" s="213"/>
    </row>
    <row r="4" spans="1:50" ht="90" thickBot="1">
      <c r="A4" s="148" t="s">
        <v>1</v>
      </c>
      <c r="B4" s="149" t="s">
        <v>2</v>
      </c>
      <c r="C4" s="149" t="s">
        <v>3</v>
      </c>
      <c r="D4" s="149" t="s">
        <v>4</v>
      </c>
      <c r="E4" s="149" t="s">
        <v>5</v>
      </c>
      <c r="F4" s="150" t="s">
        <v>312</v>
      </c>
      <c r="G4" s="149" t="s">
        <v>7</v>
      </c>
      <c r="H4" s="149" t="s">
        <v>8</v>
      </c>
      <c r="I4" s="492" t="s">
        <v>9</v>
      </c>
      <c r="J4" s="373" t="s">
        <v>648</v>
      </c>
      <c r="K4" s="374" t="s">
        <v>483</v>
      </c>
      <c r="L4" s="374" t="s">
        <v>484</v>
      </c>
      <c r="M4" s="374" t="s">
        <v>485</v>
      </c>
      <c r="N4" s="374" t="s">
        <v>486</v>
      </c>
      <c r="O4" s="375" t="s">
        <v>487</v>
      </c>
      <c r="P4" s="375" t="s">
        <v>680</v>
      </c>
      <c r="Q4" s="376" t="s">
        <v>488</v>
      </c>
      <c r="R4" s="41"/>
      <c r="S4" s="41"/>
      <c r="T4" s="41"/>
      <c r="U4" s="41"/>
      <c r="V4" s="485"/>
      <c r="W4" s="485"/>
      <c r="X4" s="41"/>
      <c r="Y4" s="41"/>
      <c r="Z4" s="41"/>
      <c r="AA4" s="322"/>
      <c r="AB4" s="41"/>
      <c r="AC4" s="41"/>
      <c r="AD4" s="41"/>
      <c r="AE4" s="41"/>
      <c r="AF4" s="330"/>
      <c r="AG4" s="330"/>
      <c r="AH4" s="41"/>
      <c r="AI4" s="152"/>
      <c r="AJ4" s="152"/>
      <c r="AK4" s="41"/>
      <c r="AL4" s="41"/>
      <c r="AM4" s="41"/>
      <c r="AN4" s="322"/>
      <c r="AO4" s="41"/>
      <c r="AP4" s="41"/>
      <c r="AQ4" s="41"/>
      <c r="AR4" s="41"/>
      <c r="AS4" s="330"/>
      <c r="AT4" s="330"/>
      <c r="AU4" s="41"/>
      <c r="AV4" s="152"/>
      <c r="AW4" s="152"/>
      <c r="AX4" s="147"/>
    </row>
    <row r="5" spans="1:50">
      <c r="A5" s="487" t="s">
        <v>112</v>
      </c>
      <c r="B5" s="488"/>
      <c r="C5" s="488"/>
      <c r="D5" s="488"/>
      <c r="E5" s="488"/>
      <c r="F5" s="488"/>
      <c r="G5" s="488"/>
      <c r="H5" s="488"/>
      <c r="I5" s="488"/>
      <c r="J5" s="317"/>
      <c r="K5" s="318"/>
      <c r="L5" s="318"/>
      <c r="M5" s="318"/>
      <c r="N5" s="318"/>
      <c r="O5" s="318"/>
      <c r="P5" s="318"/>
      <c r="Q5" s="496"/>
      <c r="R5" s="152"/>
      <c r="S5" s="152"/>
      <c r="T5" s="152"/>
      <c r="U5" s="152"/>
      <c r="V5" s="152"/>
      <c r="W5" s="147"/>
      <c r="X5" s="320"/>
      <c r="Y5" s="320"/>
      <c r="Z5" s="320"/>
      <c r="AA5" s="320"/>
      <c r="AB5" s="320"/>
      <c r="AC5" s="320"/>
      <c r="AD5" s="320"/>
      <c r="AE5" s="320"/>
      <c r="AF5" s="320"/>
      <c r="AG5" s="320"/>
      <c r="AH5" s="320"/>
      <c r="AI5" s="147"/>
      <c r="AJ5" s="147"/>
      <c r="AK5" s="320"/>
      <c r="AL5" s="320"/>
      <c r="AM5" s="320"/>
      <c r="AN5" s="320"/>
      <c r="AO5" s="320"/>
      <c r="AP5" s="320"/>
      <c r="AQ5" s="320"/>
      <c r="AR5" s="320"/>
      <c r="AS5" s="320"/>
      <c r="AT5" s="320"/>
      <c r="AU5" s="320"/>
      <c r="AV5" s="147"/>
      <c r="AW5" s="147"/>
      <c r="AX5" s="147"/>
    </row>
    <row r="6" spans="1:50">
      <c r="A6" s="1176" t="s">
        <v>150</v>
      </c>
      <c r="B6" s="1177"/>
      <c r="C6" s="1177"/>
      <c r="D6" s="1177"/>
      <c r="E6" s="1177"/>
      <c r="F6" s="1177"/>
      <c r="G6" s="1177"/>
      <c r="H6" s="1177"/>
      <c r="I6" s="1179"/>
      <c r="J6" s="497"/>
      <c r="K6" s="494"/>
      <c r="L6" s="494"/>
      <c r="M6" s="494"/>
      <c r="N6" s="494"/>
      <c r="O6" s="494"/>
      <c r="P6" s="494"/>
      <c r="Q6" s="498"/>
      <c r="R6" s="152"/>
      <c r="S6" s="152"/>
      <c r="T6" s="152"/>
      <c r="U6" s="152"/>
      <c r="V6" s="152"/>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row>
    <row r="7" spans="1:50">
      <c r="A7" s="489" t="s">
        <v>11</v>
      </c>
      <c r="B7" s="490"/>
      <c r="C7" s="490"/>
      <c r="D7" s="490"/>
      <c r="E7" s="490"/>
      <c r="F7" s="490"/>
      <c r="G7" s="490"/>
      <c r="H7" s="490"/>
      <c r="I7" s="490"/>
      <c r="J7" s="499"/>
      <c r="K7" s="495"/>
      <c r="L7" s="495"/>
      <c r="M7" s="495"/>
      <c r="N7" s="495"/>
      <c r="O7" s="495"/>
      <c r="P7" s="495"/>
      <c r="Q7" s="500"/>
      <c r="R7" s="152"/>
      <c r="S7" s="152"/>
      <c r="T7" s="152"/>
      <c r="U7" s="152"/>
      <c r="V7" s="152"/>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row>
    <row r="8" spans="1:50" ht="24" customHeight="1">
      <c r="A8" s="20" t="s">
        <v>612</v>
      </c>
      <c r="B8" s="37" t="s">
        <v>113</v>
      </c>
      <c r="C8" s="37" t="s">
        <v>114</v>
      </c>
      <c r="D8" s="267" t="s">
        <v>115</v>
      </c>
      <c r="E8" s="267" t="s">
        <v>69</v>
      </c>
      <c r="F8" s="287">
        <v>2353</v>
      </c>
      <c r="G8" s="38">
        <v>2277</v>
      </c>
      <c r="H8" s="38"/>
      <c r="I8" s="273">
        <v>1</v>
      </c>
      <c r="J8" s="379">
        <f>ROUND(G8*(1+'29_01_H_2020'!$O$14),2)</f>
        <v>2855.13</v>
      </c>
      <c r="K8" s="151">
        <f t="shared" ref="K8:K11" si="0">L8-H8</f>
        <v>0</v>
      </c>
      <c r="L8" s="151">
        <f>ROUND(H8*(1+'29_01_H_2020'!$O$14),2)</f>
        <v>0</v>
      </c>
      <c r="M8" s="151">
        <f t="shared" ref="M8:M11" si="1">(J8+L8)-(G8+H8)</f>
        <v>578.13000000000011</v>
      </c>
      <c r="N8" s="151">
        <f t="shared" ref="N8:N11" si="2">M8*I8</f>
        <v>578.13000000000011</v>
      </c>
      <c r="O8" s="151">
        <f t="shared" ref="O8:O11" si="3">N8*12</f>
        <v>6937.5600000000013</v>
      </c>
      <c r="P8" s="151">
        <f>ROUND(O8*('29_01_H_2020'!$O$17),2)</f>
        <v>1636.57</v>
      </c>
      <c r="Q8" s="380">
        <f>SUM(O8:P8)</f>
        <v>8574.130000000001</v>
      </c>
      <c r="R8" s="814"/>
      <c r="S8" s="431"/>
      <c r="T8" s="153"/>
      <c r="U8" s="153"/>
      <c r="V8" s="152"/>
      <c r="W8" s="147"/>
      <c r="X8" s="429"/>
      <c r="Y8" s="429"/>
      <c r="Z8" s="429"/>
      <c r="AA8" s="429"/>
      <c r="AB8" s="429"/>
      <c r="AC8" s="429"/>
      <c r="AD8" s="429"/>
      <c r="AE8" s="429"/>
      <c r="AF8" s="429"/>
      <c r="AG8" s="429"/>
      <c r="AH8" s="327"/>
      <c r="AI8" s="147"/>
      <c r="AJ8" s="147"/>
      <c r="AK8" s="429"/>
      <c r="AL8" s="429"/>
      <c r="AM8" s="429"/>
      <c r="AN8" s="429"/>
      <c r="AO8" s="429"/>
      <c r="AP8" s="429"/>
      <c r="AQ8" s="429"/>
      <c r="AR8" s="429"/>
      <c r="AS8" s="429"/>
      <c r="AT8" s="429"/>
      <c r="AU8" s="327"/>
      <c r="AV8" s="147"/>
      <c r="AW8" s="147"/>
      <c r="AX8" s="147"/>
    </row>
    <row r="9" spans="1:50" ht="25.5">
      <c r="A9" s="20" t="s">
        <v>116</v>
      </c>
      <c r="B9" s="37" t="s">
        <v>113</v>
      </c>
      <c r="C9" s="37" t="s">
        <v>114</v>
      </c>
      <c r="D9" s="267" t="s">
        <v>115</v>
      </c>
      <c r="E9" s="267" t="s">
        <v>69</v>
      </c>
      <c r="F9" s="287">
        <v>2353</v>
      </c>
      <c r="G9" s="38">
        <v>2277</v>
      </c>
      <c r="H9" s="38"/>
      <c r="I9" s="273">
        <v>1</v>
      </c>
      <c r="J9" s="379">
        <f>ROUND(G9*(1+'29_01_H_2020'!$O$14),2)</f>
        <v>2855.13</v>
      </c>
      <c r="K9" s="151">
        <f t="shared" si="0"/>
        <v>0</v>
      </c>
      <c r="L9" s="151">
        <f>ROUND(H9*(1+'29_01_H_2020'!$O$14),2)</f>
        <v>0</v>
      </c>
      <c r="M9" s="151">
        <f t="shared" si="1"/>
        <v>578.13000000000011</v>
      </c>
      <c r="N9" s="151">
        <f t="shared" si="2"/>
        <v>578.13000000000011</v>
      </c>
      <c r="O9" s="151">
        <f t="shared" si="3"/>
        <v>6937.5600000000013</v>
      </c>
      <c r="P9" s="151">
        <f>ROUND(O9*('29_01_H_2020'!$O$17),2)</f>
        <v>1636.57</v>
      </c>
      <c r="Q9" s="380">
        <f t="shared" ref="Q9:Q11" si="4">SUM(O9:P9)</f>
        <v>8574.130000000001</v>
      </c>
      <c r="R9" s="329"/>
      <c r="S9" s="431"/>
      <c r="T9" s="153"/>
      <c r="U9" s="153"/>
      <c r="V9" s="152"/>
      <c r="W9" s="147"/>
      <c r="X9" s="429"/>
      <c r="Y9" s="429"/>
      <c r="Z9" s="429"/>
      <c r="AA9" s="429"/>
      <c r="AB9" s="429"/>
      <c r="AC9" s="429"/>
      <c r="AD9" s="429"/>
      <c r="AE9" s="429"/>
      <c r="AF9" s="429"/>
      <c r="AG9" s="429"/>
      <c r="AH9" s="327"/>
      <c r="AI9" s="147"/>
      <c r="AJ9" s="147"/>
      <c r="AK9" s="429"/>
      <c r="AL9" s="429"/>
      <c r="AM9" s="429"/>
      <c r="AN9" s="429"/>
      <c r="AO9" s="429"/>
      <c r="AP9" s="429"/>
      <c r="AQ9" s="429"/>
      <c r="AR9" s="429"/>
      <c r="AS9" s="429"/>
      <c r="AT9" s="429"/>
      <c r="AU9" s="327"/>
      <c r="AV9" s="147"/>
      <c r="AW9" s="147"/>
      <c r="AX9" s="147"/>
    </row>
    <row r="10" spans="1:50">
      <c r="A10" s="20" t="s">
        <v>117</v>
      </c>
      <c r="B10" s="37" t="s">
        <v>113</v>
      </c>
      <c r="C10" s="37" t="s">
        <v>114</v>
      </c>
      <c r="D10" s="267" t="s">
        <v>115</v>
      </c>
      <c r="E10" s="267" t="s">
        <v>69</v>
      </c>
      <c r="F10" s="287">
        <v>2353</v>
      </c>
      <c r="G10" s="38">
        <v>2277</v>
      </c>
      <c r="H10" s="38"/>
      <c r="I10" s="273">
        <v>1</v>
      </c>
      <c r="J10" s="379">
        <f>ROUND(G10*(1+'29_01_H_2020'!$O$14),2)</f>
        <v>2855.13</v>
      </c>
      <c r="K10" s="151">
        <f t="shared" si="0"/>
        <v>0</v>
      </c>
      <c r="L10" s="151">
        <f>ROUND(H10*(1+'29_01_H_2020'!$O$14),2)</f>
        <v>0</v>
      </c>
      <c r="M10" s="151">
        <f t="shared" si="1"/>
        <v>578.13000000000011</v>
      </c>
      <c r="N10" s="151">
        <f t="shared" si="2"/>
        <v>578.13000000000011</v>
      </c>
      <c r="O10" s="151">
        <f t="shared" si="3"/>
        <v>6937.5600000000013</v>
      </c>
      <c r="P10" s="151">
        <f>ROUND(O10*('29_01_H_2020'!$O$17),2)</f>
        <v>1636.57</v>
      </c>
      <c r="Q10" s="380">
        <f t="shared" si="4"/>
        <v>8574.130000000001</v>
      </c>
      <c r="R10" s="329"/>
      <c r="S10" s="431"/>
      <c r="T10" s="153"/>
      <c r="U10" s="153"/>
      <c r="V10" s="152"/>
      <c r="W10" s="147"/>
      <c r="X10" s="429"/>
      <c r="Y10" s="429"/>
      <c r="Z10" s="429"/>
      <c r="AA10" s="429"/>
      <c r="AB10" s="429"/>
      <c r="AC10" s="429"/>
      <c r="AD10" s="429"/>
      <c r="AE10" s="429"/>
      <c r="AF10" s="429"/>
      <c r="AG10" s="429"/>
      <c r="AH10" s="327"/>
      <c r="AI10" s="147"/>
      <c r="AJ10" s="147"/>
      <c r="AK10" s="429"/>
      <c r="AL10" s="429"/>
      <c r="AM10" s="429"/>
      <c r="AN10" s="429"/>
      <c r="AO10" s="429"/>
      <c r="AP10" s="429"/>
      <c r="AQ10" s="429"/>
      <c r="AR10" s="429"/>
      <c r="AS10" s="429"/>
      <c r="AT10" s="429"/>
      <c r="AU10" s="327"/>
      <c r="AV10" s="147"/>
      <c r="AW10" s="147"/>
      <c r="AX10" s="147"/>
    </row>
    <row r="11" spans="1:50">
      <c r="A11" s="20" t="s">
        <v>613</v>
      </c>
      <c r="B11" s="37" t="s">
        <v>113</v>
      </c>
      <c r="C11" s="37" t="s">
        <v>120</v>
      </c>
      <c r="D11" s="267" t="s">
        <v>121</v>
      </c>
      <c r="E11" s="267">
        <v>3</v>
      </c>
      <c r="F11" s="287">
        <v>1917</v>
      </c>
      <c r="G11" s="38">
        <v>1700</v>
      </c>
      <c r="H11" s="38"/>
      <c r="I11" s="273">
        <v>1</v>
      </c>
      <c r="J11" s="379">
        <f>ROUND(G11*(1+'29_01_H_2020'!$O$14),2)</f>
        <v>2131.63</v>
      </c>
      <c r="K11" s="151">
        <f t="shared" si="0"/>
        <v>0</v>
      </c>
      <c r="L11" s="151">
        <f>ROUND(H11*(1+'29_01_H_2020'!$O$14),2)</f>
        <v>0</v>
      </c>
      <c r="M11" s="151">
        <f t="shared" si="1"/>
        <v>431.63000000000011</v>
      </c>
      <c r="N11" s="151">
        <f t="shared" si="2"/>
        <v>431.63000000000011</v>
      </c>
      <c r="O11" s="151">
        <f t="shared" si="3"/>
        <v>5179.5600000000013</v>
      </c>
      <c r="P11" s="151">
        <f>ROUND(O11*('29_01_H_2020'!$O$17),2)</f>
        <v>1221.8599999999999</v>
      </c>
      <c r="Q11" s="380">
        <f t="shared" si="4"/>
        <v>6401.420000000001</v>
      </c>
      <c r="R11" s="329"/>
      <c r="S11" s="431"/>
      <c r="T11" s="153"/>
      <c r="U11" s="153"/>
      <c r="V11" s="152"/>
      <c r="W11" s="147"/>
      <c r="X11" s="429"/>
      <c r="Y11" s="429"/>
      <c r="Z11" s="429"/>
      <c r="AA11" s="429"/>
      <c r="AB11" s="429"/>
      <c r="AC11" s="429"/>
      <c r="AD11" s="429"/>
      <c r="AE11" s="429"/>
      <c r="AF11" s="429"/>
      <c r="AG11" s="429"/>
      <c r="AH11" s="327"/>
      <c r="AI11" s="147"/>
      <c r="AJ11" s="147"/>
      <c r="AK11" s="429"/>
      <c r="AL11" s="429"/>
      <c r="AM11" s="429"/>
      <c r="AN11" s="429"/>
      <c r="AO11" s="429"/>
      <c r="AP11" s="429"/>
      <c r="AQ11" s="429"/>
      <c r="AR11" s="429"/>
      <c r="AS11" s="429"/>
      <c r="AT11" s="429"/>
      <c r="AU11" s="327"/>
      <c r="AV11" s="147"/>
      <c r="AW11" s="147"/>
      <c r="AX11" s="147"/>
    </row>
    <row r="12" spans="1:50">
      <c r="A12" s="20" t="s">
        <v>122</v>
      </c>
      <c r="B12" s="37" t="s">
        <v>113</v>
      </c>
      <c r="C12" s="37" t="s">
        <v>123</v>
      </c>
      <c r="D12" s="267" t="s">
        <v>115</v>
      </c>
      <c r="E12" s="267" t="s">
        <v>69</v>
      </c>
      <c r="F12" s="287">
        <v>2353</v>
      </c>
      <c r="G12" s="38">
        <v>2065</v>
      </c>
      <c r="H12" s="38"/>
      <c r="I12" s="273">
        <v>1</v>
      </c>
      <c r="J12" s="379">
        <f>ROUND(G12*(1+'29_01_H_2020'!$O$14),2)</f>
        <v>2589.3000000000002</v>
      </c>
      <c r="K12" s="151">
        <f>L12-H12</f>
        <v>0</v>
      </c>
      <c r="L12" s="151">
        <f>ROUND(H12*(1+'29_01_H_2020'!$O$14),2)</f>
        <v>0</v>
      </c>
      <c r="M12" s="151">
        <f>(J12+L12)-(G12+H12)</f>
        <v>524.30000000000018</v>
      </c>
      <c r="N12" s="151">
        <f>M12*I12</f>
        <v>524.30000000000018</v>
      </c>
      <c r="O12" s="151">
        <f>N12*12</f>
        <v>6291.6000000000022</v>
      </c>
      <c r="P12" s="151">
        <f>ROUND(O12*('29_01_H_2020'!$O$17),2)</f>
        <v>1484.19</v>
      </c>
      <c r="Q12" s="380">
        <f>SUM(O12:P12)</f>
        <v>7775.7900000000027</v>
      </c>
      <c r="R12" s="329"/>
      <c r="S12" s="431"/>
      <c r="T12" s="153"/>
      <c r="U12" s="153"/>
      <c r="V12" s="152"/>
      <c r="W12" s="147"/>
      <c r="X12" s="429"/>
      <c r="Y12" s="429"/>
      <c r="Z12" s="429"/>
      <c r="AA12" s="429"/>
      <c r="AB12" s="429"/>
      <c r="AC12" s="429"/>
      <c r="AD12" s="429"/>
      <c r="AE12" s="429"/>
      <c r="AF12" s="429"/>
      <c r="AG12" s="429"/>
      <c r="AH12" s="327"/>
      <c r="AI12" s="147"/>
      <c r="AJ12" s="147"/>
      <c r="AK12" s="429"/>
      <c r="AL12" s="429"/>
      <c r="AM12" s="429"/>
      <c r="AN12" s="429"/>
      <c r="AO12" s="429"/>
      <c r="AP12" s="429"/>
      <c r="AQ12" s="429"/>
      <c r="AR12" s="429"/>
      <c r="AS12" s="429"/>
      <c r="AT12" s="429"/>
      <c r="AU12" s="327"/>
      <c r="AV12" s="147"/>
      <c r="AW12" s="147"/>
      <c r="AX12" s="147"/>
    </row>
    <row r="13" spans="1:50">
      <c r="A13" s="20" t="s">
        <v>124</v>
      </c>
      <c r="B13" s="37" t="s">
        <v>113</v>
      </c>
      <c r="C13" s="37" t="s">
        <v>125</v>
      </c>
      <c r="D13" s="267" t="s">
        <v>80</v>
      </c>
      <c r="E13" s="267" t="s">
        <v>69</v>
      </c>
      <c r="F13" s="287">
        <v>2264</v>
      </c>
      <c r="G13" s="38">
        <v>1935</v>
      </c>
      <c r="H13" s="38"/>
      <c r="I13" s="273">
        <v>1</v>
      </c>
      <c r="J13" s="379">
        <f>ROUND(G13*(1+'29_01_H_2020'!$O$14),2)</f>
        <v>2426.3000000000002</v>
      </c>
      <c r="K13" s="151">
        <f t="shared" ref="K13:K27" si="5">L13-H13</f>
        <v>0</v>
      </c>
      <c r="L13" s="151">
        <f>ROUND(H13*(1+'29_01_H_2020'!$O$14),2)</f>
        <v>0</v>
      </c>
      <c r="M13" s="151">
        <f t="shared" ref="M13:M27" si="6">(J13+L13)-(G13+H13)</f>
        <v>491.30000000000018</v>
      </c>
      <c r="N13" s="151">
        <f t="shared" ref="N13:N27" si="7">M13*I13</f>
        <v>491.30000000000018</v>
      </c>
      <c r="O13" s="151">
        <f t="shared" ref="O13:O27" si="8">N13*12</f>
        <v>5895.6000000000022</v>
      </c>
      <c r="P13" s="151">
        <f>ROUND(O13*('29_01_H_2020'!$O$17),2)</f>
        <v>1390.77</v>
      </c>
      <c r="Q13" s="380">
        <f t="shared" ref="Q13:Q27" si="9">SUM(O13:P13)</f>
        <v>7286.3700000000026</v>
      </c>
      <c r="R13" s="329"/>
      <c r="S13" s="431"/>
      <c r="T13" s="153"/>
      <c r="U13" s="153"/>
      <c r="V13" s="152"/>
      <c r="W13" s="147"/>
      <c r="X13" s="429"/>
      <c r="Y13" s="429"/>
      <c r="Z13" s="429"/>
      <c r="AA13" s="429"/>
      <c r="AB13" s="429"/>
      <c r="AC13" s="429"/>
      <c r="AD13" s="429"/>
      <c r="AE13" s="429"/>
      <c r="AF13" s="429"/>
      <c r="AG13" s="429"/>
      <c r="AH13" s="327"/>
      <c r="AI13" s="147"/>
      <c r="AJ13" s="147"/>
      <c r="AK13" s="429"/>
      <c r="AL13" s="429"/>
      <c r="AM13" s="429"/>
      <c r="AN13" s="429"/>
      <c r="AO13" s="429"/>
      <c r="AP13" s="429"/>
      <c r="AQ13" s="429"/>
      <c r="AR13" s="429"/>
      <c r="AS13" s="429"/>
      <c r="AT13" s="429"/>
      <c r="AU13" s="327"/>
      <c r="AV13" s="147"/>
      <c r="AW13" s="147"/>
      <c r="AX13" s="147"/>
    </row>
    <row r="14" spans="1:50">
      <c r="A14" s="20" t="s">
        <v>126</v>
      </c>
      <c r="B14" s="37" t="s">
        <v>113</v>
      </c>
      <c r="C14" s="37" t="s">
        <v>123</v>
      </c>
      <c r="D14" s="267" t="s">
        <v>115</v>
      </c>
      <c r="E14" s="267" t="s">
        <v>69</v>
      </c>
      <c r="F14" s="287">
        <v>2353</v>
      </c>
      <c r="G14" s="38">
        <v>2230</v>
      </c>
      <c r="H14" s="38"/>
      <c r="I14" s="273">
        <v>1</v>
      </c>
      <c r="J14" s="379">
        <f>ROUND(G14*(1+'29_01_H_2020'!$O$14),2)</f>
        <v>2796.2</v>
      </c>
      <c r="K14" s="151">
        <f t="shared" si="5"/>
        <v>0</v>
      </c>
      <c r="L14" s="151">
        <f>ROUND(H14*(1+'29_01_H_2020'!$O$14),2)</f>
        <v>0</v>
      </c>
      <c r="M14" s="151">
        <f t="shared" si="6"/>
        <v>566.19999999999982</v>
      </c>
      <c r="N14" s="151">
        <f t="shared" si="7"/>
        <v>566.19999999999982</v>
      </c>
      <c r="O14" s="151">
        <f t="shared" si="8"/>
        <v>6794.3999999999978</v>
      </c>
      <c r="P14" s="151">
        <f>ROUND(O14*('29_01_H_2020'!$O$17),2)</f>
        <v>1602.8</v>
      </c>
      <c r="Q14" s="380">
        <f t="shared" si="9"/>
        <v>8397.1999999999971</v>
      </c>
      <c r="R14" s="329"/>
      <c r="S14" s="431"/>
      <c r="T14" s="153"/>
      <c r="U14" s="153"/>
      <c r="V14" s="152"/>
      <c r="W14" s="147"/>
      <c r="X14" s="429"/>
      <c r="Y14" s="429"/>
      <c r="Z14" s="429"/>
      <c r="AA14" s="429"/>
      <c r="AB14" s="429"/>
      <c r="AC14" s="429"/>
      <c r="AD14" s="429"/>
      <c r="AE14" s="429"/>
      <c r="AF14" s="429"/>
      <c r="AG14" s="429"/>
      <c r="AH14" s="327"/>
      <c r="AI14" s="147"/>
      <c r="AJ14" s="147"/>
      <c r="AK14" s="429"/>
      <c r="AL14" s="429"/>
      <c r="AM14" s="429"/>
      <c r="AN14" s="429"/>
      <c r="AO14" s="429"/>
      <c r="AP14" s="429"/>
      <c r="AQ14" s="429"/>
      <c r="AR14" s="429"/>
      <c r="AS14" s="429"/>
      <c r="AT14" s="429"/>
      <c r="AU14" s="327"/>
      <c r="AV14" s="147"/>
      <c r="AW14" s="147"/>
      <c r="AX14" s="147"/>
    </row>
    <row r="15" spans="1:50">
      <c r="A15" s="20" t="s">
        <v>127</v>
      </c>
      <c r="B15" s="37" t="s">
        <v>113</v>
      </c>
      <c r="C15" s="37" t="s">
        <v>125</v>
      </c>
      <c r="D15" s="267" t="s">
        <v>80</v>
      </c>
      <c r="E15" s="267" t="s">
        <v>69</v>
      </c>
      <c r="F15" s="287">
        <v>2264</v>
      </c>
      <c r="G15" s="38">
        <v>1935</v>
      </c>
      <c r="H15" s="38"/>
      <c r="I15" s="273">
        <v>2</v>
      </c>
      <c r="J15" s="379">
        <f>ROUND(G15*(1+'29_01_H_2020'!$O$14),2)</f>
        <v>2426.3000000000002</v>
      </c>
      <c r="K15" s="151">
        <f t="shared" si="5"/>
        <v>0</v>
      </c>
      <c r="L15" s="151">
        <f>ROUND(H15*(1+'29_01_H_2020'!$O$14),2)</f>
        <v>0</v>
      </c>
      <c r="M15" s="151">
        <f t="shared" si="6"/>
        <v>491.30000000000018</v>
      </c>
      <c r="N15" s="151">
        <f t="shared" si="7"/>
        <v>982.60000000000036</v>
      </c>
      <c r="O15" s="151">
        <f t="shared" si="8"/>
        <v>11791.200000000004</v>
      </c>
      <c r="P15" s="151">
        <f>ROUND(O15*('29_01_H_2020'!$O$17),2)</f>
        <v>2781.54</v>
      </c>
      <c r="Q15" s="380">
        <f t="shared" si="9"/>
        <v>14572.740000000005</v>
      </c>
      <c r="R15" s="329"/>
      <c r="S15" s="431"/>
      <c r="T15" s="153"/>
      <c r="U15" s="153"/>
      <c r="V15" s="152"/>
      <c r="W15" s="147"/>
      <c r="X15" s="429"/>
      <c r="Y15" s="429"/>
      <c r="Z15" s="429"/>
      <c r="AA15" s="429"/>
      <c r="AB15" s="429"/>
      <c r="AC15" s="429"/>
      <c r="AD15" s="429"/>
      <c r="AE15" s="429"/>
      <c r="AF15" s="429"/>
      <c r="AG15" s="429"/>
      <c r="AH15" s="327"/>
      <c r="AI15" s="147"/>
      <c r="AJ15" s="147"/>
      <c r="AK15" s="429"/>
      <c r="AL15" s="429"/>
      <c r="AM15" s="429"/>
      <c r="AN15" s="429"/>
      <c r="AO15" s="429"/>
      <c r="AP15" s="429"/>
      <c r="AQ15" s="429"/>
      <c r="AR15" s="429"/>
      <c r="AS15" s="429"/>
      <c r="AT15" s="429"/>
      <c r="AU15" s="327"/>
      <c r="AV15" s="147"/>
      <c r="AW15" s="147"/>
      <c r="AX15" s="147"/>
    </row>
    <row r="16" spans="1:50">
      <c r="A16" s="20" t="s">
        <v>128</v>
      </c>
      <c r="B16" s="37" t="s">
        <v>113</v>
      </c>
      <c r="C16" s="37" t="s">
        <v>123</v>
      </c>
      <c r="D16" s="267" t="s">
        <v>115</v>
      </c>
      <c r="E16" s="267" t="s">
        <v>69</v>
      </c>
      <c r="F16" s="287">
        <v>2353</v>
      </c>
      <c r="G16" s="38">
        <v>2105</v>
      </c>
      <c r="H16" s="38"/>
      <c r="I16" s="273">
        <v>1</v>
      </c>
      <c r="J16" s="379">
        <f>ROUND(G16*(1+'29_01_H_2020'!$O$14),2)</f>
        <v>2639.46</v>
      </c>
      <c r="K16" s="151">
        <f t="shared" si="5"/>
        <v>0</v>
      </c>
      <c r="L16" s="151">
        <f>ROUND(H16*(1+'29_01_H_2020'!$O$14),2)</f>
        <v>0</v>
      </c>
      <c r="M16" s="151">
        <f t="shared" si="6"/>
        <v>534.46</v>
      </c>
      <c r="N16" s="151">
        <f t="shared" si="7"/>
        <v>534.46</v>
      </c>
      <c r="O16" s="151">
        <f t="shared" si="8"/>
        <v>6413.52</v>
      </c>
      <c r="P16" s="151">
        <f>ROUND(O16*('29_01_H_2020'!$O$17),2)</f>
        <v>1512.95</v>
      </c>
      <c r="Q16" s="380">
        <f t="shared" si="9"/>
        <v>7926.47</v>
      </c>
      <c r="R16" s="329"/>
      <c r="S16" s="431"/>
      <c r="T16" s="153"/>
      <c r="U16" s="153"/>
      <c r="V16" s="152"/>
      <c r="W16" s="147"/>
      <c r="X16" s="429"/>
      <c r="Y16" s="429"/>
      <c r="Z16" s="429"/>
      <c r="AA16" s="429"/>
      <c r="AB16" s="429"/>
      <c r="AC16" s="429"/>
      <c r="AD16" s="429"/>
      <c r="AE16" s="429"/>
      <c r="AF16" s="429"/>
      <c r="AG16" s="429"/>
      <c r="AH16" s="327"/>
      <c r="AI16" s="147"/>
      <c r="AJ16" s="147"/>
      <c r="AK16" s="429"/>
      <c r="AL16" s="429"/>
      <c r="AM16" s="429"/>
      <c r="AN16" s="429"/>
      <c r="AO16" s="429"/>
      <c r="AP16" s="429"/>
      <c r="AQ16" s="429"/>
      <c r="AR16" s="429"/>
      <c r="AS16" s="429"/>
      <c r="AT16" s="429"/>
      <c r="AU16" s="327"/>
      <c r="AV16" s="147"/>
      <c r="AW16" s="147"/>
      <c r="AX16" s="147"/>
    </row>
    <row r="17" spans="1:50">
      <c r="A17" s="20" t="s">
        <v>129</v>
      </c>
      <c r="B17" s="37" t="s">
        <v>113</v>
      </c>
      <c r="C17" s="37" t="s">
        <v>125</v>
      </c>
      <c r="D17" s="267" t="s">
        <v>80</v>
      </c>
      <c r="E17" s="267" t="s">
        <v>69</v>
      </c>
      <c r="F17" s="287">
        <v>2264</v>
      </c>
      <c r="G17" s="38">
        <v>1935</v>
      </c>
      <c r="H17" s="38"/>
      <c r="I17" s="273">
        <v>1</v>
      </c>
      <c r="J17" s="379">
        <f>ROUND(G17*(1+'29_01_H_2020'!$O$14),2)</f>
        <v>2426.3000000000002</v>
      </c>
      <c r="K17" s="151">
        <f t="shared" si="5"/>
        <v>0</v>
      </c>
      <c r="L17" s="151">
        <f>ROUND(H17*(1+'29_01_H_2020'!$O$14),2)</f>
        <v>0</v>
      </c>
      <c r="M17" s="151">
        <f>(J17+L17)-(G17+H17)</f>
        <v>491.30000000000018</v>
      </c>
      <c r="N17" s="151">
        <f t="shared" si="7"/>
        <v>491.30000000000018</v>
      </c>
      <c r="O17" s="151">
        <f t="shared" si="8"/>
        <v>5895.6000000000022</v>
      </c>
      <c r="P17" s="151">
        <f>ROUND(O17*('29_01_H_2020'!$O$17),2)</f>
        <v>1390.77</v>
      </c>
      <c r="Q17" s="380">
        <f t="shared" si="9"/>
        <v>7286.3700000000026</v>
      </c>
      <c r="R17" s="329"/>
      <c r="S17" s="431"/>
      <c r="T17" s="153"/>
      <c r="U17" s="153"/>
      <c r="V17" s="152"/>
      <c r="W17" s="147"/>
      <c r="X17" s="429"/>
      <c r="Y17" s="429"/>
      <c r="Z17" s="429"/>
      <c r="AA17" s="429"/>
      <c r="AB17" s="429"/>
      <c r="AC17" s="429"/>
      <c r="AD17" s="429"/>
      <c r="AE17" s="429"/>
      <c r="AF17" s="429"/>
      <c r="AG17" s="429"/>
      <c r="AH17" s="327"/>
      <c r="AI17" s="147"/>
      <c r="AJ17" s="147"/>
      <c r="AK17" s="429"/>
      <c r="AL17" s="429"/>
      <c r="AM17" s="429"/>
      <c r="AN17" s="429"/>
      <c r="AO17" s="429"/>
      <c r="AP17" s="429"/>
      <c r="AQ17" s="429"/>
      <c r="AR17" s="429"/>
      <c r="AS17" s="429"/>
      <c r="AT17" s="429"/>
      <c r="AU17" s="327"/>
      <c r="AV17" s="147"/>
      <c r="AW17" s="147"/>
      <c r="AX17" s="147"/>
    </row>
    <row r="18" spans="1:50" ht="25.5">
      <c r="A18" s="20" t="s">
        <v>650</v>
      </c>
      <c r="B18" s="37" t="s">
        <v>113</v>
      </c>
      <c r="C18" s="37" t="s">
        <v>120</v>
      </c>
      <c r="D18" s="267" t="s">
        <v>121</v>
      </c>
      <c r="E18" s="267" t="s">
        <v>69</v>
      </c>
      <c r="F18" s="287">
        <v>1917</v>
      </c>
      <c r="G18" s="38">
        <v>1850</v>
      </c>
      <c r="H18" s="38"/>
      <c r="I18" s="273">
        <v>1</v>
      </c>
      <c r="J18" s="379">
        <f>ROUND(G18*(1+'29_01_H_2020'!$O$14),2)</f>
        <v>2319.7199999999998</v>
      </c>
      <c r="K18" s="151">
        <f t="shared" si="5"/>
        <v>0</v>
      </c>
      <c r="L18" s="151">
        <f>ROUND(H18*(1+'29_01_H_2020'!$O$14),2)</f>
        <v>0</v>
      </c>
      <c r="M18" s="151">
        <f t="shared" si="6"/>
        <v>469.7199999999998</v>
      </c>
      <c r="N18" s="151">
        <f t="shared" si="7"/>
        <v>469.7199999999998</v>
      </c>
      <c r="O18" s="151">
        <f t="shared" si="8"/>
        <v>5636.6399999999976</v>
      </c>
      <c r="P18" s="151">
        <f>ROUND(O18*('29_01_H_2020'!$O$17),2)</f>
        <v>1329.68</v>
      </c>
      <c r="Q18" s="380">
        <f t="shared" si="9"/>
        <v>6966.3199999999979</v>
      </c>
      <c r="R18" s="329"/>
      <c r="S18" s="431"/>
      <c r="T18" s="153"/>
      <c r="U18" s="153"/>
      <c r="V18" s="152"/>
      <c r="W18" s="147"/>
      <c r="X18" s="429"/>
      <c r="Y18" s="429"/>
      <c r="Z18" s="429"/>
      <c r="AA18" s="429"/>
      <c r="AB18" s="429"/>
      <c r="AC18" s="429"/>
      <c r="AD18" s="429"/>
      <c r="AE18" s="429"/>
      <c r="AF18" s="429"/>
      <c r="AG18" s="429"/>
      <c r="AH18" s="327"/>
      <c r="AI18" s="147"/>
      <c r="AJ18" s="147"/>
      <c r="AK18" s="429"/>
      <c r="AL18" s="429"/>
      <c r="AM18" s="429"/>
      <c r="AN18" s="429"/>
      <c r="AO18" s="429"/>
      <c r="AP18" s="429"/>
      <c r="AQ18" s="429"/>
      <c r="AR18" s="429"/>
      <c r="AS18" s="429"/>
      <c r="AT18" s="429"/>
      <c r="AU18" s="327"/>
      <c r="AV18" s="147"/>
      <c r="AW18" s="147"/>
      <c r="AX18" s="147"/>
    </row>
    <row r="19" spans="1:50" ht="25.5">
      <c r="A19" s="20" t="s">
        <v>614</v>
      </c>
      <c r="B19" s="37" t="s">
        <v>113</v>
      </c>
      <c r="C19" s="37" t="s">
        <v>114</v>
      </c>
      <c r="D19" s="267">
        <v>15</v>
      </c>
      <c r="E19" s="267" t="s">
        <v>69</v>
      </c>
      <c r="F19" s="287">
        <v>2353</v>
      </c>
      <c r="G19" s="38">
        <v>2200</v>
      </c>
      <c r="H19" s="38"/>
      <c r="I19" s="273">
        <v>1</v>
      </c>
      <c r="J19" s="379">
        <f>ROUND(G19*(1+'29_01_H_2020'!$O$14),2)</f>
        <v>2758.58</v>
      </c>
      <c r="K19" s="151">
        <f t="shared" si="5"/>
        <v>0</v>
      </c>
      <c r="L19" s="151">
        <f>ROUND(H19*(1+'29_01_H_2020'!$O$14),2)</f>
        <v>0</v>
      </c>
      <c r="M19" s="151">
        <f t="shared" si="6"/>
        <v>558.57999999999993</v>
      </c>
      <c r="N19" s="151">
        <f t="shared" si="7"/>
        <v>558.57999999999993</v>
      </c>
      <c r="O19" s="151">
        <f t="shared" si="8"/>
        <v>6702.9599999999991</v>
      </c>
      <c r="P19" s="151">
        <f>ROUND(O19*('29_01_H_2020'!$O$17),2)</f>
        <v>1581.23</v>
      </c>
      <c r="Q19" s="380">
        <f t="shared" si="9"/>
        <v>8284.1899999999987</v>
      </c>
      <c r="R19" s="329"/>
      <c r="S19" s="431"/>
      <c r="T19" s="153"/>
      <c r="U19" s="153"/>
      <c r="V19" s="152"/>
      <c r="W19" s="147"/>
      <c r="X19" s="429"/>
      <c r="Y19" s="429"/>
      <c r="Z19" s="429"/>
      <c r="AA19" s="429"/>
      <c r="AB19" s="429"/>
      <c r="AC19" s="429"/>
      <c r="AD19" s="429"/>
      <c r="AE19" s="429"/>
      <c r="AF19" s="429"/>
      <c r="AG19" s="429"/>
      <c r="AH19" s="327"/>
      <c r="AI19" s="147"/>
      <c r="AJ19" s="147"/>
      <c r="AK19" s="429"/>
      <c r="AL19" s="429"/>
      <c r="AM19" s="429"/>
      <c r="AN19" s="429"/>
      <c r="AO19" s="429"/>
      <c r="AP19" s="429"/>
      <c r="AQ19" s="429"/>
      <c r="AR19" s="429"/>
      <c r="AS19" s="429"/>
      <c r="AT19" s="429"/>
      <c r="AU19" s="327"/>
      <c r="AV19" s="147"/>
      <c r="AW19" s="147"/>
      <c r="AX19" s="147"/>
    </row>
    <row r="20" spans="1:50" ht="25.5">
      <c r="A20" s="20" t="s">
        <v>615</v>
      </c>
      <c r="B20" s="37" t="s">
        <v>118</v>
      </c>
      <c r="C20" s="37" t="s">
        <v>21</v>
      </c>
      <c r="D20" s="267" t="s">
        <v>119</v>
      </c>
      <c r="E20" s="267" t="s">
        <v>69</v>
      </c>
      <c r="F20" s="287">
        <v>1647</v>
      </c>
      <c r="G20" s="38">
        <v>1647</v>
      </c>
      <c r="H20" s="38"/>
      <c r="I20" s="273">
        <v>1</v>
      </c>
      <c r="J20" s="379">
        <f>ROUND(G20*(1+'29_01_H_2020'!$O$14),2)</f>
        <v>2065.17</v>
      </c>
      <c r="K20" s="151">
        <f t="shared" si="5"/>
        <v>0</v>
      </c>
      <c r="L20" s="151">
        <f>ROUND(H20*(1+'29_01_H_2020'!$O$14),2)</f>
        <v>0</v>
      </c>
      <c r="M20" s="151">
        <f t="shared" si="6"/>
        <v>418.17000000000007</v>
      </c>
      <c r="N20" s="151">
        <f t="shared" si="7"/>
        <v>418.17000000000007</v>
      </c>
      <c r="O20" s="151">
        <f t="shared" si="8"/>
        <v>5018.0400000000009</v>
      </c>
      <c r="P20" s="151">
        <f>ROUND(O20*('29_01_H_2020'!$O$17),2)</f>
        <v>1183.76</v>
      </c>
      <c r="Q20" s="380">
        <f t="shared" si="9"/>
        <v>6201.8000000000011</v>
      </c>
      <c r="R20" s="329"/>
      <c r="S20" s="431"/>
      <c r="T20" s="153"/>
      <c r="U20" s="153"/>
      <c r="V20" s="152"/>
      <c r="W20" s="147"/>
      <c r="X20" s="429"/>
      <c r="Y20" s="429"/>
      <c r="Z20" s="429"/>
      <c r="AA20" s="429"/>
      <c r="AB20" s="429"/>
      <c r="AC20" s="429"/>
      <c r="AD20" s="429"/>
      <c r="AE20" s="429"/>
      <c r="AF20" s="429"/>
      <c r="AG20" s="429"/>
      <c r="AH20" s="327"/>
      <c r="AI20" s="147"/>
      <c r="AJ20" s="147"/>
      <c r="AK20" s="429"/>
      <c r="AL20" s="429"/>
      <c r="AM20" s="429"/>
      <c r="AN20" s="429"/>
      <c r="AO20" s="429"/>
      <c r="AP20" s="429"/>
      <c r="AQ20" s="429"/>
      <c r="AR20" s="429"/>
      <c r="AS20" s="429"/>
      <c r="AT20" s="429"/>
      <c r="AU20" s="327"/>
      <c r="AV20" s="147"/>
      <c r="AW20" s="147"/>
      <c r="AX20" s="147"/>
    </row>
    <row r="21" spans="1:50" ht="25.5">
      <c r="A21" s="20" t="s">
        <v>616</v>
      </c>
      <c r="B21" s="37" t="s">
        <v>118</v>
      </c>
      <c r="C21" s="37" t="s">
        <v>21</v>
      </c>
      <c r="D21" s="267" t="s">
        <v>119</v>
      </c>
      <c r="E21" s="267" t="s">
        <v>69</v>
      </c>
      <c r="F21" s="287">
        <v>1647</v>
      </c>
      <c r="G21" s="38">
        <v>1647</v>
      </c>
      <c r="H21" s="38"/>
      <c r="I21" s="273">
        <v>1</v>
      </c>
      <c r="J21" s="379">
        <f>ROUND(G21*(1+'29_01_H_2020'!$O$14),2)</f>
        <v>2065.17</v>
      </c>
      <c r="K21" s="151">
        <f t="shared" si="5"/>
        <v>0</v>
      </c>
      <c r="L21" s="151">
        <f>ROUND(H21*(1+'29_01_H_2020'!$O$14),2)</f>
        <v>0</v>
      </c>
      <c r="M21" s="151">
        <f t="shared" si="6"/>
        <v>418.17000000000007</v>
      </c>
      <c r="N21" s="151">
        <f t="shared" si="7"/>
        <v>418.17000000000007</v>
      </c>
      <c r="O21" s="151">
        <f t="shared" si="8"/>
        <v>5018.0400000000009</v>
      </c>
      <c r="P21" s="151">
        <f>ROUND(O21*('29_01_H_2020'!$O$17),2)</f>
        <v>1183.76</v>
      </c>
      <c r="Q21" s="380">
        <f t="shared" si="9"/>
        <v>6201.8000000000011</v>
      </c>
      <c r="R21" s="329"/>
      <c r="S21" s="431"/>
      <c r="T21" s="153"/>
      <c r="U21" s="153"/>
      <c r="V21" s="152"/>
      <c r="W21" s="147"/>
      <c r="X21" s="429"/>
      <c r="Y21" s="429"/>
      <c r="Z21" s="429"/>
      <c r="AA21" s="429"/>
      <c r="AB21" s="429"/>
      <c r="AC21" s="429"/>
      <c r="AD21" s="429"/>
      <c r="AE21" s="429"/>
      <c r="AF21" s="429"/>
      <c r="AG21" s="429"/>
      <c r="AH21" s="327"/>
      <c r="AI21" s="147"/>
      <c r="AJ21" s="147"/>
      <c r="AK21" s="429"/>
      <c r="AL21" s="429"/>
      <c r="AM21" s="429"/>
      <c r="AN21" s="429"/>
      <c r="AO21" s="429"/>
      <c r="AP21" s="429"/>
      <c r="AQ21" s="429"/>
      <c r="AR21" s="429"/>
      <c r="AS21" s="429"/>
      <c r="AT21" s="429"/>
      <c r="AU21" s="327"/>
      <c r="AV21" s="147"/>
      <c r="AW21" s="147"/>
      <c r="AX21" s="147"/>
    </row>
    <row r="22" spans="1:50" ht="25.5">
      <c r="A22" s="20" t="s">
        <v>617</v>
      </c>
      <c r="B22" s="37" t="s">
        <v>118</v>
      </c>
      <c r="C22" s="37" t="s">
        <v>21</v>
      </c>
      <c r="D22" s="267" t="s">
        <v>119</v>
      </c>
      <c r="E22" s="267" t="s">
        <v>69</v>
      </c>
      <c r="F22" s="287">
        <v>1647</v>
      </c>
      <c r="G22" s="38">
        <v>1647</v>
      </c>
      <c r="H22" s="38"/>
      <c r="I22" s="273">
        <v>1</v>
      </c>
      <c r="J22" s="379">
        <f>ROUND(G22*(1+'29_01_H_2020'!$O$14),2)</f>
        <v>2065.17</v>
      </c>
      <c r="K22" s="151">
        <f t="shared" si="5"/>
        <v>0</v>
      </c>
      <c r="L22" s="151">
        <f>ROUND(H22*(1+'29_01_H_2020'!$O$14),2)</f>
        <v>0</v>
      </c>
      <c r="M22" s="151">
        <f t="shared" si="6"/>
        <v>418.17000000000007</v>
      </c>
      <c r="N22" s="151">
        <f t="shared" si="7"/>
        <v>418.17000000000007</v>
      </c>
      <c r="O22" s="151">
        <f t="shared" si="8"/>
        <v>5018.0400000000009</v>
      </c>
      <c r="P22" s="151">
        <f>ROUND(O22*('29_01_H_2020'!$O$17),2)</f>
        <v>1183.76</v>
      </c>
      <c r="Q22" s="380">
        <f t="shared" si="9"/>
        <v>6201.8000000000011</v>
      </c>
      <c r="R22" s="329"/>
      <c r="S22" s="431"/>
      <c r="T22" s="153"/>
      <c r="U22" s="153"/>
      <c r="V22" s="152"/>
      <c r="W22" s="147"/>
      <c r="X22" s="429"/>
      <c r="Y22" s="429"/>
      <c r="Z22" s="429"/>
      <c r="AA22" s="429"/>
      <c r="AB22" s="429"/>
      <c r="AC22" s="429"/>
      <c r="AD22" s="429"/>
      <c r="AE22" s="429"/>
      <c r="AF22" s="429"/>
      <c r="AG22" s="429"/>
      <c r="AH22" s="327"/>
      <c r="AI22" s="147"/>
      <c r="AJ22" s="147"/>
      <c r="AK22" s="429"/>
      <c r="AL22" s="429"/>
      <c r="AM22" s="429"/>
      <c r="AN22" s="429"/>
      <c r="AO22" s="429"/>
      <c r="AP22" s="429"/>
      <c r="AQ22" s="429"/>
      <c r="AR22" s="429"/>
      <c r="AS22" s="429"/>
      <c r="AT22" s="429"/>
      <c r="AU22" s="327"/>
      <c r="AV22" s="147"/>
      <c r="AW22" s="147"/>
      <c r="AX22" s="147"/>
    </row>
    <row r="23" spans="1:50">
      <c r="A23" s="39" t="s">
        <v>130</v>
      </c>
      <c r="B23" s="353" t="s">
        <v>113</v>
      </c>
      <c r="C23" s="353" t="s">
        <v>120</v>
      </c>
      <c r="D23" s="267" t="s">
        <v>121</v>
      </c>
      <c r="E23" s="267" t="s">
        <v>69</v>
      </c>
      <c r="F23" s="287">
        <v>1917</v>
      </c>
      <c r="G23" s="341">
        <v>1917</v>
      </c>
      <c r="H23" s="341"/>
      <c r="I23" s="274">
        <v>1</v>
      </c>
      <c r="J23" s="379">
        <f>ROUND(G23*(1+'29_01_H_2020'!$O$14),2)</f>
        <v>2403.73</v>
      </c>
      <c r="K23" s="151">
        <f t="shared" si="5"/>
        <v>0</v>
      </c>
      <c r="L23" s="151">
        <f>ROUND(H23*(1+'29_01_H_2020'!$O$14),2)</f>
        <v>0</v>
      </c>
      <c r="M23" s="151">
        <f t="shared" si="6"/>
        <v>486.73</v>
      </c>
      <c r="N23" s="151">
        <f t="shared" si="7"/>
        <v>486.73</v>
      </c>
      <c r="O23" s="151">
        <f t="shared" si="8"/>
        <v>5840.76</v>
      </c>
      <c r="P23" s="151">
        <f>ROUND(O23*('29_01_H_2020'!$O$17),2)</f>
        <v>1377.84</v>
      </c>
      <c r="Q23" s="380">
        <f t="shared" si="9"/>
        <v>7218.6</v>
      </c>
      <c r="R23" s="329"/>
      <c r="S23" s="431"/>
      <c r="T23" s="153"/>
      <c r="U23" s="153"/>
      <c r="V23" s="152"/>
      <c r="W23" s="147"/>
      <c r="X23" s="429"/>
      <c r="Y23" s="429"/>
      <c r="Z23" s="429"/>
      <c r="AA23" s="429"/>
      <c r="AB23" s="429"/>
      <c r="AC23" s="429"/>
      <c r="AD23" s="429"/>
      <c r="AE23" s="429"/>
      <c r="AF23" s="429"/>
      <c r="AG23" s="429"/>
      <c r="AH23" s="327"/>
      <c r="AI23" s="147"/>
      <c r="AJ23" s="147"/>
      <c r="AK23" s="429"/>
      <c r="AL23" s="429"/>
      <c r="AM23" s="429"/>
      <c r="AN23" s="429"/>
      <c r="AO23" s="429"/>
      <c r="AP23" s="429"/>
      <c r="AQ23" s="429"/>
      <c r="AR23" s="429"/>
      <c r="AS23" s="429"/>
      <c r="AT23" s="429"/>
      <c r="AU23" s="327"/>
      <c r="AV23" s="147"/>
      <c r="AW23" s="147"/>
      <c r="AX23" s="147"/>
    </row>
    <row r="24" spans="1:50">
      <c r="A24" s="39" t="s">
        <v>131</v>
      </c>
      <c r="B24" s="353" t="s">
        <v>118</v>
      </c>
      <c r="C24" s="353" t="s">
        <v>21</v>
      </c>
      <c r="D24" s="267" t="s">
        <v>119</v>
      </c>
      <c r="E24" s="267" t="s">
        <v>69</v>
      </c>
      <c r="F24" s="287">
        <v>1647</v>
      </c>
      <c r="G24" s="341">
        <v>1647</v>
      </c>
      <c r="H24" s="341"/>
      <c r="I24" s="274">
        <v>1</v>
      </c>
      <c r="J24" s="379">
        <f>ROUND(G24*(1+'29_01_H_2020'!$O$14),2)</f>
        <v>2065.17</v>
      </c>
      <c r="K24" s="151">
        <f t="shared" si="5"/>
        <v>0</v>
      </c>
      <c r="L24" s="151">
        <f>ROUND(H24*(1+'29_01_H_2020'!$O$14),2)</f>
        <v>0</v>
      </c>
      <c r="M24" s="151">
        <f t="shared" si="6"/>
        <v>418.17000000000007</v>
      </c>
      <c r="N24" s="151">
        <f t="shared" si="7"/>
        <v>418.17000000000007</v>
      </c>
      <c r="O24" s="151">
        <f t="shared" si="8"/>
        <v>5018.0400000000009</v>
      </c>
      <c r="P24" s="151">
        <f>ROUND(O24*('29_01_H_2020'!$O$17),2)</f>
        <v>1183.76</v>
      </c>
      <c r="Q24" s="380">
        <f t="shared" si="9"/>
        <v>6201.8000000000011</v>
      </c>
      <c r="R24" s="329"/>
      <c r="S24" s="431"/>
      <c r="T24" s="153"/>
      <c r="U24" s="153"/>
      <c r="V24" s="152"/>
      <c r="W24" s="147"/>
      <c r="X24" s="429"/>
      <c r="Y24" s="429"/>
      <c r="Z24" s="429"/>
      <c r="AA24" s="429"/>
      <c r="AB24" s="429"/>
      <c r="AC24" s="429"/>
      <c r="AD24" s="429"/>
      <c r="AE24" s="429"/>
      <c r="AF24" s="429"/>
      <c r="AG24" s="429"/>
      <c r="AH24" s="327"/>
      <c r="AI24" s="147"/>
      <c r="AJ24" s="147"/>
      <c r="AK24" s="429"/>
      <c r="AL24" s="429"/>
      <c r="AM24" s="429"/>
      <c r="AN24" s="429"/>
      <c r="AO24" s="429"/>
      <c r="AP24" s="429"/>
      <c r="AQ24" s="429"/>
      <c r="AR24" s="429"/>
      <c r="AS24" s="429"/>
      <c r="AT24" s="429"/>
      <c r="AU24" s="327"/>
      <c r="AV24" s="147"/>
      <c r="AW24" s="147"/>
      <c r="AX24" s="147"/>
    </row>
    <row r="25" spans="1:50">
      <c r="A25" s="39" t="s">
        <v>132</v>
      </c>
      <c r="B25" s="353" t="s">
        <v>113</v>
      </c>
      <c r="C25" s="353" t="s">
        <v>114</v>
      </c>
      <c r="D25" s="267" t="s">
        <v>115</v>
      </c>
      <c r="E25" s="267" t="s">
        <v>69</v>
      </c>
      <c r="F25" s="287">
        <v>2353</v>
      </c>
      <c r="G25" s="341">
        <v>2200</v>
      </c>
      <c r="H25" s="341"/>
      <c r="I25" s="274">
        <v>1</v>
      </c>
      <c r="J25" s="379">
        <f>ROUND(G25*(1+'29_01_H_2020'!$O$14),2)</f>
        <v>2758.58</v>
      </c>
      <c r="K25" s="151">
        <f t="shared" si="5"/>
        <v>0</v>
      </c>
      <c r="L25" s="151">
        <f>ROUND(H25*(1+'29_01_H_2020'!$O$14),2)</f>
        <v>0</v>
      </c>
      <c r="M25" s="151">
        <f t="shared" si="6"/>
        <v>558.57999999999993</v>
      </c>
      <c r="N25" s="151">
        <f t="shared" si="7"/>
        <v>558.57999999999993</v>
      </c>
      <c r="O25" s="151">
        <f t="shared" si="8"/>
        <v>6702.9599999999991</v>
      </c>
      <c r="P25" s="151">
        <f>ROUND(O25*('29_01_H_2020'!$O$17),2)</f>
        <v>1581.23</v>
      </c>
      <c r="Q25" s="380">
        <f t="shared" si="9"/>
        <v>8284.1899999999987</v>
      </c>
      <c r="R25" s="329"/>
      <c r="S25" s="431"/>
      <c r="T25" s="153"/>
      <c r="U25" s="153"/>
      <c r="V25" s="152"/>
      <c r="W25" s="147"/>
      <c r="X25" s="429"/>
      <c r="Y25" s="429"/>
      <c r="Z25" s="429"/>
      <c r="AA25" s="429"/>
      <c r="AB25" s="429"/>
      <c r="AC25" s="429"/>
      <c r="AD25" s="429"/>
      <c r="AE25" s="429"/>
      <c r="AF25" s="429"/>
      <c r="AG25" s="429"/>
      <c r="AH25" s="327"/>
      <c r="AI25" s="147"/>
      <c r="AJ25" s="147"/>
      <c r="AK25" s="429"/>
      <c r="AL25" s="429"/>
      <c r="AM25" s="429"/>
      <c r="AN25" s="429"/>
      <c r="AO25" s="429"/>
      <c r="AP25" s="429"/>
      <c r="AQ25" s="429"/>
      <c r="AR25" s="429"/>
      <c r="AS25" s="429"/>
      <c r="AT25" s="429"/>
      <c r="AU25" s="327"/>
      <c r="AV25" s="147"/>
      <c r="AW25" s="147"/>
      <c r="AX25" s="147"/>
    </row>
    <row r="26" spans="1:50" s="333" customFormat="1">
      <c r="A26" s="39" t="s">
        <v>133</v>
      </c>
      <c r="B26" s="353" t="s">
        <v>113</v>
      </c>
      <c r="C26" s="353" t="s">
        <v>125</v>
      </c>
      <c r="D26" s="267" t="s">
        <v>80</v>
      </c>
      <c r="E26" s="267" t="s">
        <v>69</v>
      </c>
      <c r="F26" s="287">
        <v>2264</v>
      </c>
      <c r="G26" s="341">
        <v>1860</v>
      </c>
      <c r="H26" s="341"/>
      <c r="I26" s="274">
        <v>1</v>
      </c>
      <c r="J26" s="379">
        <f>ROUND(G26*(1+'29_01_H_2020'!$O$14),2)</f>
        <v>2332.25</v>
      </c>
      <c r="K26" s="151">
        <f t="shared" ref="K26" si="10">L26-H26</f>
        <v>0</v>
      </c>
      <c r="L26" s="151">
        <f>ROUND(H26*(1+'29_01_H_2020'!$O$14),2)</f>
        <v>0</v>
      </c>
      <c r="M26" s="151">
        <f t="shared" ref="M26" si="11">(J26+L26)-(G26+H26)</f>
        <v>472.25</v>
      </c>
      <c r="N26" s="151">
        <f t="shared" ref="N26" si="12">M26*I26</f>
        <v>472.25</v>
      </c>
      <c r="O26" s="151">
        <f t="shared" ref="O26" si="13">N26*12</f>
        <v>5667</v>
      </c>
      <c r="P26" s="151">
        <f>ROUND(O26*('29_01_H_2020'!$O$17),2)</f>
        <v>1336.85</v>
      </c>
      <c r="Q26" s="380">
        <f t="shared" ref="Q26" si="14">SUM(O26:P26)</f>
        <v>7003.85</v>
      </c>
      <c r="R26" s="329"/>
      <c r="S26" s="431"/>
      <c r="T26" s="153"/>
      <c r="U26" s="153"/>
      <c r="V26" s="152"/>
      <c r="W26" s="147"/>
      <c r="X26" s="429"/>
      <c r="Y26" s="429"/>
      <c r="Z26" s="429"/>
      <c r="AA26" s="429"/>
      <c r="AB26" s="429"/>
      <c r="AC26" s="429"/>
      <c r="AD26" s="429"/>
      <c r="AE26" s="429"/>
      <c r="AF26" s="429"/>
      <c r="AG26" s="429"/>
      <c r="AH26" s="327"/>
      <c r="AI26" s="147"/>
      <c r="AJ26" s="147"/>
      <c r="AK26" s="429"/>
      <c r="AL26" s="429"/>
      <c r="AM26" s="429"/>
      <c r="AN26" s="429"/>
      <c r="AO26" s="429"/>
      <c r="AP26" s="429"/>
      <c r="AQ26" s="429"/>
      <c r="AR26" s="429"/>
      <c r="AS26" s="429"/>
      <c r="AT26" s="429"/>
      <c r="AU26" s="327"/>
      <c r="AV26" s="147"/>
      <c r="AW26" s="147"/>
      <c r="AX26" s="147"/>
    </row>
    <row r="27" spans="1:50">
      <c r="A27" s="39" t="s">
        <v>134</v>
      </c>
      <c r="B27" s="353" t="s">
        <v>113</v>
      </c>
      <c r="C27" s="353" t="s">
        <v>120</v>
      </c>
      <c r="D27" s="267" t="s">
        <v>121</v>
      </c>
      <c r="E27" s="267" t="s">
        <v>69</v>
      </c>
      <c r="F27" s="287">
        <v>1917</v>
      </c>
      <c r="G27" s="341">
        <v>1647</v>
      </c>
      <c r="H27" s="341"/>
      <c r="I27" s="274">
        <v>1</v>
      </c>
      <c r="J27" s="379">
        <f>ROUND(G27*(1+'29_01_H_2020'!$O$14),2)</f>
        <v>2065.17</v>
      </c>
      <c r="K27" s="151">
        <f t="shared" si="5"/>
        <v>0</v>
      </c>
      <c r="L27" s="151">
        <f>ROUND(H27*(1+'29_01_H_2020'!$O$14),2)</f>
        <v>0</v>
      </c>
      <c r="M27" s="151">
        <f t="shared" si="6"/>
        <v>418.17000000000007</v>
      </c>
      <c r="N27" s="151">
        <f t="shared" si="7"/>
        <v>418.17000000000007</v>
      </c>
      <c r="O27" s="151">
        <f t="shared" si="8"/>
        <v>5018.0400000000009</v>
      </c>
      <c r="P27" s="151">
        <f>ROUND(O27*('29_01_H_2020'!$O$17),2)</f>
        <v>1183.76</v>
      </c>
      <c r="Q27" s="380">
        <f t="shared" si="9"/>
        <v>6201.8000000000011</v>
      </c>
      <c r="R27" s="329"/>
      <c r="S27" s="431"/>
      <c r="T27" s="153"/>
      <c r="U27" s="153"/>
      <c r="V27" s="152"/>
      <c r="W27" s="147"/>
      <c r="X27" s="429"/>
      <c r="Y27" s="429"/>
      <c r="Z27" s="429"/>
      <c r="AA27" s="429"/>
      <c r="AB27" s="429"/>
      <c r="AC27" s="429"/>
      <c r="AD27" s="429"/>
      <c r="AE27" s="429"/>
      <c r="AF27" s="429"/>
      <c r="AG27" s="429"/>
      <c r="AH27" s="327"/>
      <c r="AI27" s="147"/>
      <c r="AJ27" s="147"/>
      <c r="AK27" s="429"/>
      <c r="AL27" s="429"/>
      <c r="AM27" s="429"/>
      <c r="AN27" s="429"/>
      <c r="AO27" s="429"/>
      <c r="AP27" s="429"/>
      <c r="AQ27" s="429"/>
      <c r="AR27" s="429"/>
      <c r="AS27" s="429"/>
      <c r="AT27" s="429"/>
      <c r="AU27" s="327"/>
      <c r="AV27" s="147"/>
      <c r="AW27" s="147"/>
      <c r="AX27" s="147"/>
    </row>
    <row r="28" spans="1:50">
      <c r="A28" s="11" t="s">
        <v>55</v>
      </c>
      <c r="B28" s="8" t="s">
        <v>52</v>
      </c>
      <c r="C28" s="9" t="s">
        <v>52</v>
      </c>
      <c r="D28" s="9" t="s">
        <v>52</v>
      </c>
      <c r="E28" s="9" t="s">
        <v>52</v>
      </c>
      <c r="F28" s="10" t="s">
        <v>52</v>
      </c>
      <c r="G28" s="10" t="s">
        <v>52</v>
      </c>
      <c r="H28" s="10" t="s">
        <v>52</v>
      </c>
      <c r="I28" s="493">
        <f>SUM(I8:I27)</f>
        <v>21</v>
      </c>
      <c r="J28" s="404"/>
      <c r="K28" s="405"/>
      <c r="L28" s="405"/>
      <c r="M28" s="501"/>
      <c r="N28" s="405"/>
      <c r="O28" s="405"/>
      <c r="P28" s="815"/>
      <c r="Q28" s="502"/>
      <c r="R28" s="491"/>
      <c r="S28" s="491"/>
      <c r="T28" s="491"/>
      <c r="U28" s="491"/>
      <c r="V28" s="491"/>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row>
    <row r="29" spans="1:50">
      <c r="A29" s="1098" t="s">
        <v>28</v>
      </c>
      <c r="B29" s="1099"/>
      <c r="C29" s="1099"/>
      <c r="D29" s="1099"/>
      <c r="E29" s="1099"/>
      <c r="F29" s="1099"/>
      <c r="G29" s="1099"/>
      <c r="H29" s="1099"/>
      <c r="I29" s="1100">
        <f>SUM(I30:I44)</f>
        <v>30</v>
      </c>
      <c r="J29" s="385"/>
      <c r="K29" s="383"/>
      <c r="L29" s="383"/>
      <c r="M29" s="383"/>
      <c r="N29" s="383"/>
      <c r="O29" s="383"/>
      <c r="P29" s="816"/>
      <c r="Q29" s="386"/>
      <c r="R29" s="491"/>
      <c r="S29" s="491"/>
      <c r="T29" s="491"/>
      <c r="U29" s="491"/>
      <c r="V29" s="491"/>
      <c r="W29" s="147"/>
      <c r="X29" s="147"/>
      <c r="Y29" s="147"/>
      <c r="Z29" s="147"/>
      <c r="AA29" s="147"/>
      <c r="AB29" s="147"/>
      <c r="AC29" s="147"/>
      <c r="AD29" s="147"/>
      <c r="AE29" s="147"/>
      <c r="AF29" s="147"/>
      <c r="AG29" s="147"/>
      <c r="AH29" s="147"/>
      <c r="AI29" s="147"/>
      <c r="AJ29" s="147"/>
      <c r="AK29" s="147"/>
      <c r="AL29" s="147"/>
      <c r="AM29" s="147"/>
      <c r="AN29" s="147"/>
      <c r="AO29" s="147"/>
      <c r="AP29" s="147"/>
      <c r="AQ29" s="147"/>
      <c r="AR29" s="147"/>
      <c r="AS29" s="147"/>
      <c r="AT29" s="147"/>
      <c r="AU29" s="147"/>
      <c r="AV29" s="147"/>
      <c r="AW29" s="147"/>
      <c r="AX29" s="147"/>
    </row>
    <row r="30" spans="1:50">
      <c r="A30" s="268" t="s">
        <v>136</v>
      </c>
      <c r="B30" s="269" t="s">
        <v>113</v>
      </c>
      <c r="C30" s="269" t="s">
        <v>123</v>
      </c>
      <c r="D30" s="269" t="s">
        <v>115</v>
      </c>
      <c r="E30" s="269" t="s">
        <v>69</v>
      </c>
      <c r="F30" s="288">
        <v>2353</v>
      </c>
      <c r="G30" s="335">
        <v>2065</v>
      </c>
      <c r="H30" s="337"/>
      <c r="I30" s="480">
        <v>1</v>
      </c>
      <c r="J30" s="379">
        <f>ROUND(G30*(1+'29_01_H_2020'!$O$10),2)</f>
        <v>2589.3000000000002</v>
      </c>
      <c r="K30" s="151">
        <f t="shared" ref="K30" si="15">L30-H30</f>
        <v>0</v>
      </c>
      <c r="L30" s="151">
        <f>ROUND(H30*(1+'29_01_H_2020'!$O$10),2)</f>
        <v>0</v>
      </c>
      <c r="M30" s="151">
        <f t="shared" ref="M30" si="16">(J30+L30)-(G30+H30)</f>
        <v>524.30000000000018</v>
      </c>
      <c r="N30" s="151">
        <f t="shared" ref="N30" si="17">M30*I30</f>
        <v>524.30000000000018</v>
      </c>
      <c r="O30" s="151">
        <f t="shared" ref="O30:O37" si="18">N30*12</f>
        <v>6291.6000000000022</v>
      </c>
      <c r="P30" s="151">
        <f>ROUND(O30*('29_01_H_2020'!$O$17),2)</f>
        <v>1484.19</v>
      </c>
      <c r="Q30" s="380">
        <f t="shared" ref="Q30" si="19">SUM(O30:P30)</f>
        <v>7775.7900000000027</v>
      </c>
      <c r="R30" s="491"/>
      <c r="S30" s="491"/>
      <c r="T30" s="491"/>
      <c r="U30" s="491"/>
      <c r="V30" s="491"/>
      <c r="W30" s="147"/>
      <c r="X30" s="429"/>
      <c r="Y30" s="429"/>
      <c r="Z30" s="429"/>
      <c r="AA30" s="429"/>
      <c r="AB30" s="429"/>
      <c r="AC30" s="429"/>
      <c r="AD30" s="429"/>
      <c r="AE30" s="429"/>
      <c r="AF30" s="429"/>
      <c r="AG30" s="429"/>
      <c r="AH30" s="327"/>
      <c r="AI30" s="147"/>
      <c r="AJ30" s="147"/>
      <c r="AK30" s="429"/>
      <c r="AL30" s="429"/>
      <c r="AM30" s="429"/>
      <c r="AN30" s="429"/>
      <c r="AO30" s="429"/>
      <c r="AP30" s="429"/>
      <c r="AQ30" s="429"/>
      <c r="AR30" s="429"/>
      <c r="AS30" s="429"/>
      <c r="AT30" s="429"/>
      <c r="AU30" s="327"/>
      <c r="AV30" s="147"/>
      <c r="AW30" s="147"/>
      <c r="AX30" s="147"/>
    </row>
    <row r="31" spans="1:50">
      <c r="A31" s="268" t="s">
        <v>137</v>
      </c>
      <c r="B31" s="269" t="s">
        <v>113</v>
      </c>
      <c r="C31" s="269" t="s">
        <v>125</v>
      </c>
      <c r="D31" s="269" t="s">
        <v>80</v>
      </c>
      <c r="E31" s="269" t="s">
        <v>69</v>
      </c>
      <c r="F31" s="288">
        <v>2264</v>
      </c>
      <c r="G31" s="335">
        <v>1885</v>
      </c>
      <c r="H31" s="337"/>
      <c r="I31" s="480">
        <v>1</v>
      </c>
      <c r="J31" s="379">
        <f>ROUND(G31*(1+'29_01_H_2020'!$O$10),2)</f>
        <v>2363.6</v>
      </c>
      <c r="K31" s="151">
        <f t="shared" ref="K31:K37" si="20">L31-H31</f>
        <v>0</v>
      </c>
      <c r="L31" s="151">
        <f>ROUND(H31*(1+'29_01_H_2020'!$O$10),2)</f>
        <v>0</v>
      </c>
      <c r="M31" s="151">
        <f t="shared" ref="M31:M37" si="21">(J31+L31)-(G31+H31)</f>
        <v>478.59999999999991</v>
      </c>
      <c r="N31" s="151">
        <f t="shared" ref="N31:N37" si="22">M31*I31</f>
        <v>478.59999999999991</v>
      </c>
      <c r="O31" s="151">
        <f t="shared" si="18"/>
        <v>5743.1999999999989</v>
      </c>
      <c r="P31" s="151">
        <f>ROUND(O31*('29_01_H_2020'!$O$17),2)</f>
        <v>1354.82</v>
      </c>
      <c r="Q31" s="380">
        <f t="shared" ref="Q31:Q37" si="23">SUM(O31:P31)</f>
        <v>7098.0199999999986</v>
      </c>
      <c r="R31" s="491"/>
      <c r="S31" s="491"/>
      <c r="T31" s="491"/>
      <c r="U31" s="491"/>
      <c r="V31" s="491"/>
      <c r="W31" s="147"/>
      <c r="X31" s="429"/>
      <c r="Y31" s="429"/>
      <c r="Z31" s="429"/>
      <c r="AA31" s="429"/>
      <c r="AB31" s="429"/>
      <c r="AC31" s="429"/>
      <c r="AD31" s="429"/>
      <c r="AE31" s="429"/>
      <c r="AF31" s="429"/>
      <c r="AG31" s="429"/>
      <c r="AH31" s="327"/>
      <c r="AI31" s="147"/>
      <c r="AJ31" s="147"/>
      <c r="AK31" s="429"/>
      <c r="AL31" s="429"/>
      <c r="AM31" s="429"/>
      <c r="AN31" s="429"/>
      <c r="AO31" s="429"/>
      <c r="AP31" s="429"/>
      <c r="AQ31" s="429"/>
      <c r="AR31" s="429"/>
      <c r="AS31" s="429"/>
      <c r="AT31" s="429"/>
      <c r="AU31" s="327"/>
      <c r="AV31" s="147"/>
      <c r="AW31" s="147"/>
      <c r="AX31" s="147"/>
    </row>
    <row r="32" spans="1:50">
      <c r="A32" s="268" t="s">
        <v>138</v>
      </c>
      <c r="B32" s="269" t="s">
        <v>113</v>
      </c>
      <c r="C32" s="269" t="s">
        <v>125</v>
      </c>
      <c r="D32" s="269" t="s">
        <v>80</v>
      </c>
      <c r="E32" s="269" t="s">
        <v>69</v>
      </c>
      <c r="F32" s="288">
        <v>2264</v>
      </c>
      <c r="G32" s="335">
        <v>1885</v>
      </c>
      <c r="H32" s="337"/>
      <c r="I32" s="480">
        <v>1</v>
      </c>
      <c r="J32" s="379">
        <f>ROUND(G32*(1+'29_01_H_2020'!$O$10),2)</f>
        <v>2363.6</v>
      </c>
      <c r="K32" s="151">
        <f t="shared" si="20"/>
        <v>0</v>
      </c>
      <c r="L32" s="151">
        <f>ROUND(H32*(1+'29_01_H_2020'!$O$10),2)</f>
        <v>0</v>
      </c>
      <c r="M32" s="151">
        <f t="shared" si="21"/>
        <v>478.59999999999991</v>
      </c>
      <c r="N32" s="151">
        <f t="shared" si="22"/>
        <v>478.59999999999991</v>
      </c>
      <c r="O32" s="151">
        <f t="shared" si="18"/>
        <v>5743.1999999999989</v>
      </c>
      <c r="P32" s="151">
        <f>ROUND(O32*('29_01_H_2020'!$O$17),2)</f>
        <v>1354.82</v>
      </c>
      <c r="Q32" s="380">
        <f t="shared" si="23"/>
        <v>7098.0199999999986</v>
      </c>
      <c r="R32" s="491"/>
      <c r="S32" s="491"/>
      <c r="T32" s="491"/>
      <c r="U32" s="491"/>
      <c r="V32" s="491"/>
      <c r="W32" s="147"/>
      <c r="X32" s="429"/>
      <c r="Y32" s="429"/>
      <c r="Z32" s="429"/>
      <c r="AA32" s="429"/>
      <c r="AB32" s="429"/>
      <c r="AC32" s="429"/>
      <c r="AD32" s="429"/>
      <c r="AE32" s="429"/>
      <c r="AF32" s="429"/>
      <c r="AG32" s="429"/>
      <c r="AH32" s="327"/>
      <c r="AI32" s="147"/>
      <c r="AJ32" s="147"/>
      <c r="AK32" s="429"/>
      <c r="AL32" s="429"/>
      <c r="AM32" s="429"/>
      <c r="AN32" s="429"/>
      <c r="AO32" s="429"/>
      <c r="AP32" s="429"/>
      <c r="AQ32" s="429"/>
      <c r="AR32" s="429"/>
      <c r="AS32" s="429"/>
      <c r="AT32" s="429"/>
      <c r="AU32" s="327"/>
      <c r="AV32" s="147"/>
      <c r="AW32" s="147"/>
      <c r="AX32" s="147"/>
    </row>
    <row r="33" spans="1:50">
      <c r="A33" s="268" t="s">
        <v>139</v>
      </c>
      <c r="B33" s="269" t="s">
        <v>113</v>
      </c>
      <c r="C33" s="269" t="s">
        <v>123</v>
      </c>
      <c r="D33" s="269" t="s">
        <v>115</v>
      </c>
      <c r="E33" s="269" t="s">
        <v>69</v>
      </c>
      <c r="F33" s="288">
        <v>2353</v>
      </c>
      <c r="G33" s="335">
        <v>2105</v>
      </c>
      <c r="H33" s="337"/>
      <c r="I33" s="480">
        <v>1</v>
      </c>
      <c r="J33" s="379">
        <f>ROUND(G33*(1+'29_01_H_2020'!$O$10),2)</f>
        <v>2639.46</v>
      </c>
      <c r="K33" s="151">
        <f t="shared" si="20"/>
        <v>0</v>
      </c>
      <c r="L33" s="151">
        <f>ROUND(H33*(1+'29_01_H_2020'!$O$10),2)</f>
        <v>0</v>
      </c>
      <c r="M33" s="151">
        <f t="shared" si="21"/>
        <v>534.46</v>
      </c>
      <c r="N33" s="151">
        <f t="shared" si="22"/>
        <v>534.46</v>
      </c>
      <c r="O33" s="151">
        <f t="shared" si="18"/>
        <v>6413.52</v>
      </c>
      <c r="P33" s="151">
        <f>ROUND(O33*('29_01_H_2020'!$O$17),2)</f>
        <v>1512.95</v>
      </c>
      <c r="Q33" s="380">
        <f t="shared" si="23"/>
        <v>7926.47</v>
      </c>
      <c r="R33" s="491"/>
      <c r="S33" s="491"/>
      <c r="T33" s="491"/>
      <c r="U33" s="491"/>
      <c r="V33" s="491"/>
      <c r="W33" s="147"/>
      <c r="X33" s="429"/>
      <c r="Y33" s="429"/>
      <c r="Z33" s="429"/>
      <c r="AA33" s="429"/>
      <c r="AB33" s="429"/>
      <c r="AC33" s="429"/>
      <c r="AD33" s="429"/>
      <c r="AE33" s="429"/>
      <c r="AF33" s="429"/>
      <c r="AG33" s="429"/>
      <c r="AH33" s="327"/>
      <c r="AI33" s="147"/>
      <c r="AJ33" s="147"/>
      <c r="AK33" s="429"/>
      <c r="AL33" s="429"/>
      <c r="AM33" s="429"/>
      <c r="AN33" s="429"/>
      <c r="AO33" s="429"/>
      <c r="AP33" s="429"/>
      <c r="AQ33" s="429"/>
      <c r="AR33" s="429"/>
      <c r="AS33" s="429"/>
      <c r="AT33" s="429"/>
      <c r="AU33" s="327"/>
      <c r="AV33" s="147"/>
      <c r="AW33" s="147"/>
      <c r="AX33" s="147"/>
    </row>
    <row r="34" spans="1:50">
      <c r="A34" s="268" t="s">
        <v>618</v>
      </c>
      <c r="B34" s="269" t="s">
        <v>113</v>
      </c>
      <c r="C34" s="269" t="s">
        <v>120</v>
      </c>
      <c r="D34" s="269" t="s">
        <v>121</v>
      </c>
      <c r="E34" s="269">
        <v>3</v>
      </c>
      <c r="F34" s="288">
        <v>1917</v>
      </c>
      <c r="G34" s="335">
        <v>1700</v>
      </c>
      <c r="H34" s="337"/>
      <c r="I34" s="480">
        <v>1</v>
      </c>
      <c r="J34" s="379">
        <f>ROUND(G34*(1+'29_01_H_2020'!$O$10),2)</f>
        <v>2131.63</v>
      </c>
      <c r="K34" s="151">
        <f t="shared" si="20"/>
        <v>0</v>
      </c>
      <c r="L34" s="151">
        <f>ROUND(H34*(1+'29_01_H_2020'!$O$10),2)</f>
        <v>0</v>
      </c>
      <c r="M34" s="151">
        <f t="shared" si="21"/>
        <v>431.63000000000011</v>
      </c>
      <c r="N34" s="151">
        <f t="shared" si="22"/>
        <v>431.63000000000011</v>
      </c>
      <c r="O34" s="151">
        <f t="shared" si="18"/>
        <v>5179.5600000000013</v>
      </c>
      <c r="P34" s="151">
        <f>ROUND(O34*('29_01_H_2020'!$O$17),2)</f>
        <v>1221.8599999999999</v>
      </c>
      <c r="Q34" s="380">
        <f t="shared" si="23"/>
        <v>6401.420000000001</v>
      </c>
      <c r="R34" s="491"/>
      <c r="S34" s="491"/>
      <c r="T34" s="491"/>
      <c r="U34" s="491"/>
      <c r="V34" s="491"/>
      <c r="W34" s="147"/>
      <c r="X34" s="429"/>
      <c r="Y34" s="429"/>
      <c r="Z34" s="429"/>
      <c r="AA34" s="429"/>
      <c r="AB34" s="429"/>
      <c r="AC34" s="429"/>
      <c r="AD34" s="429"/>
      <c r="AE34" s="429"/>
      <c r="AF34" s="429"/>
      <c r="AG34" s="429"/>
      <c r="AH34" s="327"/>
      <c r="AI34" s="147"/>
      <c r="AJ34" s="147"/>
      <c r="AK34" s="429"/>
      <c r="AL34" s="429"/>
      <c r="AM34" s="429"/>
      <c r="AN34" s="429"/>
      <c r="AO34" s="429"/>
      <c r="AP34" s="429"/>
      <c r="AQ34" s="429"/>
      <c r="AR34" s="429"/>
      <c r="AS34" s="429"/>
      <c r="AT34" s="429"/>
      <c r="AU34" s="327"/>
      <c r="AV34" s="147"/>
      <c r="AW34" s="147"/>
      <c r="AX34" s="147"/>
    </row>
    <row r="35" spans="1:50">
      <c r="A35" s="666" t="s">
        <v>651</v>
      </c>
      <c r="B35" s="269" t="s">
        <v>75</v>
      </c>
      <c r="C35" s="269" t="s">
        <v>42</v>
      </c>
      <c r="D35" s="269" t="s">
        <v>85</v>
      </c>
      <c r="E35" s="269" t="s">
        <v>69</v>
      </c>
      <c r="F35" s="288">
        <v>1190</v>
      </c>
      <c r="G35" s="335">
        <v>1190</v>
      </c>
      <c r="H35" s="337"/>
      <c r="I35" s="480">
        <v>1</v>
      </c>
      <c r="J35" s="379">
        <f>ROUND(G35*(1+'29_01_H_2020'!$O$10),2)</f>
        <v>1492.14</v>
      </c>
      <c r="K35" s="151">
        <f t="shared" si="20"/>
        <v>0</v>
      </c>
      <c r="L35" s="151">
        <f>ROUND(H35*(1+'29_01_H_2020'!$O$10),2)</f>
        <v>0</v>
      </c>
      <c r="M35" s="151">
        <f t="shared" si="21"/>
        <v>302.1400000000001</v>
      </c>
      <c r="N35" s="151">
        <f t="shared" si="22"/>
        <v>302.1400000000001</v>
      </c>
      <c r="O35" s="151">
        <f t="shared" si="18"/>
        <v>3625.6800000000012</v>
      </c>
      <c r="P35" s="151">
        <f>ROUND(O35*('29_01_H_2020'!$O$17),2)</f>
        <v>855.3</v>
      </c>
      <c r="Q35" s="380">
        <f t="shared" si="23"/>
        <v>4480.9800000000014</v>
      </c>
      <c r="R35" s="491"/>
      <c r="S35" s="491"/>
      <c r="T35" s="491"/>
      <c r="U35" s="491"/>
      <c r="V35" s="491"/>
      <c r="W35" s="147"/>
      <c r="X35" s="429"/>
      <c r="Y35" s="429"/>
      <c r="Z35" s="429"/>
      <c r="AA35" s="429"/>
      <c r="AB35" s="429"/>
      <c r="AC35" s="429"/>
      <c r="AD35" s="429"/>
      <c r="AE35" s="429"/>
      <c r="AF35" s="429"/>
      <c r="AG35" s="429"/>
      <c r="AH35" s="327"/>
      <c r="AI35" s="147"/>
      <c r="AJ35" s="147"/>
      <c r="AK35" s="429"/>
      <c r="AL35" s="429"/>
      <c r="AM35" s="429"/>
      <c r="AN35" s="429"/>
      <c r="AO35" s="429"/>
      <c r="AP35" s="429"/>
      <c r="AQ35" s="429"/>
      <c r="AR35" s="429"/>
      <c r="AS35" s="429"/>
      <c r="AT35" s="429"/>
      <c r="AU35" s="327"/>
      <c r="AV35" s="147"/>
      <c r="AW35" s="147"/>
      <c r="AX35" s="147"/>
    </row>
    <row r="36" spans="1:50" ht="25.5">
      <c r="A36" s="352" t="s">
        <v>135</v>
      </c>
      <c r="B36" s="267" t="s">
        <v>113</v>
      </c>
      <c r="C36" s="267" t="s">
        <v>142</v>
      </c>
      <c r="D36" s="267">
        <v>10</v>
      </c>
      <c r="E36" s="267">
        <v>3</v>
      </c>
      <c r="F36" s="287">
        <v>1287</v>
      </c>
      <c r="G36" s="270">
        <v>1250</v>
      </c>
      <c r="H36" s="337"/>
      <c r="I36" s="480">
        <v>1</v>
      </c>
      <c r="J36" s="379">
        <f>ROUND(G36*(1+'29_01_H_2020'!$O$10),2)</f>
        <v>1567.38</v>
      </c>
      <c r="K36" s="151">
        <f t="shared" si="20"/>
        <v>0</v>
      </c>
      <c r="L36" s="151">
        <f>ROUND(H36*(1+'29_01_H_2020'!$O$10),2)</f>
        <v>0</v>
      </c>
      <c r="M36" s="151">
        <f t="shared" si="21"/>
        <v>317.38000000000011</v>
      </c>
      <c r="N36" s="151">
        <f t="shared" si="22"/>
        <v>317.38000000000011</v>
      </c>
      <c r="O36" s="151">
        <f t="shared" si="18"/>
        <v>3808.5600000000013</v>
      </c>
      <c r="P36" s="151">
        <f>ROUND(O36*('29_01_H_2020'!$O$17),2)</f>
        <v>898.44</v>
      </c>
      <c r="Q36" s="380">
        <f t="shared" si="23"/>
        <v>4707.0000000000018</v>
      </c>
      <c r="R36" s="491"/>
      <c r="S36" s="491"/>
      <c r="T36" s="491"/>
      <c r="U36" s="491"/>
      <c r="V36" s="491"/>
      <c r="W36" s="147"/>
      <c r="X36" s="429"/>
      <c r="Y36" s="429"/>
      <c r="Z36" s="429"/>
      <c r="AA36" s="429"/>
      <c r="AB36" s="429"/>
      <c r="AC36" s="429"/>
      <c r="AD36" s="429"/>
      <c r="AE36" s="429"/>
      <c r="AF36" s="429"/>
      <c r="AG36" s="429"/>
      <c r="AH36" s="327"/>
      <c r="AI36" s="147"/>
      <c r="AJ36" s="147"/>
      <c r="AK36" s="429"/>
      <c r="AL36" s="429"/>
      <c r="AM36" s="429"/>
      <c r="AN36" s="429"/>
      <c r="AO36" s="429"/>
      <c r="AP36" s="429"/>
      <c r="AQ36" s="429"/>
      <c r="AR36" s="429"/>
      <c r="AS36" s="429"/>
      <c r="AT36" s="429"/>
      <c r="AU36" s="327"/>
      <c r="AV36" s="147"/>
      <c r="AW36" s="147"/>
      <c r="AX36" s="147"/>
    </row>
    <row r="37" spans="1:50" ht="25.5">
      <c r="A37" s="667" t="s">
        <v>144</v>
      </c>
      <c r="B37" s="271" t="s">
        <v>84</v>
      </c>
      <c r="C37" s="269" t="s">
        <v>21</v>
      </c>
      <c r="D37" s="269" t="s">
        <v>92</v>
      </c>
      <c r="E37" s="269" t="s">
        <v>69</v>
      </c>
      <c r="F37" s="288">
        <v>1382</v>
      </c>
      <c r="G37" s="335">
        <v>1287</v>
      </c>
      <c r="H37" s="337"/>
      <c r="I37" s="480">
        <v>1</v>
      </c>
      <c r="J37" s="379">
        <f>ROUND(G37*(1+'29_01_H_2020'!$O$10),2)</f>
        <v>1613.77</v>
      </c>
      <c r="K37" s="151">
        <f t="shared" si="20"/>
        <v>0</v>
      </c>
      <c r="L37" s="151">
        <f>ROUND(H37*(1+'29_01_H_2020'!$O$10),2)</f>
        <v>0</v>
      </c>
      <c r="M37" s="151">
        <f t="shared" si="21"/>
        <v>326.77</v>
      </c>
      <c r="N37" s="151">
        <f t="shared" si="22"/>
        <v>326.77</v>
      </c>
      <c r="O37" s="151">
        <f t="shared" si="18"/>
        <v>3921.24</v>
      </c>
      <c r="P37" s="151">
        <f>ROUND(O37*('29_01_H_2020'!$O$17),2)</f>
        <v>925.02</v>
      </c>
      <c r="Q37" s="380">
        <f t="shared" si="23"/>
        <v>4846.26</v>
      </c>
      <c r="R37" s="491"/>
      <c r="S37" s="491"/>
      <c r="T37" s="491"/>
      <c r="U37" s="491"/>
      <c r="V37" s="491"/>
      <c r="W37" s="147"/>
      <c r="X37" s="429"/>
      <c r="Y37" s="429"/>
      <c r="Z37" s="429"/>
      <c r="AA37" s="429"/>
      <c r="AB37" s="429"/>
      <c r="AC37" s="429"/>
      <c r="AD37" s="429"/>
      <c r="AE37" s="429"/>
      <c r="AF37" s="429"/>
      <c r="AG37" s="429"/>
      <c r="AH37" s="327"/>
      <c r="AI37" s="147"/>
      <c r="AJ37" s="147"/>
      <c r="AK37" s="429"/>
      <c r="AL37" s="429"/>
      <c r="AM37" s="429"/>
      <c r="AN37" s="429"/>
      <c r="AO37" s="429"/>
      <c r="AP37" s="429"/>
      <c r="AQ37" s="429"/>
      <c r="AR37" s="429"/>
      <c r="AS37" s="429"/>
      <c r="AT37" s="429"/>
      <c r="AU37" s="327"/>
      <c r="AV37" s="147"/>
      <c r="AW37" s="147"/>
      <c r="AX37" s="147"/>
    </row>
    <row r="38" spans="1:50" s="333" customFormat="1" ht="25.5">
      <c r="A38" s="667" t="s">
        <v>652</v>
      </c>
      <c r="B38" s="271" t="s">
        <v>84</v>
      </c>
      <c r="C38" s="269" t="s">
        <v>26</v>
      </c>
      <c r="D38" s="269" t="s">
        <v>75</v>
      </c>
      <c r="E38" s="269">
        <v>3</v>
      </c>
      <c r="F38" s="288">
        <v>1287</v>
      </c>
      <c r="G38" s="335">
        <v>1150</v>
      </c>
      <c r="H38" s="337"/>
      <c r="I38" s="480">
        <v>1</v>
      </c>
      <c r="J38" s="379">
        <f>ROUND(G38*(1+'29_01_H_2020'!$O$10),2)</f>
        <v>1441.99</v>
      </c>
      <c r="K38" s="151">
        <f t="shared" ref="K38:K40" si="24">L38-H38</f>
        <v>0</v>
      </c>
      <c r="L38" s="151">
        <f>ROUND(H38*(1+'29_01_H_2020'!$O$10),2)</f>
        <v>0</v>
      </c>
      <c r="M38" s="151">
        <f t="shared" ref="M38:M40" si="25">(J38+L38)-(G38+H38)</f>
        <v>291.99</v>
      </c>
      <c r="N38" s="151">
        <f t="shared" ref="N38:N40" si="26">M38*I38</f>
        <v>291.99</v>
      </c>
      <c r="O38" s="151">
        <f t="shared" ref="O38:O40" si="27">N38*12</f>
        <v>3503.88</v>
      </c>
      <c r="P38" s="151">
        <f>ROUND(O38*('29_01_H_2020'!$O$17),2)</f>
        <v>826.57</v>
      </c>
      <c r="Q38" s="380">
        <f>SUM(O38:P38)</f>
        <v>4330.45</v>
      </c>
      <c r="R38" s="491"/>
      <c r="S38" s="491"/>
      <c r="T38" s="491"/>
      <c r="U38" s="491"/>
      <c r="V38" s="491"/>
      <c r="W38" s="147"/>
      <c r="X38" s="429"/>
      <c r="Y38" s="429"/>
      <c r="Z38" s="429"/>
      <c r="AA38" s="429"/>
      <c r="AB38" s="429"/>
      <c r="AC38" s="429"/>
      <c r="AD38" s="429"/>
      <c r="AE38" s="429"/>
      <c r="AF38" s="429"/>
      <c r="AG38" s="429"/>
      <c r="AH38" s="327"/>
      <c r="AI38" s="147"/>
      <c r="AJ38" s="147"/>
      <c r="AK38" s="429"/>
      <c r="AL38" s="429"/>
      <c r="AM38" s="429"/>
      <c r="AN38" s="429"/>
      <c r="AO38" s="429"/>
      <c r="AP38" s="429"/>
      <c r="AQ38" s="429"/>
      <c r="AR38" s="429"/>
      <c r="AS38" s="429"/>
      <c r="AT38" s="429"/>
      <c r="AU38" s="327"/>
      <c r="AV38" s="147"/>
      <c r="AW38" s="147"/>
      <c r="AX38" s="147"/>
    </row>
    <row r="39" spans="1:50" s="333" customFormat="1" ht="25.5">
      <c r="A39" s="667" t="s">
        <v>653</v>
      </c>
      <c r="B39" s="271" t="s">
        <v>113</v>
      </c>
      <c r="C39" s="269" t="s">
        <v>142</v>
      </c>
      <c r="D39" s="269" t="s">
        <v>75</v>
      </c>
      <c r="E39" s="269">
        <v>3</v>
      </c>
      <c r="F39" s="288">
        <v>1287</v>
      </c>
      <c r="G39" s="335">
        <v>1250</v>
      </c>
      <c r="H39" s="337"/>
      <c r="I39" s="480">
        <v>1</v>
      </c>
      <c r="J39" s="379">
        <f>ROUND(G39*(1+'29_01_H_2020'!$O$10),2)</f>
        <v>1567.38</v>
      </c>
      <c r="K39" s="151">
        <f t="shared" si="24"/>
        <v>0</v>
      </c>
      <c r="L39" s="151">
        <f>ROUND(H39*(1+'29_01_H_2020'!$O$10),2)</f>
        <v>0</v>
      </c>
      <c r="M39" s="151">
        <f t="shared" si="25"/>
        <v>317.38000000000011</v>
      </c>
      <c r="N39" s="151">
        <f t="shared" si="26"/>
        <v>317.38000000000011</v>
      </c>
      <c r="O39" s="151">
        <f t="shared" si="27"/>
        <v>3808.5600000000013</v>
      </c>
      <c r="P39" s="151">
        <f>ROUND(O39*('29_01_H_2020'!$O$17),2)</f>
        <v>898.44</v>
      </c>
      <c r="Q39" s="380">
        <f t="shared" ref="Q39:Q40" si="28">SUM(O39:P39)</f>
        <v>4707.0000000000018</v>
      </c>
      <c r="R39" s="491"/>
      <c r="S39" s="491"/>
      <c r="T39" s="491"/>
      <c r="U39" s="491"/>
      <c r="V39" s="491"/>
      <c r="W39" s="147"/>
      <c r="X39" s="429"/>
      <c r="Y39" s="429"/>
      <c r="Z39" s="429"/>
      <c r="AA39" s="429"/>
      <c r="AB39" s="429"/>
      <c r="AC39" s="429"/>
      <c r="AD39" s="429"/>
      <c r="AE39" s="429"/>
      <c r="AF39" s="429"/>
      <c r="AG39" s="429"/>
      <c r="AH39" s="327"/>
      <c r="AI39" s="147"/>
      <c r="AJ39" s="147"/>
      <c r="AK39" s="429"/>
      <c r="AL39" s="429"/>
      <c r="AM39" s="429"/>
      <c r="AN39" s="429"/>
      <c r="AO39" s="429"/>
      <c r="AP39" s="429"/>
      <c r="AQ39" s="429"/>
      <c r="AR39" s="429"/>
      <c r="AS39" s="429"/>
      <c r="AT39" s="429"/>
      <c r="AU39" s="327"/>
      <c r="AV39" s="147"/>
      <c r="AW39" s="147"/>
      <c r="AX39" s="147"/>
    </row>
    <row r="40" spans="1:50" ht="25.5">
      <c r="A40" s="352" t="s">
        <v>141</v>
      </c>
      <c r="B40" s="267" t="s">
        <v>113</v>
      </c>
      <c r="C40" s="267" t="s">
        <v>17</v>
      </c>
      <c r="D40" s="267" t="s">
        <v>121</v>
      </c>
      <c r="E40" s="267">
        <v>3</v>
      </c>
      <c r="F40" s="287">
        <v>1917</v>
      </c>
      <c r="G40" s="270">
        <v>1850</v>
      </c>
      <c r="H40" s="335"/>
      <c r="I40" s="480">
        <v>1</v>
      </c>
      <c r="J40" s="379">
        <f>ROUND(G40*(1+'29_01_H_2020'!$O$10),2)</f>
        <v>2319.7199999999998</v>
      </c>
      <c r="K40" s="151">
        <f t="shared" si="24"/>
        <v>0</v>
      </c>
      <c r="L40" s="151">
        <f>ROUND(H40*(1+'29_01_H_2020'!$O$10),2)</f>
        <v>0</v>
      </c>
      <c r="M40" s="151">
        <f t="shared" si="25"/>
        <v>469.7199999999998</v>
      </c>
      <c r="N40" s="151">
        <f t="shared" si="26"/>
        <v>469.7199999999998</v>
      </c>
      <c r="O40" s="151">
        <f t="shared" si="27"/>
        <v>5636.6399999999976</v>
      </c>
      <c r="P40" s="151">
        <f>ROUND(O40*('29_01_H_2020'!$O$17),2)</f>
        <v>1329.68</v>
      </c>
      <c r="Q40" s="380">
        <f t="shared" si="28"/>
        <v>6966.3199999999979</v>
      </c>
      <c r="R40" s="491"/>
      <c r="S40" s="491"/>
      <c r="T40" s="491"/>
      <c r="U40" s="491"/>
      <c r="V40" s="491"/>
      <c r="W40" s="147"/>
      <c r="X40" s="429"/>
      <c r="Y40" s="429"/>
      <c r="Z40" s="429"/>
      <c r="AA40" s="429"/>
      <c r="AB40" s="429"/>
      <c r="AC40" s="429"/>
      <c r="AD40" s="429"/>
      <c r="AE40" s="429"/>
      <c r="AF40" s="429"/>
      <c r="AG40" s="429"/>
      <c r="AH40" s="327"/>
      <c r="AI40" s="147"/>
      <c r="AJ40" s="147"/>
      <c r="AK40" s="429"/>
      <c r="AL40" s="429"/>
      <c r="AM40" s="429"/>
      <c r="AN40" s="429"/>
      <c r="AO40" s="429"/>
      <c r="AP40" s="429"/>
      <c r="AQ40" s="429"/>
      <c r="AR40" s="429"/>
      <c r="AS40" s="429"/>
      <c r="AT40" s="429"/>
      <c r="AU40" s="327"/>
      <c r="AV40" s="147"/>
      <c r="AW40" s="147"/>
      <c r="AX40" s="147"/>
    </row>
    <row r="41" spans="1:50" s="333" customFormat="1" ht="38.25">
      <c r="A41" s="352" t="s">
        <v>654</v>
      </c>
      <c r="B41" s="267" t="s">
        <v>113</v>
      </c>
      <c r="C41" s="267" t="s">
        <v>142</v>
      </c>
      <c r="D41" s="267" t="s">
        <v>75</v>
      </c>
      <c r="E41" s="267">
        <v>3</v>
      </c>
      <c r="F41" s="287">
        <v>1287</v>
      </c>
      <c r="G41" s="270">
        <v>1280</v>
      </c>
      <c r="H41" s="335"/>
      <c r="I41" s="480">
        <v>2</v>
      </c>
      <c r="J41" s="379">
        <f>ROUND(G41*(1+'29_01_H_2020'!$O$10),2)</f>
        <v>1604.99</v>
      </c>
      <c r="K41" s="151">
        <f t="shared" ref="K41:K43" si="29">L41-H41</f>
        <v>0</v>
      </c>
      <c r="L41" s="151">
        <f>ROUND(H41*(1+'29_01_H_2020'!$O$10),2)</f>
        <v>0</v>
      </c>
      <c r="M41" s="151">
        <f t="shared" ref="M41:M43" si="30">(J41+L41)-(G41+H41)</f>
        <v>324.99</v>
      </c>
      <c r="N41" s="151">
        <f t="shared" ref="N41:N43" si="31">M41*I41</f>
        <v>649.98</v>
      </c>
      <c r="O41" s="151">
        <f t="shared" ref="O41:O43" si="32">N41*12</f>
        <v>7799.76</v>
      </c>
      <c r="P41" s="151">
        <f>ROUND(O41*('29_01_H_2020'!$O$17),2)</f>
        <v>1839.96</v>
      </c>
      <c r="Q41" s="380">
        <f t="shared" ref="Q41:Q43" si="33">SUM(O41:P41)</f>
        <v>9639.7200000000012</v>
      </c>
      <c r="R41" s="491"/>
      <c r="S41" s="491"/>
      <c r="T41" s="491"/>
      <c r="U41" s="491"/>
      <c r="V41" s="491"/>
      <c r="W41" s="147"/>
      <c r="X41" s="429"/>
      <c r="Y41" s="429"/>
      <c r="Z41" s="429"/>
      <c r="AA41" s="429"/>
      <c r="AB41" s="429"/>
      <c r="AC41" s="429"/>
      <c r="AD41" s="429"/>
      <c r="AE41" s="429"/>
      <c r="AF41" s="429"/>
      <c r="AG41" s="429"/>
      <c r="AH41" s="327"/>
      <c r="AI41" s="147"/>
      <c r="AJ41" s="147"/>
      <c r="AK41" s="429"/>
      <c r="AL41" s="429"/>
      <c r="AM41" s="429"/>
      <c r="AN41" s="429"/>
      <c r="AO41" s="429"/>
      <c r="AP41" s="429"/>
      <c r="AQ41" s="429"/>
      <c r="AR41" s="429"/>
      <c r="AS41" s="429"/>
      <c r="AT41" s="429"/>
      <c r="AU41" s="327"/>
      <c r="AV41" s="147"/>
      <c r="AW41" s="147"/>
      <c r="AX41" s="147"/>
    </row>
    <row r="42" spans="1:50" ht="25.5">
      <c r="A42" s="352" t="s">
        <v>143</v>
      </c>
      <c r="B42" s="267" t="s">
        <v>113</v>
      </c>
      <c r="C42" s="267" t="s">
        <v>21</v>
      </c>
      <c r="D42" s="267" t="s">
        <v>119</v>
      </c>
      <c r="E42" s="267">
        <v>3</v>
      </c>
      <c r="F42" s="287">
        <v>1647</v>
      </c>
      <c r="G42" s="272">
        <v>1647</v>
      </c>
      <c r="H42" s="336"/>
      <c r="I42" s="480">
        <v>1</v>
      </c>
      <c r="J42" s="379">
        <f>ROUND(G42*(1+'29_01_H_2020'!$O$10),2)</f>
        <v>2065.17</v>
      </c>
      <c r="K42" s="151">
        <f t="shared" si="29"/>
        <v>0</v>
      </c>
      <c r="L42" s="151">
        <f>ROUND(H42*(1+'29_01_H_2020'!$O$10),2)</f>
        <v>0</v>
      </c>
      <c r="M42" s="151">
        <f t="shared" si="30"/>
        <v>418.17000000000007</v>
      </c>
      <c r="N42" s="151">
        <f t="shared" si="31"/>
        <v>418.17000000000007</v>
      </c>
      <c r="O42" s="151">
        <f t="shared" si="32"/>
        <v>5018.0400000000009</v>
      </c>
      <c r="P42" s="151">
        <f>ROUND(O42*('29_01_H_2020'!$O$17),2)</f>
        <v>1183.76</v>
      </c>
      <c r="Q42" s="380">
        <f t="shared" si="33"/>
        <v>6201.8000000000011</v>
      </c>
      <c r="R42" s="491"/>
      <c r="S42" s="491"/>
      <c r="T42" s="491"/>
      <c r="U42" s="491"/>
      <c r="V42" s="491"/>
      <c r="W42" s="147"/>
      <c r="X42" s="429"/>
      <c r="Y42" s="429"/>
      <c r="Z42" s="429"/>
      <c r="AA42" s="429"/>
      <c r="AB42" s="429"/>
      <c r="AC42" s="429"/>
      <c r="AD42" s="429"/>
      <c r="AE42" s="429"/>
      <c r="AF42" s="429"/>
      <c r="AG42" s="429"/>
      <c r="AH42" s="327"/>
      <c r="AI42" s="147"/>
      <c r="AJ42" s="147"/>
      <c r="AK42" s="429"/>
      <c r="AL42" s="429"/>
      <c r="AM42" s="429"/>
      <c r="AN42" s="429"/>
      <c r="AO42" s="429"/>
      <c r="AP42" s="429"/>
      <c r="AQ42" s="429"/>
      <c r="AR42" s="429"/>
      <c r="AS42" s="429"/>
      <c r="AT42" s="429"/>
      <c r="AU42" s="327"/>
      <c r="AV42" s="147"/>
      <c r="AW42" s="147"/>
      <c r="AX42" s="147"/>
    </row>
    <row r="43" spans="1:50" s="333" customFormat="1" ht="25.5">
      <c r="A43" s="352" t="s">
        <v>655</v>
      </c>
      <c r="B43" s="267">
        <v>35</v>
      </c>
      <c r="C43" s="267" t="s">
        <v>42</v>
      </c>
      <c r="D43" s="267">
        <v>9</v>
      </c>
      <c r="E43" s="267">
        <v>3</v>
      </c>
      <c r="F43" s="287">
        <v>1190</v>
      </c>
      <c r="G43" s="272">
        <v>1190</v>
      </c>
      <c r="H43" s="336"/>
      <c r="I43" s="480">
        <v>1</v>
      </c>
      <c r="J43" s="379">
        <f>ROUND(G43*(1+'29_01_H_2020'!$O$10),2)</f>
        <v>1492.14</v>
      </c>
      <c r="K43" s="151">
        <f t="shared" si="29"/>
        <v>0</v>
      </c>
      <c r="L43" s="151">
        <f>ROUND(H43*(1+'29_01_H_2020'!$O$10),2)</f>
        <v>0</v>
      </c>
      <c r="M43" s="151">
        <f t="shared" si="30"/>
        <v>302.1400000000001</v>
      </c>
      <c r="N43" s="151">
        <f t="shared" si="31"/>
        <v>302.1400000000001</v>
      </c>
      <c r="O43" s="151">
        <f t="shared" si="32"/>
        <v>3625.6800000000012</v>
      </c>
      <c r="P43" s="151">
        <f>ROUND(O43*('29_01_H_2020'!$O$17),2)</f>
        <v>855.3</v>
      </c>
      <c r="Q43" s="380">
        <f t="shared" si="33"/>
        <v>4480.9800000000014</v>
      </c>
      <c r="R43" s="491"/>
      <c r="S43" s="491"/>
      <c r="T43" s="491"/>
      <c r="U43" s="491"/>
      <c r="V43" s="491"/>
      <c r="W43" s="147"/>
      <c r="X43" s="429"/>
      <c r="Y43" s="429"/>
      <c r="Z43" s="429"/>
      <c r="AA43" s="429"/>
      <c r="AB43" s="429"/>
      <c r="AC43" s="429"/>
      <c r="AD43" s="429"/>
      <c r="AE43" s="429"/>
      <c r="AF43" s="429"/>
      <c r="AG43" s="429"/>
      <c r="AH43" s="327"/>
      <c r="AI43" s="147"/>
      <c r="AJ43" s="147"/>
      <c r="AK43" s="429"/>
      <c r="AL43" s="429"/>
      <c r="AM43" s="429"/>
      <c r="AN43" s="429"/>
      <c r="AO43" s="429"/>
      <c r="AP43" s="429"/>
      <c r="AQ43" s="429"/>
      <c r="AR43" s="429"/>
      <c r="AS43" s="429"/>
      <c r="AT43" s="429"/>
      <c r="AU43" s="327"/>
      <c r="AV43" s="147"/>
      <c r="AW43" s="147"/>
      <c r="AX43" s="147"/>
    </row>
    <row r="44" spans="1:50">
      <c r="A44" s="11" t="s">
        <v>55</v>
      </c>
      <c r="B44" s="8" t="s">
        <v>52</v>
      </c>
      <c r="C44" s="9" t="s">
        <v>52</v>
      </c>
      <c r="D44" s="9" t="s">
        <v>52</v>
      </c>
      <c r="E44" s="9" t="s">
        <v>52</v>
      </c>
      <c r="F44" s="10" t="s">
        <v>52</v>
      </c>
      <c r="G44" s="10" t="s">
        <v>52</v>
      </c>
      <c r="H44" s="10" t="s">
        <v>52</v>
      </c>
      <c r="I44" s="493">
        <f>SUM(I30:I43)</f>
        <v>15</v>
      </c>
      <c r="J44" s="404"/>
      <c r="K44" s="405"/>
      <c r="L44" s="405"/>
      <c r="M44" s="405"/>
      <c r="N44" s="405"/>
      <c r="O44" s="405"/>
      <c r="P44" s="405"/>
      <c r="Q44" s="406"/>
      <c r="R44" s="491"/>
      <c r="S44" s="491"/>
      <c r="T44" s="491"/>
      <c r="U44" s="491"/>
      <c r="V44" s="491"/>
      <c r="W44" s="147"/>
      <c r="X44" s="147"/>
      <c r="Y44" s="147"/>
      <c r="Z44" s="147"/>
      <c r="AA44" s="147"/>
      <c r="AB44" s="147"/>
      <c r="AC44" s="147"/>
      <c r="AD44" s="147"/>
      <c r="AE44" s="147"/>
      <c r="AF44" s="147"/>
      <c r="AG44" s="147"/>
      <c r="AH44" s="147"/>
      <c r="AI44" s="147"/>
      <c r="AJ44" s="147"/>
      <c r="AK44" s="147"/>
      <c r="AL44" s="147"/>
      <c r="AM44" s="147"/>
      <c r="AN44" s="147"/>
      <c r="AO44" s="147"/>
      <c r="AP44" s="147"/>
      <c r="AQ44" s="147"/>
      <c r="AR44" s="147"/>
      <c r="AS44" s="147"/>
      <c r="AT44" s="147"/>
      <c r="AU44" s="147"/>
      <c r="AV44" s="147"/>
      <c r="AW44" s="147"/>
      <c r="AX44" s="147"/>
    </row>
    <row r="45" spans="1:50">
      <c r="A45" s="1111" t="s">
        <v>47</v>
      </c>
      <c r="B45" s="1112"/>
      <c r="C45" s="1112"/>
      <c r="D45" s="1112"/>
      <c r="E45" s="1112"/>
      <c r="F45" s="1112"/>
      <c r="G45" s="1112"/>
      <c r="H45" s="1112"/>
      <c r="I45" s="1113"/>
      <c r="J45" s="385"/>
      <c r="K45" s="383"/>
      <c r="L45" s="383"/>
      <c r="M45" s="383"/>
      <c r="N45" s="383"/>
      <c r="O45" s="383"/>
      <c r="P45" s="383"/>
      <c r="Q45" s="386"/>
      <c r="R45" s="491"/>
      <c r="S45" s="491"/>
      <c r="T45" s="491"/>
      <c r="U45" s="491"/>
      <c r="V45" s="491"/>
      <c r="W45" s="147"/>
      <c r="X45" s="147"/>
      <c r="Y45" s="147"/>
      <c r="Z45" s="147"/>
      <c r="AA45" s="147"/>
      <c r="AB45" s="147"/>
      <c r="AC45" s="147"/>
      <c r="AD45" s="147"/>
      <c r="AE45" s="147"/>
      <c r="AF45" s="147"/>
      <c r="AG45" s="147"/>
      <c r="AH45" s="147"/>
      <c r="AI45" s="147"/>
      <c r="AJ45" s="147"/>
      <c r="AK45" s="147"/>
      <c r="AL45" s="147"/>
      <c r="AM45" s="147"/>
      <c r="AN45" s="147"/>
      <c r="AO45" s="147"/>
      <c r="AP45" s="147"/>
      <c r="AQ45" s="147"/>
      <c r="AR45" s="147"/>
      <c r="AS45" s="147"/>
      <c r="AT45" s="147"/>
      <c r="AU45" s="147"/>
      <c r="AV45" s="147"/>
      <c r="AW45" s="147"/>
      <c r="AX45" s="147"/>
    </row>
    <row r="46" spans="1:50">
      <c r="A46" s="268" t="s">
        <v>145</v>
      </c>
      <c r="B46" s="271" t="s">
        <v>146</v>
      </c>
      <c r="C46" s="269" t="s">
        <v>49</v>
      </c>
      <c r="D46" s="269" t="s">
        <v>147</v>
      </c>
      <c r="E46" s="269" t="s">
        <v>148</v>
      </c>
      <c r="F46" s="288">
        <v>552</v>
      </c>
      <c r="G46" s="335">
        <v>540</v>
      </c>
      <c r="H46" s="337">
        <v>268.64999999999998</v>
      </c>
      <c r="I46" s="480">
        <v>62</v>
      </c>
      <c r="J46" s="379">
        <f>ROUND(G46*(1+'29_01_H_2020'!$O$14),2)</f>
        <v>677.11</v>
      </c>
      <c r="K46" s="151">
        <f t="shared" ref="K46" si="34">L46-H46</f>
        <v>68.210000000000036</v>
      </c>
      <c r="L46" s="151">
        <f>ROUND(H46*(1+'29_01_H_2020'!$O$14),2)</f>
        <v>336.86</v>
      </c>
      <c r="M46" s="151">
        <f>ROUND((J46+L46)-(G46+H46),2)</f>
        <v>205.32</v>
      </c>
      <c r="N46" s="151">
        <f t="shared" ref="N46" si="35">M46*I46</f>
        <v>12729.84</v>
      </c>
      <c r="O46" s="151">
        <f t="shared" ref="O46:O48" si="36">N46*12</f>
        <v>152758.08000000002</v>
      </c>
      <c r="P46" s="151">
        <f>ROUND(O46*('29_01_H_2020'!$O$17),2)</f>
        <v>36035.629999999997</v>
      </c>
      <c r="Q46" s="380">
        <f t="shared" ref="Q46" si="37">SUM(O46:P46)</f>
        <v>188793.71000000002</v>
      </c>
      <c r="R46" s="491"/>
      <c r="S46" s="491"/>
      <c r="T46" s="491"/>
      <c r="U46" s="491"/>
      <c r="V46" s="491"/>
      <c r="W46" s="147"/>
      <c r="X46" s="429"/>
      <c r="Y46" s="429"/>
      <c r="Z46" s="429"/>
      <c r="AA46" s="429"/>
      <c r="AB46" s="429"/>
      <c r="AC46" s="429"/>
      <c r="AD46" s="429"/>
      <c r="AE46" s="429"/>
      <c r="AF46" s="429"/>
      <c r="AG46" s="429"/>
      <c r="AH46" s="327"/>
      <c r="AI46" s="147"/>
      <c r="AJ46" s="147"/>
      <c r="AK46" s="429"/>
      <c r="AL46" s="429"/>
      <c r="AM46" s="429"/>
      <c r="AN46" s="429"/>
      <c r="AO46" s="429"/>
      <c r="AP46" s="429"/>
      <c r="AQ46" s="429"/>
      <c r="AR46" s="429"/>
      <c r="AS46" s="429"/>
      <c r="AT46" s="429"/>
      <c r="AU46" s="327"/>
      <c r="AV46" s="147"/>
      <c r="AW46" s="147"/>
      <c r="AX46" s="147"/>
    </row>
    <row r="47" spans="1:50" ht="15" customHeight="1">
      <c r="A47" s="268" t="s">
        <v>145</v>
      </c>
      <c r="B47" s="271" t="s">
        <v>146</v>
      </c>
      <c r="C47" s="269" t="s">
        <v>49</v>
      </c>
      <c r="D47" s="269" t="s">
        <v>147</v>
      </c>
      <c r="E47" s="269" t="s">
        <v>149</v>
      </c>
      <c r="F47" s="288">
        <v>680</v>
      </c>
      <c r="G47" s="335">
        <v>550</v>
      </c>
      <c r="H47" s="337">
        <v>273.625</v>
      </c>
      <c r="I47" s="480">
        <v>39</v>
      </c>
      <c r="J47" s="379">
        <f>ROUND(G47*(1+'29_01_H_2020'!$O$14),2)</f>
        <v>689.65</v>
      </c>
      <c r="K47" s="151">
        <f t="shared" ref="K47:K48" si="38">L47-H47</f>
        <v>69.475000000000023</v>
      </c>
      <c r="L47" s="151">
        <f>ROUND(H47*(1+'29_01_H_2020'!$O$14),2)</f>
        <v>343.1</v>
      </c>
      <c r="M47" s="151">
        <f t="shared" ref="M47" si="39">(J47+L47)-(G47+H47)</f>
        <v>209.125</v>
      </c>
      <c r="N47" s="151">
        <f t="shared" ref="N47:N48" si="40">M47*I47</f>
        <v>8155.875</v>
      </c>
      <c r="O47" s="151">
        <f t="shared" si="36"/>
        <v>97870.5</v>
      </c>
      <c r="P47" s="151">
        <f>ROUND(O47*('29_01_H_2020'!$O$17),2)</f>
        <v>23087.65</v>
      </c>
      <c r="Q47" s="380">
        <f t="shared" ref="Q47:Q48" si="41">SUM(O47:P47)</f>
        <v>120958.15</v>
      </c>
      <c r="R47" s="491"/>
      <c r="S47" s="491"/>
      <c r="T47" s="491"/>
      <c r="U47" s="491"/>
      <c r="V47" s="491"/>
      <c r="W47" s="147"/>
      <c r="X47" s="429"/>
      <c r="Y47" s="429"/>
      <c r="Z47" s="429"/>
      <c r="AA47" s="429"/>
      <c r="AB47" s="429"/>
      <c r="AC47" s="429"/>
      <c r="AD47" s="429"/>
      <c r="AE47" s="429"/>
      <c r="AF47" s="429"/>
      <c r="AG47" s="429"/>
      <c r="AH47" s="327"/>
      <c r="AI47" s="147"/>
      <c r="AJ47" s="147"/>
      <c r="AK47" s="429"/>
      <c r="AL47" s="429"/>
      <c r="AM47" s="429"/>
      <c r="AN47" s="429"/>
      <c r="AO47" s="429"/>
      <c r="AP47" s="429"/>
      <c r="AQ47" s="429"/>
      <c r="AR47" s="429"/>
      <c r="AS47" s="429"/>
      <c r="AT47" s="429"/>
      <c r="AU47" s="327"/>
      <c r="AV47" s="147"/>
      <c r="AW47" s="147"/>
      <c r="AX47" s="147"/>
    </row>
    <row r="48" spans="1:50" ht="15" customHeight="1">
      <c r="A48" s="268" t="s">
        <v>145</v>
      </c>
      <c r="B48" s="271" t="s">
        <v>146</v>
      </c>
      <c r="C48" s="269" t="s">
        <v>49</v>
      </c>
      <c r="D48" s="269" t="s">
        <v>147</v>
      </c>
      <c r="E48" s="269" t="s">
        <v>69</v>
      </c>
      <c r="F48" s="288">
        <v>802</v>
      </c>
      <c r="G48" s="335">
        <v>560</v>
      </c>
      <c r="H48" s="337">
        <v>278.60000000000002</v>
      </c>
      <c r="I48" s="480">
        <v>16.75</v>
      </c>
      <c r="J48" s="379">
        <f>ROUND(G48*(1+'29_01_H_2020'!$O$14),2)</f>
        <v>702.18</v>
      </c>
      <c r="K48" s="151">
        <f t="shared" si="38"/>
        <v>70.739999999999952</v>
      </c>
      <c r="L48" s="151">
        <f>ROUND(H48*(1+'29_01_H_2020'!$O$14),2)</f>
        <v>349.34</v>
      </c>
      <c r="M48" s="151">
        <f>ROUND((J48+L48)-(G48+H48),2)</f>
        <v>212.92</v>
      </c>
      <c r="N48" s="151">
        <f t="shared" si="40"/>
        <v>3566.41</v>
      </c>
      <c r="O48" s="151">
        <f t="shared" si="36"/>
        <v>42796.92</v>
      </c>
      <c r="P48" s="151">
        <f>ROUND(O48*('29_01_H_2020'!$O$17),2)</f>
        <v>10095.790000000001</v>
      </c>
      <c r="Q48" s="380">
        <f t="shared" si="41"/>
        <v>52892.71</v>
      </c>
      <c r="R48" s="491"/>
      <c r="S48" s="491"/>
      <c r="T48" s="491"/>
      <c r="U48" s="491"/>
      <c r="V48" s="491"/>
      <c r="W48" s="147"/>
      <c r="X48" s="429"/>
      <c r="Y48" s="429"/>
      <c r="Z48" s="429"/>
      <c r="AA48" s="429"/>
      <c r="AB48" s="429"/>
      <c r="AC48" s="429"/>
      <c r="AD48" s="429"/>
      <c r="AE48" s="429"/>
      <c r="AF48" s="429"/>
      <c r="AG48" s="429"/>
      <c r="AH48" s="327"/>
      <c r="AI48" s="147"/>
      <c r="AJ48" s="147"/>
      <c r="AK48" s="429"/>
      <c r="AL48" s="429"/>
      <c r="AM48" s="429"/>
      <c r="AN48" s="429"/>
      <c r="AO48" s="429"/>
      <c r="AP48" s="429"/>
      <c r="AQ48" s="429"/>
      <c r="AR48" s="429"/>
      <c r="AS48" s="429"/>
      <c r="AT48" s="429"/>
      <c r="AU48" s="327"/>
      <c r="AV48" s="147"/>
      <c r="AW48" s="147"/>
      <c r="AX48" s="147"/>
    </row>
    <row r="49" spans="1:53" ht="15" customHeight="1" thickBot="1">
      <c r="A49" s="11" t="s">
        <v>55</v>
      </c>
      <c r="B49" s="8" t="s">
        <v>52</v>
      </c>
      <c r="C49" s="9" t="s">
        <v>52</v>
      </c>
      <c r="D49" s="9" t="s">
        <v>52</v>
      </c>
      <c r="E49" s="9" t="s">
        <v>52</v>
      </c>
      <c r="F49" s="10" t="s">
        <v>52</v>
      </c>
      <c r="G49" s="10" t="s">
        <v>52</v>
      </c>
      <c r="H49" s="10" t="s">
        <v>52</v>
      </c>
      <c r="I49" s="313">
        <f>SUM(I46:I48)</f>
        <v>117.75</v>
      </c>
      <c r="J49" s="420"/>
      <c r="K49" s="421"/>
      <c r="L49" s="421"/>
      <c r="M49" s="421"/>
      <c r="N49" s="421"/>
      <c r="O49" s="421"/>
      <c r="P49" s="421"/>
      <c r="Q49" s="422"/>
      <c r="R49" s="491"/>
      <c r="S49" s="491"/>
      <c r="T49" s="491"/>
      <c r="U49" s="491"/>
      <c r="V49" s="491"/>
      <c r="W49" s="147"/>
      <c r="X49" s="147"/>
      <c r="Y49" s="147"/>
      <c r="Z49" s="147"/>
      <c r="AA49" s="147"/>
      <c r="AB49" s="147"/>
      <c r="AC49" s="147"/>
      <c r="AD49" s="147"/>
      <c r="AE49" s="147"/>
      <c r="AF49" s="147"/>
      <c r="AG49" s="147"/>
      <c r="AH49" s="147"/>
      <c r="AI49" s="147"/>
      <c r="AJ49" s="147"/>
      <c r="AK49" s="147"/>
      <c r="AL49" s="147"/>
      <c r="AM49" s="147"/>
      <c r="AN49" s="147"/>
      <c r="AO49" s="147"/>
      <c r="AP49" s="147"/>
      <c r="AQ49" s="147"/>
      <c r="AR49" s="147"/>
      <c r="AS49" s="147"/>
      <c r="AT49" s="147"/>
      <c r="AU49" s="147"/>
      <c r="AV49" s="147"/>
      <c r="AW49" s="147"/>
      <c r="AX49" s="147"/>
    </row>
    <row r="50" spans="1:53" ht="15.75" thickBot="1">
      <c r="A50" s="18" t="s">
        <v>57</v>
      </c>
      <c r="B50" s="19"/>
      <c r="C50" s="19"/>
      <c r="D50" s="19"/>
      <c r="E50" s="19"/>
      <c r="F50" s="19"/>
      <c r="G50" s="19"/>
      <c r="H50" s="19"/>
      <c r="I50" s="433">
        <f>SUM(I28,I44,I49)</f>
        <v>153.75</v>
      </c>
      <c r="J50" s="503"/>
      <c r="K50" s="457"/>
      <c r="L50" s="457"/>
      <c r="M50" s="457"/>
      <c r="N50" s="457"/>
      <c r="O50" s="457"/>
      <c r="P50" s="504"/>
      <c r="Q50" s="505">
        <f>SUM(Q8:Q27,Q30:Q43,Q46:Q48)</f>
        <v>603439.70000000007</v>
      </c>
      <c r="R50" s="491"/>
      <c r="S50" s="491"/>
      <c r="T50" s="491"/>
      <c r="U50" s="491"/>
      <c r="V50" s="491"/>
      <c r="W50" s="147"/>
      <c r="X50" s="147"/>
      <c r="Y50" s="147"/>
      <c r="Z50" s="147"/>
      <c r="AA50" s="147"/>
      <c r="AB50" s="147"/>
      <c r="AC50" s="147"/>
      <c r="AD50" s="147"/>
      <c r="AE50" s="228"/>
      <c r="AF50" s="228"/>
      <c r="AG50" s="228"/>
      <c r="AH50" s="147"/>
      <c r="AI50" s="147"/>
      <c r="AJ50" s="147"/>
      <c r="AK50" s="147"/>
      <c r="AL50" s="147"/>
      <c r="AM50" s="147"/>
      <c r="AN50" s="147"/>
      <c r="AO50" s="147"/>
      <c r="AP50" s="147"/>
      <c r="AQ50" s="147"/>
      <c r="AR50" s="228"/>
      <c r="AS50" s="228"/>
      <c r="AT50" s="228"/>
      <c r="AU50" s="147"/>
      <c r="AV50" s="147"/>
      <c r="AW50" s="147"/>
      <c r="AX50" s="147"/>
    </row>
    <row r="51" spans="1:53" ht="8.1" customHeight="1" thickBot="1">
      <c r="A51" s="40"/>
      <c r="B51" s="41"/>
      <c r="C51" s="41"/>
      <c r="D51" s="41"/>
      <c r="E51" s="41"/>
      <c r="F51" s="41"/>
      <c r="G51" s="41"/>
      <c r="H51" s="41"/>
      <c r="I51" s="42"/>
      <c r="R51" s="491"/>
      <c r="S51" s="491"/>
      <c r="T51" s="491"/>
      <c r="U51" s="491"/>
      <c r="V51" s="491"/>
      <c r="W51" s="147"/>
      <c r="X51" s="147"/>
      <c r="Y51" s="147"/>
      <c r="Z51" s="147"/>
      <c r="AA51" s="147"/>
      <c r="AB51" s="147"/>
      <c r="AC51" s="147"/>
      <c r="AD51" s="147"/>
      <c r="AE51" s="147"/>
      <c r="AF51" s="147"/>
      <c r="AG51" s="147"/>
      <c r="AH51" s="147"/>
      <c r="AI51" s="147"/>
      <c r="AJ51" s="147"/>
      <c r="AK51" s="147"/>
      <c r="AL51" s="147"/>
      <c r="AM51" s="147"/>
      <c r="AN51" s="147"/>
      <c r="AO51" s="147"/>
      <c r="AP51" s="147"/>
      <c r="AQ51" s="147"/>
      <c r="AR51" s="147"/>
      <c r="AS51" s="147"/>
      <c r="AT51" s="147"/>
      <c r="AU51" s="147"/>
      <c r="AV51" s="147"/>
      <c r="AW51" s="147"/>
      <c r="AX51" s="147"/>
    </row>
    <row r="52" spans="1:53">
      <c r="A52" s="1174" t="s">
        <v>56</v>
      </c>
      <c r="B52" s="1175"/>
      <c r="C52" s="1175"/>
      <c r="D52" s="1175"/>
      <c r="E52" s="1175"/>
      <c r="F52" s="1175"/>
      <c r="G52" s="1175"/>
      <c r="H52" s="1175"/>
      <c r="I52" s="1175"/>
      <c r="J52" s="434"/>
      <c r="K52" s="435"/>
      <c r="L52" s="435"/>
      <c r="M52" s="435"/>
      <c r="N52" s="435"/>
      <c r="O52" s="435"/>
      <c r="P52" s="435"/>
      <c r="Q52" s="436"/>
      <c r="R52" s="491"/>
      <c r="S52" s="491"/>
      <c r="T52" s="491"/>
      <c r="U52" s="491"/>
      <c r="V52" s="491"/>
      <c r="W52" s="147"/>
      <c r="X52" s="147"/>
      <c r="Y52" s="147"/>
      <c r="Z52" s="147"/>
      <c r="AA52" s="147"/>
      <c r="AB52" s="147"/>
      <c r="AC52" s="147"/>
      <c r="AD52" s="147"/>
      <c r="AE52" s="147"/>
      <c r="AF52" s="147"/>
      <c r="AG52" s="321"/>
      <c r="AH52" s="147"/>
      <c r="AI52" s="147"/>
      <c r="AJ52" s="147"/>
      <c r="AK52" s="147"/>
      <c r="AL52" s="147"/>
      <c r="AM52" s="147"/>
      <c r="AN52" s="147"/>
      <c r="AO52" s="147"/>
      <c r="AP52" s="147"/>
      <c r="AQ52" s="147"/>
      <c r="AR52" s="147"/>
      <c r="AS52" s="147"/>
      <c r="AT52" s="321"/>
      <c r="AU52" s="147"/>
      <c r="AV52" s="147"/>
      <c r="AW52" s="147"/>
      <c r="AX52" s="147"/>
    </row>
    <row r="53" spans="1:53">
      <c r="A53" s="1176" t="s">
        <v>10</v>
      </c>
      <c r="B53" s="1177"/>
      <c r="C53" s="1177"/>
      <c r="D53" s="1177"/>
      <c r="E53" s="1177"/>
      <c r="F53" s="1177"/>
      <c r="G53" s="1177"/>
      <c r="H53" s="1177"/>
      <c r="I53" s="1177"/>
      <c r="J53" s="165"/>
      <c r="K53" s="176"/>
      <c r="L53" s="176"/>
      <c r="M53" s="176"/>
      <c r="N53" s="176"/>
      <c r="O53" s="176"/>
      <c r="P53" s="176"/>
      <c r="Q53" s="166"/>
      <c r="R53" s="491"/>
      <c r="S53" s="491"/>
      <c r="T53" s="491"/>
      <c r="U53" s="491"/>
      <c r="V53" s="491"/>
      <c r="W53" s="152"/>
      <c r="X53" s="152"/>
      <c r="Y53" s="152"/>
      <c r="Z53" s="152"/>
      <c r="AA53" s="152"/>
      <c r="AB53" s="152"/>
      <c r="AC53" s="152"/>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row>
    <row r="54" spans="1:53">
      <c r="A54" s="1101" t="s">
        <v>11</v>
      </c>
      <c r="B54" s="1102"/>
      <c r="C54" s="1102"/>
      <c r="D54" s="1102"/>
      <c r="E54" s="1102"/>
      <c r="F54" s="1102"/>
      <c r="G54" s="1102"/>
      <c r="H54" s="1102"/>
      <c r="I54" s="1102"/>
      <c r="J54" s="385"/>
      <c r="K54" s="383"/>
      <c r="L54" s="383"/>
      <c r="M54" s="383"/>
      <c r="N54" s="383"/>
      <c r="O54" s="383"/>
      <c r="P54" s="383"/>
      <c r="Q54" s="386"/>
      <c r="R54" s="152"/>
      <c r="S54" s="152"/>
      <c r="T54" s="152"/>
      <c r="U54" s="152"/>
      <c r="V54" s="152"/>
      <c r="W54" s="152"/>
      <c r="X54" s="152"/>
      <c r="Y54" s="152"/>
      <c r="Z54" s="152"/>
      <c r="AA54" s="152"/>
      <c r="AB54" s="152"/>
      <c r="AC54" s="152"/>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row>
    <row r="55" spans="1:53">
      <c r="A55" s="1" t="s">
        <v>12</v>
      </c>
      <c r="B55" s="2">
        <v>35</v>
      </c>
      <c r="C55" s="3" t="s">
        <v>13</v>
      </c>
      <c r="D55" s="258">
        <v>13</v>
      </c>
      <c r="E55" s="258">
        <v>3</v>
      </c>
      <c r="F55" s="289">
        <v>1917</v>
      </c>
      <c r="G55" s="3">
        <v>1917</v>
      </c>
      <c r="H55" s="3">
        <v>191.7</v>
      </c>
      <c r="I55" s="344">
        <v>1</v>
      </c>
      <c r="J55" s="379">
        <f>ROUND(G55*(1+'29_01_H_2020'!$O$14),2)</f>
        <v>2403.73</v>
      </c>
      <c r="K55" s="151">
        <f t="shared" ref="K55" si="42">L55-H55</f>
        <v>48.670000000000016</v>
      </c>
      <c r="L55" s="151">
        <f>ROUND(H55*(1+'29_01_H_2020'!$O$14),2)</f>
        <v>240.37</v>
      </c>
      <c r="M55" s="151">
        <f t="shared" ref="M55" si="43">(J55+L55)-(G55+H55)</f>
        <v>535.40000000000009</v>
      </c>
      <c r="N55" s="151">
        <f t="shared" ref="N55" si="44">M55*I55</f>
        <v>535.40000000000009</v>
      </c>
      <c r="O55" s="151">
        <f t="shared" ref="O55:O64" si="45">N55*12</f>
        <v>6424.8000000000011</v>
      </c>
      <c r="P55" s="151">
        <f>ROUND(O55*'29_01_H_2020'!$O$17,2)</f>
        <v>1515.61</v>
      </c>
      <c r="Q55" s="380">
        <f t="shared" ref="Q55" si="46">SUM(O55:P55)</f>
        <v>7940.4100000000008</v>
      </c>
      <c r="R55" s="329"/>
      <c r="S55" s="431"/>
      <c r="T55" s="153"/>
      <c r="U55" s="153"/>
      <c r="V55" s="152"/>
      <c r="W55" s="152"/>
      <c r="X55" s="430"/>
      <c r="Y55" s="430"/>
      <c r="Z55" s="430"/>
      <c r="AA55" s="430"/>
      <c r="AB55" s="430"/>
      <c r="AC55" s="430"/>
      <c r="AD55" s="430"/>
      <c r="AE55" s="430"/>
      <c r="AF55" s="430"/>
      <c r="AG55" s="430"/>
      <c r="AH55" s="329"/>
      <c r="AI55" s="152"/>
      <c r="AJ55" s="152"/>
      <c r="AK55" s="430"/>
      <c r="AL55" s="430"/>
      <c r="AM55" s="430"/>
      <c r="AN55" s="430"/>
      <c r="AO55" s="430"/>
      <c r="AP55" s="430"/>
      <c r="AQ55" s="430"/>
      <c r="AR55" s="430"/>
      <c r="AS55" s="430"/>
      <c r="AT55" s="430"/>
      <c r="AU55" s="329"/>
      <c r="AV55" s="152"/>
      <c r="AW55" s="152"/>
      <c r="AX55" s="152"/>
      <c r="AY55" s="152"/>
      <c r="AZ55" s="152"/>
      <c r="BA55" s="152"/>
    </row>
    <row r="56" spans="1:53">
      <c r="A56" s="1" t="s">
        <v>14</v>
      </c>
      <c r="B56" s="2">
        <v>35</v>
      </c>
      <c r="C56" s="3" t="s">
        <v>13</v>
      </c>
      <c r="D56" s="258">
        <v>13</v>
      </c>
      <c r="E56" s="258">
        <v>3</v>
      </c>
      <c r="F56" s="289">
        <v>1917</v>
      </c>
      <c r="G56" s="3">
        <v>1917</v>
      </c>
      <c r="H56" s="3">
        <v>191.7</v>
      </c>
      <c r="I56" s="344">
        <v>1</v>
      </c>
      <c r="J56" s="379">
        <f>ROUND(G56*(1+'29_01_H_2020'!$O$14),2)</f>
        <v>2403.73</v>
      </c>
      <c r="K56" s="151">
        <f t="shared" ref="K56:K64" si="47">L56-H56</f>
        <v>48.670000000000016</v>
      </c>
      <c r="L56" s="151">
        <f>ROUND(H56*(1+'29_01_H_2020'!$O$14),2)</f>
        <v>240.37</v>
      </c>
      <c r="M56" s="151">
        <f t="shared" ref="M56:M64" si="48">(J56+L56)-(G56+H56)</f>
        <v>535.40000000000009</v>
      </c>
      <c r="N56" s="151">
        <f t="shared" ref="N56:N64" si="49">M56*I56</f>
        <v>535.40000000000009</v>
      </c>
      <c r="O56" s="151">
        <f t="shared" si="45"/>
        <v>6424.8000000000011</v>
      </c>
      <c r="P56" s="151">
        <f>ROUND(O56*'29_01_H_2020'!$O$17,2)</f>
        <v>1515.61</v>
      </c>
      <c r="Q56" s="380">
        <f t="shared" ref="Q56:Q64" si="50">SUM(O56:P56)</f>
        <v>7940.4100000000008</v>
      </c>
      <c r="R56" s="329"/>
      <c r="S56" s="431"/>
      <c r="T56" s="153"/>
      <c r="U56" s="153"/>
      <c r="V56" s="152"/>
      <c r="W56" s="152"/>
      <c r="X56" s="430"/>
      <c r="Y56" s="430"/>
      <c r="Z56" s="430"/>
      <c r="AA56" s="430"/>
      <c r="AB56" s="430"/>
      <c r="AC56" s="430"/>
      <c r="AD56" s="430"/>
      <c r="AE56" s="430"/>
      <c r="AF56" s="430"/>
      <c r="AG56" s="430"/>
      <c r="AH56" s="329"/>
      <c r="AI56" s="152"/>
      <c r="AJ56" s="152"/>
      <c r="AK56" s="430"/>
      <c r="AL56" s="430"/>
      <c r="AM56" s="430"/>
      <c r="AN56" s="430"/>
      <c r="AO56" s="430"/>
      <c r="AP56" s="430"/>
      <c r="AQ56" s="430"/>
      <c r="AR56" s="430"/>
      <c r="AS56" s="430"/>
      <c r="AT56" s="430"/>
      <c r="AU56" s="329"/>
      <c r="AV56" s="152"/>
      <c r="AW56" s="152"/>
      <c r="AX56" s="152"/>
      <c r="AY56" s="152"/>
      <c r="AZ56" s="152"/>
      <c r="BA56" s="152"/>
    </row>
    <row r="57" spans="1:53">
      <c r="A57" s="5" t="s">
        <v>15</v>
      </c>
      <c r="B57" s="2" t="s">
        <v>16</v>
      </c>
      <c r="C57" s="3" t="s">
        <v>17</v>
      </c>
      <c r="D57" s="258">
        <v>12</v>
      </c>
      <c r="E57" s="258">
        <v>3</v>
      </c>
      <c r="F57" s="289">
        <v>1647</v>
      </c>
      <c r="G57" s="3">
        <v>1647</v>
      </c>
      <c r="H57" s="3">
        <v>164.7</v>
      </c>
      <c r="I57" s="344">
        <v>3</v>
      </c>
      <c r="J57" s="379">
        <f>ROUND(G57*(1+'29_01_H_2020'!$O$14),2)</f>
        <v>2065.17</v>
      </c>
      <c r="K57" s="151">
        <f t="shared" si="47"/>
        <v>41.820000000000022</v>
      </c>
      <c r="L57" s="151">
        <f>ROUND(H57*(1+'29_01_H_2020'!$O$14),2)</f>
        <v>206.52</v>
      </c>
      <c r="M57" s="151">
        <f t="shared" si="48"/>
        <v>459.99</v>
      </c>
      <c r="N57" s="151">
        <f t="shared" si="49"/>
        <v>1379.97</v>
      </c>
      <c r="O57" s="151">
        <f t="shared" si="45"/>
        <v>16559.64</v>
      </c>
      <c r="P57" s="151">
        <f>ROUND(O57*'29_01_H_2020'!$O$17,2)</f>
        <v>3906.42</v>
      </c>
      <c r="Q57" s="380">
        <f t="shared" si="50"/>
        <v>20466.059999999998</v>
      </c>
      <c r="R57" s="329"/>
      <c r="S57" s="431"/>
      <c r="T57" s="153"/>
      <c r="U57" s="153"/>
      <c r="V57" s="152"/>
      <c r="W57" s="152"/>
      <c r="X57" s="430"/>
      <c r="Y57" s="430"/>
      <c r="Z57" s="430"/>
      <c r="AA57" s="430"/>
      <c r="AB57" s="430"/>
      <c r="AC57" s="430"/>
      <c r="AD57" s="430"/>
      <c r="AE57" s="430"/>
      <c r="AF57" s="430"/>
      <c r="AG57" s="430"/>
      <c r="AH57" s="329"/>
      <c r="AI57" s="152"/>
      <c r="AJ57" s="152"/>
      <c r="AK57" s="430"/>
      <c r="AL57" s="430"/>
      <c r="AM57" s="430"/>
      <c r="AN57" s="430"/>
      <c r="AO57" s="430"/>
      <c r="AP57" s="430"/>
      <c r="AQ57" s="430"/>
      <c r="AR57" s="430"/>
      <c r="AS57" s="430"/>
      <c r="AT57" s="430"/>
      <c r="AU57" s="329"/>
      <c r="AV57" s="152"/>
      <c r="AW57" s="152"/>
      <c r="AX57" s="152"/>
      <c r="AY57" s="152"/>
      <c r="AZ57" s="152"/>
      <c r="BA57" s="152"/>
    </row>
    <row r="58" spans="1:53">
      <c r="A58" s="5" t="s">
        <v>18</v>
      </c>
      <c r="B58" s="2">
        <v>10</v>
      </c>
      <c r="C58" s="3" t="s">
        <v>19</v>
      </c>
      <c r="D58" s="258">
        <v>12</v>
      </c>
      <c r="E58" s="258">
        <v>3</v>
      </c>
      <c r="F58" s="289">
        <v>1647</v>
      </c>
      <c r="G58" s="3">
        <v>1647</v>
      </c>
      <c r="H58" s="3">
        <v>164.7</v>
      </c>
      <c r="I58" s="344">
        <v>1</v>
      </c>
      <c r="J58" s="379">
        <f>ROUND(G58*(1+'29_01_H_2020'!$O$14),2)</f>
        <v>2065.17</v>
      </c>
      <c r="K58" s="151">
        <f t="shared" si="47"/>
        <v>41.820000000000022</v>
      </c>
      <c r="L58" s="151">
        <f>ROUND(H58*(1+'29_01_H_2020'!$O$14),2)</f>
        <v>206.52</v>
      </c>
      <c r="M58" s="151">
        <f t="shared" si="48"/>
        <v>459.99</v>
      </c>
      <c r="N58" s="151">
        <f t="shared" si="49"/>
        <v>459.99</v>
      </c>
      <c r="O58" s="151">
        <f t="shared" si="45"/>
        <v>5519.88</v>
      </c>
      <c r="P58" s="151">
        <f>ROUND(O58*'29_01_H_2020'!$O$17,2)</f>
        <v>1302.1400000000001</v>
      </c>
      <c r="Q58" s="380">
        <f t="shared" si="50"/>
        <v>6822.02</v>
      </c>
      <c r="R58" s="329"/>
      <c r="S58" s="431"/>
      <c r="T58" s="153"/>
      <c r="U58" s="153"/>
      <c r="V58" s="152"/>
      <c r="W58" s="152"/>
      <c r="X58" s="430"/>
      <c r="Y58" s="430"/>
      <c r="Z58" s="430"/>
      <c r="AA58" s="430"/>
      <c r="AB58" s="430"/>
      <c r="AC58" s="430"/>
      <c r="AD58" s="430"/>
      <c r="AE58" s="430"/>
      <c r="AF58" s="430"/>
      <c r="AG58" s="430"/>
      <c r="AH58" s="329"/>
      <c r="AI58" s="152"/>
      <c r="AJ58" s="152"/>
      <c r="AK58" s="430"/>
      <c r="AL58" s="430"/>
      <c r="AM58" s="430"/>
      <c r="AN58" s="430"/>
      <c r="AO58" s="430"/>
      <c r="AP58" s="430"/>
      <c r="AQ58" s="430"/>
      <c r="AR58" s="430"/>
      <c r="AS58" s="430"/>
      <c r="AT58" s="430"/>
      <c r="AU58" s="329"/>
      <c r="AV58" s="152"/>
      <c r="AW58" s="152"/>
      <c r="AX58" s="152"/>
      <c r="AY58" s="152"/>
      <c r="AZ58" s="152"/>
      <c r="BA58" s="152"/>
    </row>
    <row r="59" spans="1:53">
      <c r="A59" s="5" t="s">
        <v>18</v>
      </c>
      <c r="B59" s="2">
        <v>10</v>
      </c>
      <c r="C59" s="3" t="s">
        <v>19</v>
      </c>
      <c r="D59" s="258">
        <v>12</v>
      </c>
      <c r="E59" s="258">
        <v>3</v>
      </c>
      <c r="F59" s="289">
        <v>1647</v>
      </c>
      <c r="G59" s="3">
        <v>1647</v>
      </c>
      <c r="H59" s="3">
        <v>49.41</v>
      </c>
      <c r="I59" s="344">
        <v>1</v>
      </c>
      <c r="J59" s="379">
        <f>ROUND(G59*(1+'29_01_H_2020'!$O$14),2)</f>
        <v>2065.17</v>
      </c>
      <c r="K59" s="151">
        <f t="shared" si="47"/>
        <v>12.550000000000004</v>
      </c>
      <c r="L59" s="151">
        <f>ROUND(H59*(1+'29_01_H_2020'!$O$14),2)</f>
        <v>61.96</v>
      </c>
      <c r="M59" s="151">
        <f t="shared" si="48"/>
        <v>430.72</v>
      </c>
      <c r="N59" s="151">
        <f t="shared" si="49"/>
        <v>430.72</v>
      </c>
      <c r="O59" s="151">
        <f t="shared" si="45"/>
        <v>5168.6400000000003</v>
      </c>
      <c r="P59" s="151">
        <f>ROUND(O59*'29_01_H_2020'!$O$17,2)</f>
        <v>1219.28</v>
      </c>
      <c r="Q59" s="380">
        <f t="shared" si="50"/>
        <v>6387.92</v>
      </c>
      <c r="R59" s="329"/>
      <c r="S59" s="431"/>
      <c r="T59" s="153"/>
      <c r="U59" s="153"/>
      <c r="V59" s="152"/>
      <c r="W59" s="152"/>
      <c r="X59" s="430"/>
      <c r="Y59" s="430"/>
      <c r="Z59" s="430"/>
      <c r="AA59" s="430"/>
      <c r="AB59" s="430"/>
      <c r="AC59" s="430"/>
      <c r="AD59" s="430"/>
      <c r="AE59" s="430"/>
      <c r="AF59" s="430"/>
      <c r="AG59" s="430"/>
      <c r="AH59" s="329"/>
      <c r="AI59" s="152"/>
      <c r="AJ59" s="152"/>
      <c r="AK59" s="430"/>
      <c r="AL59" s="430"/>
      <c r="AM59" s="430"/>
      <c r="AN59" s="430"/>
      <c r="AO59" s="430"/>
      <c r="AP59" s="430"/>
      <c r="AQ59" s="430"/>
      <c r="AR59" s="430"/>
      <c r="AS59" s="430"/>
      <c r="AT59" s="430"/>
      <c r="AU59" s="329"/>
      <c r="AV59" s="152"/>
      <c r="AW59" s="152"/>
      <c r="AX59" s="152"/>
      <c r="AY59" s="152"/>
      <c r="AZ59" s="152"/>
      <c r="BA59" s="152"/>
    </row>
    <row r="60" spans="1:53">
      <c r="A60" s="1" t="s">
        <v>20</v>
      </c>
      <c r="B60" s="2">
        <v>35</v>
      </c>
      <c r="C60" s="3" t="s">
        <v>21</v>
      </c>
      <c r="D60" s="258">
        <v>11</v>
      </c>
      <c r="E60" s="258">
        <v>3</v>
      </c>
      <c r="F60" s="289">
        <v>1382</v>
      </c>
      <c r="G60" s="3">
        <v>1382</v>
      </c>
      <c r="H60" s="3">
        <v>138.19999999999999</v>
      </c>
      <c r="I60" s="344">
        <v>1</v>
      </c>
      <c r="J60" s="379">
        <f>ROUND(G60*(1+'29_01_H_2020'!$O$14),2)</f>
        <v>1732.89</v>
      </c>
      <c r="K60" s="151">
        <f t="shared" si="47"/>
        <v>35.090000000000003</v>
      </c>
      <c r="L60" s="151">
        <f>ROUND(H60*(1+'29_01_H_2020'!$O$14),2)</f>
        <v>173.29</v>
      </c>
      <c r="M60" s="151">
        <f t="shared" si="48"/>
        <v>385.98</v>
      </c>
      <c r="N60" s="151">
        <f t="shared" si="49"/>
        <v>385.98</v>
      </c>
      <c r="O60" s="151">
        <f t="shared" si="45"/>
        <v>4631.76</v>
      </c>
      <c r="P60" s="151">
        <f>ROUND(O60*'29_01_H_2020'!$O$17,2)</f>
        <v>1092.6300000000001</v>
      </c>
      <c r="Q60" s="380">
        <f t="shared" si="50"/>
        <v>5724.39</v>
      </c>
      <c r="R60" s="329"/>
      <c r="S60" s="431"/>
      <c r="T60" s="153"/>
      <c r="U60" s="153"/>
      <c r="V60" s="152"/>
      <c r="W60" s="152"/>
      <c r="X60" s="430"/>
      <c r="Y60" s="430"/>
      <c r="Z60" s="430"/>
      <c r="AA60" s="430"/>
      <c r="AB60" s="430"/>
      <c r="AC60" s="430"/>
      <c r="AD60" s="430"/>
      <c r="AE60" s="430"/>
      <c r="AF60" s="430"/>
      <c r="AG60" s="430"/>
      <c r="AH60" s="329"/>
      <c r="AI60" s="152"/>
      <c r="AJ60" s="152"/>
      <c r="AK60" s="430"/>
      <c r="AL60" s="430"/>
      <c r="AM60" s="430"/>
      <c r="AN60" s="430"/>
      <c r="AO60" s="430"/>
      <c r="AP60" s="430"/>
      <c r="AQ60" s="430"/>
      <c r="AR60" s="430"/>
      <c r="AS60" s="430"/>
      <c r="AT60" s="430"/>
      <c r="AU60" s="329"/>
      <c r="AV60" s="152"/>
      <c r="AW60" s="152"/>
      <c r="AX60" s="152"/>
      <c r="AY60" s="152"/>
      <c r="AZ60" s="152"/>
      <c r="BA60" s="152"/>
    </row>
    <row r="61" spans="1:53">
      <c r="A61" s="5" t="s">
        <v>22</v>
      </c>
      <c r="B61" s="2" t="s">
        <v>23</v>
      </c>
      <c r="C61" s="3" t="s">
        <v>13</v>
      </c>
      <c r="D61" s="258">
        <v>11</v>
      </c>
      <c r="E61" s="258">
        <v>3</v>
      </c>
      <c r="F61" s="289">
        <v>1382</v>
      </c>
      <c r="G61" s="3">
        <v>1382</v>
      </c>
      <c r="H61" s="3">
        <v>138.19999999999999</v>
      </c>
      <c r="I61" s="344">
        <v>1</v>
      </c>
      <c r="J61" s="379">
        <f>ROUND(G61*(1+'29_01_H_2020'!$O$14),2)</f>
        <v>1732.89</v>
      </c>
      <c r="K61" s="151">
        <f t="shared" si="47"/>
        <v>35.090000000000003</v>
      </c>
      <c r="L61" s="151">
        <f>ROUND(H61*(1+'29_01_H_2020'!$O$14),2)</f>
        <v>173.29</v>
      </c>
      <c r="M61" s="151">
        <f t="shared" si="48"/>
        <v>385.98</v>
      </c>
      <c r="N61" s="151">
        <f t="shared" si="49"/>
        <v>385.98</v>
      </c>
      <c r="O61" s="151">
        <f t="shared" si="45"/>
        <v>4631.76</v>
      </c>
      <c r="P61" s="151">
        <f>ROUND(O61*'29_01_H_2020'!$O$17,2)</f>
        <v>1092.6300000000001</v>
      </c>
      <c r="Q61" s="380">
        <f t="shared" si="50"/>
        <v>5724.39</v>
      </c>
      <c r="R61" s="329"/>
      <c r="S61" s="431"/>
      <c r="T61" s="153"/>
      <c r="U61" s="153"/>
      <c r="V61" s="152"/>
      <c r="W61" s="152"/>
      <c r="X61" s="430"/>
      <c r="Y61" s="430"/>
      <c r="Z61" s="430"/>
      <c r="AA61" s="430"/>
      <c r="AB61" s="430"/>
      <c r="AC61" s="430"/>
      <c r="AD61" s="430"/>
      <c r="AE61" s="430"/>
      <c r="AF61" s="430"/>
      <c r="AG61" s="430"/>
      <c r="AH61" s="329"/>
      <c r="AI61" s="152"/>
      <c r="AJ61" s="152"/>
      <c r="AK61" s="430"/>
      <c r="AL61" s="430"/>
      <c r="AM61" s="430"/>
      <c r="AN61" s="430"/>
      <c r="AO61" s="430"/>
      <c r="AP61" s="430"/>
      <c r="AQ61" s="430"/>
      <c r="AR61" s="430"/>
      <c r="AS61" s="430"/>
      <c r="AT61" s="430"/>
      <c r="AU61" s="329"/>
      <c r="AV61" s="152"/>
      <c r="AW61" s="152"/>
      <c r="AX61" s="152"/>
      <c r="AY61" s="152"/>
      <c r="AZ61" s="152"/>
      <c r="BA61" s="152"/>
    </row>
    <row r="62" spans="1:53">
      <c r="A62" s="5" t="s">
        <v>24</v>
      </c>
      <c r="B62" s="2">
        <v>35</v>
      </c>
      <c r="C62" s="3" t="s">
        <v>21</v>
      </c>
      <c r="D62" s="257">
        <v>11</v>
      </c>
      <c r="E62" s="257">
        <v>3</v>
      </c>
      <c r="F62" s="289">
        <v>1382</v>
      </c>
      <c r="G62" s="3">
        <v>1382</v>
      </c>
      <c r="H62" s="3">
        <v>138.19999999999999</v>
      </c>
      <c r="I62" s="344">
        <v>1</v>
      </c>
      <c r="J62" s="379">
        <f>ROUND(G62*(1+'29_01_H_2020'!$O$14),2)</f>
        <v>1732.89</v>
      </c>
      <c r="K62" s="151">
        <f t="shared" si="47"/>
        <v>35.090000000000003</v>
      </c>
      <c r="L62" s="151">
        <f>ROUND(H62*(1+'29_01_H_2020'!$O$14),2)</f>
        <v>173.29</v>
      </c>
      <c r="M62" s="151">
        <f t="shared" si="48"/>
        <v>385.98</v>
      </c>
      <c r="N62" s="151">
        <f t="shared" si="49"/>
        <v>385.98</v>
      </c>
      <c r="O62" s="151">
        <f t="shared" si="45"/>
        <v>4631.76</v>
      </c>
      <c r="P62" s="151">
        <f>ROUND(O62*'29_01_H_2020'!$O$17,2)</f>
        <v>1092.6300000000001</v>
      </c>
      <c r="Q62" s="380">
        <f t="shared" si="50"/>
        <v>5724.39</v>
      </c>
      <c r="R62" s="329"/>
      <c r="S62" s="431"/>
      <c r="T62" s="153"/>
      <c r="U62" s="153"/>
      <c r="V62" s="152"/>
      <c r="W62" s="152"/>
      <c r="X62" s="430"/>
      <c r="Y62" s="430"/>
      <c r="Z62" s="430"/>
      <c r="AA62" s="430"/>
      <c r="AB62" s="430"/>
      <c r="AC62" s="430"/>
      <c r="AD62" s="430"/>
      <c r="AE62" s="430"/>
      <c r="AF62" s="430"/>
      <c r="AG62" s="430"/>
      <c r="AH62" s="329"/>
      <c r="AI62" s="152"/>
      <c r="AJ62" s="152"/>
      <c r="AK62" s="430"/>
      <c r="AL62" s="430"/>
      <c r="AM62" s="430"/>
      <c r="AN62" s="430"/>
      <c r="AO62" s="430"/>
      <c r="AP62" s="430"/>
      <c r="AQ62" s="430"/>
      <c r="AR62" s="430"/>
      <c r="AS62" s="430"/>
      <c r="AT62" s="430"/>
      <c r="AU62" s="329"/>
      <c r="AV62" s="152"/>
      <c r="AW62" s="152"/>
      <c r="AX62" s="152"/>
      <c r="AY62" s="152"/>
      <c r="AZ62" s="152"/>
      <c r="BA62" s="152"/>
    </row>
    <row r="63" spans="1:53">
      <c r="A63" s="5" t="s">
        <v>25</v>
      </c>
      <c r="B63" s="2" t="s">
        <v>16</v>
      </c>
      <c r="C63" s="6" t="s">
        <v>26</v>
      </c>
      <c r="D63" s="257">
        <v>10</v>
      </c>
      <c r="E63" s="257">
        <v>3</v>
      </c>
      <c r="F63" s="289">
        <v>1287</v>
      </c>
      <c r="G63" s="3">
        <v>1287</v>
      </c>
      <c r="H63" s="3">
        <v>128.69999999999999</v>
      </c>
      <c r="I63" s="344">
        <v>9.5</v>
      </c>
      <c r="J63" s="379">
        <f>ROUND(G63*(1+'29_01_H_2020'!$O$14),2)</f>
        <v>1613.77</v>
      </c>
      <c r="K63" s="151">
        <f t="shared" si="47"/>
        <v>32.680000000000007</v>
      </c>
      <c r="L63" s="151">
        <f>ROUND(H63*(1+'29_01_H_2020'!$O$14),2)</f>
        <v>161.38</v>
      </c>
      <c r="M63" s="151">
        <f t="shared" si="48"/>
        <v>359.45000000000005</v>
      </c>
      <c r="N63" s="151">
        <f t="shared" si="49"/>
        <v>3414.7750000000005</v>
      </c>
      <c r="O63" s="151">
        <f t="shared" si="45"/>
        <v>40977.300000000003</v>
      </c>
      <c r="P63" s="151">
        <f>ROUND(O63*'29_01_H_2020'!$O$17,2)</f>
        <v>9666.5499999999993</v>
      </c>
      <c r="Q63" s="380">
        <f t="shared" si="50"/>
        <v>50643.850000000006</v>
      </c>
      <c r="R63" s="329"/>
      <c r="S63" s="431"/>
      <c r="T63" s="153"/>
      <c r="U63" s="153"/>
      <c r="V63" s="152"/>
      <c r="W63" s="152"/>
      <c r="X63" s="430"/>
      <c r="Y63" s="430"/>
      <c r="Z63" s="430"/>
      <c r="AA63" s="430"/>
      <c r="AB63" s="430"/>
      <c r="AC63" s="430"/>
      <c r="AD63" s="430"/>
      <c r="AE63" s="430"/>
      <c r="AF63" s="430"/>
      <c r="AG63" s="430"/>
      <c r="AH63" s="329"/>
      <c r="AI63" s="152"/>
      <c r="AJ63" s="152"/>
      <c r="AK63" s="430"/>
      <c r="AL63" s="430"/>
      <c r="AM63" s="430"/>
      <c r="AN63" s="430"/>
      <c r="AO63" s="430"/>
      <c r="AP63" s="430"/>
      <c r="AQ63" s="430"/>
      <c r="AR63" s="430"/>
      <c r="AS63" s="430"/>
      <c r="AT63" s="430"/>
      <c r="AU63" s="329"/>
      <c r="AV63" s="152"/>
      <c r="AW63" s="152"/>
      <c r="AX63" s="152"/>
      <c r="AY63" s="152"/>
      <c r="AZ63" s="152"/>
      <c r="BA63" s="152"/>
    </row>
    <row r="64" spans="1:53">
      <c r="A64" s="5" t="s">
        <v>27</v>
      </c>
      <c r="B64" s="2">
        <v>35</v>
      </c>
      <c r="C64" s="6" t="s">
        <v>26</v>
      </c>
      <c r="D64" s="257">
        <v>10</v>
      </c>
      <c r="E64" s="257">
        <v>3</v>
      </c>
      <c r="F64" s="289">
        <v>1287</v>
      </c>
      <c r="G64" s="3">
        <v>1287</v>
      </c>
      <c r="H64" s="3">
        <v>64.349999999999994</v>
      </c>
      <c r="I64" s="344">
        <v>1</v>
      </c>
      <c r="J64" s="379">
        <f>ROUND(G64*(1+'29_01_H_2020'!$O$14),2)</f>
        <v>1613.77</v>
      </c>
      <c r="K64" s="151">
        <f t="shared" si="47"/>
        <v>16.340000000000003</v>
      </c>
      <c r="L64" s="151">
        <f>ROUND(H64*(1+'29_01_H_2020'!$O$14),2)</f>
        <v>80.69</v>
      </c>
      <c r="M64" s="151">
        <f t="shared" si="48"/>
        <v>343.11000000000013</v>
      </c>
      <c r="N64" s="151">
        <f t="shared" si="49"/>
        <v>343.11000000000013</v>
      </c>
      <c r="O64" s="151">
        <f t="shared" si="45"/>
        <v>4117.3200000000015</v>
      </c>
      <c r="P64" s="151">
        <f>ROUND(O64*'29_01_H_2020'!$O$17,2)</f>
        <v>971.28</v>
      </c>
      <c r="Q64" s="380">
        <f t="shared" si="50"/>
        <v>5088.6000000000013</v>
      </c>
      <c r="R64" s="329"/>
      <c r="S64" s="431"/>
      <c r="T64" s="153"/>
      <c r="U64" s="153"/>
      <c r="V64" s="152"/>
      <c r="W64" s="152"/>
      <c r="X64" s="430"/>
      <c r="Y64" s="430"/>
      <c r="Z64" s="430"/>
      <c r="AA64" s="430"/>
      <c r="AB64" s="430"/>
      <c r="AC64" s="430"/>
      <c r="AD64" s="430"/>
      <c r="AE64" s="430"/>
      <c r="AF64" s="430"/>
      <c r="AG64" s="430"/>
      <c r="AH64" s="329"/>
      <c r="AI64" s="152"/>
      <c r="AJ64" s="152"/>
      <c r="AK64" s="430"/>
      <c r="AL64" s="430"/>
      <c r="AM64" s="430"/>
      <c r="AN64" s="430"/>
      <c r="AO64" s="430"/>
      <c r="AP64" s="430"/>
      <c r="AQ64" s="430"/>
      <c r="AR64" s="430"/>
      <c r="AS64" s="430"/>
      <c r="AT64" s="430"/>
      <c r="AU64" s="329"/>
      <c r="AV64" s="152"/>
      <c r="AW64" s="152"/>
      <c r="AX64" s="152"/>
      <c r="AY64" s="152"/>
      <c r="AZ64" s="152"/>
      <c r="BA64" s="152"/>
    </row>
    <row r="65" spans="1:53">
      <c r="A65" s="11" t="s">
        <v>55</v>
      </c>
      <c r="B65" s="8" t="s">
        <v>52</v>
      </c>
      <c r="C65" s="9" t="s">
        <v>52</v>
      </c>
      <c r="D65" s="9" t="s">
        <v>52</v>
      </c>
      <c r="E65" s="9" t="s">
        <v>52</v>
      </c>
      <c r="F65" s="10" t="s">
        <v>52</v>
      </c>
      <c r="G65" s="10" t="s">
        <v>52</v>
      </c>
      <c r="H65" s="10" t="s">
        <v>52</v>
      </c>
      <c r="I65" s="313">
        <f>SUM(I55:I64)</f>
        <v>20.5</v>
      </c>
      <c r="J65" s="404"/>
      <c r="K65" s="405"/>
      <c r="L65" s="405"/>
      <c r="M65" s="405"/>
      <c r="N65" s="405"/>
      <c r="O65" s="405"/>
      <c r="P65" s="405"/>
      <c r="Q65" s="406"/>
      <c r="R65" s="152"/>
      <c r="S65" s="152"/>
      <c r="T65" s="152"/>
      <c r="U65" s="152"/>
      <c r="V65" s="152"/>
      <c r="W65" s="152"/>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row>
    <row r="66" spans="1:53">
      <c r="A66" s="1163" t="s">
        <v>28</v>
      </c>
      <c r="B66" s="1164"/>
      <c r="C66" s="1164"/>
      <c r="D66" s="1164"/>
      <c r="E66" s="1164"/>
      <c r="F66" s="1164"/>
      <c r="G66" s="1164"/>
      <c r="H66" s="1164"/>
      <c r="I66" s="1164"/>
      <c r="J66" s="385"/>
      <c r="K66" s="383"/>
      <c r="L66" s="383"/>
      <c r="M66" s="383"/>
      <c r="N66" s="383"/>
      <c r="O66" s="383"/>
      <c r="P66" s="383"/>
      <c r="Q66" s="386"/>
      <c r="R66" s="152"/>
      <c r="S66" s="152"/>
      <c r="T66" s="152"/>
      <c r="U66" s="152"/>
      <c r="V66" s="152"/>
      <c r="W66" s="152"/>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row>
    <row r="67" spans="1:53">
      <c r="A67" s="595" t="s">
        <v>29</v>
      </c>
      <c r="B67" s="7" t="s">
        <v>16</v>
      </c>
      <c r="C67" s="3" t="s">
        <v>30</v>
      </c>
      <c r="D67" s="258">
        <v>9</v>
      </c>
      <c r="E67" s="258">
        <v>3</v>
      </c>
      <c r="F67" s="289">
        <v>1190</v>
      </c>
      <c r="G67" s="3">
        <v>1190</v>
      </c>
      <c r="H67" s="3">
        <v>83.3</v>
      </c>
      <c r="I67" s="344">
        <v>2</v>
      </c>
      <c r="J67" s="379">
        <f>ROUND(G67*(1+'29_01_H_2020'!$O$10),2)</f>
        <v>1492.14</v>
      </c>
      <c r="K67" s="151">
        <f t="shared" ref="K67" si="51">L67-H67</f>
        <v>21.150000000000006</v>
      </c>
      <c r="L67" s="151">
        <f>ROUND(H67*(1+'29_01_H_2020'!$O$10),2)</f>
        <v>104.45</v>
      </c>
      <c r="M67" s="151">
        <f t="shared" ref="M67" si="52">(J67+L67)-(G67+H67)</f>
        <v>323.29000000000019</v>
      </c>
      <c r="N67" s="151">
        <f t="shared" ref="N67" si="53">M67*I67</f>
        <v>646.58000000000038</v>
      </c>
      <c r="O67" s="151">
        <f t="shared" ref="O67:O80" si="54">N67*12</f>
        <v>7758.9600000000046</v>
      </c>
      <c r="P67" s="151">
        <f>ROUND(O67*'29_01_H_2020'!$O$17,2)</f>
        <v>1830.34</v>
      </c>
      <c r="Q67" s="380">
        <f t="shared" ref="Q67" si="55">SUM(O67:P67)</f>
        <v>9589.3000000000047</v>
      </c>
      <c r="R67" s="329"/>
      <c r="S67" s="431"/>
      <c r="T67" s="153"/>
      <c r="U67" s="153"/>
      <c r="V67" s="152"/>
      <c r="W67" s="152"/>
      <c r="X67" s="430"/>
      <c r="Y67" s="430"/>
      <c r="Z67" s="430"/>
      <c r="AA67" s="430"/>
      <c r="AB67" s="430"/>
      <c r="AC67" s="430"/>
      <c r="AD67" s="430"/>
      <c r="AE67" s="430"/>
      <c r="AF67" s="430"/>
      <c r="AG67" s="430"/>
      <c r="AH67" s="329"/>
      <c r="AI67" s="152"/>
      <c r="AJ67" s="152"/>
      <c r="AK67" s="430"/>
      <c r="AL67" s="430"/>
      <c r="AM67" s="430"/>
      <c r="AN67" s="430"/>
      <c r="AO67" s="430"/>
      <c r="AP67" s="430"/>
      <c r="AQ67" s="430"/>
      <c r="AR67" s="430"/>
      <c r="AS67" s="430"/>
      <c r="AT67" s="430"/>
      <c r="AU67" s="329"/>
      <c r="AV67" s="152"/>
      <c r="AW67" s="152"/>
      <c r="AX67" s="152"/>
      <c r="AY67" s="152"/>
      <c r="AZ67" s="152"/>
      <c r="BA67" s="152"/>
    </row>
    <row r="68" spans="1:53">
      <c r="A68" s="551" t="s">
        <v>31</v>
      </c>
      <c r="B68" s="7" t="s">
        <v>16</v>
      </c>
      <c r="C68" s="3" t="s">
        <v>30</v>
      </c>
      <c r="D68" s="258">
        <v>9</v>
      </c>
      <c r="E68" s="258">
        <v>3</v>
      </c>
      <c r="F68" s="289">
        <v>1190</v>
      </c>
      <c r="G68" s="3">
        <v>1190</v>
      </c>
      <c r="H68" s="3">
        <v>23.8</v>
      </c>
      <c r="I68" s="344">
        <v>11</v>
      </c>
      <c r="J68" s="379">
        <f>ROUND(G68*(1+'29_01_H_2020'!$O$10),2)</f>
        <v>1492.14</v>
      </c>
      <c r="K68" s="151">
        <f t="shared" ref="K68:K80" si="56">L68-H68</f>
        <v>6.0399999999999991</v>
      </c>
      <c r="L68" s="151">
        <f>ROUND(H68*(1+'29_01_H_2020'!$O$10),2)</f>
        <v>29.84</v>
      </c>
      <c r="M68" s="151">
        <f t="shared" ref="M68:M80" si="57">(J68+L68)-(G68+H68)</f>
        <v>308.18000000000006</v>
      </c>
      <c r="N68" s="151">
        <f t="shared" ref="N68:N80" si="58">M68*I68</f>
        <v>3389.9800000000005</v>
      </c>
      <c r="O68" s="151">
        <f t="shared" si="54"/>
        <v>40679.760000000009</v>
      </c>
      <c r="P68" s="151">
        <f>ROUND(O68*'29_01_H_2020'!$O$17,2)</f>
        <v>9596.36</v>
      </c>
      <c r="Q68" s="380">
        <f t="shared" ref="Q68:Q80" si="59">SUM(O68:P68)</f>
        <v>50276.12000000001</v>
      </c>
      <c r="R68" s="329"/>
      <c r="S68" s="431"/>
      <c r="T68" s="153"/>
      <c r="U68" s="153"/>
      <c r="V68" s="152"/>
      <c r="W68" s="152"/>
      <c r="X68" s="430"/>
      <c r="Y68" s="430"/>
      <c r="Z68" s="430"/>
      <c r="AA68" s="430"/>
      <c r="AB68" s="430"/>
      <c r="AC68" s="430"/>
      <c r="AD68" s="430"/>
      <c r="AE68" s="430"/>
      <c r="AF68" s="430"/>
      <c r="AG68" s="430"/>
      <c r="AH68" s="329"/>
      <c r="AI68" s="152"/>
      <c r="AJ68" s="152"/>
      <c r="AK68" s="430"/>
      <c r="AL68" s="430"/>
      <c r="AM68" s="430"/>
      <c r="AN68" s="430"/>
      <c r="AO68" s="430"/>
      <c r="AP68" s="430"/>
      <c r="AQ68" s="430"/>
      <c r="AR68" s="430"/>
      <c r="AS68" s="430"/>
      <c r="AT68" s="430"/>
      <c r="AU68" s="329"/>
      <c r="AV68" s="152"/>
      <c r="AW68" s="152"/>
      <c r="AX68" s="152"/>
      <c r="AY68" s="152"/>
      <c r="AZ68" s="152"/>
      <c r="BA68" s="152"/>
    </row>
    <row r="69" spans="1:53">
      <c r="A69" s="595" t="s">
        <v>32</v>
      </c>
      <c r="B69" s="7" t="s">
        <v>16</v>
      </c>
      <c r="C69" s="3" t="s">
        <v>30</v>
      </c>
      <c r="D69" s="258">
        <v>9</v>
      </c>
      <c r="E69" s="258">
        <v>3</v>
      </c>
      <c r="F69" s="289">
        <v>1190</v>
      </c>
      <c r="G69" s="3">
        <v>1190</v>
      </c>
      <c r="H69" s="3">
        <v>23.8</v>
      </c>
      <c r="I69" s="344">
        <v>1</v>
      </c>
      <c r="J69" s="379">
        <f>ROUND(G69*(1+'29_01_H_2020'!$O$10),2)</f>
        <v>1492.14</v>
      </c>
      <c r="K69" s="151">
        <f t="shared" si="56"/>
        <v>6.0399999999999991</v>
      </c>
      <c r="L69" s="151">
        <f>ROUND(H69*(1+'29_01_H_2020'!$O$10),2)</f>
        <v>29.84</v>
      </c>
      <c r="M69" s="151">
        <f t="shared" si="57"/>
        <v>308.18000000000006</v>
      </c>
      <c r="N69" s="151">
        <f t="shared" si="58"/>
        <v>308.18000000000006</v>
      </c>
      <c r="O69" s="151">
        <f t="shared" si="54"/>
        <v>3698.1600000000008</v>
      </c>
      <c r="P69" s="151">
        <f>ROUND(O69*'29_01_H_2020'!$O$17,2)</f>
        <v>872.4</v>
      </c>
      <c r="Q69" s="380">
        <f t="shared" si="59"/>
        <v>4570.5600000000004</v>
      </c>
      <c r="R69" s="329"/>
      <c r="S69" s="431"/>
      <c r="T69" s="153"/>
      <c r="U69" s="153"/>
      <c r="V69" s="152"/>
      <c r="W69" s="152"/>
      <c r="X69" s="430"/>
      <c r="Y69" s="430"/>
      <c r="Z69" s="430"/>
      <c r="AA69" s="430"/>
      <c r="AB69" s="430"/>
      <c r="AC69" s="430"/>
      <c r="AD69" s="430"/>
      <c r="AE69" s="430"/>
      <c r="AF69" s="430"/>
      <c r="AG69" s="430"/>
      <c r="AH69" s="329"/>
      <c r="AI69" s="152"/>
      <c r="AJ69" s="152"/>
      <c r="AK69" s="430"/>
      <c r="AL69" s="430"/>
      <c r="AM69" s="430"/>
      <c r="AN69" s="430"/>
      <c r="AO69" s="430"/>
      <c r="AP69" s="430"/>
      <c r="AQ69" s="430"/>
      <c r="AR69" s="430"/>
      <c r="AS69" s="430"/>
      <c r="AT69" s="430"/>
      <c r="AU69" s="329"/>
      <c r="AV69" s="152"/>
      <c r="AW69" s="152"/>
      <c r="AX69" s="152"/>
      <c r="AY69" s="152"/>
      <c r="AZ69" s="152"/>
      <c r="BA69" s="152"/>
    </row>
    <row r="70" spans="1:53">
      <c r="A70" s="595" t="s">
        <v>33</v>
      </c>
      <c r="B70" s="2" t="s">
        <v>23</v>
      </c>
      <c r="C70" s="3" t="s">
        <v>19</v>
      </c>
      <c r="D70" s="258">
        <v>8</v>
      </c>
      <c r="E70" s="258">
        <v>3</v>
      </c>
      <c r="F70" s="289">
        <v>1093</v>
      </c>
      <c r="G70" s="3">
        <v>1093</v>
      </c>
      <c r="H70" s="3">
        <v>109.3</v>
      </c>
      <c r="I70" s="344">
        <v>3</v>
      </c>
      <c r="J70" s="379">
        <f>ROUND(G70*(1+'29_01_H_2020'!$O$10),2)</f>
        <v>1370.51</v>
      </c>
      <c r="K70" s="151">
        <f t="shared" si="56"/>
        <v>27.750000000000014</v>
      </c>
      <c r="L70" s="151">
        <f>ROUND(H70*(1+'29_01_H_2020'!$O$10),2)</f>
        <v>137.05000000000001</v>
      </c>
      <c r="M70" s="151">
        <f t="shared" si="57"/>
        <v>305.26</v>
      </c>
      <c r="N70" s="151">
        <f t="shared" si="58"/>
        <v>915.78</v>
      </c>
      <c r="O70" s="151">
        <f t="shared" si="54"/>
        <v>10989.36</v>
      </c>
      <c r="P70" s="151">
        <f>ROUND(O70*'29_01_H_2020'!$O$17,2)</f>
        <v>2592.39</v>
      </c>
      <c r="Q70" s="380">
        <f t="shared" si="59"/>
        <v>13581.75</v>
      </c>
      <c r="R70" s="329"/>
      <c r="S70" s="431"/>
      <c r="T70" s="153"/>
      <c r="U70" s="153"/>
      <c r="V70" s="152"/>
      <c r="W70" s="152"/>
      <c r="X70" s="430"/>
      <c r="Y70" s="430"/>
      <c r="Z70" s="430"/>
      <c r="AA70" s="430"/>
      <c r="AB70" s="430"/>
      <c r="AC70" s="430"/>
      <c r="AD70" s="430"/>
      <c r="AE70" s="430"/>
      <c r="AF70" s="430"/>
      <c r="AG70" s="430"/>
      <c r="AH70" s="329"/>
      <c r="AI70" s="152"/>
      <c r="AJ70" s="152"/>
      <c r="AK70" s="430"/>
      <c r="AL70" s="430"/>
      <c r="AM70" s="430"/>
      <c r="AN70" s="430"/>
      <c r="AO70" s="430"/>
      <c r="AP70" s="430"/>
      <c r="AQ70" s="430"/>
      <c r="AR70" s="430"/>
      <c r="AS70" s="430"/>
      <c r="AT70" s="430"/>
      <c r="AU70" s="329"/>
      <c r="AV70" s="152"/>
      <c r="AW70" s="152"/>
      <c r="AX70" s="152"/>
      <c r="AY70" s="152"/>
      <c r="AZ70" s="152"/>
      <c r="BA70" s="152"/>
    </row>
    <row r="71" spans="1:53" ht="26.25">
      <c r="A71" s="674" t="s">
        <v>34</v>
      </c>
      <c r="B71" s="7">
        <v>32</v>
      </c>
      <c r="C71" s="3" t="s">
        <v>35</v>
      </c>
      <c r="D71" s="258">
        <v>8</v>
      </c>
      <c r="E71" s="258">
        <v>3</v>
      </c>
      <c r="F71" s="289">
        <v>1093</v>
      </c>
      <c r="G71" s="3">
        <v>1093</v>
      </c>
      <c r="H71" s="3">
        <v>109.3</v>
      </c>
      <c r="I71" s="344">
        <v>1</v>
      </c>
      <c r="J71" s="379">
        <f>ROUND(G71*(1+'29_01_H_2020'!$O$10),2)</f>
        <v>1370.51</v>
      </c>
      <c r="K71" s="151">
        <f t="shared" si="56"/>
        <v>27.750000000000014</v>
      </c>
      <c r="L71" s="151">
        <f>ROUND(H71*(1+'29_01_H_2020'!$O$10),2)</f>
        <v>137.05000000000001</v>
      </c>
      <c r="M71" s="151">
        <f t="shared" si="57"/>
        <v>305.26</v>
      </c>
      <c r="N71" s="151">
        <f t="shared" si="58"/>
        <v>305.26</v>
      </c>
      <c r="O71" s="151">
        <f t="shared" si="54"/>
        <v>3663.12</v>
      </c>
      <c r="P71" s="151">
        <f>ROUND(O71*'29_01_H_2020'!$O$17,2)</f>
        <v>864.13</v>
      </c>
      <c r="Q71" s="380">
        <f t="shared" si="59"/>
        <v>4527.25</v>
      </c>
      <c r="R71" s="329"/>
      <c r="S71" s="431"/>
      <c r="T71" s="153"/>
      <c r="U71" s="153"/>
      <c r="V71" s="152"/>
      <c r="W71" s="152"/>
      <c r="X71" s="430"/>
      <c r="Y71" s="430"/>
      <c r="Z71" s="430"/>
      <c r="AA71" s="430"/>
      <c r="AB71" s="430"/>
      <c r="AC71" s="430"/>
      <c r="AD71" s="430"/>
      <c r="AE71" s="430"/>
      <c r="AF71" s="430"/>
      <c r="AG71" s="430"/>
      <c r="AH71" s="329"/>
      <c r="AI71" s="152"/>
      <c r="AJ71" s="152"/>
      <c r="AK71" s="430"/>
      <c r="AL71" s="430"/>
      <c r="AM71" s="430"/>
      <c r="AN71" s="430"/>
      <c r="AO71" s="430"/>
      <c r="AP71" s="430"/>
      <c r="AQ71" s="430"/>
      <c r="AR71" s="430"/>
      <c r="AS71" s="430"/>
      <c r="AT71" s="430"/>
      <c r="AU71" s="329"/>
      <c r="AV71" s="152"/>
      <c r="AW71" s="152"/>
      <c r="AX71" s="152"/>
      <c r="AY71" s="152"/>
      <c r="AZ71" s="152"/>
      <c r="BA71" s="152"/>
    </row>
    <row r="72" spans="1:53">
      <c r="A72" s="595" t="s">
        <v>36</v>
      </c>
      <c r="B72" s="7" t="s">
        <v>16</v>
      </c>
      <c r="C72" s="3" t="s">
        <v>37</v>
      </c>
      <c r="D72" s="258">
        <v>8</v>
      </c>
      <c r="E72" s="258">
        <v>3</v>
      </c>
      <c r="F72" s="289">
        <v>1093</v>
      </c>
      <c r="G72" s="3">
        <v>1093</v>
      </c>
      <c r="H72" s="3">
        <v>131.16</v>
      </c>
      <c r="I72" s="344">
        <v>1</v>
      </c>
      <c r="J72" s="379">
        <f>ROUND(G72*(1+'29_01_H_2020'!$O$10),2)</f>
        <v>1370.51</v>
      </c>
      <c r="K72" s="151">
        <f t="shared" si="56"/>
        <v>33.300000000000011</v>
      </c>
      <c r="L72" s="151">
        <f>ROUND(H72*(1+'29_01_H_2020'!$O$10),2)</f>
        <v>164.46</v>
      </c>
      <c r="M72" s="151">
        <f t="shared" si="57"/>
        <v>310.80999999999995</v>
      </c>
      <c r="N72" s="151">
        <f t="shared" si="58"/>
        <v>310.80999999999995</v>
      </c>
      <c r="O72" s="151">
        <f t="shared" si="54"/>
        <v>3729.7199999999993</v>
      </c>
      <c r="P72" s="151">
        <f>ROUND(O72*'29_01_H_2020'!$O$17,2)</f>
        <v>879.84</v>
      </c>
      <c r="Q72" s="380">
        <f t="shared" si="59"/>
        <v>4609.5599999999995</v>
      </c>
      <c r="R72" s="329"/>
      <c r="S72" s="431"/>
      <c r="T72" s="153"/>
      <c r="U72" s="153"/>
      <c r="V72" s="152"/>
      <c r="W72" s="152"/>
      <c r="X72" s="430"/>
      <c r="Y72" s="430"/>
      <c r="Z72" s="430"/>
      <c r="AA72" s="430"/>
      <c r="AB72" s="430"/>
      <c r="AC72" s="430"/>
      <c r="AD72" s="430"/>
      <c r="AE72" s="430"/>
      <c r="AF72" s="430"/>
      <c r="AG72" s="430"/>
      <c r="AH72" s="329"/>
      <c r="AI72" s="152"/>
      <c r="AJ72" s="152"/>
      <c r="AK72" s="430"/>
      <c r="AL72" s="430"/>
      <c r="AM72" s="430"/>
      <c r="AN72" s="430"/>
      <c r="AO72" s="430"/>
      <c r="AP72" s="430"/>
      <c r="AQ72" s="430"/>
      <c r="AR72" s="430"/>
      <c r="AS72" s="430"/>
      <c r="AT72" s="430"/>
      <c r="AU72" s="329"/>
      <c r="AV72" s="152"/>
      <c r="AW72" s="152"/>
      <c r="AX72" s="152"/>
      <c r="AY72" s="152"/>
      <c r="AZ72" s="152"/>
      <c r="BA72" s="152"/>
    </row>
    <row r="73" spans="1:53">
      <c r="A73" s="595" t="s">
        <v>38</v>
      </c>
      <c r="B73" s="7" t="s">
        <v>16</v>
      </c>
      <c r="C73" s="3" t="s">
        <v>37</v>
      </c>
      <c r="D73" s="258">
        <v>8</v>
      </c>
      <c r="E73" s="258">
        <v>3</v>
      </c>
      <c r="F73" s="289">
        <v>1093</v>
      </c>
      <c r="G73" s="3">
        <v>1093</v>
      </c>
      <c r="H73" s="3">
        <v>109.3</v>
      </c>
      <c r="I73" s="344">
        <v>11.75</v>
      </c>
      <c r="J73" s="379">
        <f>ROUND(G73*(1+'29_01_H_2020'!$O$10),2)</f>
        <v>1370.51</v>
      </c>
      <c r="K73" s="151">
        <f t="shared" si="56"/>
        <v>27.750000000000014</v>
      </c>
      <c r="L73" s="151">
        <f>ROUND(H73*(1+'29_01_H_2020'!$O$10),2)</f>
        <v>137.05000000000001</v>
      </c>
      <c r="M73" s="151">
        <f t="shared" si="57"/>
        <v>305.26</v>
      </c>
      <c r="N73" s="151">
        <f t="shared" si="58"/>
        <v>3586.8049999999998</v>
      </c>
      <c r="O73" s="151">
        <f t="shared" si="54"/>
        <v>43041.659999999996</v>
      </c>
      <c r="P73" s="151">
        <f>ROUND(O73*'29_01_H_2020'!$O$17,2)</f>
        <v>10153.530000000001</v>
      </c>
      <c r="Q73" s="380">
        <f t="shared" si="59"/>
        <v>53195.189999999995</v>
      </c>
      <c r="R73" s="329"/>
      <c r="S73" s="431"/>
      <c r="T73" s="153"/>
      <c r="U73" s="153"/>
      <c r="V73" s="152"/>
      <c r="W73" s="152"/>
      <c r="X73" s="430"/>
      <c r="Y73" s="430"/>
      <c r="Z73" s="430"/>
      <c r="AA73" s="430"/>
      <c r="AB73" s="430"/>
      <c r="AC73" s="430"/>
      <c r="AD73" s="430"/>
      <c r="AE73" s="430"/>
      <c r="AF73" s="430"/>
      <c r="AG73" s="430"/>
      <c r="AH73" s="329"/>
      <c r="AI73" s="152"/>
      <c r="AJ73" s="152"/>
      <c r="AK73" s="430"/>
      <c r="AL73" s="430"/>
      <c r="AM73" s="430"/>
      <c r="AN73" s="430"/>
      <c r="AO73" s="430"/>
      <c r="AP73" s="430"/>
      <c r="AQ73" s="430"/>
      <c r="AR73" s="430"/>
      <c r="AS73" s="430"/>
      <c r="AT73" s="430"/>
      <c r="AU73" s="329"/>
      <c r="AV73" s="152"/>
      <c r="AW73" s="152"/>
      <c r="AX73" s="152"/>
      <c r="AY73" s="152"/>
      <c r="AZ73" s="152"/>
      <c r="BA73" s="152"/>
    </row>
    <row r="74" spans="1:53">
      <c r="A74" s="674" t="s">
        <v>39</v>
      </c>
      <c r="B74" s="7" t="s">
        <v>16</v>
      </c>
      <c r="C74" s="3" t="s">
        <v>37</v>
      </c>
      <c r="D74" s="258">
        <v>8</v>
      </c>
      <c r="E74" s="258">
        <v>3</v>
      </c>
      <c r="F74" s="289">
        <v>1093</v>
      </c>
      <c r="G74" s="3">
        <v>1055</v>
      </c>
      <c r="H74" s="3">
        <v>105.5</v>
      </c>
      <c r="I74" s="344">
        <v>2</v>
      </c>
      <c r="J74" s="379">
        <f>ROUND(G74*(1+'29_01_H_2020'!$O$10),2)</f>
        <v>1322.86</v>
      </c>
      <c r="K74" s="151">
        <f t="shared" si="56"/>
        <v>26.789999999999992</v>
      </c>
      <c r="L74" s="151">
        <f>ROUND(H74*(1+'29_01_H_2020'!$O$10),2)</f>
        <v>132.29</v>
      </c>
      <c r="M74" s="151">
        <f t="shared" si="57"/>
        <v>294.64999999999986</v>
      </c>
      <c r="N74" s="151">
        <f t="shared" si="58"/>
        <v>589.29999999999973</v>
      </c>
      <c r="O74" s="151">
        <f t="shared" si="54"/>
        <v>7071.5999999999967</v>
      </c>
      <c r="P74" s="151">
        <f>ROUND(O74*'29_01_H_2020'!$O$17,2)</f>
        <v>1668.19</v>
      </c>
      <c r="Q74" s="380">
        <f t="shared" si="59"/>
        <v>8739.7899999999972</v>
      </c>
      <c r="R74" s="329"/>
      <c r="S74" s="431"/>
      <c r="T74" s="153"/>
      <c r="U74" s="153"/>
      <c r="V74" s="152"/>
      <c r="W74" s="152"/>
      <c r="X74" s="430"/>
      <c r="Y74" s="430"/>
      <c r="Z74" s="430"/>
      <c r="AA74" s="430"/>
      <c r="AB74" s="430"/>
      <c r="AC74" s="430"/>
      <c r="AD74" s="430"/>
      <c r="AE74" s="430"/>
      <c r="AF74" s="430"/>
      <c r="AG74" s="430"/>
      <c r="AH74" s="329"/>
      <c r="AI74" s="152"/>
      <c r="AJ74" s="152"/>
      <c r="AK74" s="430"/>
      <c r="AL74" s="430"/>
      <c r="AM74" s="430"/>
      <c r="AN74" s="430"/>
      <c r="AO74" s="430"/>
      <c r="AP74" s="430"/>
      <c r="AQ74" s="430"/>
      <c r="AR74" s="430"/>
      <c r="AS74" s="430"/>
      <c r="AT74" s="430"/>
      <c r="AU74" s="329"/>
      <c r="AV74" s="152"/>
      <c r="AW74" s="152"/>
      <c r="AX74" s="152"/>
      <c r="AY74" s="152"/>
      <c r="AZ74" s="152"/>
      <c r="BA74" s="152"/>
    </row>
    <row r="75" spans="1:53">
      <c r="A75" s="551" t="s">
        <v>40</v>
      </c>
      <c r="B75" s="2" t="s">
        <v>23</v>
      </c>
      <c r="C75" s="3" t="s">
        <v>26</v>
      </c>
      <c r="D75" s="258">
        <v>7</v>
      </c>
      <c r="E75" s="258">
        <v>3</v>
      </c>
      <c r="F75" s="289">
        <v>996</v>
      </c>
      <c r="G75" s="3">
        <v>996</v>
      </c>
      <c r="H75" s="3">
        <v>119.52</v>
      </c>
      <c r="I75" s="344">
        <v>26.25</v>
      </c>
      <c r="J75" s="379">
        <f>ROUND(G75*(1+'29_01_H_2020'!$O$10),2)</f>
        <v>1248.8800000000001</v>
      </c>
      <c r="K75" s="151">
        <f t="shared" si="56"/>
        <v>30.350000000000009</v>
      </c>
      <c r="L75" s="151">
        <f>ROUND(H75*(1+'29_01_H_2020'!$O$10),2)</f>
        <v>149.87</v>
      </c>
      <c r="M75" s="151">
        <f t="shared" si="57"/>
        <v>283.23</v>
      </c>
      <c r="N75" s="151">
        <f t="shared" si="58"/>
        <v>7434.7875000000004</v>
      </c>
      <c r="O75" s="151">
        <f t="shared" si="54"/>
        <v>89217.450000000012</v>
      </c>
      <c r="P75" s="151">
        <f>ROUND(O75*'29_01_H_2020'!$O$17,2)</f>
        <v>21046.400000000001</v>
      </c>
      <c r="Q75" s="380">
        <f t="shared" si="59"/>
        <v>110263.85</v>
      </c>
      <c r="R75" s="329"/>
      <c r="S75" s="431"/>
      <c r="T75" s="153"/>
      <c r="U75" s="153"/>
      <c r="V75" s="152"/>
      <c r="W75" s="152"/>
      <c r="X75" s="430"/>
      <c r="Y75" s="430"/>
      <c r="Z75" s="430"/>
      <c r="AA75" s="430"/>
      <c r="AB75" s="430"/>
      <c r="AC75" s="430"/>
      <c r="AD75" s="430"/>
      <c r="AE75" s="430"/>
      <c r="AF75" s="430"/>
      <c r="AG75" s="430"/>
      <c r="AH75" s="329"/>
      <c r="AI75" s="152"/>
      <c r="AJ75" s="152"/>
      <c r="AK75" s="430"/>
      <c r="AL75" s="430"/>
      <c r="AM75" s="430"/>
      <c r="AN75" s="430"/>
      <c r="AO75" s="430"/>
      <c r="AP75" s="430"/>
      <c r="AQ75" s="430"/>
      <c r="AR75" s="430"/>
      <c r="AS75" s="430"/>
      <c r="AT75" s="430"/>
      <c r="AU75" s="329"/>
      <c r="AV75" s="152"/>
      <c r="AW75" s="152"/>
      <c r="AX75" s="152"/>
      <c r="AY75" s="152"/>
      <c r="AZ75" s="152"/>
      <c r="BA75" s="152"/>
    </row>
    <row r="76" spans="1:53">
      <c r="A76" s="595" t="s">
        <v>40</v>
      </c>
      <c r="B76" s="2" t="s">
        <v>23</v>
      </c>
      <c r="C76" s="3" t="s">
        <v>26</v>
      </c>
      <c r="D76" s="258">
        <v>7</v>
      </c>
      <c r="E76" s="258">
        <v>3</v>
      </c>
      <c r="F76" s="289">
        <v>996</v>
      </c>
      <c r="G76" s="3">
        <v>996</v>
      </c>
      <c r="H76" s="3">
        <v>119.52</v>
      </c>
      <c r="I76" s="344">
        <v>6</v>
      </c>
      <c r="J76" s="379">
        <f>ROUND(G76*(1+'29_01_H_2020'!$O$10),2)</f>
        <v>1248.8800000000001</v>
      </c>
      <c r="K76" s="151">
        <f t="shared" si="56"/>
        <v>30.350000000000009</v>
      </c>
      <c r="L76" s="151">
        <f>ROUND(H76*(1+'29_01_H_2020'!$O$10),2)</f>
        <v>149.87</v>
      </c>
      <c r="M76" s="151">
        <f t="shared" si="57"/>
        <v>283.23</v>
      </c>
      <c r="N76" s="151">
        <f t="shared" si="58"/>
        <v>1699.38</v>
      </c>
      <c r="O76" s="151">
        <f t="shared" si="54"/>
        <v>20392.560000000001</v>
      </c>
      <c r="P76" s="151">
        <f>ROUND(O76*'29_01_H_2020'!$O$17,2)</f>
        <v>4810.6000000000004</v>
      </c>
      <c r="Q76" s="380">
        <f t="shared" si="59"/>
        <v>25203.160000000003</v>
      </c>
      <c r="R76" s="329"/>
      <c r="S76" s="431"/>
      <c r="T76" s="153"/>
      <c r="U76" s="153"/>
      <c r="V76" s="152"/>
      <c r="W76" s="152"/>
      <c r="X76" s="430"/>
      <c r="Y76" s="430"/>
      <c r="Z76" s="430"/>
      <c r="AA76" s="430"/>
      <c r="AB76" s="430"/>
      <c r="AC76" s="430"/>
      <c r="AD76" s="430"/>
      <c r="AE76" s="430"/>
      <c r="AF76" s="430"/>
      <c r="AG76" s="430"/>
      <c r="AH76" s="329"/>
      <c r="AI76" s="152"/>
      <c r="AJ76" s="152"/>
      <c r="AK76" s="430"/>
      <c r="AL76" s="430"/>
      <c r="AM76" s="430"/>
      <c r="AN76" s="430"/>
      <c r="AO76" s="430"/>
      <c r="AP76" s="430"/>
      <c r="AQ76" s="430"/>
      <c r="AR76" s="430"/>
      <c r="AS76" s="430"/>
      <c r="AT76" s="430"/>
      <c r="AU76" s="329"/>
      <c r="AV76" s="152"/>
      <c r="AW76" s="152"/>
      <c r="AX76" s="152"/>
      <c r="AY76" s="152"/>
      <c r="AZ76" s="152"/>
      <c r="BA76" s="152"/>
    </row>
    <row r="77" spans="1:53">
      <c r="A77" s="595" t="s">
        <v>41</v>
      </c>
      <c r="B77" s="7" t="s">
        <v>23</v>
      </c>
      <c r="C77" s="3" t="s">
        <v>42</v>
      </c>
      <c r="D77" s="258">
        <v>6</v>
      </c>
      <c r="E77" s="258">
        <v>3</v>
      </c>
      <c r="F77" s="289">
        <v>899</v>
      </c>
      <c r="G77" s="3">
        <v>899</v>
      </c>
      <c r="H77" s="3">
        <v>107.88</v>
      </c>
      <c r="I77" s="344">
        <v>3</v>
      </c>
      <c r="J77" s="379">
        <f>ROUND(G77*(1+'29_01_H_2020'!$O$10),2)</f>
        <v>1127.26</v>
      </c>
      <c r="K77" s="151">
        <f t="shared" si="56"/>
        <v>27.390000000000015</v>
      </c>
      <c r="L77" s="151">
        <f>ROUND(H77*(1+'29_01_H_2020'!$O$10),2)</f>
        <v>135.27000000000001</v>
      </c>
      <c r="M77" s="151">
        <f t="shared" si="57"/>
        <v>255.64999999999998</v>
      </c>
      <c r="N77" s="151">
        <f t="shared" si="58"/>
        <v>766.94999999999993</v>
      </c>
      <c r="O77" s="151">
        <f t="shared" si="54"/>
        <v>9203.4</v>
      </c>
      <c r="P77" s="151">
        <f>ROUND(O77*'29_01_H_2020'!$O$17,2)</f>
        <v>2171.08</v>
      </c>
      <c r="Q77" s="380">
        <f t="shared" si="59"/>
        <v>11374.48</v>
      </c>
      <c r="R77" s="329"/>
      <c r="S77" s="431"/>
      <c r="T77" s="153"/>
      <c r="U77" s="153"/>
      <c r="V77" s="152"/>
      <c r="W77" s="152"/>
      <c r="X77" s="430"/>
      <c r="Y77" s="430"/>
      <c r="Z77" s="430"/>
      <c r="AA77" s="430"/>
      <c r="AB77" s="430"/>
      <c r="AC77" s="430"/>
      <c r="AD77" s="430"/>
      <c r="AE77" s="430"/>
      <c r="AF77" s="430"/>
      <c r="AG77" s="430"/>
      <c r="AH77" s="329"/>
      <c r="AI77" s="152"/>
      <c r="AJ77" s="152"/>
      <c r="AK77" s="430"/>
      <c r="AL77" s="430"/>
      <c r="AM77" s="430"/>
      <c r="AN77" s="430"/>
      <c r="AO77" s="430"/>
      <c r="AP77" s="430"/>
      <c r="AQ77" s="430"/>
      <c r="AR77" s="430"/>
      <c r="AS77" s="430"/>
      <c r="AT77" s="430"/>
      <c r="AU77" s="329"/>
      <c r="AV77" s="152"/>
      <c r="AW77" s="152"/>
      <c r="AX77" s="152"/>
      <c r="AY77" s="152"/>
      <c r="AZ77" s="152"/>
      <c r="BA77" s="152"/>
    </row>
    <row r="78" spans="1:53">
      <c r="A78" s="595" t="s">
        <v>43</v>
      </c>
      <c r="B78" s="7">
        <v>2</v>
      </c>
      <c r="C78" s="3" t="s">
        <v>42</v>
      </c>
      <c r="D78" s="258">
        <v>7</v>
      </c>
      <c r="E78" s="258">
        <v>3</v>
      </c>
      <c r="F78" s="289">
        <v>996</v>
      </c>
      <c r="G78" s="3">
        <v>996</v>
      </c>
      <c r="H78" s="3">
        <v>39.840000000000003</v>
      </c>
      <c r="I78" s="344">
        <v>1</v>
      </c>
      <c r="J78" s="379">
        <f>ROUND(G78*(1+'29_01_H_2020'!$O$10),2)</f>
        <v>1248.8800000000001</v>
      </c>
      <c r="K78" s="151">
        <f t="shared" si="56"/>
        <v>10.119999999999997</v>
      </c>
      <c r="L78" s="151">
        <f>ROUND(H78*(1+'29_01_H_2020'!$O$10),2)</f>
        <v>49.96</v>
      </c>
      <c r="M78" s="151">
        <f t="shared" si="57"/>
        <v>263.00000000000023</v>
      </c>
      <c r="N78" s="151">
        <f t="shared" si="58"/>
        <v>263.00000000000023</v>
      </c>
      <c r="O78" s="151">
        <f t="shared" si="54"/>
        <v>3156.0000000000027</v>
      </c>
      <c r="P78" s="151">
        <f>ROUND(O78*'29_01_H_2020'!$O$17,2)</f>
        <v>744.5</v>
      </c>
      <c r="Q78" s="380">
        <f t="shared" si="59"/>
        <v>3900.5000000000027</v>
      </c>
      <c r="R78" s="329"/>
      <c r="S78" s="431"/>
      <c r="T78" s="153"/>
      <c r="U78" s="153"/>
      <c r="V78" s="152"/>
      <c r="W78" s="152"/>
      <c r="X78" s="430"/>
      <c r="Y78" s="430"/>
      <c r="Z78" s="430"/>
      <c r="AA78" s="430"/>
      <c r="AB78" s="430"/>
      <c r="AC78" s="430"/>
      <c r="AD78" s="430"/>
      <c r="AE78" s="430"/>
      <c r="AF78" s="430"/>
      <c r="AG78" s="430"/>
      <c r="AH78" s="329"/>
      <c r="AI78" s="152"/>
      <c r="AJ78" s="152"/>
      <c r="AK78" s="430"/>
      <c r="AL78" s="430"/>
      <c r="AM78" s="430"/>
      <c r="AN78" s="430"/>
      <c r="AO78" s="430"/>
      <c r="AP78" s="430"/>
      <c r="AQ78" s="430"/>
      <c r="AR78" s="430"/>
      <c r="AS78" s="430"/>
      <c r="AT78" s="430"/>
      <c r="AU78" s="329"/>
      <c r="AV78" s="152"/>
      <c r="AW78" s="152"/>
      <c r="AX78" s="152"/>
      <c r="AY78" s="152"/>
      <c r="AZ78" s="152"/>
      <c r="BA78" s="152"/>
    </row>
    <row r="79" spans="1:53">
      <c r="A79" s="595" t="s">
        <v>44</v>
      </c>
      <c r="B79" s="7">
        <v>23</v>
      </c>
      <c r="C79" s="3" t="s">
        <v>45</v>
      </c>
      <c r="D79" s="258">
        <v>6</v>
      </c>
      <c r="E79" s="258">
        <v>3</v>
      </c>
      <c r="F79" s="289">
        <v>899</v>
      </c>
      <c r="G79" s="3">
        <v>899</v>
      </c>
      <c r="H79" s="3">
        <v>62.93</v>
      </c>
      <c r="I79" s="344">
        <v>1</v>
      </c>
      <c r="J79" s="379">
        <f>ROUND(G79*(1+'29_01_H_2020'!$O$10),2)</f>
        <v>1127.26</v>
      </c>
      <c r="K79" s="151">
        <f t="shared" si="56"/>
        <v>15.979999999999997</v>
      </c>
      <c r="L79" s="151">
        <f>ROUND(H79*(1+'29_01_H_2020'!$O$10),2)</f>
        <v>78.91</v>
      </c>
      <c r="M79" s="151">
        <f t="shared" si="57"/>
        <v>244.24000000000012</v>
      </c>
      <c r="N79" s="151">
        <f t="shared" si="58"/>
        <v>244.24000000000012</v>
      </c>
      <c r="O79" s="151">
        <f t="shared" si="54"/>
        <v>2930.8800000000015</v>
      </c>
      <c r="P79" s="151">
        <f>ROUND(O79*'29_01_H_2020'!$O$17,2)</f>
        <v>691.39</v>
      </c>
      <c r="Q79" s="380">
        <f t="shared" si="59"/>
        <v>3622.2700000000013</v>
      </c>
      <c r="R79" s="329"/>
      <c r="S79" s="431"/>
      <c r="T79" s="153"/>
      <c r="U79" s="153"/>
      <c r="V79" s="152"/>
      <c r="W79" s="152"/>
      <c r="X79" s="430"/>
      <c r="Y79" s="430"/>
      <c r="Z79" s="430"/>
      <c r="AA79" s="430"/>
      <c r="AB79" s="430"/>
      <c r="AC79" s="430"/>
      <c r="AD79" s="430"/>
      <c r="AE79" s="430"/>
      <c r="AF79" s="430"/>
      <c r="AG79" s="430"/>
      <c r="AH79" s="329"/>
      <c r="AI79" s="152"/>
      <c r="AJ79" s="152"/>
      <c r="AK79" s="430"/>
      <c r="AL79" s="430"/>
      <c r="AM79" s="430"/>
      <c r="AN79" s="430"/>
      <c r="AO79" s="430"/>
      <c r="AP79" s="430"/>
      <c r="AQ79" s="430"/>
      <c r="AR79" s="430"/>
      <c r="AS79" s="430"/>
      <c r="AT79" s="430"/>
      <c r="AU79" s="329"/>
      <c r="AV79" s="152"/>
      <c r="AW79" s="152"/>
      <c r="AX79" s="152"/>
      <c r="AY79" s="152"/>
      <c r="AZ79" s="152"/>
      <c r="BA79" s="152"/>
    </row>
    <row r="80" spans="1:53">
      <c r="A80" s="595" t="s">
        <v>46</v>
      </c>
      <c r="B80" s="7">
        <v>41</v>
      </c>
      <c r="C80" s="3" t="s">
        <v>26</v>
      </c>
      <c r="D80" s="258">
        <v>7</v>
      </c>
      <c r="E80" s="258">
        <v>3</v>
      </c>
      <c r="F80" s="289">
        <v>996</v>
      </c>
      <c r="G80" s="3">
        <v>910</v>
      </c>
      <c r="H80" s="3">
        <v>45.5</v>
      </c>
      <c r="I80" s="344">
        <v>7</v>
      </c>
      <c r="J80" s="379">
        <f>ROUND(G80*(1+'29_01_H_2020'!$O$10),2)</f>
        <v>1141.05</v>
      </c>
      <c r="K80" s="151">
        <f t="shared" si="56"/>
        <v>11.549999999999997</v>
      </c>
      <c r="L80" s="151">
        <f>ROUND(H80*(1+'29_01_H_2020'!$O$10),2)</f>
        <v>57.05</v>
      </c>
      <c r="M80" s="151">
        <f t="shared" si="57"/>
        <v>242.59999999999991</v>
      </c>
      <c r="N80" s="151">
        <f t="shared" si="58"/>
        <v>1698.1999999999994</v>
      </c>
      <c r="O80" s="151">
        <f t="shared" si="54"/>
        <v>20378.399999999994</v>
      </c>
      <c r="P80" s="151">
        <f>ROUND(O80*'29_01_H_2020'!$O$17,2)</f>
        <v>4807.26</v>
      </c>
      <c r="Q80" s="380">
        <f t="shared" si="59"/>
        <v>25185.659999999996</v>
      </c>
      <c r="R80" s="329"/>
      <c r="S80" s="431"/>
      <c r="T80" s="153"/>
      <c r="U80" s="153"/>
      <c r="V80" s="152"/>
      <c r="W80" s="152"/>
      <c r="X80" s="430"/>
      <c r="Y80" s="430"/>
      <c r="Z80" s="430"/>
      <c r="AA80" s="430"/>
      <c r="AB80" s="430"/>
      <c r="AC80" s="430"/>
      <c r="AD80" s="430"/>
      <c r="AE80" s="430"/>
      <c r="AF80" s="430"/>
      <c r="AG80" s="430"/>
      <c r="AH80" s="329"/>
      <c r="AI80" s="152"/>
      <c r="AJ80" s="152"/>
      <c r="AK80" s="430"/>
      <c r="AL80" s="430"/>
      <c r="AM80" s="430"/>
      <c r="AN80" s="430"/>
      <c r="AO80" s="430"/>
      <c r="AP80" s="430"/>
      <c r="AQ80" s="430"/>
      <c r="AR80" s="430"/>
      <c r="AS80" s="430"/>
      <c r="AT80" s="430"/>
      <c r="AU80" s="329"/>
      <c r="AV80" s="152"/>
      <c r="AW80" s="152"/>
      <c r="AX80" s="152"/>
      <c r="AY80" s="152"/>
      <c r="AZ80" s="152"/>
      <c r="BA80" s="152"/>
    </row>
    <row r="81" spans="1:53">
      <c r="A81" s="11" t="s">
        <v>55</v>
      </c>
      <c r="B81" s="8" t="s">
        <v>52</v>
      </c>
      <c r="C81" s="9" t="s">
        <v>52</v>
      </c>
      <c r="D81" s="9" t="s">
        <v>52</v>
      </c>
      <c r="E81" s="9" t="s">
        <v>52</v>
      </c>
      <c r="F81" s="10" t="s">
        <v>52</v>
      </c>
      <c r="G81" s="10" t="s">
        <v>52</v>
      </c>
      <c r="H81" s="10" t="s">
        <v>52</v>
      </c>
      <c r="I81" s="313">
        <f>SUM(I67:I80)</f>
        <v>77</v>
      </c>
      <c r="J81" s="404"/>
      <c r="K81" s="405"/>
      <c r="L81" s="405"/>
      <c r="M81" s="405"/>
      <c r="N81" s="405"/>
      <c r="O81" s="405"/>
      <c r="P81" s="405"/>
      <c r="Q81" s="406"/>
      <c r="R81" s="152"/>
      <c r="S81" s="152"/>
      <c r="T81" s="152"/>
      <c r="U81" s="152"/>
      <c r="V81" s="152"/>
      <c r="W81" s="152"/>
      <c r="X81" s="152"/>
      <c r="Y81" s="152"/>
      <c r="Z81" s="152"/>
      <c r="AA81" s="152"/>
      <c r="AB81" s="152"/>
      <c r="AC81" s="152"/>
      <c r="AD81" s="152"/>
      <c r="AE81" s="152"/>
      <c r="AF81" s="152"/>
      <c r="AG81" s="152"/>
      <c r="AH81" s="152"/>
      <c r="AI81" s="152"/>
      <c r="AJ81" s="152"/>
      <c r="AK81" s="152"/>
      <c r="AL81" s="152"/>
      <c r="AM81" s="152"/>
      <c r="AN81" s="152"/>
      <c r="AO81" s="152"/>
      <c r="AP81" s="152"/>
      <c r="AQ81" s="152"/>
      <c r="AR81" s="152"/>
      <c r="AS81" s="152"/>
      <c r="AT81" s="152"/>
      <c r="AU81" s="152"/>
      <c r="AV81" s="152"/>
      <c r="AW81" s="152"/>
      <c r="AX81" s="152"/>
      <c r="AY81" s="152"/>
      <c r="AZ81" s="152"/>
      <c r="BA81" s="152"/>
    </row>
    <row r="82" spans="1:53">
      <c r="A82" s="1163" t="s">
        <v>47</v>
      </c>
      <c r="B82" s="1164"/>
      <c r="C82" s="1164"/>
      <c r="D82" s="1164"/>
      <c r="E82" s="1164"/>
      <c r="F82" s="1164"/>
      <c r="G82" s="1164"/>
      <c r="H82" s="1164"/>
      <c r="I82" s="1164"/>
      <c r="J82" s="385"/>
      <c r="K82" s="383"/>
      <c r="L82" s="383"/>
      <c r="M82" s="383"/>
      <c r="N82" s="383"/>
      <c r="O82" s="383"/>
      <c r="P82" s="383"/>
      <c r="Q82" s="386"/>
      <c r="R82" s="152"/>
      <c r="S82" s="152"/>
      <c r="T82" s="152"/>
      <c r="U82" s="152"/>
      <c r="V82" s="152"/>
      <c r="W82" s="152"/>
      <c r="X82" s="152"/>
      <c r="Y82" s="152"/>
      <c r="Z82" s="152"/>
      <c r="AA82" s="152"/>
      <c r="AB82" s="152"/>
      <c r="AC82" s="152"/>
      <c r="AD82" s="152"/>
      <c r="AE82" s="152"/>
      <c r="AF82" s="152"/>
      <c r="AG82" s="152"/>
      <c r="AH82" s="152"/>
      <c r="AI82" s="152"/>
      <c r="AJ82" s="152"/>
      <c r="AK82" s="152"/>
      <c r="AL82" s="152"/>
      <c r="AM82" s="152"/>
      <c r="AN82" s="152"/>
      <c r="AO82" s="152"/>
      <c r="AP82" s="152"/>
      <c r="AQ82" s="152"/>
      <c r="AR82" s="152"/>
      <c r="AS82" s="152"/>
      <c r="AT82" s="152"/>
      <c r="AU82" s="152"/>
      <c r="AV82" s="152"/>
      <c r="AW82" s="152"/>
      <c r="AX82" s="152"/>
      <c r="AY82" s="152"/>
      <c r="AZ82" s="152"/>
      <c r="BA82" s="152"/>
    </row>
    <row r="83" spans="1:53">
      <c r="A83" s="5" t="s">
        <v>48</v>
      </c>
      <c r="B83" s="7" t="s">
        <v>23</v>
      </c>
      <c r="C83" s="3" t="s">
        <v>49</v>
      </c>
      <c r="D83" s="258">
        <v>5</v>
      </c>
      <c r="E83" s="258">
        <v>3</v>
      </c>
      <c r="F83" s="289">
        <v>802</v>
      </c>
      <c r="G83" s="3">
        <v>802</v>
      </c>
      <c r="H83" s="3">
        <v>96.24</v>
      </c>
      <c r="I83" s="344">
        <v>13.5</v>
      </c>
      <c r="J83" s="379">
        <f>ROUND(G83*(1+'29_01_H_2020'!$O$14),2)</f>
        <v>1005.63</v>
      </c>
      <c r="K83" s="151">
        <f t="shared" ref="K83" si="60">L83-H83</f>
        <v>24.440000000000012</v>
      </c>
      <c r="L83" s="151">
        <f>ROUND(H83*(1+'29_01_H_2020'!$O$14),2)</f>
        <v>120.68</v>
      </c>
      <c r="M83" s="151">
        <f t="shared" ref="M83" si="61">(J83+L83)-(G83+H83)</f>
        <v>228.06999999999994</v>
      </c>
      <c r="N83" s="151">
        <f t="shared" ref="N83" si="62">M83*I83</f>
        <v>3078.9449999999993</v>
      </c>
      <c r="O83" s="151">
        <f t="shared" ref="O83:O85" si="63">N83*12</f>
        <v>36947.339999999989</v>
      </c>
      <c r="P83" s="151">
        <f>ROUND(O83*'29_01_H_2020'!$O$17,2)</f>
        <v>8715.8799999999992</v>
      </c>
      <c r="Q83" s="380">
        <f t="shared" ref="Q83" si="64">SUM(O83:P83)</f>
        <v>45663.219999999987</v>
      </c>
      <c r="R83" s="329"/>
      <c r="S83" s="431"/>
      <c r="T83" s="153"/>
      <c r="U83" s="153"/>
      <c r="V83" s="152"/>
      <c r="W83" s="152"/>
      <c r="X83" s="430"/>
      <c r="Y83" s="430"/>
      <c r="Z83" s="430"/>
      <c r="AA83" s="430"/>
      <c r="AB83" s="430"/>
      <c r="AC83" s="430"/>
      <c r="AD83" s="430"/>
      <c r="AE83" s="430"/>
      <c r="AF83" s="430"/>
      <c r="AG83" s="430"/>
      <c r="AH83" s="329"/>
      <c r="AI83" s="152"/>
      <c r="AJ83" s="152"/>
      <c r="AK83" s="430"/>
      <c r="AL83" s="430"/>
      <c r="AM83" s="430"/>
      <c r="AN83" s="430"/>
      <c r="AO83" s="430"/>
      <c r="AP83" s="430"/>
      <c r="AQ83" s="430"/>
      <c r="AR83" s="430"/>
      <c r="AS83" s="430"/>
      <c r="AT83" s="430"/>
      <c r="AU83" s="329"/>
      <c r="AV83" s="152"/>
      <c r="AW83" s="152"/>
      <c r="AX83" s="152"/>
      <c r="AY83" s="152"/>
      <c r="AZ83" s="152"/>
      <c r="BA83" s="152"/>
    </row>
    <row r="84" spans="1:53">
      <c r="A84" s="5" t="s">
        <v>50</v>
      </c>
      <c r="B84" s="7">
        <v>23</v>
      </c>
      <c r="C84" s="3" t="s">
        <v>35</v>
      </c>
      <c r="D84" s="258">
        <v>4</v>
      </c>
      <c r="E84" s="258">
        <v>3</v>
      </c>
      <c r="F84" s="289">
        <v>705</v>
      </c>
      <c r="G84" s="3">
        <v>705</v>
      </c>
      <c r="H84" s="3">
        <v>49.35</v>
      </c>
      <c r="I84" s="344">
        <v>13</v>
      </c>
      <c r="J84" s="379">
        <f>ROUND(G84*(1+'29_01_H_2020'!$O$14),2)</f>
        <v>884</v>
      </c>
      <c r="K84" s="151">
        <f t="shared" ref="K84:K85" si="65">L84-H84</f>
        <v>12.530000000000001</v>
      </c>
      <c r="L84" s="151">
        <f>ROUND(H84*(1+'29_01_H_2020'!$O$14),2)</f>
        <v>61.88</v>
      </c>
      <c r="M84" s="151">
        <f t="shared" ref="M84:M85" si="66">(J84+L84)-(G84+H84)</f>
        <v>191.52999999999997</v>
      </c>
      <c r="N84" s="151">
        <f t="shared" ref="N84:N85" si="67">M84*I84</f>
        <v>2489.8899999999994</v>
      </c>
      <c r="O84" s="151">
        <f t="shared" si="63"/>
        <v>29878.679999999993</v>
      </c>
      <c r="P84" s="151">
        <f>ROUND(O84*'29_01_H_2020'!$O$17,2)</f>
        <v>7048.38</v>
      </c>
      <c r="Q84" s="380">
        <f t="shared" ref="Q84:Q85" si="68">SUM(O84:P84)</f>
        <v>36927.05999999999</v>
      </c>
      <c r="R84" s="329"/>
      <c r="S84" s="431"/>
      <c r="T84" s="153"/>
      <c r="U84" s="153"/>
      <c r="V84" s="152"/>
      <c r="W84" s="152"/>
      <c r="X84" s="430"/>
      <c r="Y84" s="430"/>
      <c r="Z84" s="430"/>
      <c r="AA84" s="430"/>
      <c r="AB84" s="430"/>
      <c r="AC84" s="430"/>
      <c r="AD84" s="430"/>
      <c r="AE84" s="430"/>
      <c r="AF84" s="430"/>
      <c r="AG84" s="430"/>
      <c r="AH84" s="329"/>
      <c r="AI84" s="152"/>
      <c r="AJ84" s="152"/>
      <c r="AK84" s="430"/>
      <c r="AL84" s="430"/>
      <c r="AM84" s="430"/>
      <c r="AN84" s="430"/>
      <c r="AO84" s="430"/>
      <c r="AP84" s="430"/>
      <c r="AQ84" s="430"/>
      <c r="AR84" s="430"/>
      <c r="AS84" s="430"/>
      <c r="AT84" s="430"/>
      <c r="AU84" s="329"/>
      <c r="AV84" s="152"/>
      <c r="AW84" s="152"/>
      <c r="AX84" s="152"/>
      <c r="AY84" s="152"/>
      <c r="AZ84" s="152"/>
      <c r="BA84" s="152"/>
    </row>
    <row r="85" spans="1:53">
      <c r="A85" s="5" t="s">
        <v>51</v>
      </c>
      <c r="B85" s="7" t="s">
        <v>23</v>
      </c>
      <c r="C85" s="3" t="s">
        <v>37</v>
      </c>
      <c r="D85" s="258">
        <v>3</v>
      </c>
      <c r="E85" s="258">
        <v>3</v>
      </c>
      <c r="F85" s="289">
        <v>608</v>
      </c>
      <c r="G85" s="3">
        <v>608</v>
      </c>
      <c r="H85" s="3">
        <v>60.8</v>
      </c>
      <c r="I85" s="344">
        <v>13</v>
      </c>
      <c r="J85" s="379">
        <f>ROUND(G85*(1+'29_01_H_2020'!$O$14),2)</f>
        <v>762.37</v>
      </c>
      <c r="K85" s="151">
        <f t="shared" si="65"/>
        <v>15.439999999999998</v>
      </c>
      <c r="L85" s="151">
        <f>ROUND(H85*(1+'29_01_H_2020'!$O$14),2)</f>
        <v>76.239999999999995</v>
      </c>
      <c r="M85" s="151">
        <f t="shared" si="66"/>
        <v>169.81000000000006</v>
      </c>
      <c r="N85" s="151">
        <f t="shared" si="67"/>
        <v>2207.5300000000007</v>
      </c>
      <c r="O85" s="151">
        <f t="shared" si="63"/>
        <v>26490.360000000008</v>
      </c>
      <c r="P85" s="151">
        <f>ROUND(O85*'29_01_H_2020'!$O$17,2)</f>
        <v>6249.08</v>
      </c>
      <c r="Q85" s="380">
        <f t="shared" si="68"/>
        <v>32739.44000000001</v>
      </c>
      <c r="R85" s="329"/>
      <c r="S85" s="431"/>
      <c r="T85" s="153"/>
      <c r="U85" s="153"/>
      <c r="V85" s="152"/>
      <c r="W85" s="152"/>
      <c r="X85" s="430"/>
      <c r="Y85" s="430"/>
      <c r="Z85" s="430"/>
      <c r="AA85" s="430"/>
      <c r="AB85" s="430"/>
      <c r="AC85" s="430"/>
      <c r="AD85" s="430"/>
      <c r="AE85" s="430"/>
      <c r="AF85" s="430"/>
      <c r="AG85" s="430"/>
      <c r="AH85" s="329"/>
      <c r="AI85" s="152"/>
      <c r="AJ85" s="152"/>
      <c r="AK85" s="430"/>
      <c r="AL85" s="430"/>
      <c r="AM85" s="430"/>
      <c r="AN85" s="430"/>
      <c r="AO85" s="430"/>
      <c r="AP85" s="430"/>
      <c r="AQ85" s="430"/>
      <c r="AR85" s="430"/>
      <c r="AS85" s="430"/>
      <c r="AT85" s="430"/>
      <c r="AU85" s="329"/>
      <c r="AV85" s="152"/>
      <c r="AW85" s="152"/>
      <c r="AX85" s="152"/>
      <c r="AY85" s="152"/>
      <c r="AZ85" s="152"/>
      <c r="BA85" s="152"/>
    </row>
    <row r="86" spans="1:53" ht="15.75" thickBot="1">
      <c r="A86" s="14" t="s">
        <v>55</v>
      </c>
      <c r="B86" s="15" t="s">
        <v>52</v>
      </c>
      <c r="C86" s="16" t="s">
        <v>52</v>
      </c>
      <c r="D86" s="16" t="s">
        <v>52</v>
      </c>
      <c r="E86" s="16" t="s">
        <v>52</v>
      </c>
      <c r="F86" s="17" t="s">
        <v>52</v>
      </c>
      <c r="G86" s="17" t="s">
        <v>52</v>
      </c>
      <c r="H86" s="17" t="s">
        <v>52</v>
      </c>
      <c r="I86" s="432">
        <f>SUM(I83:I85)</f>
        <v>39.5</v>
      </c>
      <c r="J86" s="420"/>
      <c r="K86" s="421"/>
      <c r="L86" s="421"/>
      <c r="M86" s="421"/>
      <c r="N86" s="421"/>
      <c r="O86" s="421"/>
      <c r="P86" s="421"/>
      <c r="Q86" s="422"/>
      <c r="R86" s="152"/>
      <c r="S86" s="152"/>
      <c r="T86" s="152"/>
      <c r="U86" s="152"/>
      <c r="V86" s="152"/>
      <c r="W86" s="152"/>
      <c r="X86" s="152"/>
      <c r="Y86" s="152"/>
      <c r="Z86" s="152"/>
      <c r="AA86" s="152"/>
      <c r="AB86" s="152"/>
      <c r="AC86" s="152"/>
      <c r="AD86" s="152"/>
      <c r="AE86" s="152"/>
      <c r="AF86" s="152"/>
      <c r="AG86" s="152"/>
      <c r="AH86" s="152"/>
      <c r="AI86" s="152"/>
      <c r="AJ86" s="152"/>
      <c r="AK86" s="152"/>
      <c r="AL86" s="152"/>
      <c r="AM86" s="152"/>
      <c r="AN86" s="152"/>
      <c r="AO86" s="152"/>
      <c r="AP86" s="152"/>
      <c r="AQ86" s="152"/>
      <c r="AR86" s="152"/>
      <c r="AS86" s="152"/>
      <c r="AT86" s="152"/>
      <c r="AU86" s="152"/>
      <c r="AV86" s="152"/>
      <c r="AW86" s="152"/>
      <c r="AX86" s="152"/>
      <c r="AY86" s="152"/>
      <c r="AZ86" s="152"/>
      <c r="BA86" s="152"/>
    </row>
    <row r="87" spans="1:53" ht="15.75" thickBot="1">
      <c r="A87" s="18" t="s">
        <v>57</v>
      </c>
      <c r="B87" s="19"/>
      <c r="C87" s="19"/>
      <c r="D87" s="19"/>
      <c r="E87" s="19"/>
      <c r="F87" s="19"/>
      <c r="G87" s="19"/>
      <c r="H87" s="19"/>
      <c r="I87" s="433">
        <f>SUM(I65,I81,I86)</f>
        <v>137</v>
      </c>
      <c r="J87" s="424"/>
      <c r="K87" s="425"/>
      <c r="L87" s="425"/>
      <c r="M87" s="425"/>
      <c r="N87" s="425"/>
      <c r="O87" s="425"/>
      <c r="P87" s="444"/>
      <c r="Q87" s="442">
        <f>SUM(Q55:Q64,Q67:Q80,Q83:Q85)</f>
        <v>566431.60000000009</v>
      </c>
      <c r="R87" s="152"/>
      <c r="S87" s="152"/>
      <c r="T87" s="152"/>
      <c r="U87" s="152"/>
      <c r="V87" s="152"/>
      <c r="W87" s="152"/>
      <c r="X87" s="152"/>
      <c r="Y87" s="152"/>
      <c r="Z87" s="152"/>
      <c r="AA87" s="152"/>
      <c r="AB87" s="152"/>
      <c r="AC87" s="152"/>
      <c r="AD87" s="152"/>
      <c r="AE87" s="152"/>
      <c r="AF87" s="152"/>
      <c r="AG87" s="152"/>
      <c r="AH87" s="152"/>
      <c r="AI87" s="152"/>
      <c r="AJ87" s="152"/>
      <c r="AK87" s="152"/>
      <c r="AL87" s="152"/>
      <c r="AM87" s="152"/>
      <c r="AN87" s="152"/>
      <c r="AO87" s="152"/>
      <c r="AP87" s="152"/>
      <c r="AQ87" s="152"/>
      <c r="AR87" s="152"/>
      <c r="AS87" s="152"/>
      <c r="AT87" s="152"/>
      <c r="AU87" s="152"/>
      <c r="AV87" s="152"/>
      <c r="AW87" s="152"/>
      <c r="AX87" s="152"/>
      <c r="AY87" s="152"/>
      <c r="AZ87" s="152"/>
      <c r="BA87" s="152"/>
    </row>
    <row r="88" spans="1:53" ht="15.75" thickBot="1">
      <c r="A88" s="12"/>
      <c r="B88" s="12"/>
      <c r="C88" s="12"/>
      <c r="D88" s="12"/>
      <c r="E88" s="12"/>
      <c r="F88" s="12"/>
      <c r="G88" s="12"/>
      <c r="H88" s="12"/>
      <c r="I88" s="13"/>
      <c r="J88" s="215"/>
      <c r="K88" s="418"/>
      <c r="L88" s="418"/>
      <c r="M88" s="418"/>
      <c r="N88" s="418"/>
      <c r="O88" s="418"/>
      <c r="P88" s="418"/>
      <c r="Q88" s="216"/>
      <c r="R88" s="152"/>
      <c r="S88" s="152"/>
      <c r="T88" s="152"/>
      <c r="U88" s="152"/>
      <c r="V88" s="152"/>
      <c r="W88" s="152"/>
      <c r="X88" s="152"/>
      <c r="Y88" s="152"/>
      <c r="Z88" s="152"/>
      <c r="AA88" s="152"/>
      <c r="AB88" s="152"/>
      <c r="AC88" s="152"/>
      <c r="AD88" s="152"/>
      <c r="AE88" s="152"/>
      <c r="AF88" s="152"/>
      <c r="AG88" s="152"/>
      <c r="AH88" s="152"/>
      <c r="AI88" s="152"/>
      <c r="AJ88" s="152"/>
      <c r="AK88" s="152"/>
      <c r="AL88" s="152"/>
      <c r="AM88" s="152"/>
      <c r="AN88" s="152"/>
      <c r="AO88" s="152"/>
      <c r="AP88" s="152"/>
      <c r="AQ88" s="152"/>
      <c r="AR88" s="152"/>
      <c r="AS88" s="152"/>
      <c r="AT88" s="152"/>
      <c r="AU88" s="152"/>
      <c r="AV88" s="152"/>
      <c r="AW88" s="152"/>
      <c r="AX88" s="152"/>
      <c r="AY88" s="152"/>
      <c r="AZ88" s="152"/>
      <c r="BA88" s="152"/>
    </row>
    <row r="89" spans="1:53">
      <c r="A89" s="1181" t="s">
        <v>53</v>
      </c>
      <c r="B89" s="1182"/>
      <c r="C89" s="1182"/>
      <c r="D89" s="1182"/>
      <c r="E89" s="1182"/>
      <c r="F89" s="1182"/>
      <c r="G89" s="1182"/>
      <c r="H89" s="1182"/>
      <c r="I89" s="1182"/>
      <c r="J89" s="409"/>
      <c r="K89" s="410"/>
      <c r="L89" s="410"/>
      <c r="M89" s="410"/>
      <c r="N89" s="410"/>
      <c r="O89" s="410"/>
      <c r="P89" s="410"/>
      <c r="Q89" s="411"/>
      <c r="R89" s="152"/>
      <c r="S89" s="152"/>
      <c r="T89" s="152"/>
      <c r="U89" s="152"/>
      <c r="V89" s="152"/>
      <c r="W89" s="152"/>
      <c r="X89" s="152"/>
      <c r="Y89" s="152"/>
      <c r="Z89" s="152"/>
      <c r="AA89" s="152"/>
      <c r="AB89" s="152"/>
      <c r="AC89" s="152"/>
      <c r="AD89" s="152"/>
      <c r="AE89" s="152"/>
      <c r="AF89" s="152"/>
      <c r="AG89" s="152"/>
      <c r="AH89" s="152"/>
      <c r="AI89" s="152"/>
      <c r="AJ89" s="152"/>
      <c r="AK89" s="152"/>
      <c r="AL89" s="152"/>
      <c r="AM89" s="152"/>
      <c r="AN89" s="152"/>
      <c r="AO89" s="152"/>
      <c r="AP89" s="152"/>
      <c r="AQ89" s="152"/>
      <c r="AR89" s="152"/>
      <c r="AS89" s="152"/>
      <c r="AT89" s="152"/>
      <c r="AU89" s="152"/>
      <c r="AV89" s="152"/>
      <c r="AW89" s="152"/>
      <c r="AX89" s="152"/>
      <c r="AY89" s="152"/>
      <c r="AZ89" s="152"/>
      <c r="BA89" s="152"/>
    </row>
    <row r="90" spans="1:53">
      <c r="A90" s="1176" t="s">
        <v>54</v>
      </c>
      <c r="B90" s="1177"/>
      <c r="C90" s="1177"/>
      <c r="D90" s="1177"/>
      <c r="E90" s="1177"/>
      <c r="F90" s="1177"/>
      <c r="G90" s="1177"/>
      <c r="H90" s="1177"/>
      <c r="I90" s="1177"/>
      <c r="J90" s="165"/>
      <c r="K90" s="176"/>
      <c r="L90" s="176"/>
      <c r="M90" s="176"/>
      <c r="N90" s="1180"/>
      <c r="O90" s="1180"/>
      <c r="P90" s="176"/>
      <c r="Q90" s="166"/>
      <c r="R90" s="152"/>
      <c r="S90" s="152"/>
      <c r="T90" s="152"/>
      <c r="U90" s="152"/>
      <c r="V90" s="152"/>
      <c r="W90" s="152"/>
      <c r="X90" s="152"/>
      <c r="Y90" s="152"/>
      <c r="Z90" s="152"/>
      <c r="AA90" s="152"/>
      <c r="AB90" s="152"/>
      <c r="AC90" s="152"/>
      <c r="AD90" s="152"/>
      <c r="AE90" s="152"/>
      <c r="AF90" s="152"/>
      <c r="AG90" s="152"/>
      <c r="AH90" s="152"/>
      <c r="AI90" s="152"/>
      <c r="AJ90" s="152"/>
      <c r="AK90" s="152"/>
      <c r="AL90" s="152"/>
      <c r="AM90" s="152"/>
      <c r="AN90" s="152"/>
      <c r="AO90" s="152"/>
      <c r="AP90" s="152"/>
      <c r="AQ90" s="152"/>
      <c r="AR90" s="152"/>
      <c r="AS90" s="152"/>
      <c r="AT90" s="152"/>
      <c r="AU90" s="152"/>
      <c r="AV90" s="152"/>
      <c r="AW90" s="152"/>
      <c r="AX90" s="152"/>
      <c r="AY90" s="152"/>
      <c r="AZ90" s="152"/>
      <c r="BA90" s="152"/>
    </row>
    <row r="91" spans="1:53">
      <c r="A91" s="1101" t="s">
        <v>11</v>
      </c>
      <c r="B91" s="1102"/>
      <c r="C91" s="1102"/>
      <c r="D91" s="1102"/>
      <c r="E91" s="1102"/>
      <c r="F91" s="1102"/>
      <c r="G91" s="1102"/>
      <c r="H91" s="1102"/>
      <c r="I91" s="1102"/>
      <c r="J91" s="385"/>
      <c r="K91" s="383"/>
      <c r="L91" s="383"/>
      <c r="M91" s="383"/>
      <c r="N91" s="383"/>
      <c r="O91" s="383"/>
      <c r="P91" s="383"/>
      <c r="Q91" s="386"/>
      <c r="R91" s="152"/>
      <c r="S91" s="152"/>
      <c r="T91" s="152"/>
      <c r="U91" s="152"/>
      <c r="V91" s="152"/>
      <c r="W91" s="152"/>
      <c r="X91" s="152"/>
      <c r="Y91" s="152"/>
      <c r="Z91" s="152"/>
      <c r="AA91" s="152"/>
      <c r="AB91" s="152"/>
      <c r="AC91" s="152"/>
      <c r="AD91" s="152"/>
      <c r="AE91" s="152"/>
      <c r="AF91" s="152"/>
      <c r="AG91" s="152"/>
      <c r="AH91" s="152"/>
      <c r="AI91" s="152"/>
      <c r="AJ91" s="152"/>
      <c r="AK91" s="152"/>
      <c r="AL91" s="152"/>
      <c r="AM91" s="152"/>
      <c r="AN91" s="152"/>
      <c r="AO91" s="152"/>
      <c r="AP91" s="152"/>
      <c r="AQ91" s="152"/>
      <c r="AR91" s="152"/>
      <c r="AS91" s="152"/>
      <c r="AT91" s="152"/>
      <c r="AU91" s="152"/>
      <c r="AV91" s="152"/>
      <c r="AW91" s="152"/>
      <c r="AX91" s="152"/>
      <c r="AY91" s="152"/>
      <c r="AZ91" s="152"/>
      <c r="BA91" s="152"/>
    </row>
    <row r="92" spans="1:53">
      <c r="A92" s="5" t="s">
        <v>25</v>
      </c>
      <c r="B92" s="2" t="s">
        <v>16</v>
      </c>
      <c r="C92" s="6" t="s">
        <v>26</v>
      </c>
      <c r="D92" s="257" t="s">
        <v>75</v>
      </c>
      <c r="E92" s="257" t="s">
        <v>69</v>
      </c>
      <c r="F92" s="289">
        <v>1287</v>
      </c>
      <c r="G92" s="3">
        <v>1415.7</v>
      </c>
      <c r="H92" s="3">
        <v>68.760000000000005</v>
      </c>
      <c r="I92" s="344">
        <v>4.75</v>
      </c>
      <c r="J92" s="379">
        <f>ROUND(G92*(1+'29_01_H_2020'!$O$14),2)</f>
        <v>1775.15</v>
      </c>
      <c r="K92" s="151">
        <f t="shared" ref="K92" si="69">L92-H92</f>
        <v>17.459999999999994</v>
      </c>
      <c r="L92" s="151">
        <f>ROUND(H92*(1+'29_01_H_2020'!$O$14),2)</f>
        <v>86.22</v>
      </c>
      <c r="M92" s="151">
        <f t="shared" ref="M92" si="70">(J92+L92)-(G92+H92)</f>
        <v>376.91000000000008</v>
      </c>
      <c r="N92" s="151">
        <f t="shared" ref="N92" si="71">M92*I92</f>
        <v>1790.3225000000004</v>
      </c>
      <c r="O92" s="151">
        <f t="shared" ref="O92" si="72">N92*12</f>
        <v>21483.870000000006</v>
      </c>
      <c r="P92" s="151">
        <f>ROUND(O92*'29_01_H_2020'!$O$17,2)</f>
        <v>5068.04</v>
      </c>
      <c r="Q92" s="380">
        <f t="shared" ref="Q92" si="73">SUM(O92:P92)</f>
        <v>26551.910000000007</v>
      </c>
      <c r="R92" s="329"/>
      <c r="S92" s="431"/>
      <c r="T92" s="153"/>
      <c r="U92" s="153"/>
      <c r="V92" s="152"/>
      <c r="W92" s="152"/>
      <c r="X92" s="430"/>
      <c r="Y92" s="430"/>
      <c r="Z92" s="430"/>
      <c r="AA92" s="430"/>
      <c r="AB92" s="430"/>
      <c r="AC92" s="430"/>
      <c r="AD92" s="430"/>
      <c r="AE92" s="430"/>
      <c r="AF92" s="430"/>
      <c r="AG92" s="430"/>
      <c r="AH92" s="329"/>
      <c r="AI92" s="152"/>
      <c r="AJ92" s="152"/>
      <c r="AK92" s="430"/>
      <c r="AL92" s="430"/>
      <c r="AM92" s="430"/>
      <c r="AN92" s="430"/>
      <c r="AO92" s="430"/>
      <c r="AP92" s="430"/>
      <c r="AQ92" s="430"/>
      <c r="AR92" s="430"/>
      <c r="AS92" s="430"/>
      <c r="AT92" s="430"/>
      <c r="AU92" s="329"/>
      <c r="AV92" s="152"/>
      <c r="AW92" s="152"/>
      <c r="AX92" s="152"/>
      <c r="AY92" s="152"/>
      <c r="AZ92" s="152"/>
      <c r="BA92" s="152"/>
    </row>
    <row r="93" spans="1:53">
      <c r="A93" s="11" t="s">
        <v>55</v>
      </c>
      <c r="B93" s="8" t="s">
        <v>52</v>
      </c>
      <c r="C93" s="9" t="s">
        <v>52</v>
      </c>
      <c r="D93" s="9" t="s">
        <v>52</v>
      </c>
      <c r="E93" s="9" t="s">
        <v>52</v>
      </c>
      <c r="F93" s="10" t="s">
        <v>52</v>
      </c>
      <c r="G93" s="10" t="s">
        <v>52</v>
      </c>
      <c r="H93" s="10" t="s">
        <v>52</v>
      </c>
      <c r="I93" s="313">
        <f>I92</f>
        <v>4.75</v>
      </c>
      <c r="J93" s="404"/>
      <c r="K93" s="405"/>
      <c r="L93" s="405"/>
      <c r="M93" s="405"/>
      <c r="N93" s="405"/>
      <c r="O93" s="405"/>
      <c r="P93" s="405"/>
      <c r="Q93" s="406"/>
      <c r="R93" s="152"/>
      <c r="S93" s="152"/>
      <c r="T93" s="152"/>
      <c r="U93" s="152"/>
      <c r="V93" s="152"/>
      <c r="W93" s="152"/>
      <c r="X93" s="152"/>
      <c r="Y93" s="152"/>
      <c r="Z93" s="152"/>
      <c r="AA93" s="152"/>
      <c r="AB93" s="152"/>
      <c r="AC93" s="152"/>
      <c r="AD93" s="152"/>
      <c r="AE93" s="152"/>
      <c r="AF93" s="152"/>
      <c r="AG93" s="152"/>
      <c r="AH93" s="152"/>
      <c r="AI93" s="152"/>
      <c r="AJ93" s="152"/>
      <c r="AK93" s="152"/>
      <c r="AL93" s="152"/>
      <c r="AM93" s="152"/>
      <c r="AN93" s="152"/>
      <c r="AO93" s="152"/>
      <c r="AP93" s="152"/>
      <c r="AQ93" s="152"/>
      <c r="AR93" s="152"/>
      <c r="AS93" s="152"/>
      <c r="AT93" s="152"/>
      <c r="AU93" s="152"/>
      <c r="AV93" s="152"/>
      <c r="AW93" s="152"/>
      <c r="AX93" s="152"/>
      <c r="AY93" s="152"/>
      <c r="AZ93" s="152"/>
      <c r="BA93" s="152"/>
    </row>
    <row r="94" spans="1:53">
      <c r="A94" s="1163" t="s">
        <v>28</v>
      </c>
      <c r="B94" s="1164"/>
      <c r="C94" s="1164"/>
      <c r="D94" s="1164"/>
      <c r="E94" s="1164"/>
      <c r="F94" s="1164"/>
      <c r="G94" s="1164"/>
      <c r="H94" s="1164"/>
      <c r="I94" s="1164"/>
      <c r="J94" s="385"/>
      <c r="K94" s="383"/>
      <c r="L94" s="383"/>
      <c r="M94" s="383"/>
      <c r="N94" s="383"/>
      <c r="O94" s="383"/>
      <c r="P94" s="383"/>
      <c r="Q94" s="386"/>
      <c r="R94" s="152"/>
      <c r="S94" s="152"/>
      <c r="T94" s="152"/>
      <c r="U94" s="152"/>
      <c r="V94" s="152"/>
      <c r="W94" s="152"/>
      <c r="X94" s="152"/>
      <c r="Y94" s="152"/>
      <c r="Z94" s="152"/>
      <c r="AA94" s="152"/>
      <c r="AB94" s="152"/>
      <c r="AC94" s="152"/>
      <c r="AD94" s="152"/>
      <c r="AE94" s="152"/>
      <c r="AF94" s="152"/>
      <c r="AG94" s="152"/>
      <c r="AH94" s="152"/>
      <c r="AI94" s="152"/>
      <c r="AJ94" s="152"/>
      <c r="AK94" s="152"/>
      <c r="AL94" s="152"/>
      <c r="AM94" s="152"/>
      <c r="AN94" s="152"/>
      <c r="AO94" s="152"/>
      <c r="AP94" s="152"/>
      <c r="AQ94" s="152"/>
      <c r="AR94" s="152"/>
      <c r="AS94" s="152"/>
      <c r="AT94" s="152"/>
      <c r="AU94" s="152"/>
      <c r="AV94" s="152"/>
      <c r="AW94" s="152"/>
      <c r="AX94" s="152"/>
      <c r="AY94" s="152"/>
      <c r="AZ94" s="152"/>
      <c r="BA94" s="152"/>
    </row>
    <row r="95" spans="1:53">
      <c r="A95" s="595" t="s">
        <v>38</v>
      </c>
      <c r="B95" s="7" t="s">
        <v>16</v>
      </c>
      <c r="C95" s="3" t="s">
        <v>37</v>
      </c>
      <c r="D95" s="258" t="s">
        <v>252</v>
      </c>
      <c r="E95" s="258" t="s">
        <v>69</v>
      </c>
      <c r="F95" s="289">
        <v>1093</v>
      </c>
      <c r="G95" s="3">
        <v>1185</v>
      </c>
      <c r="H95" s="3">
        <v>59</v>
      </c>
      <c r="I95" s="344">
        <v>1</v>
      </c>
      <c r="J95" s="379">
        <f>ROUND(G95*(1+'29_01_H_2020'!$O$10),2)</f>
        <v>1485.87</v>
      </c>
      <c r="K95" s="151">
        <f t="shared" ref="K95" si="74">L95-H95</f>
        <v>14.980000000000004</v>
      </c>
      <c r="L95" s="151">
        <f>ROUND(H95*(1+'29_01_H_2020'!$O$10),2)</f>
        <v>73.98</v>
      </c>
      <c r="M95" s="151">
        <f t="shared" ref="M95" si="75">(J95+L95)-(G95+H95)</f>
        <v>315.84999999999991</v>
      </c>
      <c r="N95" s="151">
        <f t="shared" ref="N95" si="76">M95*I95</f>
        <v>315.84999999999991</v>
      </c>
      <c r="O95" s="151">
        <f t="shared" ref="O95:O97" si="77">N95*12</f>
        <v>3790.1999999999989</v>
      </c>
      <c r="P95" s="151">
        <f>ROUND(O95*'29_01_H_2020'!$O$17,2)</f>
        <v>894.11</v>
      </c>
      <c r="Q95" s="380">
        <f t="shared" ref="Q95" si="78">SUM(O95:P95)</f>
        <v>4684.3099999999986</v>
      </c>
      <c r="R95" s="329"/>
      <c r="S95" s="431"/>
      <c r="T95" s="153"/>
      <c r="U95" s="153"/>
      <c r="V95" s="152"/>
      <c r="W95" s="152"/>
      <c r="X95" s="430"/>
      <c r="Y95" s="430"/>
      <c r="Z95" s="430"/>
      <c r="AA95" s="430"/>
      <c r="AB95" s="430"/>
      <c r="AC95" s="430"/>
      <c r="AD95" s="430"/>
      <c r="AE95" s="430"/>
      <c r="AF95" s="430"/>
      <c r="AG95" s="430"/>
      <c r="AH95" s="329"/>
      <c r="AI95" s="152"/>
      <c r="AJ95" s="152"/>
      <c r="AK95" s="152"/>
      <c r="AL95" s="152"/>
      <c r="AM95" s="152"/>
      <c r="AN95" s="152"/>
      <c r="AO95" s="152"/>
      <c r="AP95" s="152"/>
      <c r="AQ95" s="152"/>
      <c r="AR95" s="152"/>
      <c r="AS95" s="152"/>
      <c r="AT95" s="152"/>
      <c r="AU95" s="152"/>
      <c r="AV95" s="152"/>
      <c r="AW95" s="152"/>
      <c r="AX95" s="152"/>
      <c r="AY95" s="152"/>
      <c r="AZ95" s="152"/>
      <c r="BA95" s="152"/>
    </row>
    <row r="96" spans="1:53">
      <c r="A96" s="595" t="s">
        <v>40</v>
      </c>
      <c r="B96" s="2" t="s">
        <v>23</v>
      </c>
      <c r="C96" s="3" t="s">
        <v>26</v>
      </c>
      <c r="D96" s="258" t="s">
        <v>254</v>
      </c>
      <c r="E96" s="258" t="s">
        <v>69</v>
      </c>
      <c r="F96" s="289">
        <v>996</v>
      </c>
      <c r="G96" s="3">
        <v>916.3</v>
      </c>
      <c r="H96" s="3">
        <v>54.2</v>
      </c>
      <c r="I96" s="344">
        <v>15.5</v>
      </c>
      <c r="J96" s="379">
        <f>ROUND(G96*(1+'29_01_H_2020'!$O$10),2)</f>
        <v>1148.95</v>
      </c>
      <c r="K96" s="151">
        <f t="shared" ref="K96:K97" si="79">L96-H96</f>
        <v>13.759999999999991</v>
      </c>
      <c r="L96" s="151">
        <f>ROUND(H96*(1+'29_01_H_2020'!$O$10),2)</f>
        <v>67.959999999999994</v>
      </c>
      <c r="M96" s="151">
        <f t="shared" ref="M96:M97" si="80">(J96+L96)-(G96+H96)</f>
        <v>246.41000000000008</v>
      </c>
      <c r="N96" s="151">
        <f t="shared" ref="N96:N97" si="81">M96*I96</f>
        <v>3819.3550000000014</v>
      </c>
      <c r="O96" s="151">
        <f t="shared" si="77"/>
        <v>45832.260000000017</v>
      </c>
      <c r="P96" s="151">
        <f>ROUND(O96*'29_01_H_2020'!$O$17,2)</f>
        <v>10811.83</v>
      </c>
      <c r="Q96" s="380">
        <f t="shared" ref="Q96:Q97" si="82">SUM(O96:P96)</f>
        <v>56644.090000000018</v>
      </c>
      <c r="R96" s="329"/>
      <c r="S96" s="431"/>
      <c r="T96" s="153"/>
      <c r="U96" s="153"/>
      <c r="V96" s="152"/>
      <c r="W96" s="152"/>
      <c r="X96" s="430"/>
      <c r="Y96" s="430"/>
      <c r="Z96" s="430"/>
      <c r="AA96" s="430"/>
      <c r="AB96" s="430"/>
      <c r="AC96" s="430"/>
      <c r="AD96" s="430"/>
      <c r="AE96" s="430"/>
      <c r="AF96" s="430"/>
      <c r="AG96" s="430"/>
      <c r="AH96" s="329"/>
      <c r="AI96" s="152"/>
      <c r="AJ96" s="152"/>
      <c r="AK96" s="430"/>
      <c r="AL96" s="430"/>
      <c r="AM96" s="430"/>
      <c r="AN96" s="430"/>
      <c r="AO96" s="430"/>
      <c r="AP96" s="430"/>
      <c r="AQ96" s="430"/>
      <c r="AR96" s="430"/>
      <c r="AS96" s="430"/>
      <c r="AT96" s="430"/>
      <c r="AU96" s="329"/>
      <c r="AV96" s="152"/>
      <c r="AW96" s="152"/>
      <c r="AX96" s="152"/>
      <c r="AY96" s="152"/>
      <c r="AZ96" s="152"/>
      <c r="BA96" s="152"/>
    </row>
    <row r="97" spans="1:53">
      <c r="A97" s="595" t="s">
        <v>32</v>
      </c>
      <c r="B97" s="7" t="s">
        <v>23</v>
      </c>
      <c r="C97" s="3" t="s">
        <v>42</v>
      </c>
      <c r="D97" s="258" t="s">
        <v>256</v>
      </c>
      <c r="E97" s="258" t="s">
        <v>69</v>
      </c>
      <c r="F97" s="289">
        <v>899</v>
      </c>
      <c r="G97" s="3">
        <v>988.9</v>
      </c>
      <c r="H97" s="3">
        <v>38.97</v>
      </c>
      <c r="I97" s="344">
        <v>0.5</v>
      </c>
      <c r="J97" s="379">
        <f>ROUND(G97*(1+'29_01_H_2020'!$O$10),2)</f>
        <v>1239.98</v>
      </c>
      <c r="K97" s="151">
        <f t="shared" si="79"/>
        <v>9.89</v>
      </c>
      <c r="L97" s="151">
        <f>ROUND(H97*(1+'29_01_H_2020'!$O$10),2)</f>
        <v>48.86</v>
      </c>
      <c r="M97" s="151">
        <f t="shared" si="80"/>
        <v>260.97000000000003</v>
      </c>
      <c r="N97" s="151">
        <f t="shared" si="81"/>
        <v>130.48500000000001</v>
      </c>
      <c r="O97" s="151">
        <f t="shared" si="77"/>
        <v>1565.8200000000002</v>
      </c>
      <c r="P97" s="151">
        <f>ROUND(O97*'29_01_H_2020'!$O$17,2)</f>
        <v>369.38</v>
      </c>
      <c r="Q97" s="380">
        <f t="shared" si="82"/>
        <v>1935.2000000000003</v>
      </c>
      <c r="R97" s="329"/>
      <c r="S97" s="431"/>
      <c r="T97" s="153"/>
      <c r="U97" s="153"/>
      <c r="V97" s="152"/>
      <c r="W97" s="152"/>
      <c r="X97" s="430"/>
      <c r="Y97" s="430"/>
      <c r="Z97" s="430"/>
      <c r="AA97" s="430"/>
      <c r="AB97" s="430"/>
      <c r="AC97" s="430"/>
      <c r="AD97" s="430"/>
      <c r="AE97" s="430"/>
      <c r="AF97" s="430"/>
      <c r="AG97" s="430"/>
      <c r="AH97" s="329"/>
      <c r="AI97" s="152"/>
      <c r="AJ97" s="152"/>
      <c r="AK97" s="430"/>
      <c r="AL97" s="430"/>
      <c r="AM97" s="430"/>
      <c r="AN97" s="430"/>
      <c r="AO97" s="430"/>
      <c r="AP97" s="430"/>
      <c r="AQ97" s="430"/>
      <c r="AR97" s="430"/>
      <c r="AS97" s="430"/>
      <c r="AT97" s="430"/>
      <c r="AU97" s="329"/>
      <c r="AV97" s="152"/>
      <c r="AW97" s="152"/>
      <c r="AX97" s="152"/>
      <c r="AY97" s="152"/>
      <c r="AZ97" s="152"/>
      <c r="BA97" s="152"/>
    </row>
    <row r="98" spans="1:53">
      <c r="A98" s="11" t="s">
        <v>55</v>
      </c>
      <c r="B98" s="8" t="s">
        <v>52</v>
      </c>
      <c r="C98" s="9" t="s">
        <v>52</v>
      </c>
      <c r="D98" s="9" t="s">
        <v>52</v>
      </c>
      <c r="E98" s="9" t="s">
        <v>52</v>
      </c>
      <c r="F98" s="10" t="s">
        <v>52</v>
      </c>
      <c r="G98" s="10" t="s">
        <v>52</v>
      </c>
      <c r="H98" s="10" t="s">
        <v>52</v>
      </c>
      <c r="I98" s="313">
        <f>SUM(I95:I97)</f>
        <v>17</v>
      </c>
      <c r="J98" s="404"/>
      <c r="K98" s="405"/>
      <c r="L98" s="405"/>
      <c r="M98" s="405"/>
      <c r="N98" s="405"/>
      <c r="O98" s="405"/>
      <c r="P98" s="405"/>
      <c r="Q98" s="406"/>
      <c r="R98" s="152"/>
      <c r="S98" s="152"/>
      <c r="T98" s="152"/>
      <c r="U98" s="152"/>
      <c r="V98" s="152"/>
      <c r="W98" s="152"/>
      <c r="X98" s="152"/>
      <c r="Y98" s="152"/>
      <c r="Z98" s="152"/>
      <c r="AA98" s="152"/>
      <c r="AB98" s="152"/>
      <c r="AC98" s="152"/>
      <c r="AD98" s="152"/>
      <c r="AE98" s="152"/>
      <c r="AF98" s="152"/>
      <c r="AG98" s="152"/>
      <c r="AH98" s="152"/>
      <c r="AI98" s="152"/>
      <c r="AJ98" s="152"/>
      <c r="AK98" s="152"/>
      <c r="AL98" s="152"/>
      <c r="AM98" s="152"/>
      <c r="AN98" s="152"/>
      <c r="AO98" s="152"/>
      <c r="AP98" s="152"/>
      <c r="AQ98" s="152"/>
      <c r="AR98" s="152"/>
      <c r="AS98" s="152"/>
      <c r="AT98" s="152"/>
      <c r="AU98" s="152"/>
      <c r="AV98" s="152"/>
      <c r="AW98" s="152"/>
      <c r="AX98" s="152"/>
      <c r="AY98" s="152"/>
      <c r="AZ98" s="152"/>
      <c r="BA98" s="152"/>
    </row>
    <row r="99" spans="1:53">
      <c r="A99" s="1163" t="s">
        <v>47</v>
      </c>
      <c r="B99" s="1164"/>
      <c r="C99" s="1164"/>
      <c r="D99" s="1164"/>
      <c r="E99" s="1164"/>
      <c r="F99" s="1164"/>
      <c r="G99" s="1164"/>
      <c r="H99" s="1164"/>
      <c r="I99" s="1164"/>
      <c r="J99" s="385"/>
      <c r="K99" s="383"/>
      <c r="L99" s="383"/>
      <c r="M99" s="383"/>
      <c r="N99" s="383"/>
      <c r="O99" s="383"/>
      <c r="P99" s="383"/>
      <c r="Q99" s="386"/>
      <c r="R99" s="152"/>
      <c r="S99" s="152"/>
      <c r="T99" s="152"/>
      <c r="U99" s="152"/>
      <c r="V99" s="152"/>
      <c r="W99" s="152"/>
      <c r="X99" s="152"/>
      <c r="Y99" s="152"/>
      <c r="Z99" s="152"/>
      <c r="AA99" s="152"/>
      <c r="AB99" s="152"/>
      <c r="AC99" s="152"/>
      <c r="AD99" s="152"/>
      <c r="AE99" s="152"/>
      <c r="AF99" s="152"/>
      <c r="AG99" s="152"/>
      <c r="AH99" s="152"/>
      <c r="AI99" s="152"/>
      <c r="AJ99" s="152"/>
      <c r="AK99" s="152"/>
      <c r="AL99" s="152"/>
      <c r="AM99" s="152"/>
      <c r="AN99" s="152"/>
      <c r="AO99" s="152"/>
      <c r="AP99" s="152"/>
      <c r="AQ99" s="152"/>
      <c r="AR99" s="152"/>
      <c r="AS99" s="152"/>
      <c r="AT99" s="152"/>
      <c r="AU99" s="152"/>
      <c r="AV99" s="152"/>
      <c r="AW99" s="152"/>
      <c r="AX99" s="152"/>
      <c r="AY99" s="152"/>
      <c r="AZ99" s="152"/>
      <c r="BA99" s="152"/>
    </row>
    <row r="100" spans="1:53">
      <c r="A100" s="5" t="s">
        <v>641</v>
      </c>
      <c r="B100" s="7" t="s">
        <v>376</v>
      </c>
      <c r="C100" s="3" t="s">
        <v>35</v>
      </c>
      <c r="D100" s="258" t="s">
        <v>642</v>
      </c>
      <c r="E100" s="258" t="s">
        <v>69</v>
      </c>
      <c r="F100" s="289">
        <v>705</v>
      </c>
      <c r="G100" s="3">
        <v>549</v>
      </c>
      <c r="H100" s="3">
        <v>0</v>
      </c>
      <c r="I100" s="344">
        <v>0.5</v>
      </c>
      <c r="J100" s="379">
        <f>ROUND(G100*(1+'29_01_H_2020'!$O$14),2)</f>
        <v>688.39</v>
      </c>
      <c r="K100" s="151">
        <f t="shared" ref="K100" si="83">L100-H100</f>
        <v>0</v>
      </c>
      <c r="L100" s="151">
        <f>ROUND(H100*(1+'29_01_H_2020'!$O$14),2)</f>
        <v>0</v>
      </c>
      <c r="M100" s="151">
        <f t="shared" ref="M100" si="84">(J100+L100)-(G100+H100)</f>
        <v>139.38999999999999</v>
      </c>
      <c r="N100" s="151">
        <f t="shared" ref="N100" si="85">M100*I100</f>
        <v>69.694999999999993</v>
      </c>
      <c r="O100" s="151">
        <f t="shared" ref="O100:O101" si="86">N100*12</f>
        <v>836.33999999999992</v>
      </c>
      <c r="P100" s="151">
        <f>ROUND(O100*'29_01_H_2020'!$O$17,2)</f>
        <v>197.29</v>
      </c>
      <c r="Q100" s="380">
        <f t="shared" ref="Q100" si="87">SUM(O100:P100)</f>
        <v>1033.6299999999999</v>
      </c>
      <c r="R100" s="329"/>
      <c r="S100" s="431"/>
      <c r="T100" s="153"/>
      <c r="U100" s="153"/>
      <c r="V100" s="152"/>
      <c r="W100" s="152"/>
      <c r="X100" s="430"/>
      <c r="Y100" s="430"/>
      <c r="Z100" s="430"/>
      <c r="AA100" s="430"/>
      <c r="AB100" s="430"/>
      <c r="AC100" s="430"/>
      <c r="AD100" s="430"/>
      <c r="AE100" s="430"/>
      <c r="AF100" s="430"/>
      <c r="AG100" s="430"/>
      <c r="AH100" s="329"/>
      <c r="AI100" s="152"/>
      <c r="AJ100" s="152"/>
      <c r="AK100" s="430"/>
      <c r="AL100" s="430"/>
      <c r="AM100" s="430"/>
      <c r="AN100" s="430"/>
      <c r="AO100" s="430"/>
      <c r="AP100" s="430"/>
      <c r="AQ100" s="430"/>
      <c r="AR100" s="430"/>
      <c r="AS100" s="430"/>
      <c r="AT100" s="430"/>
      <c r="AU100" s="329"/>
      <c r="AV100" s="152"/>
      <c r="AW100" s="152"/>
      <c r="AX100" s="152"/>
      <c r="AY100" s="152"/>
      <c r="AZ100" s="152"/>
      <c r="BA100" s="152"/>
    </row>
    <row r="101" spans="1:53">
      <c r="A101" s="5" t="s">
        <v>643</v>
      </c>
      <c r="B101" s="7" t="s">
        <v>23</v>
      </c>
      <c r="C101" s="3" t="s">
        <v>35</v>
      </c>
      <c r="D101" s="258" t="s">
        <v>147</v>
      </c>
      <c r="E101" s="258" t="s">
        <v>69</v>
      </c>
      <c r="F101" s="289">
        <v>802</v>
      </c>
      <c r="G101" s="3">
        <v>641.29999999999995</v>
      </c>
      <c r="H101" s="3">
        <v>5.81</v>
      </c>
      <c r="I101" s="344">
        <v>4</v>
      </c>
      <c r="J101" s="379">
        <f>ROUND(G101*(1+'29_01_H_2020'!$O$14),2)</f>
        <v>804.13</v>
      </c>
      <c r="K101" s="151">
        <f t="shared" ref="K101" si="88">L101-H101</f>
        <v>1.4800000000000004</v>
      </c>
      <c r="L101" s="151">
        <f>ROUND(H101*(1+'29_01_H_2020'!$O$14),2)</f>
        <v>7.29</v>
      </c>
      <c r="M101" s="151">
        <f t="shared" ref="M101" si="89">(J101+L101)-(G101+H101)</f>
        <v>164.31000000000006</v>
      </c>
      <c r="N101" s="151">
        <f t="shared" ref="N101" si="90">M101*I101</f>
        <v>657.24000000000024</v>
      </c>
      <c r="O101" s="151">
        <f t="shared" si="86"/>
        <v>7886.8800000000028</v>
      </c>
      <c r="P101" s="151">
        <f>ROUND(O101*'29_01_H_2020'!$O$17,2)</f>
        <v>1860.51</v>
      </c>
      <c r="Q101" s="380">
        <f t="shared" ref="Q101" si="91">SUM(O101:P101)</f>
        <v>9747.3900000000031</v>
      </c>
      <c r="R101" s="329"/>
      <c r="S101" s="431"/>
      <c r="T101" s="153"/>
      <c r="U101" s="153"/>
      <c r="V101" s="152"/>
      <c r="W101" s="152"/>
      <c r="X101" s="430"/>
      <c r="Y101" s="430"/>
      <c r="Z101" s="430"/>
      <c r="AA101" s="430"/>
      <c r="AB101" s="430"/>
      <c r="AC101" s="430"/>
      <c r="AD101" s="430"/>
      <c r="AE101" s="430"/>
      <c r="AF101" s="430"/>
      <c r="AG101" s="430"/>
      <c r="AH101" s="329"/>
      <c r="AI101" s="152"/>
      <c r="AJ101" s="152"/>
      <c r="AK101" s="430"/>
      <c r="AL101" s="430"/>
      <c r="AM101" s="430"/>
      <c r="AN101" s="430"/>
      <c r="AO101" s="430"/>
      <c r="AP101" s="430"/>
      <c r="AQ101" s="430"/>
      <c r="AR101" s="430"/>
      <c r="AS101" s="430"/>
      <c r="AT101" s="430"/>
      <c r="AU101" s="329"/>
      <c r="AV101" s="152"/>
      <c r="AW101" s="152"/>
      <c r="AX101" s="152"/>
      <c r="AY101" s="152"/>
      <c r="AZ101" s="152"/>
      <c r="BA101" s="152"/>
    </row>
    <row r="102" spans="1:53" ht="15.75" thickBot="1">
      <c r="A102" s="11" t="s">
        <v>55</v>
      </c>
      <c r="B102" s="8" t="s">
        <v>52</v>
      </c>
      <c r="C102" s="9" t="s">
        <v>52</v>
      </c>
      <c r="D102" s="9" t="s">
        <v>52</v>
      </c>
      <c r="E102" s="9" t="s">
        <v>52</v>
      </c>
      <c r="F102" s="10" t="s">
        <v>52</v>
      </c>
      <c r="G102" s="10" t="s">
        <v>52</v>
      </c>
      <c r="H102" s="10" t="s">
        <v>52</v>
      </c>
      <c r="I102" s="313">
        <f>SUM(I100:I101)</f>
        <v>4.5</v>
      </c>
      <c r="J102" s="420"/>
      <c r="K102" s="421"/>
      <c r="L102" s="421"/>
      <c r="M102" s="421"/>
      <c r="N102" s="421"/>
      <c r="O102" s="437"/>
      <c r="P102" s="437"/>
      <c r="Q102" s="438"/>
      <c r="R102" s="152"/>
      <c r="S102" s="152"/>
      <c r="T102" s="152"/>
      <c r="U102" s="152"/>
      <c r="V102" s="152"/>
      <c r="W102" s="152"/>
      <c r="X102" s="152"/>
      <c r="Y102" s="152"/>
      <c r="Z102" s="152"/>
      <c r="AA102" s="1162"/>
      <c r="AB102" s="1162"/>
      <c r="AC102" s="1162"/>
      <c r="AD102" s="1162"/>
      <c r="AE102" s="325"/>
      <c r="AF102" s="152"/>
      <c r="AG102" s="152"/>
      <c r="AH102" s="152"/>
      <c r="AI102" s="152"/>
      <c r="AJ102" s="152"/>
      <c r="AK102" s="152"/>
      <c r="AL102" s="152"/>
      <c r="AM102" s="152"/>
      <c r="AN102" s="1162"/>
      <c r="AO102" s="1162"/>
      <c r="AP102" s="1162"/>
      <c r="AQ102" s="1162"/>
      <c r="AR102" s="325"/>
      <c r="AS102" s="152"/>
      <c r="AT102" s="152"/>
      <c r="AU102" s="152"/>
      <c r="AV102" s="152"/>
      <c r="AW102" s="152"/>
      <c r="AX102" s="152"/>
      <c r="AY102" s="152"/>
      <c r="AZ102" s="152"/>
      <c r="BA102" s="152"/>
    </row>
    <row r="103" spans="1:53" ht="15.75" thickBot="1">
      <c r="A103" s="18" t="s">
        <v>57</v>
      </c>
      <c r="B103" s="19"/>
      <c r="C103" s="19"/>
      <c r="D103" s="19"/>
      <c r="E103" s="19"/>
      <c r="F103" s="19"/>
      <c r="G103" s="19"/>
      <c r="H103" s="19"/>
      <c r="I103" s="433">
        <f>SUM(I93,I98,I102)</f>
        <v>26.25</v>
      </c>
      <c r="J103" s="439"/>
      <c r="K103" s="440"/>
      <c r="L103" s="440"/>
      <c r="M103" s="440"/>
      <c r="N103" s="440"/>
      <c r="O103" s="441"/>
      <c r="P103" s="443"/>
      <c r="Q103" s="442">
        <f>ROUND(Q92+Q95+Q96+Q97+Q100+Q101,0)</f>
        <v>100597</v>
      </c>
      <c r="R103" s="152"/>
      <c r="S103" s="152"/>
      <c r="T103" s="152"/>
      <c r="U103" s="152"/>
      <c r="V103" s="152"/>
      <c r="W103" s="152"/>
      <c r="X103" s="152"/>
      <c r="Y103" s="152"/>
      <c r="Z103" s="152"/>
      <c r="AA103" s="1162"/>
      <c r="AB103" s="1162"/>
      <c r="AC103" s="1162"/>
      <c r="AD103" s="1162"/>
      <c r="AE103" s="325"/>
      <c r="AF103" s="152"/>
      <c r="AG103" s="152"/>
      <c r="AH103" s="152"/>
      <c r="AI103" s="152"/>
      <c r="AJ103" s="152"/>
      <c r="AK103" s="152"/>
      <c r="AL103" s="152"/>
      <c r="AM103" s="152"/>
      <c r="AN103" s="1162"/>
      <c r="AO103" s="1162"/>
      <c r="AP103" s="1162"/>
      <c r="AQ103" s="1162"/>
      <c r="AR103" s="325"/>
      <c r="AS103" s="152"/>
      <c r="AT103" s="152"/>
      <c r="AU103" s="152"/>
      <c r="AV103" s="152"/>
      <c r="AW103" s="152"/>
      <c r="AX103" s="152"/>
      <c r="AY103" s="152"/>
      <c r="AZ103" s="152"/>
      <c r="BA103" s="152"/>
    </row>
    <row r="104" spans="1:53" ht="15.75" thickBot="1">
      <c r="O104" s="147"/>
      <c r="P104" s="147"/>
      <c r="Q104" s="447">
        <f>SUM(Q87,Q103)</f>
        <v>667028.60000000009</v>
      </c>
      <c r="R104" s="152"/>
      <c r="S104" s="152"/>
      <c r="T104" s="325"/>
      <c r="U104" s="325"/>
      <c r="V104" s="152"/>
      <c r="W104" s="152"/>
      <c r="X104" s="152"/>
      <c r="Y104" s="152"/>
      <c r="Z104" s="152"/>
      <c r="AA104" s="152"/>
      <c r="AB104" s="152"/>
      <c r="AC104" s="152"/>
      <c r="AD104" s="152"/>
      <c r="AE104" s="325"/>
      <c r="AF104" s="325"/>
      <c r="AG104" s="325"/>
      <c r="AH104" s="152"/>
      <c r="AI104" s="152"/>
      <c r="AJ104" s="152"/>
      <c r="AK104" s="152"/>
      <c r="AL104" s="152"/>
      <c r="AM104" s="152"/>
      <c r="AN104" s="152"/>
      <c r="AO104" s="152"/>
      <c r="AP104" s="152"/>
      <c r="AQ104" s="152"/>
      <c r="AR104" s="325"/>
      <c r="AS104" s="325"/>
      <c r="AT104" s="325"/>
      <c r="AU104" s="152"/>
      <c r="AV104" s="152"/>
      <c r="AW104" s="152"/>
      <c r="AX104" s="152"/>
      <c r="AY104" s="152"/>
      <c r="AZ104" s="152"/>
      <c r="BA104" s="152"/>
    </row>
    <row r="105" spans="1:53">
      <c r="A105" s="1168" t="s">
        <v>58</v>
      </c>
      <c r="B105" s="1169"/>
      <c r="C105" s="1169"/>
      <c r="D105" s="1169"/>
      <c r="E105" s="1169"/>
      <c r="F105" s="1169"/>
      <c r="G105" s="1169"/>
      <c r="H105" s="1169"/>
      <c r="I105" s="1170"/>
      <c r="J105" s="434"/>
      <c r="K105" s="435"/>
      <c r="L105" s="435"/>
      <c r="M105" s="435"/>
      <c r="N105" s="450"/>
      <c r="O105" s="435"/>
      <c r="P105" s="435"/>
      <c r="Q105" s="451"/>
      <c r="R105" s="152"/>
      <c r="S105" s="152"/>
      <c r="T105" s="152"/>
      <c r="U105" s="326"/>
      <c r="V105" s="152"/>
      <c r="W105" s="152"/>
      <c r="X105" s="152"/>
      <c r="Y105" s="152"/>
      <c r="Z105" s="152"/>
      <c r="AA105" s="152"/>
      <c r="AB105" s="152"/>
      <c r="AC105" s="152"/>
      <c r="AD105" s="152"/>
      <c r="AE105" s="152"/>
      <c r="AF105" s="152"/>
      <c r="AG105" s="326"/>
      <c r="AH105" s="152"/>
      <c r="AI105" s="152"/>
      <c r="AJ105" s="152"/>
      <c r="AK105" s="152"/>
      <c r="AL105" s="152"/>
      <c r="AM105" s="152"/>
      <c r="AN105" s="152"/>
      <c r="AO105" s="152"/>
      <c r="AP105" s="152"/>
      <c r="AQ105" s="152"/>
      <c r="AR105" s="152"/>
      <c r="AS105" s="152"/>
      <c r="AT105" s="326"/>
      <c r="AU105" s="152"/>
      <c r="AV105" s="152"/>
      <c r="AW105" s="152"/>
      <c r="AX105" s="152"/>
      <c r="AY105" s="152"/>
      <c r="AZ105" s="152"/>
      <c r="BA105" s="152"/>
    </row>
    <row r="106" spans="1:53">
      <c r="A106" s="1165" t="s">
        <v>111</v>
      </c>
      <c r="B106" s="1166"/>
      <c r="C106" s="1166"/>
      <c r="D106" s="1166"/>
      <c r="E106" s="1166"/>
      <c r="F106" s="1166"/>
      <c r="G106" s="1166"/>
      <c r="H106" s="1166"/>
      <c r="I106" s="1167"/>
      <c r="J106" s="165"/>
      <c r="K106" s="176"/>
      <c r="L106" s="176"/>
      <c r="M106" s="176"/>
      <c r="N106" s="448"/>
      <c r="O106" s="176"/>
      <c r="P106" s="176"/>
      <c r="Q106" s="381"/>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row>
    <row r="107" spans="1:53">
      <c r="A107" s="1171" t="s">
        <v>11</v>
      </c>
      <c r="B107" s="1172"/>
      <c r="C107" s="1172"/>
      <c r="D107" s="1172"/>
      <c r="E107" s="1172"/>
      <c r="F107" s="1172"/>
      <c r="G107" s="1172"/>
      <c r="H107" s="1172"/>
      <c r="I107" s="1173"/>
      <c r="J107" s="385"/>
      <c r="K107" s="383"/>
      <c r="L107" s="383"/>
      <c r="M107" s="383"/>
      <c r="N107" s="449"/>
      <c r="O107" s="383"/>
      <c r="P107" s="383"/>
      <c r="Q107" s="4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row>
    <row r="108" spans="1:53">
      <c r="A108" s="20" t="s">
        <v>59</v>
      </c>
      <c r="B108" s="21" t="s">
        <v>60</v>
      </c>
      <c r="C108" s="21" t="s">
        <v>19</v>
      </c>
      <c r="D108" s="696">
        <v>12</v>
      </c>
      <c r="E108" s="696">
        <v>3</v>
      </c>
      <c r="F108" s="290">
        <v>1647</v>
      </c>
      <c r="G108" s="699">
        <v>1647</v>
      </c>
      <c r="H108" s="694"/>
      <c r="I108" s="701">
        <v>2.5</v>
      </c>
      <c r="J108" s="379">
        <f>ROUND(G108*(1+'29_01_H_2020'!$O$14),2)</f>
        <v>2065.17</v>
      </c>
      <c r="K108" s="151">
        <f t="shared" ref="K108" si="92">L108-H108</f>
        <v>0</v>
      </c>
      <c r="L108" s="151">
        <f>ROUND(H108*(1+'29_01_H_2020'!$O$14),2)</f>
        <v>0</v>
      </c>
      <c r="M108" s="151">
        <f t="shared" ref="M108" si="93">(J108+L108)-(G108+H108)</f>
        <v>418.17000000000007</v>
      </c>
      <c r="N108" s="151">
        <f t="shared" ref="N108" si="94">M108*I108</f>
        <v>1045.4250000000002</v>
      </c>
      <c r="O108" s="151">
        <f t="shared" ref="O108:O192" si="95">N108*12</f>
        <v>12545.100000000002</v>
      </c>
      <c r="P108" s="151">
        <f>ROUND(O108*'29_01_H_2020'!$O$17,2)</f>
        <v>2959.39</v>
      </c>
      <c r="Q108" s="380">
        <f t="shared" ref="Q108" si="96">SUM(O108:P108)</f>
        <v>15504.490000000002</v>
      </c>
      <c r="R108" s="329"/>
      <c r="S108" s="431"/>
      <c r="T108" s="153"/>
      <c r="U108" s="153"/>
      <c r="V108" s="152"/>
      <c r="W108" s="152"/>
      <c r="X108" s="430"/>
      <c r="Y108" s="430"/>
      <c r="Z108" s="430"/>
      <c r="AA108" s="430"/>
      <c r="AB108" s="430"/>
      <c r="AC108" s="430"/>
      <c r="AD108" s="430"/>
      <c r="AE108" s="430"/>
      <c r="AF108" s="430"/>
      <c r="AG108" s="430"/>
      <c r="AH108" s="329"/>
      <c r="AI108" s="152"/>
      <c r="AJ108" s="152"/>
      <c r="AK108" s="430"/>
      <c r="AL108" s="430"/>
      <c r="AM108" s="430"/>
      <c r="AN108" s="430"/>
      <c r="AO108" s="430"/>
      <c r="AP108" s="430"/>
      <c r="AQ108" s="430"/>
      <c r="AR108" s="430"/>
      <c r="AS108" s="430"/>
      <c r="AT108" s="430"/>
      <c r="AU108" s="329"/>
      <c r="AV108" s="152"/>
      <c r="AW108" s="152"/>
      <c r="AX108" s="152"/>
    </row>
    <row r="109" spans="1:53" s="333" customFormat="1">
      <c r="A109" s="20" t="s">
        <v>59</v>
      </c>
      <c r="B109" s="21" t="s">
        <v>60</v>
      </c>
      <c r="C109" s="21" t="s">
        <v>19</v>
      </c>
      <c r="D109" s="696">
        <v>12</v>
      </c>
      <c r="E109" s="696">
        <v>3</v>
      </c>
      <c r="F109" s="290">
        <v>1647</v>
      </c>
      <c r="G109" s="702">
        <v>1647</v>
      </c>
      <c r="H109" s="703">
        <f>1647*40%</f>
        <v>658.80000000000007</v>
      </c>
      <c r="I109" s="701">
        <v>2.5</v>
      </c>
      <c r="J109" s="379">
        <f>ROUND(G109*(1+'29_01_H_2020'!$O$14),2)</f>
        <v>2065.17</v>
      </c>
      <c r="K109" s="151">
        <f t="shared" ref="K109:K147" si="97">L109-H109</f>
        <v>167.26999999999998</v>
      </c>
      <c r="L109" s="151">
        <f>ROUND(H109*(1+'29_01_H_2020'!$O$14),2)</f>
        <v>826.07</v>
      </c>
      <c r="M109" s="151">
        <f t="shared" ref="M109:M147" si="98">(J109+L109)-(G109+H109)</f>
        <v>585.44000000000005</v>
      </c>
      <c r="N109" s="151">
        <f t="shared" ref="N109:N147" si="99">M109*I109</f>
        <v>1463.6000000000001</v>
      </c>
      <c r="O109" s="151">
        <f t="shared" ref="O109:O147" si="100">N109*12</f>
        <v>17563.2</v>
      </c>
      <c r="P109" s="151">
        <f>ROUND(O109*'29_01_H_2020'!$O$17,2)</f>
        <v>4143.16</v>
      </c>
      <c r="Q109" s="380">
        <f t="shared" ref="Q109:Q147" si="101">SUM(O109:P109)</f>
        <v>21706.36</v>
      </c>
      <c r="R109" s="329"/>
      <c r="S109" s="431"/>
      <c r="T109" s="153"/>
      <c r="U109" s="153"/>
      <c r="V109" s="152"/>
      <c r="W109" s="152"/>
      <c r="X109" s="430"/>
      <c r="Y109" s="430"/>
      <c r="Z109" s="430"/>
      <c r="AA109" s="430"/>
      <c r="AB109" s="430"/>
      <c r="AC109" s="430"/>
      <c r="AD109" s="430"/>
      <c r="AE109" s="430"/>
      <c r="AF109" s="430"/>
      <c r="AG109" s="430"/>
      <c r="AH109" s="329"/>
      <c r="AI109" s="152"/>
      <c r="AJ109" s="152"/>
      <c r="AK109" s="430"/>
      <c r="AL109" s="430"/>
      <c r="AM109" s="430"/>
      <c r="AN109" s="430"/>
      <c r="AO109" s="430"/>
      <c r="AP109" s="430"/>
      <c r="AQ109" s="430"/>
      <c r="AR109" s="430"/>
      <c r="AS109" s="430"/>
      <c r="AT109" s="430"/>
      <c r="AU109" s="329"/>
      <c r="AV109" s="152"/>
      <c r="AW109" s="152"/>
      <c r="AX109" s="152"/>
    </row>
    <row r="110" spans="1:53" s="333" customFormat="1">
      <c r="A110" s="20" t="s">
        <v>59</v>
      </c>
      <c r="B110" s="21" t="s">
        <v>60</v>
      </c>
      <c r="C110" s="21" t="s">
        <v>19</v>
      </c>
      <c r="D110" s="696">
        <v>12</v>
      </c>
      <c r="E110" s="696">
        <v>3</v>
      </c>
      <c r="F110" s="290">
        <v>1647</v>
      </c>
      <c r="G110" s="699">
        <v>1647</v>
      </c>
      <c r="H110" s="694">
        <f>1647*10%</f>
        <v>164.70000000000002</v>
      </c>
      <c r="I110" s="701">
        <v>1</v>
      </c>
      <c r="J110" s="379">
        <f>ROUND(G110*(1+'29_01_H_2020'!$O$14),2)</f>
        <v>2065.17</v>
      </c>
      <c r="K110" s="151">
        <f t="shared" si="97"/>
        <v>41.819999999999993</v>
      </c>
      <c r="L110" s="151">
        <f>ROUND(H110*(1+'29_01_H_2020'!$O$14),2)</f>
        <v>206.52</v>
      </c>
      <c r="M110" s="151">
        <f t="shared" si="98"/>
        <v>459.99</v>
      </c>
      <c r="N110" s="151">
        <f t="shared" si="99"/>
        <v>459.99</v>
      </c>
      <c r="O110" s="151">
        <f t="shared" si="100"/>
        <v>5519.88</v>
      </c>
      <c r="P110" s="151">
        <f>ROUND(O110*'29_01_H_2020'!$O$17,2)</f>
        <v>1302.1400000000001</v>
      </c>
      <c r="Q110" s="380">
        <f t="shared" si="101"/>
        <v>6822.02</v>
      </c>
      <c r="R110" s="329"/>
      <c r="S110" s="431"/>
      <c r="T110" s="153"/>
      <c r="U110" s="153"/>
      <c r="V110" s="152"/>
      <c r="W110" s="152"/>
      <c r="X110" s="430"/>
      <c r="Y110" s="430"/>
      <c r="Z110" s="430"/>
      <c r="AA110" s="430"/>
      <c r="AB110" s="430"/>
      <c r="AC110" s="430"/>
      <c r="AD110" s="430"/>
      <c r="AE110" s="430"/>
      <c r="AF110" s="430"/>
      <c r="AG110" s="430"/>
      <c r="AH110" s="329"/>
      <c r="AI110" s="152"/>
      <c r="AJ110" s="152"/>
      <c r="AK110" s="430"/>
      <c r="AL110" s="430"/>
      <c r="AM110" s="430"/>
      <c r="AN110" s="430"/>
      <c r="AO110" s="430"/>
      <c r="AP110" s="430"/>
      <c r="AQ110" s="430"/>
      <c r="AR110" s="430"/>
      <c r="AS110" s="430"/>
      <c r="AT110" s="430"/>
      <c r="AU110" s="329"/>
      <c r="AV110" s="152"/>
      <c r="AW110" s="152"/>
      <c r="AX110" s="152"/>
    </row>
    <row r="111" spans="1:53" s="333" customFormat="1">
      <c r="A111" s="20" t="s">
        <v>59</v>
      </c>
      <c r="B111" s="21" t="s">
        <v>60</v>
      </c>
      <c r="C111" s="21" t="s">
        <v>19</v>
      </c>
      <c r="D111" s="696">
        <v>12</v>
      </c>
      <c r="E111" s="696">
        <v>3</v>
      </c>
      <c r="F111" s="290">
        <v>1647</v>
      </c>
      <c r="G111" s="699">
        <v>1647</v>
      </c>
      <c r="H111" s="694">
        <f>1647*30%</f>
        <v>494.09999999999997</v>
      </c>
      <c r="I111" s="701">
        <v>1</v>
      </c>
      <c r="J111" s="379">
        <f>ROUND(G111*(1+'29_01_H_2020'!$O$14),2)</f>
        <v>2065.17</v>
      </c>
      <c r="K111" s="151">
        <f t="shared" si="97"/>
        <v>125.44999999999999</v>
      </c>
      <c r="L111" s="151">
        <f>ROUND(H111*(1+'29_01_H_2020'!$O$14),2)</f>
        <v>619.54999999999995</v>
      </c>
      <c r="M111" s="151">
        <f t="shared" si="98"/>
        <v>543.62000000000035</v>
      </c>
      <c r="N111" s="151">
        <f t="shared" si="99"/>
        <v>543.62000000000035</v>
      </c>
      <c r="O111" s="151">
        <f t="shared" si="100"/>
        <v>6523.4400000000041</v>
      </c>
      <c r="P111" s="151">
        <f>ROUND(O111*'29_01_H_2020'!$O$17,2)</f>
        <v>1538.88</v>
      </c>
      <c r="Q111" s="380">
        <f t="shared" si="101"/>
        <v>8062.3200000000043</v>
      </c>
      <c r="R111" s="329"/>
      <c r="S111" s="431"/>
      <c r="T111" s="153"/>
      <c r="U111" s="153"/>
      <c r="V111" s="152"/>
      <c r="W111" s="152"/>
      <c r="X111" s="430"/>
      <c r="Y111" s="430"/>
      <c r="Z111" s="430"/>
      <c r="AA111" s="430"/>
      <c r="AB111" s="430"/>
      <c r="AC111" s="430"/>
      <c r="AD111" s="430"/>
      <c r="AE111" s="430"/>
      <c r="AF111" s="430"/>
      <c r="AG111" s="430"/>
      <c r="AH111" s="329"/>
      <c r="AI111" s="152"/>
      <c r="AJ111" s="152"/>
      <c r="AK111" s="430"/>
      <c r="AL111" s="430"/>
      <c r="AM111" s="430"/>
      <c r="AN111" s="430"/>
      <c r="AO111" s="430"/>
      <c r="AP111" s="430"/>
      <c r="AQ111" s="430"/>
      <c r="AR111" s="430"/>
      <c r="AS111" s="430"/>
      <c r="AT111" s="430"/>
      <c r="AU111" s="329"/>
      <c r="AV111" s="152"/>
      <c r="AW111" s="152"/>
      <c r="AX111" s="152"/>
    </row>
    <row r="112" spans="1:53" s="333" customFormat="1">
      <c r="A112" s="20" t="s">
        <v>59</v>
      </c>
      <c r="B112" s="21" t="s">
        <v>60</v>
      </c>
      <c r="C112" s="21" t="s">
        <v>19</v>
      </c>
      <c r="D112" s="696">
        <v>12</v>
      </c>
      <c r="E112" s="696">
        <v>3</v>
      </c>
      <c r="F112" s="290">
        <v>1647</v>
      </c>
      <c r="G112" s="699">
        <v>1647</v>
      </c>
      <c r="H112" s="694">
        <f>1647*10%</f>
        <v>164.70000000000002</v>
      </c>
      <c r="I112" s="701">
        <v>1</v>
      </c>
      <c r="J112" s="379">
        <f>ROUND(G112*(1+'29_01_H_2020'!$O$14),2)</f>
        <v>2065.17</v>
      </c>
      <c r="K112" s="151">
        <f t="shared" si="97"/>
        <v>41.819999999999993</v>
      </c>
      <c r="L112" s="151">
        <f>ROUND(H112*(1+'29_01_H_2020'!$O$14),2)</f>
        <v>206.52</v>
      </c>
      <c r="M112" s="151">
        <f t="shared" si="98"/>
        <v>459.99</v>
      </c>
      <c r="N112" s="151">
        <f t="shared" si="99"/>
        <v>459.99</v>
      </c>
      <c r="O112" s="151">
        <f t="shared" si="100"/>
        <v>5519.88</v>
      </c>
      <c r="P112" s="151">
        <f>ROUND(O112*'29_01_H_2020'!$O$17,2)</f>
        <v>1302.1400000000001</v>
      </c>
      <c r="Q112" s="380">
        <f t="shared" si="101"/>
        <v>6822.02</v>
      </c>
      <c r="R112" s="329"/>
      <c r="S112" s="431"/>
      <c r="T112" s="153"/>
      <c r="U112" s="153"/>
      <c r="V112" s="152"/>
      <c r="W112" s="152"/>
      <c r="X112" s="430"/>
      <c r="Y112" s="430"/>
      <c r="Z112" s="430"/>
      <c r="AA112" s="430"/>
      <c r="AB112" s="430"/>
      <c r="AC112" s="430"/>
      <c r="AD112" s="430"/>
      <c r="AE112" s="430"/>
      <c r="AF112" s="430"/>
      <c r="AG112" s="430"/>
      <c r="AH112" s="329"/>
      <c r="AI112" s="152"/>
      <c r="AJ112" s="152"/>
      <c r="AK112" s="430"/>
      <c r="AL112" s="430"/>
      <c r="AM112" s="430"/>
      <c r="AN112" s="430"/>
      <c r="AO112" s="430"/>
      <c r="AP112" s="430"/>
      <c r="AQ112" s="430"/>
      <c r="AR112" s="430"/>
      <c r="AS112" s="430"/>
      <c r="AT112" s="430"/>
      <c r="AU112" s="329"/>
      <c r="AV112" s="152"/>
      <c r="AW112" s="152"/>
      <c r="AX112" s="152"/>
    </row>
    <row r="113" spans="1:50" s="333" customFormat="1">
      <c r="A113" s="20" t="s">
        <v>59</v>
      </c>
      <c r="B113" s="21" t="s">
        <v>60</v>
      </c>
      <c r="C113" s="21" t="s">
        <v>19</v>
      </c>
      <c r="D113" s="696">
        <v>12</v>
      </c>
      <c r="E113" s="696">
        <v>3</v>
      </c>
      <c r="F113" s="290">
        <v>1647</v>
      </c>
      <c r="G113" s="699">
        <v>1647</v>
      </c>
      <c r="H113" s="694">
        <f>G113*10%</f>
        <v>164.70000000000002</v>
      </c>
      <c r="I113" s="701">
        <v>1</v>
      </c>
      <c r="J113" s="379">
        <f>ROUND(G113*(1+'29_01_H_2020'!$O$14),2)</f>
        <v>2065.17</v>
      </c>
      <c r="K113" s="151">
        <f t="shared" si="97"/>
        <v>41.819999999999993</v>
      </c>
      <c r="L113" s="151">
        <f>ROUND(H113*(1+'29_01_H_2020'!$O$14),2)</f>
        <v>206.52</v>
      </c>
      <c r="M113" s="151">
        <f t="shared" si="98"/>
        <v>459.99</v>
      </c>
      <c r="N113" s="151">
        <f t="shared" si="99"/>
        <v>459.99</v>
      </c>
      <c r="O113" s="151">
        <f t="shared" si="100"/>
        <v>5519.88</v>
      </c>
      <c r="P113" s="151">
        <f>ROUND(O113*'29_01_H_2020'!$O$17,2)</f>
        <v>1302.1400000000001</v>
      </c>
      <c r="Q113" s="380">
        <f t="shared" si="101"/>
        <v>6822.02</v>
      </c>
      <c r="R113" s="329"/>
      <c r="S113" s="431"/>
      <c r="T113" s="153"/>
      <c r="U113" s="153"/>
      <c r="V113" s="152"/>
      <c r="W113" s="152"/>
      <c r="X113" s="430"/>
      <c r="Y113" s="430"/>
      <c r="Z113" s="430"/>
      <c r="AA113" s="430"/>
      <c r="AB113" s="430"/>
      <c r="AC113" s="430"/>
      <c r="AD113" s="430"/>
      <c r="AE113" s="430"/>
      <c r="AF113" s="430"/>
      <c r="AG113" s="430"/>
      <c r="AH113" s="329"/>
      <c r="AI113" s="152"/>
      <c r="AJ113" s="152"/>
      <c r="AK113" s="430"/>
      <c r="AL113" s="430"/>
      <c r="AM113" s="430"/>
      <c r="AN113" s="430"/>
      <c r="AO113" s="430"/>
      <c r="AP113" s="430"/>
      <c r="AQ113" s="430"/>
      <c r="AR113" s="430"/>
      <c r="AS113" s="430"/>
      <c r="AT113" s="430"/>
      <c r="AU113" s="329"/>
      <c r="AV113" s="152"/>
      <c r="AW113" s="152"/>
      <c r="AX113" s="152"/>
    </row>
    <row r="114" spans="1:50" s="333" customFormat="1">
      <c r="A114" s="352" t="s">
        <v>61</v>
      </c>
      <c r="B114" s="696" t="s">
        <v>60</v>
      </c>
      <c r="C114" s="696" t="s">
        <v>26</v>
      </c>
      <c r="D114" s="696">
        <v>10</v>
      </c>
      <c r="E114" s="696">
        <v>3</v>
      </c>
      <c r="F114" s="290">
        <v>1287</v>
      </c>
      <c r="G114" s="699">
        <v>1287</v>
      </c>
      <c r="H114" s="694"/>
      <c r="I114" s="697">
        <v>3.75</v>
      </c>
      <c r="J114" s="379">
        <f>ROUND(G114*(1+'29_01_H_2020'!$O$14),2)</f>
        <v>1613.77</v>
      </c>
      <c r="K114" s="151">
        <f t="shared" si="97"/>
        <v>0</v>
      </c>
      <c r="L114" s="151">
        <f>ROUND(H114*(1+'29_01_H_2020'!$O$14),2)</f>
        <v>0</v>
      </c>
      <c r="M114" s="151">
        <f t="shared" si="98"/>
        <v>326.77</v>
      </c>
      <c r="N114" s="151">
        <f t="shared" si="99"/>
        <v>1225.3874999999998</v>
      </c>
      <c r="O114" s="151">
        <f t="shared" si="100"/>
        <v>14704.649999999998</v>
      </c>
      <c r="P114" s="151">
        <f>ROUND(O114*'29_01_H_2020'!$O$17,2)</f>
        <v>3468.83</v>
      </c>
      <c r="Q114" s="380">
        <f t="shared" si="101"/>
        <v>18173.479999999996</v>
      </c>
      <c r="R114" s="329"/>
      <c r="S114" s="431"/>
      <c r="T114" s="153"/>
      <c r="U114" s="153"/>
      <c r="V114" s="152"/>
      <c r="W114" s="152"/>
      <c r="X114" s="430"/>
      <c r="Y114" s="430"/>
      <c r="Z114" s="430"/>
      <c r="AA114" s="430"/>
      <c r="AB114" s="430"/>
      <c r="AC114" s="430"/>
      <c r="AD114" s="430"/>
      <c r="AE114" s="430"/>
      <c r="AF114" s="430"/>
      <c r="AG114" s="430"/>
      <c r="AH114" s="329"/>
      <c r="AI114" s="152"/>
      <c r="AJ114" s="152"/>
      <c r="AK114" s="430"/>
      <c r="AL114" s="430"/>
      <c r="AM114" s="430"/>
      <c r="AN114" s="430"/>
      <c r="AO114" s="430"/>
      <c r="AP114" s="430"/>
      <c r="AQ114" s="430"/>
      <c r="AR114" s="430"/>
      <c r="AS114" s="430"/>
      <c r="AT114" s="430"/>
      <c r="AU114" s="329"/>
      <c r="AV114" s="152"/>
      <c r="AW114" s="152"/>
      <c r="AX114" s="152"/>
    </row>
    <row r="115" spans="1:50" s="333" customFormat="1">
      <c r="A115" s="39" t="s">
        <v>61</v>
      </c>
      <c r="B115" s="696" t="s">
        <v>60</v>
      </c>
      <c r="C115" s="696" t="s">
        <v>26</v>
      </c>
      <c r="D115" s="696">
        <v>10</v>
      </c>
      <c r="E115" s="696">
        <v>3</v>
      </c>
      <c r="F115" s="290">
        <v>1287</v>
      </c>
      <c r="G115" s="699">
        <v>1287</v>
      </c>
      <c r="H115" s="694">
        <f>1287*10%</f>
        <v>128.70000000000002</v>
      </c>
      <c r="I115" s="697">
        <v>1.75</v>
      </c>
      <c r="J115" s="379">
        <f>ROUND(G115*(1+'29_01_H_2020'!$O$14),2)</f>
        <v>1613.77</v>
      </c>
      <c r="K115" s="151">
        <f t="shared" si="97"/>
        <v>32.679999999999978</v>
      </c>
      <c r="L115" s="151">
        <f>ROUND(H115*(1+'29_01_H_2020'!$O$14),2)</f>
        <v>161.38</v>
      </c>
      <c r="M115" s="151">
        <f t="shared" si="98"/>
        <v>359.45000000000005</v>
      </c>
      <c r="N115" s="151">
        <f t="shared" si="99"/>
        <v>629.03750000000014</v>
      </c>
      <c r="O115" s="151">
        <f t="shared" si="100"/>
        <v>7548.4500000000016</v>
      </c>
      <c r="P115" s="151">
        <f>ROUND(O115*'29_01_H_2020'!$O$17,2)</f>
        <v>1780.68</v>
      </c>
      <c r="Q115" s="380">
        <f t="shared" si="101"/>
        <v>9329.130000000001</v>
      </c>
      <c r="R115" s="329"/>
      <c r="S115" s="431"/>
      <c r="T115" s="153"/>
      <c r="U115" s="153"/>
      <c r="V115" s="152"/>
      <c r="W115" s="152"/>
      <c r="X115" s="430"/>
      <c r="Y115" s="430"/>
      <c r="Z115" s="430"/>
      <c r="AA115" s="430"/>
      <c r="AB115" s="430"/>
      <c r="AC115" s="430"/>
      <c r="AD115" s="430"/>
      <c r="AE115" s="430"/>
      <c r="AF115" s="430"/>
      <c r="AG115" s="430"/>
      <c r="AH115" s="329"/>
      <c r="AI115" s="152"/>
      <c r="AJ115" s="152"/>
      <c r="AK115" s="430"/>
      <c r="AL115" s="430"/>
      <c r="AM115" s="430"/>
      <c r="AN115" s="430"/>
      <c r="AO115" s="430"/>
      <c r="AP115" s="430"/>
      <c r="AQ115" s="430"/>
      <c r="AR115" s="430"/>
      <c r="AS115" s="430"/>
      <c r="AT115" s="430"/>
      <c r="AU115" s="329"/>
      <c r="AV115" s="152"/>
      <c r="AW115" s="152"/>
      <c r="AX115" s="152"/>
    </row>
    <row r="116" spans="1:50" s="333" customFormat="1">
      <c r="A116" s="39" t="s">
        <v>61</v>
      </c>
      <c r="B116" s="696" t="s">
        <v>60</v>
      </c>
      <c r="C116" s="696" t="s">
        <v>26</v>
      </c>
      <c r="D116" s="696">
        <v>10</v>
      </c>
      <c r="E116" s="696">
        <v>3</v>
      </c>
      <c r="F116" s="290">
        <v>1287</v>
      </c>
      <c r="G116" s="699">
        <v>1287</v>
      </c>
      <c r="H116" s="694">
        <f>1287*40%</f>
        <v>514.80000000000007</v>
      </c>
      <c r="I116" s="697">
        <v>0.5</v>
      </c>
      <c r="J116" s="379">
        <f>ROUND(G116*(1+'29_01_H_2020'!$O$14),2)</f>
        <v>1613.77</v>
      </c>
      <c r="K116" s="151">
        <f t="shared" si="97"/>
        <v>130.70999999999992</v>
      </c>
      <c r="L116" s="151">
        <f>ROUND(H116*(1+'29_01_H_2020'!$O$14),2)</f>
        <v>645.51</v>
      </c>
      <c r="M116" s="151">
        <f t="shared" si="98"/>
        <v>457.47999999999956</v>
      </c>
      <c r="N116" s="151">
        <f t="shared" si="99"/>
        <v>228.73999999999978</v>
      </c>
      <c r="O116" s="151">
        <f t="shared" si="100"/>
        <v>2744.8799999999974</v>
      </c>
      <c r="P116" s="151">
        <f>ROUND(O116*'29_01_H_2020'!$O$17,2)</f>
        <v>647.52</v>
      </c>
      <c r="Q116" s="380">
        <f t="shared" si="101"/>
        <v>3392.3999999999974</v>
      </c>
      <c r="R116" s="329"/>
      <c r="S116" s="431"/>
      <c r="T116" s="153"/>
      <c r="U116" s="153"/>
      <c r="V116" s="152"/>
      <c r="W116" s="152"/>
      <c r="X116" s="430"/>
      <c r="Y116" s="430"/>
      <c r="Z116" s="430"/>
      <c r="AA116" s="430"/>
      <c r="AB116" s="430"/>
      <c r="AC116" s="430"/>
      <c r="AD116" s="430"/>
      <c r="AE116" s="430"/>
      <c r="AF116" s="430"/>
      <c r="AG116" s="430"/>
      <c r="AH116" s="329"/>
      <c r="AI116" s="152"/>
      <c r="AJ116" s="152"/>
      <c r="AK116" s="430"/>
      <c r="AL116" s="430"/>
      <c r="AM116" s="430"/>
      <c r="AN116" s="430"/>
      <c r="AO116" s="430"/>
      <c r="AP116" s="430"/>
      <c r="AQ116" s="430"/>
      <c r="AR116" s="430"/>
      <c r="AS116" s="430"/>
      <c r="AT116" s="430"/>
      <c r="AU116" s="329"/>
      <c r="AV116" s="152"/>
      <c r="AW116" s="152"/>
      <c r="AX116" s="152"/>
    </row>
    <row r="117" spans="1:50" s="333" customFormat="1">
      <c r="A117" s="39" t="s">
        <v>61</v>
      </c>
      <c r="B117" s="696" t="s">
        <v>60</v>
      </c>
      <c r="C117" s="696" t="s">
        <v>26</v>
      </c>
      <c r="D117" s="696">
        <v>10</v>
      </c>
      <c r="E117" s="696">
        <v>3</v>
      </c>
      <c r="F117" s="290">
        <v>1287</v>
      </c>
      <c r="G117" s="699">
        <v>1287</v>
      </c>
      <c r="H117" s="694">
        <f>1287*20%</f>
        <v>257.40000000000003</v>
      </c>
      <c r="I117" s="697">
        <v>1</v>
      </c>
      <c r="J117" s="379">
        <f>ROUND(G117*(1+'29_01_H_2020'!$O$14),2)</f>
        <v>1613.77</v>
      </c>
      <c r="K117" s="151">
        <f t="shared" si="97"/>
        <v>65.349999999999966</v>
      </c>
      <c r="L117" s="151">
        <f>ROUND(H117*(1+'29_01_H_2020'!$O$14),2)</f>
        <v>322.75</v>
      </c>
      <c r="M117" s="151">
        <f t="shared" si="98"/>
        <v>392.11999999999989</v>
      </c>
      <c r="N117" s="151">
        <f t="shared" si="99"/>
        <v>392.11999999999989</v>
      </c>
      <c r="O117" s="151">
        <f t="shared" si="100"/>
        <v>4705.4399999999987</v>
      </c>
      <c r="P117" s="151">
        <f>ROUND(O117*'29_01_H_2020'!$O$17,2)</f>
        <v>1110.01</v>
      </c>
      <c r="Q117" s="380">
        <f t="shared" si="101"/>
        <v>5815.4499999999989</v>
      </c>
      <c r="R117" s="329"/>
      <c r="S117" s="431"/>
      <c r="T117" s="153"/>
      <c r="U117" s="153"/>
      <c r="V117" s="152"/>
      <c r="W117" s="152"/>
      <c r="X117" s="430"/>
      <c r="Y117" s="430"/>
      <c r="Z117" s="430"/>
      <c r="AA117" s="430"/>
      <c r="AB117" s="430"/>
      <c r="AC117" s="430"/>
      <c r="AD117" s="430"/>
      <c r="AE117" s="430"/>
      <c r="AF117" s="430"/>
      <c r="AG117" s="430"/>
      <c r="AH117" s="329"/>
      <c r="AI117" s="152"/>
      <c r="AJ117" s="152"/>
      <c r="AK117" s="430"/>
      <c r="AL117" s="430"/>
      <c r="AM117" s="430"/>
      <c r="AN117" s="430"/>
      <c r="AO117" s="430"/>
      <c r="AP117" s="430"/>
      <c r="AQ117" s="430"/>
      <c r="AR117" s="430"/>
      <c r="AS117" s="430"/>
      <c r="AT117" s="430"/>
      <c r="AU117" s="329"/>
      <c r="AV117" s="152"/>
      <c r="AW117" s="152"/>
      <c r="AX117" s="152"/>
    </row>
    <row r="118" spans="1:50" s="333" customFormat="1">
      <c r="A118" s="39" t="s">
        <v>62</v>
      </c>
      <c r="B118" s="696" t="s">
        <v>16</v>
      </c>
      <c r="C118" s="696" t="s">
        <v>45</v>
      </c>
      <c r="D118" s="696">
        <v>9</v>
      </c>
      <c r="E118" s="696">
        <v>3</v>
      </c>
      <c r="F118" s="290">
        <v>1190</v>
      </c>
      <c r="G118" s="699">
        <v>1190</v>
      </c>
      <c r="H118" s="694"/>
      <c r="I118" s="697">
        <v>0.5</v>
      </c>
      <c r="J118" s="379">
        <f>ROUND(G118*(1+'29_01_H_2020'!$O$14),2)</f>
        <v>1492.14</v>
      </c>
      <c r="K118" s="151">
        <f t="shared" si="97"/>
        <v>0</v>
      </c>
      <c r="L118" s="151">
        <f>ROUND(H118*(1+'29_01_H_2020'!$O$14),2)</f>
        <v>0</v>
      </c>
      <c r="M118" s="151">
        <f t="shared" si="98"/>
        <v>302.1400000000001</v>
      </c>
      <c r="N118" s="151">
        <f t="shared" si="99"/>
        <v>151.07000000000005</v>
      </c>
      <c r="O118" s="151">
        <f t="shared" si="100"/>
        <v>1812.8400000000006</v>
      </c>
      <c r="P118" s="151">
        <f>ROUND(O118*'29_01_H_2020'!$O$17,2)</f>
        <v>427.65</v>
      </c>
      <c r="Q118" s="380">
        <f t="shared" si="101"/>
        <v>2240.4900000000007</v>
      </c>
      <c r="R118" s="329"/>
      <c r="S118" s="431"/>
      <c r="T118" s="153"/>
      <c r="U118" s="153"/>
      <c r="V118" s="152"/>
      <c r="W118" s="152"/>
      <c r="X118" s="430"/>
      <c r="Y118" s="430"/>
      <c r="Z118" s="430"/>
      <c r="AA118" s="430"/>
      <c r="AB118" s="430"/>
      <c r="AC118" s="430"/>
      <c r="AD118" s="430"/>
      <c r="AE118" s="430"/>
      <c r="AF118" s="430"/>
      <c r="AG118" s="430"/>
      <c r="AH118" s="329"/>
      <c r="AI118" s="152"/>
      <c r="AJ118" s="152"/>
      <c r="AK118" s="430"/>
      <c r="AL118" s="430"/>
      <c r="AM118" s="430"/>
      <c r="AN118" s="430"/>
      <c r="AO118" s="430"/>
      <c r="AP118" s="430"/>
      <c r="AQ118" s="430"/>
      <c r="AR118" s="430"/>
      <c r="AS118" s="430"/>
      <c r="AT118" s="430"/>
      <c r="AU118" s="329"/>
      <c r="AV118" s="152"/>
      <c r="AW118" s="152"/>
      <c r="AX118" s="152"/>
    </row>
    <row r="119" spans="1:50" s="333" customFormat="1">
      <c r="A119" s="39" t="s">
        <v>62</v>
      </c>
      <c r="B119" s="696" t="s">
        <v>16</v>
      </c>
      <c r="C119" s="696" t="s">
        <v>45</v>
      </c>
      <c r="D119" s="696">
        <v>9</v>
      </c>
      <c r="E119" s="696">
        <v>3</v>
      </c>
      <c r="F119" s="290">
        <v>1190</v>
      </c>
      <c r="G119" s="699">
        <v>1015</v>
      </c>
      <c r="H119" s="694">
        <f>1015*30%</f>
        <v>304.5</v>
      </c>
      <c r="I119" s="697">
        <v>0.5</v>
      </c>
      <c r="J119" s="379">
        <f>ROUND(G119*(1+'29_01_H_2020'!$O$14),2)</f>
        <v>1272.71</v>
      </c>
      <c r="K119" s="151">
        <f t="shared" si="97"/>
        <v>77.31</v>
      </c>
      <c r="L119" s="151">
        <f>ROUND(H119*(1+'29_01_H_2020'!$O$14),2)</f>
        <v>381.81</v>
      </c>
      <c r="M119" s="151">
        <f t="shared" si="98"/>
        <v>335.02</v>
      </c>
      <c r="N119" s="151">
        <f t="shared" si="99"/>
        <v>167.51</v>
      </c>
      <c r="O119" s="151">
        <f t="shared" si="100"/>
        <v>2010.12</v>
      </c>
      <c r="P119" s="151">
        <f>ROUND(O119*'29_01_H_2020'!$O$17,2)</f>
        <v>474.19</v>
      </c>
      <c r="Q119" s="380">
        <f t="shared" si="101"/>
        <v>2484.31</v>
      </c>
      <c r="R119" s="329"/>
      <c r="S119" s="431"/>
      <c r="T119" s="153"/>
      <c r="U119" s="153"/>
      <c r="V119" s="152"/>
      <c r="W119" s="152"/>
      <c r="X119" s="430"/>
      <c r="Y119" s="430"/>
      <c r="Z119" s="430"/>
      <c r="AA119" s="430"/>
      <c r="AB119" s="430"/>
      <c r="AC119" s="430"/>
      <c r="AD119" s="430"/>
      <c r="AE119" s="430"/>
      <c r="AF119" s="430"/>
      <c r="AG119" s="430"/>
      <c r="AH119" s="329"/>
      <c r="AI119" s="152"/>
      <c r="AJ119" s="152"/>
      <c r="AK119" s="430"/>
      <c r="AL119" s="430"/>
      <c r="AM119" s="430"/>
      <c r="AN119" s="430"/>
      <c r="AO119" s="430"/>
      <c r="AP119" s="430"/>
      <c r="AQ119" s="430"/>
      <c r="AR119" s="430"/>
      <c r="AS119" s="430"/>
      <c r="AT119" s="430"/>
      <c r="AU119" s="329"/>
      <c r="AV119" s="152"/>
      <c r="AW119" s="152"/>
      <c r="AX119" s="152"/>
    </row>
    <row r="120" spans="1:50" s="333" customFormat="1">
      <c r="A120" s="39" t="s">
        <v>62</v>
      </c>
      <c r="B120" s="696" t="s">
        <v>16</v>
      </c>
      <c r="C120" s="696" t="s">
        <v>45</v>
      </c>
      <c r="D120" s="696">
        <v>9</v>
      </c>
      <c r="E120" s="696">
        <v>3</v>
      </c>
      <c r="F120" s="290">
        <v>1190</v>
      </c>
      <c r="G120" s="699">
        <v>1015</v>
      </c>
      <c r="H120" s="694"/>
      <c r="I120" s="697">
        <v>0.5</v>
      </c>
      <c r="J120" s="379">
        <f>ROUND(G120*(1+'29_01_H_2020'!$O$14),2)</f>
        <v>1272.71</v>
      </c>
      <c r="K120" s="151">
        <f t="shared" si="97"/>
        <v>0</v>
      </c>
      <c r="L120" s="151">
        <f>ROUND(H120*(1+'29_01_H_2020'!$O$14),2)</f>
        <v>0</v>
      </c>
      <c r="M120" s="151">
        <f t="shared" si="98"/>
        <v>257.71000000000004</v>
      </c>
      <c r="N120" s="151">
        <f t="shared" si="99"/>
        <v>128.85500000000002</v>
      </c>
      <c r="O120" s="151">
        <f t="shared" si="100"/>
        <v>1546.2600000000002</v>
      </c>
      <c r="P120" s="151">
        <f>ROUND(O120*'29_01_H_2020'!$O$17,2)</f>
        <v>364.76</v>
      </c>
      <c r="Q120" s="380">
        <f t="shared" si="101"/>
        <v>1911.0200000000002</v>
      </c>
      <c r="R120" s="329"/>
      <c r="S120" s="431"/>
      <c r="T120" s="153"/>
      <c r="U120" s="153"/>
      <c r="V120" s="152"/>
      <c r="W120" s="152"/>
      <c r="X120" s="430"/>
      <c r="Y120" s="430"/>
      <c r="Z120" s="430"/>
      <c r="AA120" s="430"/>
      <c r="AB120" s="430"/>
      <c r="AC120" s="430"/>
      <c r="AD120" s="430"/>
      <c r="AE120" s="430"/>
      <c r="AF120" s="430"/>
      <c r="AG120" s="430"/>
      <c r="AH120" s="329"/>
      <c r="AI120" s="152"/>
      <c r="AJ120" s="152"/>
      <c r="AK120" s="430"/>
      <c r="AL120" s="430"/>
      <c r="AM120" s="430"/>
      <c r="AN120" s="430"/>
      <c r="AO120" s="430"/>
      <c r="AP120" s="430"/>
      <c r="AQ120" s="430"/>
      <c r="AR120" s="430"/>
      <c r="AS120" s="430"/>
      <c r="AT120" s="430"/>
      <c r="AU120" s="329"/>
      <c r="AV120" s="152"/>
      <c r="AW120" s="152"/>
      <c r="AX120" s="152"/>
    </row>
    <row r="121" spans="1:50" s="333" customFormat="1">
      <c r="A121" s="119" t="s">
        <v>62</v>
      </c>
      <c r="B121" s="229" t="s">
        <v>16</v>
      </c>
      <c r="C121" s="229" t="s">
        <v>45</v>
      </c>
      <c r="D121" s="229">
        <v>9</v>
      </c>
      <c r="E121" s="229">
        <v>3</v>
      </c>
      <c r="F121" s="709">
        <v>1190</v>
      </c>
      <c r="G121" s="699">
        <v>1015</v>
      </c>
      <c r="H121" s="694"/>
      <c r="I121" s="704">
        <v>0.5</v>
      </c>
      <c r="J121" s="379">
        <f>ROUND(G121*(1+'29_01_H_2020'!$O$14),2)</f>
        <v>1272.71</v>
      </c>
      <c r="K121" s="151">
        <f t="shared" si="97"/>
        <v>0</v>
      </c>
      <c r="L121" s="151">
        <f>ROUND(H121*(1+'29_01_H_2020'!$O$14),2)</f>
        <v>0</v>
      </c>
      <c r="M121" s="151">
        <f t="shared" si="98"/>
        <v>257.71000000000004</v>
      </c>
      <c r="N121" s="151">
        <f t="shared" si="99"/>
        <v>128.85500000000002</v>
      </c>
      <c r="O121" s="151">
        <f t="shared" si="100"/>
        <v>1546.2600000000002</v>
      </c>
      <c r="P121" s="151">
        <f>ROUND(O121*'29_01_H_2020'!$O$17,2)</f>
        <v>364.76</v>
      </c>
      <c r="Q121" s="380">
        <f t="shared" si="101"/>
        <v>1911.0200000000002</v>
      </c>
      <c r="R121" s="329"/>
      <c r="S121" s="431"/>
      <c r="T121" s="153"/>
      <c r="U121" s="153"/>
      <c r="V121" s="152"/>
      <c r="W121" s="152"/>
      <c r="X121" s="430"/>
      <c r="Y121" s="430"/>
      <c r="Z121" s="430"/>
      <c r="AA121" s="430"/>
      <c r="AB121" s="430"/>
      <c r="AC121" s="430"/>
      <c r="AD121" s="430"/>
      <c r="AE121" s="430"/>
      <c r="AF121" s="430"/>
      <c r="AG121" s="430"/>
      <c r="AH121" s="329"/>
      <c r="AI121" s="152"/>
      <c r="AJ121" s="152"/>
      <c r="AK121" s="430"/>
      <c r="AL121" s="430"/>
      <c r="AM121" s="430"/>
      <c r="AN121" s="430"/>
      <c r="AO121" s="430"/>
      <c r="AP121" s="430"/>
      <c r="AQ121" s="430"/>
      <c r="AR121" s="430"/>
      <c r="AS121" s="430"/>
      <c r="AT121" s="430"/>
      <c r="AU121" s="329"/>
      <c r="AV121" s="152"/>
      <c r="AW121" s="152"/>
      <c r="AX121" s="152"/>
    </row>
    <row r="122" spans="1:50" s="333" customFormat="1">
      <c r="A122" s="23" t="s">
        <v>63</v>
      </c>
      <c r="B122" s="21" t="s">
        <v>60</v>
      </c>
      <c r="C122" s="21" t="s">
        <v>19</v>
      </c>
      <c r="D122" s="696">
        <v>12</v>
      </c>
      <c r="E122" s="696">
        <v>3</v>
      </c>
      <c r="F122" s="290">
        <v>1647</v>
      </c>
      <c r="G122" s="699">
        <v>1350</v>
      </c>
      <c r="H122" s="694"/>
      <c r="I122" s="697">
        <v>1</v>
      </c>
      <c r="J122" s="379">
        <f>ROUND(G122*(1+'29_01_H_2020'!$O$14),2)</f>
        <v>1692.77</v>
      </c>
      <c r="K122" s="151">
        <f t="shared" si="97"/>
        <v>0</v>
      </c>
      <c r="L122" s="151">
        <f>ROUND(H122*(1+'29_01_H_2020'!$O$14),2)</f>
        <v>0</v>
      </c>
      <c r="M122" s="151">
        <f t="shared" si="98"/>
        <v>342.77</v>
      </c>
      <c r="N122" s="151">
        <f t="shared" si="99"/>
        <v>342.77</v>
      </c>
      <c r="O122" s="151">
        <f t="shared" si="100"/>
        <v>4113.24</v>
      </c>
      <c r="P122" s="151">
        <f>ROUND(O122*'29_01_H_2020'!$O$17,2)</f>
        <v>970.31</v>
      </c>
      <c r="Q122" s="380">
        <f t="shared" si="101"/>
        <v>5083.5499999999993</v>
      </c>
      <c r="R122" s="329"/>
      <c r="S122" s="431"/>
      <c r="T122" s="153"/>
      <c r="U122" s="153"/>
      <c r="V122" s="152"/>
      <c r="W122" s="152"/>
      <c r="X122" s="430"/>
      <c r="Y122" s="430"/>
      <c r="Z122" s="430"/>
      <c r="AA122" s="430"/>
      <c r="AB122" s="430"/>
      <c r="AC122" s="430"/>
      <c r="AD122" s="430"/>
      <c r="AE122" s="430"/>
      <c r="AF122" s="430"/>
      <c r="AG122" s="430"/>
      <c r="AH122" s="329"/>
      <c r="AI122" s="152"/>
      <c r="AJ122" s="152"/>
      <c r="AK122" s="430"/>
      <c r="AL122" s="430"/>
      <c r="AM122" s="430"/>
      <c r="AN122" s="430"/>
      <c r="AO122" s="430"/>
      <c r="AP122" s="430"/>
      <c r="AQ122" s="430"/>
      <c r="AR122" s="430"/>
      <c r="AS122" s="430"/>
      <c r="AT122" s="430"/>
      <c r="AU122" s="329"/>
      <c r="AV122" s="152"/>
      <c r="AW122" s="152"/>
      <c r="AX122" s="152"/>
    </row>
    <row r="123" spans="1:50" s="333" customFormat="1">
      <c r="A123" s="23" t="s">
        <v>63</v>
      </c>
      <c r="B123" s="696" t="s">
        <v>60</v>
      </c>
      <c r="C123" s="696" t="s">
        <v>19</v>
      </c>
      <c r="D123" s="696">
        <v>12</v>
      </c>
      <c r="E123" s="696">
        <v>3</v>
      </c>
      <c r="F123" s="290">
        <v>1647</v>
      </c>
      <c r="G123" s="699">
        <v>1350</v>
      </c>
      <c r="H123" s="694"/>
      <c r="I123" s="697">
        <v>3</v>
      </c>
      <c r="J123" s="379">
        <f>ROUND(G123*(1+'29_01_H_2020'!$O$14),2)</f>
        <v>1692.77</v>
      </c>
      <c r="K123" s="151">
        <f t="shared" si="97"/>
        <v>0</v>
      </c>
      <c r="L123" s="151">
        <f>ROUND(H123*(1+'29_01_H_2020'!$O$14),2)</f>
        <v>0</v>
      </c>
      <c r="M123" s="151">
        <f t="shared" si="98"/>
        <v>342.77</v>
      </c>
      <c r="N123" s="151">
        <f t="shared" si="99"/>
        <v>1028.31</v>
      </c>
      <c r="O123" s="151">
        <f t="shared" si="100"/>
        <v>12339.72</v>
      </c>
      <c r="P123" s="151">
        <f>ROUND(O123*'29_01_H_2020'!$O$17,2)</f>
        <v>2910.94</v>
      </c>
      <c r="Q123" s="380">
        <f t="shared" si="101"/>
        <v>15250.66</v>
      </c>
      <c r="R123" s="329"/>
      <c r="S123" s="431"/>
      <c r="T123" s="153"/>
      <c r="U123" s="153"/>
      <c r="V123" s="152"/>
      <c r="W123" s="152"/>
      <c r="X123" s="430"/>
      <c r="Y123" s="430"/>
      <c r="Z123" s="430"/>
      <c r="AA123" s="430"/>
      <c r="AB123" s="430"/>
      <c r="AC123" s="430"/>
      <c r="AD123" s="430"/>
      <c r="AE123" s="430"/>
      <c r="AF123" s="430"/>
      <c r="AG123" s="430"/>
      <c r="AH123" s="329"/>
      <c r="AI123" s="152"/>
      <c r="AJ123" s="152"/>
      <c r="AK123" s="430"/>
      <c r="AL123" s="430"/>
      <c r="AM123" s="430"/>
      <c r="AN123" s="430"/>
      <c r="AO123" s="430"/>
      <c r="AP123" s="430"/>
      <c r="AQ123" s="430"/>
      <c r="AR123" s="430"/>
      <c r="AS123" s="430"/>
      <c r="AT123" s="430"/>
      <c r="AU123" s="329"/>
      <c r="AV123" s="152"/>
      <c r="AW123" s="152"/>
      <c r="AX123" s="152"/>
    </row>
    <row r="124" spans="1:50" s="333" customFormat="1">
      <c r="A124" s="39" t="s">
        <v>64</v>
      </c>
      <c r="B124" s="696" t="s">
        <v>60</v>
      </c>
      <c r="C124" s="696" t="s">
        <v>26</v>
      </c>
      <c r="D124" s="696">
        <v>10</v>
      </c>
      <c r="E124" s="696">
        <v>3</v>
      </c>
      <c r="F124" s="290">
        <v>1287</v>
      </c>
      <c r="G124" s="699">
        <v>1287</v>
      </c>
      <c r="H124" s="694"/>
      <c r="I124" s="697">
        <v>6</v>
      </c>
      <c r="J124" s="379">
        <f>ROUND(G124*(1+'29_01_H_2020'!$O$14),2)</f>
        <v>1613.77</v>
      </c>
      <c r="K124" s="151">
        <f t="shared" si="97"/>
        <v>0</v>
      </c>
      <c r="L124" s="151">
        <f>ROUND(H124*(1+'29_01_H_2020'!$O$14),2)</f>
        <v>0</v>
      </c>
      <c r="M124" s="151">
        <f t="shared" si="98"/>
        <v>326.77</v>
      </c>
      <c r="N124" s="151">
        <f t="shared" si="99"/>
        <v>1960.62</v>
      </c>
      <c r="O124" s="151">
        <f t="shared" si="100"/>
        <v>23527.439999999999</v>
      </c>
      <c r="P124" s="151">
        <f>ROUND(O124*'29_01_H_2020'!$O$17,2)</f>
        <v>5550.12</v>
      </c>
      <c r="Q124" s="380">
        <f t="shared" si="101"/>
        <v>29077.559999999998</v>
      </c>
      <c r="R124" s="329"/>
      <c r="S124" s="431"/>
      <c r="T124" s="153"/>
      <c r="U124" s="153"/>
      <c r="V124" s="152"/>
      <c r="W124" s="152"/>
      <c r="X124" s="430"/>
      <c r="Y124" s="430"/>
      <c r="Z124" s="430"/>
      <c r="AA124" s="430"/>
      <c r="AB124" s="430"/>
      <c r="AC124" s="430"/>
      <c r="AD124" s="430"/>
      <c r="AE124" s="430"/>
      <c r="AF124" s="430"/>
      <c r="AG124" s="430"/>
      <c r="AH124" s="329"/>
      <c r="AI124" s="152"/>
      <c r="AJ124" s="152"/>
      <c r="AK124" s="430"/>
      <c r="AL124" s="430"/>
      <c r="AM124" s="430"/>
      <c r="AN124" s="430"/>
      <c r="AO124" s="430"/>
      <c r="AP124" s="430"/>
      <c r="AQ124" s="430"/>
      <c r="AR124" s="430"/>
      <c r="AS124" s="430"/>
      <c r="AT124" s="430"/>
      <c r="AU124" s="329"/>
      <c r="AV124" s="152"/>
      <c r="AW124" s="152"/>
      <c r="AX124" s="152"/>
    </row>
    <row r="125" spans="1:50" s="333" customFormat="1">
      <c r="A125" s="39" t="s">
        <v>64</v>
      </c>
      <c r="B125" s="696" t="s">
        <v>60</v>
      </c>
      <c r="C125" s="696" t="s">
        <v>26</v>
      </c>
      <c r="D125" s="696">
        <v>10</v>
      </c>
      <c r="E125" s="696">
        <v>3</v>
      </c>
      <c r="F125" s="290">
        <v>1287</v>
      </c>
      <c r="G125" s="699">
        <v>1287</v>
      </c>
      <c r="H125" s="694"/>
      <c r="I125" s="697">
        <v>1</v>
      </c>
      <c r="J125" s="379">
        <f>ROUND(G125*(1+'29_01_H_2020'!$O$14),2)</f>
        <v>1613.77</v>
      </c>
      <c r="K125" s="151">
        <f t="shared" si="97"/>
        <v>0</v>
      </c>
      <c r="L125" s="151">
        <f>ROUND(H125*(1+'29_01_H_2020'!$O$14),2)</f>
        <v>0</v>
      </c>
      <c r="M125" s="151">
        <f t="shared" si="98"/>
        <v>326.77</v>
      </c>
      <c r="N125" s="151">
        <f t="shared" si="99"/>
        <v>326.77</v>
      </c>
      <c r="O125" s="151">
        <f t="shared" si="100"/>
        <v>3921.24</v>
      </c>
      <c r="P125" s="151">
        <f>ROUND(O125*'29_01_H_2020'!$O$17,2)</f>
        <v>925.02</v>
      </c>
      <c r="Q125" s="380">
        <f t="shared" si="101"/>
        <v>4846.26</v>
      </c>
      <c r="R125" s="329"/>
      <c r="S125" s="431"/>
      <c r="T125" s="153"/>
      <c r="U125" s="153"/>
      <c r="V125" s="152"/>
      <c r="W125" s="152"/>
      <c r="X125" s="430"/>
      <c r="Y125" s="430"/>
      <c r="Z125" s="430"/>
      <c r="AA125" s="430"/>
      <c r="AB125" s="430"/>
      <c r="AC125" s="430"/>
      <c r="AD125" s="430"/>
      <c r="AE125" s="430"/>
      <c r="AF125" s="430"/>
      <c r="AG125" s="430"/>
      <c r="AH125" s="329"/>
      <c r="AI125" s="152"/>
      <c r="AJ125" s="152"/>
      <c r="AK125" s="430"/>
      <c r="AL125" s="430"/>
      <c r="AM125" s="430"/>
      <c r="AN125" s="430"/>
      <c r="AO125" s="430"/>
      <c r="AP125" s="430"/>
      <c r="AQ125" s="430"/>
      <c r="AR125" s="430"/>
      <c r="AS125" s="430"/>
      <c r="AT125" s="430"/>
      <c r="AU125" s="329"/>
      <c r="AV125" s="152"/>
      <c r="AW125" s="152"/>
      <c r="AX125" s="152"/>
    </row>
    <row r="126" spans="1:50" s="333" customFormat="1">
      <c r="A126" s="39" t="s">
        <v>64</v>
      </c>
      <c r="B126" s="696" t="s">
        <v>60</v>
      </c>
      <c r="C126" s="696" t="s">
        <v>26</v>
      </c>
      <c r="D126" s="696">
        <v>10</v>
      </c>
      <c r="E126" s="696">
        <v>3</v>
      </c>
      <c r="F126" s="290">
        <v>1287</v>
      </c>
      <c r="G126" s="699">
        <v>1232</v>
      </c>
      <c r="H126" s="694"/>
      <c r="I126" s="697">
        <v>3</v>
      </c>
      <c r="J126" s="379">
        <f>ROUND(G126*(1+'29_01_H_2020'!$O$14),2)</f>
        <v>1544.8</v>
      </c>
      <c r="K126" s="151">
        <f t="shared" si="97"/>
        <v>0</v>
      </c>
      <c r="L126" s="151">
        <f>ROUND(H126*(1+'29_01_H_2020'!$O$14),2)</f>
        <v>0</v>
      </c>
      <c r="M126" s="151">
        <f t="shared" si="98"/>
        <v>312.79999999999995</v>
      </c>
      <c r="N126" s="151">
        <f t="shared" si="99"/>
        <v>938.39999999999986</v>
      </c>
      <c r="O126" s="151">
        <f t="shared" si="100"/>
        <v>11260.8</v>
      </c>
      <c r="P126" s="151">
        <f>ROUND(O126*'29_01_H_2020'!$O$17,2)</f>
        <v>2656.42</v>
      </c>
      <c r="Q126" s="380">
        <f t="shared" si="101"/>
        <v>13917.22</v>
      </c>
      <c r="R126" s="329"/>
      <c r="S126" s="431"/>
      <c r="T126" s="153"/>
      <c r="U126" s="153"/>
      <c r="V126" s="152"/>
      <c r="W126" s="152"/>
      <c r="X126" s="430"/>
      <c r="Y126" s="430"/>
      <c r="Z126" s="430"/>
      <c r="AA126" s="430"/>
      <c r="AB126" s="430"/>
      <c r="AC126" s="430"/>
      <c r="AD126" s="430"/>
      <c r="AE126" s="430"/>
      <c r="AF126" s="430"/>
      <c r="AG126" s="430"/>
      <c r="AH126" s="329"/>
      <c r="AI126" s="152"/>
      <c r="AJ126" s="152"/>
      <c r="AK126" s="430"/>
      <c r="AL126" s="430"/>
      <c r="AM126" s="430"/>
      <c r="AN126" s="430"/>
      <c r="AO126" s="430"/>
      <c r="AP126" s="430"/>
      <c r="AQ126" s="430"/>
      <c r="AR126" s="430"/>
      <c r="AS126" s="430"/>
      <c r="AT126" s="430"/>
      <c r="AU126" s="329"/>
      <c r="AV126" s="152"/>
      <c r="AW126" s="152"/>
      <c r="AX126" s="152"/>
    </row>
    <row r="127" spans="1:50" s="333" customFormat="1">
      <c r="A127" s="39" t="s">
        <v>64</v>
      </c>
      <c r="B127" s="696" t="s">
        <v>60</v>
      </c>
      <c r="C127" s="696" t="s">
        <v>26</v>
      </c>
      <c r="D127" s="696">
        <v>10</v>
      </c>
      <c r="E127" s="696">
        <v>3</v>
      </c>
      <c r="F127" s="290">
        <v>1287</v>
      </c>
      <c r="G127" s="699">
        <v>1166</v>
      </c>
      <c r="H127" s="694"/>
      <c r="I127" s="697">
        <v>1</v>
      </c>
      <c r="J127" s="379">
        <f>ROUND(G127*(1+'29_01_H_2020'!$O$14),2)</f>
        <v>1462.05</v>
      </c>
      <c r="K127" s="151">
        <f t="shared" si="97"/>
        <v>0</v>
      </c>
      <c r="L127" s="151">
        <f>ROUND(H127*(1+'29_01_H_2020'!$O$14),2)</f>
        <v>0</v>
      </c>
      <c r="M127" s="151">
        <f t="shared" si="98"/>
        <v>296.04999999999995</v>
      </c>
      <c r="N127" s="151">
        <f t="shared" si="99"/>
        <v>296.04999999999995</v>
      </c>
      <c r="O127" s="151">
        <f t="shared" si="100"/>
        <v>3552.5999999999995</v>
      </c>
      <c r="P127" s="151">
        <f>ROUND(O127*'29_01_H_2020'!$O$17,2)</f>
        <v>838.06</v>
      </c>
      <c r="Q127" s="380">
        <f t="shared" si="101"/>
        <v>4390.66</v>
      </c>
      <c r="R127" s="329"/>
      <c r="S127" s="431"/>
      <c r="T127" s="153"/>
      <c r="U127" s="153"/>
      <c r="V127" s="152"/>
      <c r="W127" s="152"/>
      <c r="X127" s="430"/>
      <c r="Y127" s="430"/>
      <c r="Z127" s="430"/>
      <c r="AA127" s="430"/>
      <c r="AB127" s="430"/>
      <c r="AC127" s="430"/>
      <c r="AD127" s="430"/>
      <c r="AE127" s="430"/>
      <c r="AF127" s="430"/>
      <c r="AG127" s="430"/>
      <c r="AH127" s="329"/>
      <c r="AI127" s="152"/>
      <c r="AJ127" s="152"/>
      <c r="AK127" s="430"/>
      <c r="AL127" s="430"/>
      <c r="AM127" s="430"/>
      <c r="AN127" s="430"/>
      <c r="AO127" s="430"/>
      <c r="AP127" s="430"/>
      <c r="AQ127" s="430"/>
      <c r="AR127" s="430"/>
      <c r="AS127" s="430"/>
      <c r="AT127" s="430"/>
      <c r="AU127" s="329"/>
      <c r="AV127" s="152"/>
      <c r="AW127" s="152"/>
      <c r="AX127" s="152"/>
    </row>
    <row r="128" spans="1:50" s="333" customFormat="1">
      <c r="A128" s="39" t="s">
        <v>64</v>
      </c>
      <c r="B128" s="696" t="s">
        <v>60</v>
      </c>
      <c r="C128" s="696" t="s">
        <v>26</v>
      </c>
      <c r="D128" s="696">
        <v>10</v>
      </c>
      <c r="E128" s="696">
        <v>3</v>
      </c>
      <c r="F128" s="290">
        <v>1287</v>
      </c>
      <c r="G128" s="699">
        <v>1232</v>
      </c>
      <c r="H128" s="694"/>
      <c r="I128" s="697">
        <v>1</v>
      </c>
      <c r="J128" s="379">
        <f>ROUND(G128*(1+'29_01_H_2020'!$O$14),2)</f>
        <v>1544.8</v>
      </c>
      <c r="K128" s="151">
        <f t="shared" si="97"/>
        <v>0</v>
      </c>
      <c r="L128" s="151">
        <f>ROUND(H128*(1+'29_01_H_2020'!$O$14),2)</f>
        <v>0</v>
      </c>
      <c r="M128" s="151">
        <f t="shared" si="98"/>
        <v>312.79999999999995</v>
      </c>
      <c r="N128" s="151">
        <f t="shared" si="99"/>
        <v>312.79999999999995</v>
      </c>
      <c r="O128" s="151">
        <f t="shared" si="100"/>
        <v>3753.5999999999995</v>
      </c>
      <c r="P128" s="151">
        <f>ROUND(O128*'29_01_H_2020'!$O$17,2)</f>
        <v>885.47</v>
      </c>
      <c r="Q128" s="380">
        <f t="shared" si="101"/>
        <v>4639.07</v>
      </c>
      <c r="R128" s="329"/>
      <c r="S128" s="431"/>
      <c r="T128" s="153"/>
      <c r="U128" s="153"/>
      <c r="V128" s="152"/>
      <c r="W128" s="152"/>
      <c r="X128" s="430"/>
      <c r="Y128" s="430"/>
      <c r="Z128" s="430"/>
      <c r="AA128" s="430"/>
      <c r="AB128" s="430"/>
      <c r="AC128" s="430"/>
      <c r="AD128" s="430"/>
      <c r="AE128" s="430"/>
      <c r="AF128" s="430"/>
      <c r="AG128" s="430"/>
      <c r="AH128" s="329"/>
      <c r="AI128" s="152"/>
      <c r="AJ128" s="152"/>
      <c r="AK128" s="430"/>
      <c r="AL128" s="430"/>
      <c r="AM128" s="430"/>
      <c r="AN128" s="430"/>
      <c r="AO128" s="430"/>
      <c r="AP128" s="430"/>
      <c r="AQ128" s="430"/>
      <c r="AR128" s="430"/>
      <c r="AS128" s="430"/>
      <c r="AT128" s="430"/>
      <c r="AU128" s="329"/>
      <c r="AV128" s="152"/>
      <c r="AW128" s="152"/>
      <c r="AX128" s="152"/>
    </row>
    <row r="129" spans="1:50" s="333" customFormat="1">
      <c r="A129" s="138" t="s">
        <v>64</v>
      </c>
      <c r="B129" s="705" t="s">
        <v>60</v>
      </c>
      <c r="C129" s="705" t="s">
        <v>26</v>
      </c>
      <c r="D129" s="229">
        <v>10</v>
      </c>
      <c r="E129" s="229">
        <v>3</v>
      </c>
      <c r="F129" s="709">
        <v>1287</v>
      </c>
      <c r="G129" s="699"/>
      <c r="H129" s="694"/>
      <c r="I129" s="704"/>
      <c r="J129" s="379">
        <f>ROUND(G129*(1+'29_01_H_2020'!$O$14),2)</f>
        <v>0</v>
      </c>
      <c r="K129" s="151">
        <f t="shared" si="97"/>
        <v>0</v>
      </c>
      <c r="L129" s="151">
        <f>ROUND(H129*(1+'29_01_H_2020'!$O$14),2)</f>
        <v>0</v>
      </c>
      <c r="M129" s="151">
        <f t="shared" si="98"/>
        <v>0</v>
      </c>
      <c r="N129" s="151">
        <f t="shared" si="99"/>
        <v>0</v>
      </c>
      <c r="O129" s="151">
        <f t="shared" si="100"/>
        <v>0</v>
      </c>
      <c r="P129" s="151">
        <f>ROUND(O129*'29_01_H_2020'!$O$17,2)</f>
        <v>0</v>
      </c>
      <c r="Q129" s="380">
        <f t="shared" si="101"/>
        <v>0</v>
      </c>
      <c r="R129" s="329"/>
      <c r="S129" s="431"/>
      <c r="T129" s="153"/>
      <c r="U129" s="153"/>
      <c r="V129" s="152"/>
      <c r="W129" s="152"/>
      <c r="X129" s="430"/>
      <c r="Y129" s="430"/>
      <c r="Z129" s="430"/>
      <c r="AA129" s="430"/>
      <c r="AB129" s="430"/>
      <c r="AC129" s="430"/>
      <c r="AD129" s="430"/>
      <c r="AE129" s="430"/>
      <c r="AF129" s="430"/>
      <c r="AG129" s="430"/>
      <c r="AH129" s="329"/>
      <c r="AI129" s="152"/>
      <c r="AJ129" s="152"/>
      <c r="AK129" s="430"/>
      <c r="AL129" s="430"/>
      <c r="AM129" s="430"/>
      <c r="AN129" s="430"/>
      <c r="AO129" s="430"/>
      <c r="AP129" s="430"/>
      <c r="AQ129" s="430"/>
      <c r="AR129" s="430"/>
      <c r="AS129" s="430"/>
      <c r="AT129" s="430"/>
      <c r="AU129" s="329"/>
      <c r="AV129" s="152"/>
      <c r="AW129" s="152"/>
      <c r="AX129" s="152"/>
    </row>
    <row r="130" spans="1:50" s="333" customFormat="1">
      <c r="A130" s="39" t="s">
        <v>65</v>
      </c>
      <c r="B130" s="21" t="s">
        <v>60</v>
      </c>
      <c r="C130" s="21" t="s">
        <v>13</v>
      </c>
      <c r="D130" s="696">
        <v>13</v>
      </c>
      <c r="E130" s="696">
        <v>3</v>
      </c>
      <c r="F130" s="290">
        <v>1917</v>
      </c>
      <c r="G130" s="699">
        <v>1917</v>
      </c>
      <c r="H130" s="694">
        <f>1917*10%</f>
        <v>191.70000000000002</v>
      </c>
      <c r="I130" s="697">
        <v>1</v>
      </c>
      <c r="J130" s="379">
        <f>ROUND(G130*(1+'29_01_H_2020'!$O$14),2)</f>
        <v>2403.73</v>
      </c>
      <c r="K130" s="151">
        <f t="shared" si="97"/>
        <v>48.669999999999987</v>
      </c>
      <c r="L130" s="151">
        <f>ROUND(H130*(1+'29_01_H_2020'!$O$14),2)</f>
        <v>240.37</v>
      </c>
      <c r="M130" s="151">
        <f t="shared" si="98"/>
        <v>535.40000000000009</v>
      </c>
      <c r="N130" s="151">
        <f t="shared" si="99"/>
        <v>535.40000000000009</v>
      </c>
      <c r="O130" s="151">
        <f t="shared" si="100"/>
        <v>6424.8000000000011</v>
      </c>
      <c r="P130" s="151">
        <f>ROUND(O130*'29_01_H_2020'!$O$17,2)</f>
        <v>1515.61</v>
      </c>
      <c r="Q130" s="380">
        <f t="shared" si="101"/>
        <v>7940.4100000000008</v>
      </c>
      <c r="R130" s="329"/>
      <c r="S130" s="431"/>
      <c r="T130" s="153"/>
      <c r="U130" s="153"/>
      <c r="V130" s="152"/>
      <c r="W130" s="152"/>
      <c r="X130" s="430"/>
      <c r="Y130" s="430"/>
      <c r="Z130" s="430"/>
      <c r="AA130" s="430"/>
      <c r="AB130" s="430"/>
      <c r="AC130" s="430"/>
      <c r="AD130" s="430"/>
      <c r="AE130" s="430"/>
      <c r="AF130" s="430"/>
      <c r="AG130" s="430"/>
      <c r="AH130" s="329"/>
      <c r="AI130" s="152"/>
      <c r="AJ130" s="152"/>
      <c r="AK130" s="430"/>
      <c r="AL130" s="430"/>
      <c r="AM130" s="430"/>
      <c r="AN130" s="430"/>
      <c r="AO130" s="430"/>
      <c r="AP130" s="430"/>
      <c r="AQ130" s="430"/>
      <c r="AR130" s="430"/>
      <c r="AS130" s="430"/>
      <c r="AT130" s="430"/>
      <c r="AU130" s="329"/>
      <c r="AV130" s="152"/>
      <c r="AW130" s="152"/>
      <c r="AX130" s="152"/>
    </row>
    <row r="131" spans="1:50" s="333" customFormat="1">
      <c r="A131" s="39" t="s">
        <v>65</v>
      </c>
      <c r="B131" s="696" t="s">
        <v>66</v>
      </c>
      <c r="C131" s="696" t="s">
        <v>13</v>
      </c>
      <c r="D131" s="696">
        <v>12</v>
      </c>
      <c r="E131" s="696">
        <v>3</v>
      </c>
      <c r="F131" s="290">
        <v>1647</v>
      </c>
      <c r="G131" s="699">
        <v>1647</v>
      </c>
      <c r="H131" s="694"/>
      <c r="I131" s="697">
        <v>7</v>
      </c>
      <c r="J131" s="379">
        <f>ROUND(G131*(1+'29_01_H_2020'!$O$14),2)</f>
        <v>2065.17</v>
      </c>
      <c r="K131" s="151">
        <f t="shared" si="97"/>
        <v>0</v>
      </c>
      <c r="L131" s="151">
        <f>ROUND(H131*(1+'29_01_H_2020'!$O$14),2)</f>
        <v>0</v>
      </c>
      <c r="M131" s="151">
        <f t="shared" si="98"/>
        <v>418.17000000000007</v>
      </c>
      <c r="N131" s="151">
        <f t="shared" si="99"/>
        <v>2927.1900000000005</v>
      </c>
      <c r="O131" s="151">
        <f t="shared" si="100"/>
        <v>35126.280000000006</v>
      </c>
      <c r="P131" s="151">
        <f>ROUND(O131*'29_01_H_2020'!$O$17,2)</f>
        <v>8286.2900000000009</v>
      </c>
      <c r="Q131" s="380">
        <f t="shared" si="101"/>
        <v>43412.570000000007</v>
      </c>
      <c r="R131" s="329"/>
      <c r="S131" s="431"/>
      <c r="T131" s="153"/>
      <c r="U131" s="153"/>
      <c r="V131" s="152"/>
      <c r="W131" s="152"/>
      <c r="X131" s="430"/>
      <c r="Y131" s="430"/>
      <c r="Z131" s="430"/>
      <c r="AA131" s="430"/>
      <c r="AB131" s="430"/>
      <c r="AC131" s="430"/>
      <c r="AD131" s="430"/>
      <c r="AE131" s="430"/>
      <c r="AF131" s="430"/>
      <c r="AG131" s="430"/>
      <c r="AH131" s="329"/>
      <c r="AI131" s="152"/>
      <c r="AJ131" s="152"/>
      <c r="AK131" s="430"/>
      <c r="AL131" s="430"/>
      <c r="AM131" s="430"/>
      <c r="AN131" s="430"/>
      <c r="AO131" s="430"/>
      <c r="AP131" s="430"/>
      <c r="AQ131" s="430"/>
      <c r="AR131" s="430"/>
      <c r="AS131" s="430"/>
      <c r="AT131" s="430"/>
      <c r="AU131" s="329"/>
      <c r="AV131" s="152"/>
      <c r="AW131" s="152"/>
      <c r="AX131" s="152"/>
    </row>
    <row r="132" spans="1:50" s="333" customFormat="1">
      <c r="A132" s="39" t="s">
        <v>65</v>
      </c>
      <c r="B132" s="696" t="s">
        <v>66</v>
      </c>
      <c r="C132" s="696" t="s">
        <v>13</v>
      </c>
      <c r="D132" s="696">
        <v>12</v>
      </c>
      <c r="E132" s="696">
        <v>3</v>
      </c>
      <c r="F132" s="290">
        <v>1647</v>
      </c>
      <c r="G132" s="699">
        <v>1617</v>
      </c>
      <c r="H132" s="694"/>
      <c r="I132" s="697">
        <v>1</v>
      </c>
      <c r="J132" s="379">
        <f>ROUND(G132*(1+'29_01_H_2020'!$O$14),2)</f>
        <v>2027.56</v>
      </c>
      <c r="K132" s="151">
        <f t="shared" si="97"/>
        <v>0</v>
      </c>
      <c r="L132" s="151">
        <f>ROUND(H132*(1+'29_01_H_2020'!$O$14),2)</f>
        <v>0</v>
      </c>
      <c r="M132" s="151">
        <f t="shared" si="98"/>
        <v>410.55999999999995</v>
      </c>
      <c r="N132" s="151">
        <f t="shared" si="99"/>
        <v>410.55999999999995</v>
      </c>
      <c r="O132" s="151">
        <f t="shared" si="100"/>
        <v>4926.7199999999993</v>
      </c>
      <c r="P132" s="151">
        <f>ROUND(O132*'29_01_H_2020'!$O$17,2)</f>
        <v>1162.21</v>
      </c>
      <c r="Q132" s="380">
        <f t="shared" si="101"/>
        <v>6088.9299999999994</v>
      </c>
      <c r="R132" s="329"/>
      <c r="S132" s="431"/>
      <c r="T132" s="153"/>
      <c r="U132" s="153"/>
      <c r="V132" s="152"/>
      <c r="W132" s="152"/>
      <c r="X132" s="430"/>
      <c r="Y132" s="430"/>
      <c r="Z132" s="430"/>
      <c r="AA132" s="430"/>
      <c r="AB132" s="430"/>
      <c r="AC132" s="430"/>
      <c r="AD132" s="430"/>
      <c r="AE132" s="430"/>
      <c r="AF132" s="430"/>
      <c r="AG132" s="430"/>
      <c r="AH132" s="329"/>
      <c r="AI132" s="152"/>
      <c r="AJ132" s="152"/>
      <c r="AK132" s="430"/>
      <c r="AL132" s="430"/>
      <c r="AM132" s="430"/>
      <c r="AN132" s="430"/>
      <c r="AO132" s="430"/>
      <c r="AP132" s="430"/>
      <c r="AQ132" s="430"/>
      <c r="AR132" s="430"/>
      <c r="AS132" s="430"/>
      <c r="AT132" s="430"/>
      <c r="AU132" s="329"/>
      <c r="AV132" s="152"/>
      <c r="AW132" s="152"/>
      <c r="AX132" s="152"/>
    </row>
    <row r="133" spans="1:50" s="333" customFormat="1">
      <c r="A133" s="39" t="s">
        <v>65</v>
      </c>
      <c r="B133" s="21" t="s">
        <v>66</v>
      </c>
      <c r="C133" s="21" t="s">
        <v>21</v>
      </c>
      <c r="D133" s="696">
        <v>11</v>
      </c>
      <c r="E133" s="696">
        <v>3</v>
      </c>
      <c r="F133" s="290">
        <v>1382</v>
      </c>
      <c r="G133" s="699">
        <v>1382</v>
      </c>
      <c r="H133" s="694"/>
      <c r="I133" s="697">
        <v>2</v>
      </c>
      <c r="J133" s="379">
        <f>ROUND(G133*(1+'29_01_H_2020'!$O$14),2)</f>
        <v>1732.89</v>
      </c>
      <c r="K133" s="151">
        <f t="shared" si="97"/>
        <v>0</v>
      </c>
      <c r="L133" s="151">
        <f>ROUND(H133*(1+'29_01_H_2020'!$O$14),2)</f>
        <v>0</v>
      </c>
      <c r="M133" s="151">
        <f t="shared" si="98"/>
        <v>350.8900000000001</v>
      </c>
      <c r="N133" s="151">
        <f t="shared" si="99"/>
        <v>701.7800000000002</v>
      </c>
      <c r="O133" s="151">
        <f t="shared" si="100"/>
        <v>8421.3600000000024</v>
      </c>
      <c r="P133" s="151">
        <f>ROUND(O133*'29_01_H_2020'!$O$17,2)</f>
        <v>1986.6</v>
      </c>
      <c r="Q133" s="380">
        <f t="shared" si="101"/>
        <v>10407.960000000003</v>
      </c>
      <c r="R133" s="329"/>
      <c r="S133" s="431"/>
      <c r="T133" s="153"/>
      <c r="U133" s="153"/>
      <c r="V133" s="152"/>
      <c r="W133" s="152"/>
      <c r="X133" s="430"/>
      <c r="Y133" s="430"/>
      <c r="Z133" s="430"/>
      <c r="AA133" s="430"/>
      <c r="AB133" s="430"/>
      <c r="AC133" s="430"/>
      <c r="AD133" s="430"/>
      <c r="AE133" s="430"/>
      <c r="AF133" s="430"/>
      <c r="AG133" s="430"/>
      <c r="AH133" s="329"/>
      <c r="AI133" s="152"/>
      <c r="AJ133" s="152"/>
      <c r="AK133" s="430"/>
      <c r="AL133" s="430"/>
      <c r="AM133" s="430"/>
      <c r="AN133" s="430"/>
      <c r="AO133" s="430"/>
      <c r="AP133" s="430"/>
      <c r="AQ133" s="430"/>
      <c r="AR133" s="430"/>
      <c r="AS133" s="430"/>
      <c r="AT133" s="430"/>
      <c r="AU133" s="329"/>
      <c r="AV133" s="152"/>
      <c r="AW133" s="152"/>
      <c r="AX133" s="152"/>
    </row>
    <row r="134" spans="1:50" s="333" customFormat="1">
      <c r="A134" s="39" t="s">
        <v>65</v>
      </c>
      <c r="B134" s="21" t="s">
        <v>66</v>
      </c>
      <c r="C134" s="21" t="s">
        <v>21</v>
      </c>
      <c r="D134" s="696">
        <v>11</v>
      </c>
      <c r="E134" s="696">
        <v>3</v>
      </c>
      <c r="F134" s="290">
        <v>1382</v>
      </c>
      <c r="G134" s="699">
        <v>1382</v>
      </c>
      <c r="H134" s="694">
        <f>1382*30%</f>
        <v>414.59999999999997</v>
      </c>
      <c r="I134" s="697">
        <v>1</v>
      </c>
      <c r="J134" s="379">
        <f>ROUND(G134*(1+'29_01_H_2020'!$O$14),2)</f>
        <v>1732.89</v>
      </c>
      <c r="K134" s="151">
        <f t="shared" si="97"/>
        <v>105.27000000000004</v>
      </c>
      <c r="L134" s="151">
        <f>ROUND(H134*(1+'29_01_H_2020'!$O$14),2)</f>
        <v>519.87</v>
      </c>
      <c r="M134" s="151">
        <f t="shared" si="98"/>
        <v>456.16000000000031</v>
      </c>
      <c r="N134" s="151">
        <f t="shared" si="99"/>
        <v>456.16000000000031</v>
      </c>
      <c r="O134" s="151">
        <f t="shared" si="100"/>
        <v>5473.9200000000037</v>
      </c>
      <c r="P134" s="151">
        <f>ROUND(O134*'29_01_H_2020'!$O$17,2)</f>
        <v>1291.3</v>
      </c>
      <c r="Q134" s="380">
        <f t="shared" si="101"/>
        <v>6765.2200000000039</v>
      </c>
      <c r="R134" s="329"/>
      <c r="S134" s="431"/>
      <c r="T134" s="153"/>
      <c r="U134" s="153"/>
      <c r="V134" s="152"/>
      <c r="W134" s="152"/>
      <c r="X134" s="430"/>
      <c r="Y134" s="430"/>
      <c r="Z134" s="430"/>
      <c r="AA134" s="430"/>
      <c r="AB134" s="430"/>
      <c r="AC134" s="430"/>
      <c r="AD134" s="430"/>
      <c r="AE134" s="430"/>
      <c r="AF134" s="430"/>
      <c r="AG134" s="430"/>
      <c r="AH134" s="329"/>
      <c r="AI134" s="152"/>
      <c r="AJ134" s="152"/>
      <c r="AK134" s="430"/>
      <c r="AL134" s="430"/>
      <c r="AM134" s="430"/>
      <c r="AN134" s="430"/>
      <c r="AO134" s="430"/>
      <c r="AP134" s="430"/>
      <c r="AQ134" s="430"/>
      <c r="AR134" s="430"/>
      <c r="AS134" s="430"/>
      <c r="AT134" s="430"/>
      <c r="AU134" s="329"/>
      <c r="AV134" s="152"/>
      <c r="AW134" s="152"/>
      <c r="AX134" s="152"/>
    </row>
    <row r="135" spans="1:50" s="333" customFormat="1">
      <c r="A135" s="39" t="s">
        <v>65</v>
      </c>
      <c r="B135" s="21" t="s">
        <v>66</v>
      </c>
      <c r="C135" s="21" t="s">
        <v>21</v>
      </c>
      <c r="D135" s="696">
        <v>11</v>
      </c>
      <c r="E135" s="696">
        <v>3</v>
      </c>
      <c r="F135" s="290">
        <v>1382</v>
      </c>
      <c r="G135" s="699">
        <v>1382</v>
      </c>
      <c r="H135" s="694">
        <f>1382*20%</f>
        <v>276.40000000000003</v>
      </c>
      <c r="I135" s="697">
        <v>1</v>
      </c>
      <c r="J135" s="379">
        <f>ROUND(G135*(1+'29_01_H_2020'!$O$14),2)</f>
        <v>1732.89</v>
      </c>
      <c r="K135" s="151">
        <f t="shared" si="97"/>
        <v>70.17999999999995</v>
      </c>
      <c r="L135" s="151">
        <f>ROUND(H135*(1+'29_01_H_2020'!$O$14),2)</f>
        <v>346.58</v>
      </c>
      <c r="M135" s="151">
        <f t="shared" si="98"/>
        <v>421.07000000000016</v>
      </c>
      <c r="N135" s="151">
        <f t="shared" si="99"/>
        <v>421.07000000000016</v>
      </c>
      <c r="O135" s="151">
        <f t="shared" si="100"/>
        <v>5052.840000000002</v>
      </c>
      <c r="P135" s="151">
        <f>ROUND(O135*'29_01_H_2020'!$O$17,2)</f>
        <v>1191.96</v>
      </c>
      <c r="Q135" s="380">
        <f t="shared" si="101"/>
        <v>6244.800000000002</v>
      </c>
      <c r="R135" s="329"/>
      <c r="S135" s="431"/>
      <c r="T135" s="153"/>
      <c r="U135" s="153"/>
      <c r="V135" s="152"/>
      <c r="W135" s="152"/>
      <c r="X135" s="430"/>
      <c r="Y135" s="430"/>
      <c r="Z135" s="430"/>
      <c r="AA135" s="430"/>
      <c r="AB135" s="430"/>
      <c r="AC135" s="430"/>
      <c r="AD135" s="430"/>
      <c r="AE135" s="430"/>
      <c r="AF135" s="430"/>
      <c r="AG135" s="430"/>
      <c r="AH135" s="329"/>
      <c r="AI135" s="152"/>
      <c r="AJ135" s="152"/>
      <c r="AK135" s="430"/>
      <c r="AL135" s="430"/>
      <c r="AM135" s="430"/>
      <c r="AN135" s="430"/>
      <c r="AO135" s="430"/>
      <c r="AP135" s="430"/>
      <c r="AQ135" s="430"/>
      <c r="AR135" s="430"/>
      <c r="AS135" s="430"/>
      <c r="AT135" s="430"/>
      <c r="AU135" s="329"/>
      <c r="AV135" s="152"/>
      <c r="AW135" s="152"/>
      <c r="AX135" s="152"/>
    </row>
    <row r="136" spans="1:50" s="333" customFormat="1">
      <c r="A136" s="39" t="s">
        <v>65</v>
      </c>
      <c r="B136" s="21" t="s">
        <v>66</v>
      </c>
      <c r="C136" s="21" t="s">
        <v>13</v>
      </c>
      <c r="D136" s="696">
        <v>12</v>
      </c>
      <c r="E136" s="696">
        <v>3</v>
      </c>
      <c r="F136" s="290">
        <v>1647</v>
      </c>
      <c r="G136" s="699">
        <v>1647</v>
      </c>
      <c r="H136" s="694"/>
      <c r="I136" s="697">
        <v>1</v>
      </c>
      <c r="J136" s="379">
        <f>ROUND(G136*(1+'29_01_H_2020'!$O$14),2)</f>
        <v>2065.17</v>
      </c>
      <c r="K136" s="151">
        <f t="shared" si="97"/>
        <v>0</v>
      </c>
      <c r="L136" s="151">
        <f>ROUND(H136*(1+'29_01_H_2020'!$O$14),2)</f>
        <v>0</v>
      </c>
      <c r="M136" s="151">
        <f t="shared" si="98"/>
        <v>418.17000000000007</v>
      </c>
      <c r="N136" s="151">
        <f t="shared" si="99"/>
        <v>418.17000000000007</v>
      </c>
      <c r="O136" s="151">
        <f t="shared" si="100"/>
        <v>5018.0400000000009</v>
      </c>
      <c r="P136" s="151">
        <f>ROUND(O136*'29_01_H_2020'!$O$17,2)</f>
        <v>1183.76</v>
      </c>
      <c r="Q136" s="380">
        <f t="shared" si="101"/>
        <v>6201.8000000000011</v>
      </c>
      <c r="R136" s="329"/>
      <c r="S136" s="431"/>
      <c r="T136" s="153"/>
      <c r="U136" s="153"/>
      <c r="V136" s="152"/>
      <c r="W136" s="152"/>
      <c r="X136" s="430"/>
      <c r="Y136" s="430"/>
      <c r="Z136" s="430"/>
      <c r="AA136" s="430"/>
      <c r="AB136" s="430"/>
      <c r="AC136" s="430"/>
      <c r="AD136" s="430"/>
      <c r="AE136" s="430"/>
      <c r="AF136" s="430"/>
      <c r="AG136" s="430"/>
      <c r="AH136" s="329"/>
      <c r="AI136" s="152"/>
      <c r="AJ136" s="152"/>
      <c r="AK136" s="430"/>
      <c r="AL136" s="430"/>
      <c r="AM136" s="430"/>
      <c r="AN136" s="430"/>
      <c r="AO136" s="430"/>
      <c r="AP136" s="430"/>
      <c r="AQ136" s="430"/>
      <c r="AR136" s="430"/>
      <c r="AS136" s="430"/>
      <c r="AT136" s="430"/>
      <c r="AU136" s="329"/>
      <c r="AV136" s="152"/>
      <c r="AW136" s="152"/>
      <c r="AX136" s="152"/>
    </row>
    <row r="137" spans="1:50" s="333" customFormat="1">
      <c r="A137" s="39" t="s">
        <v>65</v>
      </c>
      <c r="B137" s="21" t="s">
        <v>66</v>
      </c>
      <c r="C137" s="21" t="s">
        <v>13</v>
      </c>
      <c r="D137" s="696">
        <v>12</v>
      </c>
      <c r="E137" s="696">
        <v>3</v>
      </c>
      <c r="F137" s="290">
        <v>1647</v>
      </c>
      <c r="G137" s="699">
        <v>1617</v>
      </c>
      <c r="H137" s="694"/>
      <c r="I137" s="697">
        <v>1</v>
      </c>
      <c r="J137" s="379">
        <f>ROUND(G137*(1+'29_01_H_2020'!$O$14),2)</f>
        <v>2027.56</v>
      </c>
      <c r="K137" s="151">
        <f t="shared" si="97"/>
        <v>0</v>
      </c>
      <c r="L137" s="151">
        <f>ROUND(H137*(1+'29_01_H_2020'!$O$14),2)</f>
        <v>0</v>
      </c>
      <c r="M137" s="151">
        <f t="shared" si="98"/>
        <v>410.55999999999995</v>
      </c>
      <c r="N137" s="151">
        <f t="shared" si="99"/>
        <v>410.55999999999995</v>
      </c>
      <c r="O137" s="151">
        <f t="shared" si="100"/>
        <v>4926.7199999999993</v>
      </c>
      <c r="P137" s="151">
        <f>ROUND(O137*'29_01_H_2020'!$O$17,2)</f>
        <v>1162.21</v>
      </c>
      <c r="Q137" s="380">
        <f t="shared" si="101"/>
        <v>6088.9299999999994</v>
      </c>
      <c r="R137" s="329"/>
      <c r="S137" s="431"/>
      <c r="T137" s="153"/>
      <c r="U137" s="153"/>
      <c r="V137" s="152"/>
      <c r="W137" s="152"/>
      <c r="X137" s="430"/>
      <c r="Y137" s="430"/>
      <c r="Z137" s="430"/>
      <c r="AA137" s="430"/>
      <c r="AB137" s="430"/>
      <c r="AC137" s="430"/>
      <c r="AD137" s="430"/>
      <c r="AE137" s="430"/>
      <c r="AF137" s="430"/>
      <c r="AG137" s="430"/>
      <c r="AH137" s="329"/>
      <c r="AI137" s="152"/>
      <c r="AJ137" s="152"/>
      <c r="AK137" s="430"/>
      <c r="AL137" s="430"/>
      <c r="AM137" s="430"/>
      <c r="AN137" s="430"/>
      <c r="AO137" s="430"/>
      <c r="AP137" s="430"/>
      <c r="AQ137" s="430"/>
      <c r="AR137" s="430"/>
      <c r="AS137" s="430"/>
      <c r="AT137" s="430"/>
      <c r="AU137" s="329"/>
      <c r="AV137" s="152"/>
      <c r="AW137" s="152"/>
      <c r="AX137" s="152"/>
    </row>
    <row r="138" spans="1:50" s="333" customFormat="1">
      <c r="A138" s="119" t="s">
        <v>65</v>
      </c>
      <c r="B138" s="705" t="s">
        <v>66</v>
      </c>
      <c r="C138" s="705" t="s">
        <v>13</v>
      </c>
      <c r="D138" s="229">
        <v>12</v>
      </c>
      <c r="E138" s="229">
        <v>3</v>
      </c>
      <c r="F138" s="709">
        <v>1647</v>
      </c>
      <c r="G138" s="699">
        <f>1382*1.1</f>
        <v>1520.2</v>
      </c>
      <c r="H138" s="694"/>
      <c r="I138" s="704">
        <v>1</v>
      </c>
      <c r="J138" s="379">
        <f>ROUND(G138*(1+'29_01_H_2020'!$O$14),2)</f>
        <v>1906.18</v>
      </c>
      <c r="K138" s="151">
        <f t="shared" si="97"/>
        <v>0</v>
      </c>
      <c r="L138" s="151">
        <f>ROUND(H138*(1+'29_01_H_2020'!$O$14),2)</f>
        <v>0</v>
      </c>
      <c r="M138" s="151">
        <f t="shared" si="98"/>
        <v>385.98</v>
      </c>
      <c r="N138" s="151">
        <f t="shared" si="99"/>
        <v>385.98</v>
      </c>
      <c r="O138" s="151">
        <f t="shared" si="100"/>
        <v>4631.76</v>
      </c>
      <c r="P138" s="151">
        <f>ROUND(O138*'29_01_H_2020'!$O$17,2)</f>
        <v>1092.6300000000001</v>
      </c>
      <c r="Q138" s="380">
        <f t="shared" si="101"/>
        <v>5724.39</v>
      </c>
      <c r="R138" s="329"/>
      <c r="S138" s="431"/>
      <c r="T138" s="153"/>
      <c r="U138" s="153"/>
      <c r="V138" s="152"/>
      <c r="W138" s="152"/>
      <c r="X138" s="430"/>
      <c r="Y138" s="430"/>
      <c r="Z138" s="430"/>
      <c r="AA138" s="430"/>
      <c r="AB138" s="430"/>
      <c r="AC138" s="430"/>
      <c r="AD138" s="430"/>
      <c r="AE138" s="430"/>
      <c r="AF138" s="430"/>
      <c r="AG138" s="430"/>
      <c r="AH138" s="329"/>
      <c r="AI138" s="152"/>
      <c r="AJ138" s="152"/>
      <c r="AK138" s="430"/>
      <c r="AL138" s="430"/>
      <c r="AM138" s="430"/>
      <c r="AN138" s="430"/>
      <c r="AO138" s="430"/>
      <c r="AP138" s="430"/>
      <c r="AQ138" s="430"/>
      <c r="AR138" s="430"/>
      <c r="AS138" s="430"/>
      <c r="AT138" s="430"/>
      <c r="AU138" s="329"/>
      <c r="AV138" s="152"/>
      <c r="AW138" s="152"/>
      <c r="AX138" s="152"/>
    </row>
    <row r="139" spans="1:50" s="333" customFormat="1">
      <c r="A139" s="20" t="s">
        <v>67</v>
      </c>
      <c r="B139" s="696" t="s">
        <v>66</v>
      </c>
      <c r="C139" s="696" t="s">
        <v>19</v>
      </c>
      <c r="D139" s="696">
        <v>11</v>
      </c>
      <c r="E139" s="696">
        <v>3</v>
      </c>
      <c r="F139" s="290">
        <v>1382</v>
      </c>
      <c r="G139" s="699">
        <v>1382</v>
      </c>
      <c r="H139" s="694"/>
      <c r="I139" s="701">
        <v>4</v>
      </c>
      <c r="J139" s="379">
        <f>ROUND(G139*(1+'29_01_H_2020'!$O$14),2)</f>
        <v>1732.89</v>
      </c>
      <c r="K139" s="151">
        <f t="shared" si="97"/>
        <v>0</v>
      </c>
      <c r="L139" s="151">
        <f>ROUND(H139*(1+'29_01_H_2020'!$O$14),2)</f>
        <v>0</v>
      </c>
      <c r="M139" s="151">
        <f t="shared" si="98"/>
        <v>350.8900000000001</v>
      </c>
      <c r="N139" s="151">
        <f t="shared" si="99"/>
        <v>1403.5600000000004</v>
      </c>
      <c r="O139" s="151">
        <f t="shared" si="100"/>
        <v>16842.720000000005</v>
      </c>
      <c r="P139" s="151">
        <f>ROUND(O139*'29_01_H_2020'!$O$17,2)</f>
        <v>3973.2</v>
      </c>
      <c r="Q139" s="380">
        <f t="shared" si="101"/>
        <v>20815.920000000006</v>
      </c>
      <c r="R139" s="329"/>
      <c r="S139" s="431"/>
      <c r="T139" s="153"/>
      <c r="U139" s="153"/>
      <c r="V139" s="152"/>
      <c r="W139" s="152"/>
      <c r="X139" s="430"/>
      <c r="Y139" s="430"/>
      <c r="Z139" s="430"/>
      <c r="AA139" s="430"/>
      <c r="AB139" s="430"/>
      <c r="AC139" s="430"/>
      <c r="AD139" s="430"/>
      <c r="AE139" s="430"/>
      <c r="AF139" s="430"/>
      <c r="AG139" s="430"/>
      <c r="AH139" s="329"/>
      <c r="AI139" s="152"/>
      <c r="AJ139" s="152"/>
      <c r="AK139" s="430"/>
      <c r="AL139" s="430"/>
      <c r="AM139" s="430"/>
      <c r="AN139" s="430"/>
      <c r="AO139" s="430"/>
      <c r="AP139" s="430"/>
      <c r="AQ139" s="430"/>
      <c r="AR139" s="430"/>
      <c r="AS139" s="430"/>
      <c r="AT139" s="430"/>
      <c r="AU139" s="329"/>
      <c r="AV139" s="152"/>
      <c r="AW139" s="152"/>
      <c r="AX139" s="152"/>
    </row>
    <row r="140" spans="1:50" s="333" customFormat="1">
      <c r="A140" s="20" t="s">
        <v>67</v>
      </c>
      <c r="B140" s="696" t="s">
        <v>66</v>
      </c>
      <c r="C140" s="696" t="s">
        <v>19</v>
      </c>
      <c r="D140" s="696">
        <v>11</v>
      </c>
      <c r="E140" s="696">
        <v>3</v>
      </c>
      <c r="F140" s="290">
        <v>1382</v>
      </c>
      <c r="G140" s="699">
        <v>1382</v>
      </c>
      <c r="H140" s="694">
        <f>1382*20%</f>
        <v>276.40000000000003</v>
      </c>
      <c r="I140" s="701">
        <v>2</v>
      </c>
      <c r="J140" s="379">
        <f>ROUND(G140*(1+'29_01_H_2020'!$O$14),2)</f>
        <v>1732.89</v>
      </c>
      <c r="K140" s="151">
        <f t="shared" si="97"/>
        <v>70.17999999999995</v>
      </c>
      <c r="L140" s="151">
        <f>ROUND(H140*(1+'29_01_H_2020'!$O$14),2)</f>
        <v>346.58</v>
      </c>
      <c r="M140" s="151">
        <f t="shared" si="98"/>
        <v>421.07000000000016</v>
      </c>
      <c r="N140" s="151">
        <f t="shared" si="99"/>
        <v>842.14000000000033</v>
      </c>
      <c r="O140" s="151">
        <f t="shared" si="100"/>
        <v>10105.680000000004</v>
      </c>
      <c r="P140" s="151">
        <f>ROUND(O140*'29_01_H_2020'!$O$17,2)</f>
        <v>2383.9299999999998</v>
      </c>
      <c r="Q140" s="380">
        <f t="shared" si="101"/>
        <v>12489.610000000004</v>
      </c>
      <c r="R140" s="329"/>
      <c r="S140" s="431"/>
      <c r="T140" s="153"/>
      <c r="U140" s="153"/>
      <c r="V140" s="152"/>
      <c r="W140" s="152"/>
      <c r="X140" s="430"/>
      <c r="Y140" s="430"/>
      <c r="Z140" s="430"/>
      <c r="AA140" s="430"/>
      <c r="AB140" s="430"/>
      <c r="AC140" s="430"/>
      <c r="AD140" s="430"/>
      <c r="AE140" s="430"/>
      <c r="AF140" s="430"/>
      <c r="AG140" s="430"/>
      <c r="AH140" s="329"/>
      <c r="AI140" s="152"/>
      <c r="AJ140" s="152"/>
      <c r="AK140" s="430"/>
      <c r="AL140" s="430"/>
      <c r="AM140" s="430"/>
      <c r="AN140" s="430"/>
      <c r="AO140" s="430"/>
      <c r="AP140" s="430"/>
      <c r="AQ140" s="430"/>
      <c r="AR140" s="430"/>
      <c r="AS140" s="430"/>
      <c r="AT140" s="430"/>
      <c r="AU140" s="329"/>
      <c r="AV140" s="152"/>
      <c r="AW140" s="152"/>
      <c r="AX140" s="152"/>
    </row>
    <row r="141" spans="1:50" s="333" customFormat="1">
      <c r="A141" s="20" t="s">
        <v>67</v>
      </c>
      <c r="B141" s="696" t="s">
        <v>66</v>
      </c>
      <c r="C141" s="696" t="s">
        <v>19</v>
      </c>
      <c r="D141" s="696">
        <v>11</v>
      </c>
      <c r="E141" s="696">
        <v>3</v>
      </c>
      <c r="F141" s="290">
        <v>1382</v>
      </c>
      <c r="G141" s="699">
        <v>1382</v>
      </c>
      <c r="H141" s="694">
        <f>1382*40%</f>
        <v>552.80000000000007</v>
      </c>
      <c r="I141" s="701">
        <v>1</v>
      </c>
      <c r="J141" s="379">
        <f>ROUND(G141*(1+'29_01_H_2020'!$O$14),2)</f>
        <v>1732.89</v>
      </c>
      <c r="K141" s="151">
        <f t="shared" si="97"/>
        <v>140.3599999999999</v>
      </c>
      <c r="L141" s="151">
        <f>ROUND(H141*(1+'29_01_H_2020'!$O$14),2)</f>
        <v>693.16</v>
      </c>
      <c r="M141" s="151">
        <f t="shared" si="98"/>
        <v>491.25</v>
      </c>
      <c r="N141" s="151">
        <f t="shared" si="99"/>
        <v>491.25</v>
      </c>
      <c r="O141" s="151">
        <f t="shared" si="100"/>
        <v>5895</v>
      </c>
      <c r="P141" s="151">
        <f>ROUND(O141*'29_01_H_2020'!$O$17,2)</f>
        <v>1390.63</v>
      </c>
      <c r="Q141" s="380">
        <f t="shared" si="101"/>
        <v>7285.63</v>
      </c>
      <c r="R141" s="329"/>
      <c r="S141" s="431"/>
      <c r="T141" s="153"/>
      <c r="U141" s="153"/>
      <c r="V141" s="152"/>
      <c r="W141" s="152"/>
      <c r="X141" s="430"/>
      <c r="Y141" s="430"/>
      <c r="Z141" s="430"/>
      <c r="AA141" s="430"/>
      <c r="AB141" s="430"/>
      <c r="AC141" s="430"/>
      <c r="AD141" s="430"/>
      <c r="AE141" s="430"/>
      <c r="AF141" s="430"/>
      <c r="AG141" s="430"/>
      <c r="AH141" s="329"/>
      <c r="AI141" s="152"/>
      <c r="AJ141" s="152"/>
      <c r="AK141" s="430"/>
      <c r="AL141" s="430"/>
      <c r="AM141" s="430"/>
      <c r="AN141" s="430"/>
      <c r="AO141" s="430"/>
      <c r="AP141" s="430"/>
      <c r="AQ141" s="430"/>
      <c r="AR141" s="430"/>
      <c r="AS141" s="430"/>
      <c r="AT141" s="430"/>
      <c r="AU141" s="329"/>
      <c r="AV141" s="152"/>
      <c r="AW141" s="152"/>
      <c r="AX141" s="152"/>
    </row>
    <row r="142" spans="1:50" s="333" customFormat="1">
      <c r="A142" s="20" t="s">
        <v>67</v>
      </c>
      <c r="B142" s="696" t="s">
        <v>66</v>
      </c>
      <c r="C142" s="696" t="s">
        <v>19</v>
      </c>
      <c r="D142" s="696">
        <v>11</v>
      </c>
      <c r="E142" s="696">
        <v>3</v>
      </c>
      <c r="F142" s="290">
        <v>1382</v>
      </c>
      <c r="G142" s="699">
        <v>1382</v>
      </c>
      <c r="H142" s="703"/>
      <c r="I142" s="701">
        <v>1</v>
      </c>
      <c r="J142" s="379">
        <f>ROUND(G142*(1+'29_01_H_2020'!$O$14),2)</f>
        <v>1732.89</v>
      </c>
      <c r="K142" s="151">
        <f t="shared" si="97"/>
        <v>0</v>
      </c>
      <c r="L142" s="151">
        <f>ROUND(H142*(1+'29_01_H_2020'!$O$14),2)</f>
        <v>0</v>
      </c>
      <c r="M142" s="151">
        <f t="shared" si="98"/>
        <v>350.8900000000001</v>
      </c>
      <c r="N142" s="151">
        <f t="shared" si="99"/>
        <v>350.8900000000001</v>
      </c>
      <c r="O142" s="151">
        <f t="shared" si="100"/>
        <v>4210.6800000000012</v>
      </c>
      <c r="P142" s="151">
        <f>ROUND(O142*'29_01_H_2020'!$O$17,2)</f>
        <v>993.3</v>
      </c>
      <c r="Q142" s="380">
        <f t="shared" si="101"/>
        <v>5203.9800000000014</v>
      </c>
      <c r="R142" s="329"/>
      <c r="S142" s="431"/>
      <c r="T142" s="153"/>
      <c r="U142" s="153"/>
      <c r="V142" s="152"/>
      <c r="W142" s="152"/>
      <c r="X142" s="430"/>
      <c r="Y142" s="430"/>
      <c r="Z142" s="430"/>
      <c r="AA142" s="430"/>
      <c r="AB142" s="430"/>
      <c r="AC142" s="430"/>
      <c r="AD142" s="430"/>
      <c r="AE142" s="430"/>
      <c r="AF142" s="430"/>
      <c r="AG142" s="430"/>
      <c r="AH142" s="329"/>
      <c r="AI142" s="152"/>
      <c r="AJ142" s="152"/>
      <c r="AK142" s="430"/>
      <c r="AL142" s="430"/>
      <c r="AM142" s="430"/>
      <c r="AN142" s="430"/>
      <c r="AO142" s="430"/>
      <c r="AP142" s="430"/>
      <c r="AQ142" s="430"/>
      <c r="AR142" s="430"/>
      <c r="AS142" s="430"/>
      <c r="AT142" s="430"/>
      <c r="AU142" s="329"/>
      <c r="AV142" s="152"/>
      <c r="AW142" s="152"/>
      <c r="AX142" s="152"/>
    </row>
    <row r="143" spans="1:50" s="333" customFormat="1">
      <c r="A143" s="20" t="s">
        <v>67</v>
      </c>
      <c r="B143" s="696" t="s">
        <v>66</v>
      </c>
      <c r="C143" s="696" t="s">
        <v>19</v>
      </c>
      <c r="D143" s="696">
        <v>11</v>
      </c>
      <c r="E143" s="696">
        <v>3</v>
      </c>
      <c r="F143" s="290">
        <v>1382</v>
      </c>
      <c r="G143" s="699">
        <v>1280</v>
      </c>
      <c r="H143" s="694"/>
      <c r="I143" s="701">
        <v>3</v>
      </c>
      <c r="J143" s="379">
        <f>ROUND(G143*(1+'29_01_H_2020'!$O$14),2)</f>
        <v>1604.99</v>
      </c>
      <c r="K143" s="151">
        <f t="shared" si="97"/>
        <v>0</v>
      </c>
      <c r="L143" s="151">
        <f>ROUND(H143*(1+'29_01_H_2020'!$O$14),2)</f>
        <v>0</v>
      </c>
      <c r="M143" s="151">
        <f t="shared" si="98"/>
        <v>324.99</v>
      </c>
      <c r="N143" s="151">
        <f t="shared" si="99"/>
        <v>974.97</v>
      </c>
      <c r="O143" s="151">
        <f t="shared" si="100"/>
        <v>11699.64</v>
      </c>
      <c r="P143" s="151">
        <f>ROUND(O143*'29_01_H_2020'!$O$17,2)</f>
        <v>2759.95</v>
      </c>
      <c r="Q143" s="380">
        <f t="shared" si="101"/>
        <v>14459.59</v>
      </c>
      <c r="R143" s="329"/>
      <c r="S143" s="431"/>
      <c r="T143" s="153"/>
      <c r="U143" s="153"/>
      <c r="V143" s="152"/>
      <c r="W143" s="152"/>
      <c r="X143" s="430"/>
      <c r="Y143" s="430"/>
      <c r="Z143" s="430"/>
      <c r="AA143" s="430"/>
      <c r="AB143" s="430"/>
      <c r="AC143" s="430"/>
      <c r="AD143" s="430"/>
      <c r="AE143" s="430"/>
      <c r="AF143" s="430"/>
      <c r="AG143" s="430"/>
      <c r="AH143" s="329"/>
      <c r="AI143" s="152"/>
      <c r="AJ143" s="152"/>
      <c r="AK143" s="430"/>
      <c r="AL143" s="430"/>
      <c r="AM143" s="430"/>
      <c r="AN143" s="430"/>
      <c r="AO143" s="430"/>
      <c r="AP143" s="430"/>
      <c r="AQ143" s="430"/>
      <c r="AR143" s="430"/>
      <c r="AS143" s="430"/>
      <c r="AT143" s="430"/>
      <c r="AU143" s="329"/>
      <c r="AV143" s="152"/>
      <c r="AW143" s="152"/>
      <c r="AX143" s="152"/>
    </row>
    <row r="144" spans="1:50" s="333" customFormat="1">
      <c r="A144" s="20" t="s">
        <v>67</v>
      </c>
      <c r="B144" s="696" t="s">
        <v>66</v>
      </c>
      <c r="C144" s="696" t="s">
        <v>19</v>
      </c>
      <c r="D144" s="696">
        <v>11</v>
      </c>
      <c r="E144" s="696">
        <v>3</v>
      </c>
      <c r="F144" s="290">
        <v>1382</v>
      </c>
      <c r="G144" s="699">
        <v>1243</v>
      </c>
      <c r="H144" s="694"/>
      <c r="I144" s="701">
        <v>2</v>
      </c>
      <c r="J144" s="379">
        <f>ROUND(G144*(1+'29_01_H_2020'!$O$14),2)</f>
        <v>1558.6</v>
      </c>
      <c r="K144" s="151">
        <f t="shared" si="97"/>
        <v>0</v>
      </c>
      <c r="L144" s="151">
        <f>ROUND(H144*(1+'29_01_H_2020'!$O$14),2)</f>
        <v>0</v>
      </c>
      <c r="M144" s="151">
        <f t="shared" si="98"/>
        <v>315.59999999999991</v>
      </c>
      <c r="N144" s="151">
        <f t="shared" si="99"/>
        <v>631.19999999999982</v>
      </c>
      <c r="O144" s="151">
        <f t="shared" si="100"/>
        <v>7574.3999999999978</v>
      </c>
      <c r="P144" s="151">
        <f>ROUND(O144*'29_01_H_2020'!$O$17,2)</f>
        <v>1786.8</v>
      </c>
      <c r="Q144" s="380">
        <f t="shared" si="101"/>
        <v>9361.1999999999971</v>
      </c>
      <c r="R144" s="329"/>
      <c r="S144" s="431"/>
      <c r="T144" s="153"/>
      <c r="U144" s="153"/>
      <c r="V144" s="152"/>
      <c r="W144" s="152"/>
      <c r="X144" s="430"/>
      <c r="Y144" s="430"/>
      <c r="Z144" s="430"/>
      <c r="AA144" s="430"/>
      <c r="AB144" s="430"/>
      <c r="AC144" s="430"/>
      <c r="AD144" s="430"/>
      <c r="AE144" s="430"/>
      <c r="AF144" s="430"/>
      <c r="AG144" s="430"/>
      <c r="AH144" s="329"/>
      <c r="AI144" s="152"/>
      <c r="AJ144" s="152"/>
      <c r="AK144" s="430"/>
      <c r="AL144" s="430"/>
      <c r="AM144" s="430"/>
      <c r="AN144" s="430"/>
      <c r="AO144" s="430"/>
      <c r="AP144" s="430"/>
      <c r="AQ144" s="430"/>
      <c r="AR144" s="430"/>
      <c r="AS144" s="430"/>
      <c r="AT144" s="430"/>
      <c r="AU144" s="329"/>
      <c r="AV144" s="152"/>
      <c r="AW144" s="152"/>
      <c r="AX144" s="152"/>
    </row>
    <row r="145" spans="1:50" s="333" customFormat="1">
      <c r="A145" s="39" t="s">
        <v>67</v>
      </c>
      <c r="B145" s="21" t="s">
        <v>66</v>
      </c>
      <c r="C145" s="21" t="s">
        <v>19</v>
      </c>
      <c r="D145" s="696">
        <v>11</v>
      </c>
      <c r="E145" s="696">
        <v>3</v>
      </c>
      <c r="F145" s="290">
        <v>1382</v>
      </c>
      <c r="G145" s="699">
        <v>1382</v>
      </c>
      <c r="H145" s="694">
        <f>G145*40%</f>
        <v>552.80000000000007</v>
      </c>
      <c r="I145" s="701">
        <v>1</v>
      </c>
      <c r="J145" s="379">
        <f>ROUND(G145*(1+'29_01_H_2020'!$O$14),2)</f>
        <v>1732.89</v>
      </c>
      <c r="K145" s="151">
        <f t="shared" si="97"/>
        <v>140.3599999999999</v>
      </c>
      <c r="L145" s="151">
        <f>ROUND(H145*(1+'29_01_H_2020'!$O$14),2)</f>
        <v>693.16</v>
      </c>
      <c r="M145" s="151">
        <f t="shared" si="98"/>
        <v>491.25</v>
      </c>
      <c r="N145" s="151">
        <f t="shared" si="99"/>
        <v>491.25</v>
      </c>
      <c r="O145" s="151">
        <f t="shared" si="100"/>
        <v>5895</v>
      </c>
      <c r="P145" s="151">
        <f>ROUND(O145*'29_01_H_2020'!$O$17,2)</f>
        <v>1390.63</v>
      </c>
      <c r="Q145" s="380">
        <f t="shared" si="101"/>
        <v>7285.63</v>
      </c>
      <c r="R145" s="329"/>
      <c r="S145" s="431"/>
      <c r="T145" s="153"/>
      <c r="U145" s="153"/>
      <c r="V145" s="152"/>
      <c r="W145" s="152"/>
      <c r="X145" s="430"/>
      <c r="Y145" s="430"/>
      <c r="Z145" s="430"/>
      <c r="AA145" s="430"/>
      <c r="AB145" s="430"/>
      <c r="AC145" s="430"/>
      <c r="AD145" s="430"/>
      <c r="AE145" s="430"/>
      <c r="AF145" s="430"/>
      <c r="AG145" s="430"/>
      <c r="AH145" s="329"/>
      <c r="AI145" s="152"/>
      <c r="AJ145" s="152"/>
      <c r="AK145" s="430"/>
      <c r="AL145" s="430"/>
      <c r="AM145" s="430"/>
      <c r="AN145" s="430"/>
      <c r="AO145" s="430"/>
      <c r="AP145" s="430"/>
      <c r="AQ145" s="430"/>
      <c r="AR145" s="430"/>
      <c r="AS145" s="430"/>
      <c r="AT145" s="430"/>
      <c r="AU145" s="329"/>
      <c r="AV145" s="152"/>
      <c r="AW145" s="152"/>
      <c r="AX145" s="152"/>
    </row>
    <row r="146" spans="1:50" s="333" customFormat="1">
      <c r="A146" s="20" t="s">
        <v>68</v>
      </c>
      <c r="B146" s="696" t="s">
        <v>66</v>
      </c>
      <c r="C146" s="696" t="s">
        <v>19</v>
      </c>
      <c r="D146" s="696">
        <v>11</v>
      </c>
      <c r="E146" s="26" t="s">
        <v>69</v>
      </c>
      <c r="F146" s="291">
        <v>1382</v>
      </c>
      <c r="G146" s="699">
        <v>1350</v>
      </c>
      <c r="H146" s="694"/>
      <c r="I146" s="697">
        <v>4</v>
      </c>
      <c r="J146" s="379">
        <f>ROUND(G146*(1+'29_01_H_2020'!$O$14),2)</f>
        <v>1692.77</v>
      </c>
      <c r="K146" s="151">
        <f t="shared" si="97"/>
        <v>0</v>
      </c>
      <c r="L146" s="151">
        <f>ROUND(H146*(1+'29_01_H_2020'!$O$14),2)</f>
        <v>0</v>
      </c>
      <c r="M146" s="151">
        <f t="shared" si="98"/>
        <v>342.77</v>
      </c>
      <c r="N146" s="151">
        <f t="shared" si="99"/>
        <v>1371.08</v>
      </c>
      <c r="O146" s="151">
        <f t="shared" si="100"/>
        <v>16452.96</v>
      </c>
      <c r="P146" s="151">
        <f>ROUND(O146*'29_01_H_2020'!$O$17,2)</f>
        <v>3881.25</v>
      </c>
      <c r="Q146" s="380">
        <f t="shared" si="101"/>
        <v>20334.21</v>
      </c>
      <c r="R146" s="329"/>
      <c r="S146" s="431"/>
      <c r="T146" s="153"/>
      <c r="U146" s="153"/>
      <c r="V146" s="152"/>
      <c r="W146" s="152"/>
      <c r="X146" s="430"/>
      <c r="Y146" s="430"/>
      <c r="Z146" s="430"/>
      <c r="AA146" s="430"/>
      <c r="AB146" s="430"/>
      <c r="AC146" s="430"/>
      <c r="AD146" s="430"/>
      <c r="AE146" s="430"/>
      <c r="AF146" s="430"/>
      <c r="AG146" s="430"/>
      <c r="AH146" s="329"/>
      <c r="AI146" s="152"/>
      <c r="AJ146" s="152"/>
      <c r="AK146" s="430"/>
      <c r="AL146" s="430"/>
      <c r="AM146" s="430"/>
      <c r="AN146" s="430"/>
      <c r="AO146" s="430"/>
      <c r="AP146" s="430"/>
      <c r="AQ146" s="430"/>
      <c r="AR146" s="430"/>
      <c r="AS146" s="430"/>
      <c r="AT146" s="430"/>
      <c r="AU146" s="329"/>
      <c r="AV146" s="152"/>
      <c r="AW146" s="152"/>
      <c r="AX146" s="152"/>
    </row>
    <row r="147" spans="1:50" s="333" customFormat="1">
      <c r="A147" s="692" t="s">
        <v>70</v>
      </c>
      <c r="B147" s="21" t="s">
        <v>66</v>
      </c>
      <c r="C147" s="21" t="s">
        <v>71</v>
      </c>
      <c r="D147" s="696">
        <v>10</v>
      </c>
      <c r="E147" s="696">
        <v>3</v>
      </c>
      <c r="F147" s="291">
        <v>1287</v>
      </c>
      <c r="G147" s="699">
        <v>1232</v>
      </c>
      <c r="H147" s="694"/>
      <c r="I147" s="697">
        <v>1</v>
      </c>
      <c r="J147" s="379">
        <f>ROUND(G147*(1+'29_01_H_2020'!$O$14),2)</f>
        <v>1544.8</v>
      </c>
      <c r="K147" s="151">
        <f t="shared" si="97"/>
        <v>0</v>
      </c>
      <c r="L147" s="151">
        <f>ROUND(H147*(1+'29_01_H_2020'!$O$14),2)</f>
        <v>0</v>
      </c>
      <c r="M147" s="151">
        <f t="shared" si="98"/>
        <v>312.79999999999995</v>
      </c>
      <c r="N147" s="151">
        <f t="shared" si="99"/>
        <v>312.79999999999995</v>
      </c>
      <c r="O147" s="151">
        <f t="shared" si="100"/>
        <v>3753.5999999999995</v>
      </c>
      <c r="P147" s="151">
        <f>ROUND(O147*'29_01_H_2020'!$O$17,2)</f>
        <v>885.47</v>
      </c>
      <c r="Q147" s="380">
        <f t="shared" si="101"/>
        <v>4639.07</v>
      </c>
      <c r="R147" s="329"/>
      <c r="S147" s="431"/>
      <c r="T147" s="153"/>
      <c r="U147" s="153"/>
      <c r="V147" s="152"/>
      <c r="W147" s="152"/>
      <c r="X147" s="430"/>
      <c r="Y147" s="430"/>
      <c r="Z147" s="430"/>
      <c r="AA147" s="430"/>
      <c r="AB147" s="430"/>
      <c r="AC147" s="430"/>
      <c r="AD147" s="430"/>
      <c r="AE147" s="430"/>
      <c r="AF147" s="430"/>
      <c r="AG147" s="430"/>
      <c r="AH147" s="329"/>
      <c r="AI147" s="152"/>
      <c r="AJ147" s="152"/>
      <c r="AK147" s="430"/>
      <c r="AL147" s="430"/>
      <c r="AM147" s="430"/>
      <c r="AN147" s="430"/>
      <c r="AO147" s="430"/>
      <c r="AP147" s="430"/>
      <c r="AQ147" s="430"/>
      <c r="AR147" s="430"/>
      <c r="AS147" s="430"/>
      <c r="AT147" s="430"/>
      <c r="AU147" s="329"/>
      <c r="AV147" s="152"/>
      <c r="AW147" s="152"/>
      <c r="AX147" s="152"/>
    </row>
    <row r="148" spans="1:50">
      <c r="A148" s="692" t="s">
        <v>70</v>
      </c>
      <c r="B148" s="696" t="s">
        <v>66</v>
      </c>
      <c r="C148" s="696" t="s">
        <v>71</v>
      </c>
      <c r="D148" s="696">
        <v>10</v>
      </c>
      <c r="E148" s="696">
        <v>3</v>
      </c>
      <c r="F148" s="291">
        <v>1287</v>
      </c>
      <c r="G148" s="699">
        <v>1100</v>
      </c>
      <c r="H148" s="694"/>
      <c r="I148" s="697">
        <v>1</v>
      </c>
      <c r="J148" s="379">
        <f>ROUND(G148*(1+'29_01_H_2020'!$O$14),2)</f>
        <v>1379.29</v>
      </c>
      <c r="K148" s="151">
        <f t="shared" ref="K148:K192" si="102">L148-H148</f>
        <v>0</v>
      </c>
      <c r="L148" s="151">
        <f>ROUND(H148*(1+'29_01_H_2020'!$O$14),2)</f>
        <v>0</v>
      </c>
      <c r="M148" s="151">
        <f t="shared" ref="M148:M192" si="103">(J148+L148)-(G148+H148)</f>
        <v>279.28999999999996</v>
      </c>
      <c r="N148" s="151">
        <f t="shared" ref="N148:N192" si="104">M148*I148</f>
        <v>279.28999999999996</v>
      </c>
      <c r="O148" s="151">
        <f t="shared" si="95"/>
        <v>3351.4799999999996</v>
      </c>
      <c r="P148" s="151">
        <f>ROUND(O148*'29_01_H_2020'!$O$17,2)</f>
        <v>790.61</v>
      </c>
      <c r="Q148" s="380">
        <f t="shared" ref="Q148:Q192" si="105">SUM(O148:P148)</f>
        <v>4142.0899999999992</v>
      </c>
      <c r="R148" s="329"/>
      <c r="S148" s="431"/>
      <c r="T148" s="153"/>
      <c r="U148" s="153"/>
      <c r="V148" s="152"/>
      <c r="W148" s="152"/>
      <c r="X148" s="430"/>
      <c r="Y148" s="430"/>
      <c r="Z148" s="430"/>
      <c r="AA148" s="430"/>
      <c r="AB148" s="430"/>
      <c r="AC148" s="430"/>
      <c r="AD148" s="430"/>
      <c r="AE148" s="430"/>
      <c r="AF148" s="430"/>
      <c r="AG148" s="430"/>
      <c r="AH148" s="329"/>
      <c r="AI148" s="152"/>
      <c r="AJ148" s="152"/>
      <c r="AK148" s="430"/>
      <c r="AL148" s="430"/>
      <c r="AM148" s="430"/>
      <c r="AN148" s="430"/>
      <c r="AO148" s="430"/>
      <c r="AP148" s="430"/>
      <c r="AQ148" s="430"/>
      <c r="AR148" s="430"/>
      <c r="AS148" s="430"/>
      <c r="AT148" s="430"/>
      <c r="AU148" s="329"/>
      <c r="AV148" s="152"/>
      <c r="AW148" s="152"/>
      <c r="AX148" s="152"/>
    </row>
    <row r="149" spans="1:50">
      <c r="A149" s="692" t="s">
        <v>70</v>
      </c>
      <c r="B149" s="696" t="s">
        <v>66</v>
      </c>
      <c r="C149" s="696" t="s">
        <v>71</v>
      </c>
      <c r="D149" s="696">
        <v>10</v>
      </c>
      <c r="E149" s="696">
        <v>3</v>
      </c>
      <c r="F149" s="291">
        <v>1287</v>
      </c>
      <c r="G149" s="699">
        <v>900</v>
      </c>
      <c r="H149" s="694"/>
      <c r="I149" s="697">
        <v>1</v>
      </c>
      <c r="J149" s="379">
        <f>ROUND(G149*(1+'29_01_H_2020'!$O$14),2)</f>
        <v>1128.51</v>
      </c>
      <c r="K149" s="151">
        <f t="shared" si="102"/>
        <v>0</v>
      </c>
      <c r="L149" s="151">
        <f>ROUND(H149*(1+'29_01_H_2020'!$O$14),2)</f>
        <v>0</v>
      </c>
      <c r="M149" s="151">
        <f t="shared" si="103"/>
        <v>228.51</v>
      </c>
      <c r="N149" s="151">
        <f t="shared" si="104"/>
        <v>228.51</v>
      </c>
      <c r="O149" s="151">
        <f t="shared" si="95"/>
        <v>2742.12</v>
      </c>
      <c r="P149" s="151">
        <f>ROUND(O149*'29_01_H_2020'!$O$17,2)</f>
        <v>646.87</v>
      </c>
      <c r="Q149" s="380">
        <f t="shared" si="105"/>
        <v>3388.99</v>
      </c>
      <c r="R149" s="329"/>
      <c r="S149" s="431"/>
      <c r="T149" s="153"/>
      <c r="U149" s="153"/>
      <c r="V149" s="152"/>
      <c r="W149" s="152"/>
      <c r="X149" s="430"/>
      <c r="Y149" s="430"/>
      <c r="Z149" s="430"/>
      <c r="AA149" s="430"/>
      <c r="AB149" s="430"/>
      <c r="AC149" s="430"/>
      <c r="AD149" s="430"/>
      <c r="AE149" s="430"/>
      <c r="AF149" s="430"/>
      <c r="AG149" s="430"/>
      <c r="AH149" s="329"/>
      <c r="AI149" s="152"/>
      <c r="AJ149" s="152"/>
      <c r="AK149" s="430"/>
      <c r="AL149" s="430"/>
      <c r="AM149" s="430"/>
      <c r="AN149" s="430"/>
      <c r="AO149" s="430"/>
      <c r="AP149" s="430"/>
      <c r="AQ149" s="430"/>
      <c r="AR149" s="430"/>
      <c r="AS149" s="430"/>
      <c r="AT149" s="430"/>
      <c r="AU149" s="329"/>
      <c r="AV149" s="152"/>
      <c r="AW149" s="152"/>
      <c r="AX149" s="152"/>
    </row>
    <row r="150" spans="1:50">
      <c r="A150" s="692" t="s">
        <v>70</v>
      </c>
      <c r="B150" s="21" t="s">
        <v>66</v>
      </c>
      <c r="C150" s="21" t="s">
        <v>71</v>
      </c>
      <c r="D150" s="696">
        <v>10</v>
      </c>
      <c r="E150" s="696">
        <v>3</v>
      </c>
      <c r="F150" s="291">
        <v>1287</v>
      </c>
      <c r="G150" s="699">
        <v>1100</v>
      </c>
      <c r="H150" s="694"/>
      <c r="I150" s="697">
        <v>1</v>
      </c>
      <c r="J150" s="379">
        <f>ROUND(G150*(1+'29_01_H_2020'!$O$14),2)</f>
        <v>1379.29</v>
      </c>
      <c r="K150" s="151">
        <f t="shared" si="102"/>
        <v>0</v>
      </c>
      <c r="L150" s="151">
        <f>ROUND(H150*(1+'29_01_H_2020'!$O$14),2)</f>
        <v>0</v>
      </c>
      <c r="M150" s="151">
        <f t="shared" si="103"/>
        <v>279.28999999999996</v>
      </c>
      <c r="N150" s="151">
        <f t="shared" si="104"/>
        <v>279.28999999999996</v>
      </c>
      <c r="O150" s="151">
        <f t="shared" si="95"/>
        <v>3351.4799999999996</v>
      </c>
      <c r="P150" s="151">
        <f>ROUND(O150*'29_01_H_2020'!$O$17,2)</f>
        <v>790.61</v>
      </c>
      <c r="Q150" s="380">
        <f t="shared" si="105"/>
        <v>4142.0899999999992</v>
      </c>
      <c r="R150" s="329"/>
      <c r="S150" s="431"/>
      <c r="T150" s="153"/>
      <c r="U150" s="153"/>
      <c r="V150" s="152"/>
      <c r="W150" s="152"/>
      <c r="X150" s="430"/>
      <c r="Y150" s="430"/>
      <c r="Z150" s="430"/>
      <c r="AA150" s="430"/>
      <c r="AB150" s="430"/>
      <c r="AC150" s="430"/>
      <c r="AD150" s="430"/>
      <c r="AE150" s="430"/>
      <c r="AF150" s="430"/>
      <c r="AG150" s="430"/>
      <c r="AH150" s="329"/>
      <c r="AI150" s="152"/>
      <c r="AJ150" s="152"/>
      <c r="AK150" s="430"/>
      <c r="AL150" s="430"/>
      <c r="AM150" s="430"/>
      <c r="AN150" s="430"/>
      <c r="AO150" s="430"/>
      <c r="AP150" s="430"/>
      <c r="AQ150" s="430"/>
      <c r="AR150" s="430"/>
      <c r="AS150" s="430"/>
      <c r="AT150" s="430"/>
      <c r="AU150" s="329"/>
      <c r="AV150" s="152"/>
      <c r="AW150" s="152"/>
      <c r="AX150" s="152"/>
    </row>
    <row r="151" spans="1:50">
      <c r="A151" s="692" t="s">
        <v>70</v>
      </c>
      <c r="B151" s="696" t="s">
        <v>66</v>
      </c>
      <c r="C151" s="696" t="s">
        <v>71</v>
      </c>
      <c r="D151" s="696">
        <v>10</v>
      </c>
      <c r="E151" s="696">
        <v>3</v>
      </c>
      <c r="F151" s="291">
        <v>1287</v>
      </c>
      <c r="G151" s="699">
        <v>1023</v>
      </c>
      <c r="H151" s="694"/>
      <c r="I151" s="697">
        <v>2</v>
      </c>
      <c r="J151" s="379">
        <f>ROUND(G151*(1+'29_01_H_2020'!$O$14),2)</f>
        <v>1282.74</v>
      </c>
      <c r="K151" s="151">
        <f t="shared" si="102"/>
        <v>0</v>
      </c>
      <c r="L151" s="151">
        <f>ROUND(H151*(1+'29_01_H_2020'!$O$14),2)</f>
        <v>0</v>
      </c>
      <c r="M151" s="151">
        <f t="shared" si="103"/>
        <v>259.74</v>
      </c>
      <c r="N151" s="151">
        <f t="shared" si="104"/>
        <v>519.48</v>
      </c>
      <c r="O151" s="151">
        <f t="shared" si="95"/>
        <v>6233.76</v>
      </c>
      <c r="P151" s="151">
        <f>ROUND(O151*'29_01_H_2020'!$O$17,2)</f>
        <v>1470.54</v>
      </c>
      <c r="Q151" s="380">
        <f t="shared" si="105"/>
        <v>7704.3</v>
      </c>
      <c r="R151" s="329"/>
      <c r="S151" s="431"/>
      <c r="T151" s="153"/>
      <c r="U151" s="153"/>
      <c r="V151" s="152"/>
      <c r="W151" s="152"/>
      <c r="X151" s="430"/>
      <c r="Y151" s="430"/>
      <c r="Z151" s="430"/>
      <c r="AA151" s="430"/>
      <c r="AB151" s="430"/>
      <c r="AC151" s="430"/>
      <c r="AD151" s="430"/>
      <c r="AE151" s="430"/>
      <c r="AF151" s="430"/>
      <c r="AG151" s="430"/>
      <c r="AH151" s="329"/>
      <c r="AI151" s="152"/>
      <c r="AJ151" s="152"/>
      <c r="AK151" s="430"/>
      <c r="AL151" s="430"/>
      <c r="AM151" s="430"/>
      <c r="AN151" s="430"/>
      <c r="AO151" s="430"/>
      <c r="AP151" s="430"/>
      <c r="AQ151" s="430"/>
      <c r="AR151" s="430"/>
      <c r="AS151" s="430"/>
      <c r="AT151" s="430"/>
      <c r="AU151" s="329"/>
      <c r="AV151" s="152"/>
      <c r="AW151" s="152"/>
      <c r="AX151" s="152"/>
    </row>
    <row r="152" spans="1:50">
      <c r="A152" s="39" t="s">
        <v>70</v>
      </c>
      <c r="B152" s="21" t="s">
        <v>66</v>
      </c>
      <c r="C152" s="21" t="s">
        <v>71</v>
      </c>
      <c r="D152" s="696">
        <v>10</v>
      </c>
      <c r="E152" s="696">
        <v>3</v>
      </c>
      <c r="F152" s="291">
        <v>1287</v>
      </c>
      <c r="G152" s="699">
        <v>1209</v>
      </c>
      <c r="H152" s="694"/>
      <c r="I152" s="697">
        <v>1</v>
      </c>
      <c r="J152" s="379">
        <f>ROUND(G152*(1+'29_01_H_2020'!$O$14),2)</f>
        <v>1515.97</v>
      </c>
      <c r="K152" s="151">
        <f t="shared" si="102"/>
        <v>0</v>
      </c>
      <c r="L152" s="151">
        <f>ROUND(H152*(1+'29_01_H_2020'!$O$14),2)</f>
        <v>0</v>
      </c>
      <c r="M152" s="151">
        <f t="shared" si="103"/>
        <v>306.97000000000003</v>
      </c>
      <c r="N152" s="151">
        <f t="shared" si="104"/>
        <v>306.97000000000003</v>
      </c>
      <c r="O152" s="151">
        <f t="shared" si="95"/>
        <v>3683.6400000000003</v>
      </c>
      <c r="P152" s="151">
        <f>ROUND(O152*'29_01_H_2020'!$O$17,2)</f>
        <v>868.97</v>
      </c>
      <c r="Q152" s="380">
        <f t="shared" si="105"/>
        <v>4552.6100000000006</v>
      </c>
      <c r="R152" s="329"/>
      <c r="S152" s="431"/>
      <c r="T152" s="153"/>
      <c r="U152" s="153"/>
      <c r="V152" s="152"/>
      <c r="W152" s="152"/>
      <c r="X152" s="430"/>
      <c r="Y152" s="430"/>
      <c r="Z152" s="430"/>
      <c r="AA152" s="430"/>
      <c r="AB152" s="430"/>
      <c r="AC152" s="430"/>
      <c r="AD152" s="430"/>
      <c r="AE152" s="430"/>
      <c r="AF152" s="430"/>
      <c r="AG152" s="430"/>
      <c r="AH152" s="329"/>
      <c r="AI152" s="152"/>
      <c r="AJ152" s="152"/>
      <c r="AK152" s="430"/>
      <c r="AL152" s="430"/>
      <c r="AM152" s="430"/>
      <c r="AN152" s="430"/>
      <c r="AO152" s="430"/>
      <c r="AP152" s="430"/>
      <c r="AQ152" s="430"/>
      <c r="AR152" s="430"/>
      <c r="AS152" s="430"/>
      <c r="AT152" s="430"/>
      <c r="AU152" s="329"/>
      <c r="AV152" s="152"/>
      <c r="AW152" s="152"/>
      <c r="AX152" s="152"/>
    </row>
    <row r="153" spans="1:50">
      <c r="A153" s="39" t="s">
        <v>70</v>
      </c>
      <c r="B153" s="21" t="s">
        <v>66</v>
      </c>
      <c r="C153" s="21" t="s">
        <v>71</v>
      </c>
      <c r="D153" s="696">
        <v>10</v>
      </c>
      <c r="E153" s="696">
        <v>3</v>
      </c>
      <c r="F153" s="291">
        <v>1287</v>
      </c>
      <c r="G153" s="699">
        <v>1232</v>
      </c>
      <c r="H153" s="694"/>
      <c r="I153" s="697">
        <v>1</v>
      </c>
      <c r="J153" s="379">
        <f>ROUND(G153*(1+'29_01_H_2020'!$O$14),2)</f>
        <v>1544.8</v>
      </c>
      <c r="K153" s="151">
        <f t="shared" si="102"/>
        <v>0</v>
      </c>
      <c r="L153" s="151">
        <f>ROUND(H153*(1+'29_01_H_2020'!$O$14),2)</f>
        <v>0</v>
      </c>
      <c r="M153" s="151">
        <f t="shared" si="103"/>
        <v>312.79999999999995</v>
      </c>
      <c r="N153" s="151">
        <f t="shared" si="104"/>
        <v>312.79999999999995</v>
      </c>
      <c r="O153" s="151">
        <f t="shared" si="95"/>
        <v>3753.5999999999995</v>
      </c>
      <c r="P153" s="151">
        <f>ROUND(O153*'29_01_H_2020'!$O$17,2)</f>
        <v>885.47</v>
      </c>
      <c r="Q153" s="380">
        <f t="shared" si="105"/>
        <v>4639.07</v>
      </c>
      <c r="R153" s="329"/>
      <c r="S153" s="431"/>
      <c r="T153" s="153"/>
      <c r="U153" s="153"/>
      <c r="V153" s="152"/>
      <c r="W153" s="152"/>
      <c r="X153" s="430"/>
      <c r="Y153" s="430"/>
      <c r="Z153" s="430"/>
      <c r="AA153" s="430"/>
      <c r="AB153" s="430"/>
      <c r="AC153" s="430"/>
      <c r="AD153" s="430"/>
      <c r="AE153" s="430"/>
      <c r="AF153" s="430"/>
      <c r="AG153" s="430"/>
      <c r="AH153" s="329"/>
      <c r="AI153" s="152"/>
      <c r="AJ153" s="152"/>
      <c r="AK153" s="430"/>
      <c r="AL153" s="430"/>
      <c r="AM153" s="430"/>
      <c r="AN153" s="430"/>
      <c r="AO153" s="430"/>
      <c r="AP153" s="430"/>
      <c r="AQ153" s="430"/>
      <c r="AR153" s="430"/>
      <c r="AS153" s="430"/>
      <c r="AT153" s="430"/>
      <c r="AU153" s="329"/>
      <c r="AV153" s="152"/>
      <c r="AW153" s="152"/>
      <c r="AX153" s="152"/>
    </row>
    <row r="154" spans="1:50">
      <c r="A154" s="39" t="s">
        <v>70</v>
      </c>
      <c r="B154" s="696" t="s">
        <v>66</v>
      </c>
      <c r="C154" s="696" t="s">
        <v>71</v>
      </c>
      <c r="D154" s="696">
        <v>10</v>
      </c>
      <c r="E154" s="696">
        <v>3</v>
      </c>
      <c r="F154" s="291">
        <v>1287</v>
      </c>
      <c r="G154" s="699">
        <v>1100</v>
      </c>
      <c r="H154" s="694"/>
      <c r="I154" s="697">
        <v>1</v>
      </c>
      <c r="J154" s="379">
        <f>ROUND(G154*(1+'29_01_H_2020'!$O$14),2)</f>
        <v>1379.29</v>
      </c>
      <c r="K154" s="151">
        <f t="shared" si="102"/>
        <v>0</v>
      </c>
      <c r="L154" s="151">
        <f>ROUND(H154*(1+'29_01_H_2020'!$O$14),2)</f>
        <v>0</v>
      </c>
      <c r="M154" s="151">
        <f t="shared" si="103"/>
        <v>279.28999999999996</v>
      </c>
      <c r="N154" s="151">
        <f t="shared" si="104"/>
        <v>279.28999999999996</v>
      </c>
      <c r="O154" s="151">
        <f t="shared" si="95"/>
        <v>3351.4799999999996</v>
      </c>
      <c r="P154" s="151">
        <f>ROUND(O154*'29_01_H_2020'!$O$17,2)</f>
        <v>790.61</v>
      </c>
      <c r="Q154" s="380">
        <f t="shared" si="105"/>
        <v>4142.0899999999992</v>
      </c>
      <c r="R154" s="329"/>
      <c r="S154" s="431"/>
      <c r="T154" s="153"/>
      <c r="U154" s="153"/>
      <c r="V154" s="152"/>
      <c r="W154" s="152"/>
      <c r="X154" s="430"/>
      <c r="Y154" s="430"/>
      <c r="Z154" s="430"/>
      <c r="AA154" s="430"/>
      <c r="AB154" s="430"/>
      <c r="AC154" s="430"/>
      <c r="AD154" s="430"/>
      <c r="AE154" s="430"/>
      <c r="AF154" s="430"/>
      <c r="AG154" s="430"/>
      <c r="AH154" s="329"/>
      <c r="AI154" s="152"/>
      <c r="AJ154" s="152"/>
      <c r="AK154" s="430"/>
      <c r="AL154" s="430"/>
      <c r="AM154" s="430"/>
      <c r="AN154" s="430"/>
      <c r="AO154" s="430"/>
      <c r="AP154" s="430"/>
      <c r="AQ154" s="430"/>
      <c r="AR154" s="430"/>
      <c r="AS154" s="430"/>
      <c r="AT154" s="430"/>
      <c r="AU154" s="329"/>
      <c r="AV154" s="152"/>
      <c r="AW154" s="152"/>
      <c r="AX154" s="152"/>
    </row>
    <row r="155" spans="1:50">
      <c r="A155" s="39" t="s">
        <v>70</v>
      </c>
      <c r="B155" s="696" t="s">
        <v>66</v>
      </c>
      <c r="C155" s="696" t="s">
        <v>71</v>
      </c>
      <c r="D155" s="696">
        <v>10</v>
      </c>
      <c r="E155" s="696">
        <v>3</v>
      </c>
      <c r="F155" s="291">
        <v>1287</v>
      </c>
      <c r="G155" s="699">
        <v>1023</v>
      </c>
      <c r="H155" s="694"/>
      <c r="I155" s="697">
        <v>2</v>
      </c>
      <c r="J155" s="379">
        <f>ROUND(G155*(1+'29_01_H_2020'!$O$14),2)</f>
        <v>1282.74</v>
      </c>
      <c r="K155" s="151">
        <f t="shared" si="102"/>
        <v>0</v>
      </c>
      <c r="L155" s="151">
        <f>ROUND(H155*(1+'29_01_H_2020'!$O$14),2)</f>
        <v>0</v>
      </c>
      <c r="M155" s="151">
        <f t="shared" si="103"/>
        <v>259.74</v>
      </c>
      <c r="N155" s="151">
        <f t="shared" si="104"/>
        <v>519.48</v>
      </c>
      <c r="O155" s="151">
        <f t="shared" si="95"/>
        <v>6233.76</v>
      </c>
      <c r="P155" s="151">
        <f>ROUND(O155*'29_01_H_2020'!$O$17,2)</f>
        <v>1470.54</v>
      </c>
      <c r="Q155" s="380">
        <f t="shared" si="105"/>
        <v>7704.3</v>
      </c>
      <c r="R155" s="329"/>
      <c r="S155" s="431"/>
      <c r="T155" s="153"/>
      <c r="U155" s="153"/>
      <c r="V155" s="152"/>
      <c r="W155" s="152"/>
      <c r="X155" s="430"/>
      <c r="Y155" s="430"/>
      <c r="Z155" s="430"/>
      <c r="AA155" s="430"/>
      <c r="AB155" s="430"/>
      <c r="AC155" s="430"/>
      <c r="AD155" s="430"/>
      <c r="AE155" s="430"/>
      <c r="AF155" s="430"/>
      <c r="AG155" s="430"/>
      <c r="AH155" s="329"/>
      <c r="AI155" s="152"/>
      <c r="AJ155" s="152"/>
      <c r="AK155" s="430"/>
      <c r="AL155" s="430"/>
      <c r="AM155" s="430"/>
      <c r="AN155" s="430"/>
      <c r="AO155" s="430"/>
      <c r="AP155" s="430"/>
      <c r="AQ155" s="430"/>
      <c r="AR155" s="430"/>
      <c r="AS155" s="430"/>
      <c r="AT155" s="430"/>
      <c r="AU155" s="329"/>
      <c r="AV155" s="152"/>
      <c r="AW155" s="152"/>
      <c r="AX155" s="152"/>
    </row>
    <row r="156" spans="1:50">
      <c r="A156" s="39" t="s">
        <v>70</v>
      </c>
      <c r="B156" s="21" t="s">
        <v>66</v>
      </c>
      <c r="C156" s="21" t="s">
        <v>71</v>
      </c>
      <c r="D156" s="696">
        <v>10</v>
      </c>
      <c r="E156" s="696">
        <v>3</v>
      </c>
      <c r="F156" s="291">
        <v>1287</v>
      </c>
      <c r="G156" s="699">
        <v>940</v>
      </c>
      <c r="H156" s="694"/>
      <c r="I156" s="697">
        <v>1</v>
      </c>
      <c r="J156" s="379">
        <f>ROUND(G156*(1+'29_01_H_2020'!$O$14),2)</f>
        <v>1178.67</v>
      </c>
      <c r="K156" s="151">
        <f t="shared" si="102"/>
        <v>0</v>
      </c>
      <c r="L156" s="151">
        <f>ROUND(H156*(1+'29_01_H_2020'!$O$14),2)</f>
        <v>0</v>
      </c>
      <c r="M156" s="151">
        <f t="shared" si="103"/>
        <v>238.67000000000007</v>
      </c>
      <c r="N156" s="151">
        <f t="shared" si="104"/>
        <v>238.67000000000007</v>
      </c>
      <c r="O156" s="151">
        <f t="shared" si="95"/>
        <v>2864.0400000000009</v>
      </c>
      <c r="P156" s="151">
        <f>ROUND(O156*'29_01_H_2020'!$O$17,2)</f>
        <v>675.63</v>
      </c>
      <c r="Q156" s="380">
        <f t="shared" si="105"/>
        <v>3539.670000000001</v>
      </c>
      <c r="R156" s="329"/>
      <c r="S156" s="431"/>
      <c r="T156" s="153"/>
      <c r="U156" s="153"/>
      <c r="V156" s="152"/>
      <c r="W156" s="152"/>
      <c r="X156" s="430"/>
      <c r="Y156" s="430"/>
      <c r="Z156" s="430"/>
      <c r="AA156" s="430"/>
      <c r="AB156" s="430"/>
      <c r="AC156" s="430"/>
      <c r="AD156" s="430"/>
      <c r="AE156" s="430"/>
      <c r="AF156" s="430"/>
      <c r="AG156" s="430"/>
      <c r="AH156" s="329"/>
      <c r="AI156" s="152"/>
      <c r="AJ156" s="152"/>
      <c r="AK156" s="430"/>
      <c r="AL156" s="430"/>
      <c r="AM156" s="430"/>
      <c r="AN156" s="430"/>
      <c r="AO156" s="430"/>
      <c r="AP156" s="430"/>
      <c r="AQ156" s="430"/>
      <c r="AR156" s="430"/>
      <c r="AS156" s="430"/>
      <c r="AT156" s="430"/>
      <c r="AU156" s="329"/>
      <c r="AV156" s="152"/>
      <c r="AW156" s="152"/>
      <c r="AX156" s="152"/>
    </row>
    <row r="157" spans="1:50">
      <c r="A157" s="39" t="s">
        <v>70</v>
      </c>
      <c r="B157" s="21" t="s">
        <v>66</v>
      </c>
      <c r="C157" s="21" t="s">
        <v>71</v>
      </c>
      <c r="D157" s="696">
        <v>10</v>
      </c>
      <c r="E157" s="696">
        <v>3</v>
      </c>
      <c r="F157" s="291">
        <v>1287</v>
      </c>
      <c r="G157" s="699">
        <v>1232</v>
      </c>
      <c r="H157" s="694">
        <f>G157*20%</f>
        <v>246.4</v>
      </c>
      <c r="I157" s="697">
        <v>1</v>
      </c>
      <c r="J157" s="379">
        <f>ROUND(G157*(1+'29_01_H_2020'!$O$14),2)</f>
        <v>1544.8</v>
      </c>
      <c r="K157" s="151">
        <f t="shared" si="102"/>
        <v>62.559999999999974</v>
      </c>
      <c r="L157" s="151">
        <f>ROUND(H157*(1+'29_01_H_2020'!$O$14),2)</f>
        <v>308.95999999999998</v>
      </c>
      <c r="M157" s="151">
        <f t="shared" si="103"/>
        <v>375.3599999999999</v>
      </c>
      <c r="N157" s="151">
        <f t="shared" si="104"/>
        <v>375.3599999999999</v>
      </c>
      <c r="O157" s="151">
        <f t="shared" si="95"/>
        <v>4504.3199999999988</v>
      </c>
      <c r="P157" s="151">
        <f>ROUND(O157*'29_01_H_2020'!$O$17,2)</f>
        <v>1062.57</v>
      </c>
      <c r="Q157" s="380">
        <f t="shared" si="105"/>
        <v>5566.8899999999985</v>
      </c>
      <c r="R157" s="329"/>
      <c r="S157" s="431"/>
      <c r="T157" s="153"/>
      <c r="U157" s="153"/>
      <c r="V157" s="152"/>
      <c r="W157" s="152"/>
      <c r="X157" s="430"/>
      <c r="Y157" s="430"/>
      <c r="Z157" s="430"/>
      <c r="AA157" s="430"/>
      <c r="AB157" s="430"/>
      <c r="AC157" s="430"/>
      <c r="AD157" s="430"/>
      <c r="AE157" s="430"/>
      <c r="AF157" s="430"/>
      <c r="AG157" s="430"/>
      <c r="AH157" s="329"/>
      <c r="AI157" s="152"/>
      <c r="AJ157" s="152"/>
      <c r="AK157" s="430"/>
      <c r="AL157" s="430"/>
      <c r="AM157" s="430"/>
      <c r="AN157" s="430"/>
      <c r="AO157" s="430"/>
      <c r="AP157" s="430"/>
      <c r="AQ157" s="430"/>
      <c r="AR157" s="430"/>
      <c r="AS157" s="430"/>
      <c r="AT157" s="430"/>
      <c r="AU157" s="329"/>
      <c r="AV157" s="152"/>
      <c r="AW157" s="152"/>
      <c r="AX157" s="152"/>
    </row>
    <row r="158" spans="1:50">
      <c r="A158" s="39" t="s">
        <v>70</v>
      </c>
      <c r="B158" s="21" t="s">
        <v>66</v>
      </c>
      <c r="C158" s="21" t="s">
        <v>71</v>
      </c>
      <c r="D158" s="696">
        <v>10</v>
      </c>
      <c r="E158" s="696">
        <v>3</v>
      </c>
      <c r="F158" s="291">
        <v>1287</v>
      </c>
      <c r="G158" s="699">
        <v>784</v>
      </c>
      <c r="H158" s="694"/>
      <c r="I158" s="697">
        <v>2</v>
      </c>
      <c r="J158" s="379">
        <f>ROUND(G158*(1+'29_01_H_2020'!$O$14),2)</f>
        <v>983.06</v>
      </c>
      <c r="K158" s="151">
        <f t="shared" si="102"/>
        <v>0</v>
      </c>
      <c r="L158" s="151">
        <f>ROUND(H158*(1+'29_01_H_2020'!$O$14),2)</f>
        <v>0</v>
      </c>
      <c r="M158" s="151">
        <f t="shared" si="103"/>
        <v>199.05999999999995</v>
      </c>
      <c r="N158" s="151">
        <f t="shared" si="104"/>
        <v>398.11999999999989</v>
      </c>
      <c r="O158" s="151">
        <f t="shared" si="95"/>
        <v>4777.4399999999987</v>
      </c>
      <c r="P158" s="151">
        <f>ROUND(O158*'29_01_H_2020'!$O$17,2)</f>
        <v>1127</v>
      </c>
      <c r="Q158" s="380">
        <f t="shared" si="105"/>
        <v>5904.4399999999987</v>
      </c>
      <c r="R158" s="329"/>
      <c r="S158" s="431"/>
      <c r="T158" s="153"/>
      <c r="U158" s="153"/>
      <c r="V158" s="152"/>
      <c r="W158" s="152"/>
      <c r="X158" s="430"/>
      <c r="Y158" s="430"/>
      <c r="Z158" s="430"/>
      <c r="AA158" s="430"/>
      <c r="AB158" s="430"/>
      <c r="AC158" s="430"/>
      <c r="AD158" s="430"/>
      <c r="AE158" s="430"/>
      <c r="AF158" s="430"/>
      <c r="AG158" s="430"/>
      <c r="AH158" s="329"/>
      <c r="AI158" s="152"/>
      <c r="AJ158" s="152"/>
      <c r="AK158" s="430"/>
      <c r="AL158" s="430"/>
      <c r="AM158" s="430"/>
      <c r="AN158" s="430"/>
      <c r="AO158" s="430"/>
      <c r="AP158" s="430"/>
      <c r="AQ158" s="430"/>
      <c r="AR158" s="430"/>
      <c r="AS158" s="430"/>
      <c r="AT158" s="430"/>
      <c r="AU158" s="329"/>
      <c r="AV158" s="152"/>
      <c r="AW158" s="152"/>
      <c r="AX158" s="152"/>
    </row>
    <row r="159" spans="1:50">
      <c r="A159" s="39" t="s">
        <v>70</v>
      </c>
      <c r="B159" s="21" t="s">
        <v>66</v>
      </c>
      <c r="C159" s="21" t="s">
        <v>71</v>
      </c>
      <c r="D159" s="696">
        <v>10</v>
      </c>
      <c r="E159" s="696">
        <v>3</v>
      </c>
      <c r="F159" s="291">
        <v>1287</v>
      </c>
      <c r="G159" s="699">
        <v>1232</v>
      </c>
      <c r="H159" s="694"/>
      <c r="I159" s="697">
        <v>1</v>
      </c>
      <c r="J159" s="379">
        <f>ROUND(G159*(1+'29_01_H_2020'!$O$14),2)</f>
        <v>1544.8</v>
      </c>
      <c r="K159" s="151">
        <f t="shared" si="102"/>
        <v>0</v>
      </c>
      <c r="L159" s="151">
        <f>ROUND(H159*(1+'29_01_H_2020'!$O$14),2)</f>
        <v>0</v>
      </c>
      <c r="M159" s="151">
        <f t="shared" si="103"/>
        <v>312.79999999999995</v>
      </c>
      <c r="N159" s="151">
        <f t="shared" si="104"/>
        <v>312.79999999999995</v>
      </c>
      <c r="O159" s="151">
        <f t="shared" si="95"/>
        <v>3753.5999999999995</v>
      </c>
      <c r="P159" s="151">
        <f>ROUND(O159*'29_01_H_2020'!$O$17,2)</f>
        <v>885.47</v>
      </c>
      <c r="Q159" s="380">
        <f t="shared" si="105"/>
        <v>4639.07</v>
      </c>
      <c r="R159" s="329"/>
      <c r="S159" s="431"/>
      <c r="T159" s="153"/>
      <c r="U159" s="153"/>
      <c r="V159" s="152"/>
      <c r="W159" s="152"/>
      <c r="X159" s="430"/>
      <c r="Y159" s="430"/>
      <c r="Z159" s="430"/>
      <c r="AA159" s="430"/>
      <c r="AB159" s="430"/>
      <c r="AC159" s="430"/>
      <c r="AD159" s="430"/>
      <c r="AE159" s="430"/>
      <c r="AF159" s="430"/>
      <c r="AG159" s="430"/>
      <c r="AH159" s="329"/>
      <c r="AI159" s="152"/>
      <c r="AJ159" s="152"/>
      <c r="AK159" s="430"/>
      <c r="AL159" s="430"/>
      <c r="AM159" s="430"/>
      <c r="AN159" s="430"/>
      <c r="AO159" s="430"/>
      <c r="AP159" s="430"/>
      <c r="AQ159" s="430"/>
      <c r="AR159" s="430"/>
      <c r="AS159" s="430"/>
      <c r="AT159" s="430"/>
      <c r="AU159" s="329"/>
      <c r="AV159" s="152"/>
      <c r="AW159" s="152"/>
      <c r="AX159" s="152"/>
    </row>
    <row r="160" spans="1:50">
      <c r="A160" s="39" t="s">
        <v>70</v>
      </c>
      <c r="B160" s="21" t="s">
        <v>66</v>
      </c>
      <c r="C160" s="21" t="s">
        <v>71</v>
      </c>
      <c r="D160" s="696">
        <v>10</v>
      </c>
      <c r="E160" s="696">
        <v>3</v>
      </c>
      <c r="F160" s="291">
        <v>1287</v>
      </c>
      <c r="G160" s="699">
        <f>1150*1.1</f>
        <v>1265</v>
      </c>
      <c r="H160" s="694"/>
      <c r="I160" s="697">
        <v>1</v>
      </c>
      <c r="J160" s="379">
        <f>ROUND(G160*(1+'29_01_H_2020'!$O$14),2)</f>
        <v>1586.18</v>
      </c>
      <c r="K160" s="151">
        <f t="shared" si="102"/>
        <v>0</v>
      </c>
      <c r="L160" s="151">
        <f>ROUND(H160*(1+'29_01_H_2020'!$O$14),2)</f>
        <v>0</v>
      </c>
      <c r="M160" s="151">
        <f t="shared" si="103"/>
        <v>321.18000000000006</v>
      </c>
      <c r="N160" s="151">
        <f t="shared" si="104"/>
        <v>321.18000000000006</v>
      </c>
      <c r="O160" s="151">
        <f t="shared" si="95"/>
        <v>3854.1600000000008</v>
      </c>
      <c r="P160" s="151">
        <f>ROUND(O160*'29_01_H_2020'!$O$17,2)</f>
        <v>909.2</v>
      </c>
      <c r="Q160" s="380">
        <f t="shared" si="105"/>
        <v>4763.3600000000006</v>
      </c>
      <c r="R160" s="329"/>
      <c r="S160" s="431"/>
      <c r="T160" s="153"/>
      <c r="U160" s="153"/>
      <c r="V160" s="152"/>
      <c r="W160" s="152"/>
      <c r="X160" s="430"/>
      <c r="Y160" s="430"/>
      <c r="Z160" s="430"/>
      <c r="AA160" s="430"/>
      <c r="AB160" s="430"/>
      <c r="AC160" s="430"/>
      <c r="AD160" s="430"/>
      <c r="AE160" s="430"/>
      <c r="AF160" s="430"/>
      <c r="AG160" s="430"/>
      <c r="AH160" s="329"/>
      <c r="AI160" s="152"/>
      <c r="AJ160" s="152"/>
      <c r="AK160" s="430"/>
      <c r="AL160" s="430"/>
      <c r="AM160" s="430"/>
      <c r="AN160" s="430"/>
      <c r="AO160" s="430"/>
      <c r="AP160" s="430"/>
      <c r="AQ160" s="430"/>
      <c r="AR160" s="430"/>
      <c r="AS160" s="430"/>
      <c r="AT160" s="430"/>
      <c r="AU160" s="329"/>
      <c r="AV160" s="152"/>
      <c r="AW160" s="152"/>
      <c r="AX160" s="152"/>
    </row>
    <row r="161" spans="1:50">
      <c r="A161" s="39" t="s">
        <v>72</v>
      </c>
      <c r="B161" s="21" t="s">
        <v>66</v>
      </c>
      <c r="C161" s="21" t="s">
        <v>71</v>
      </c>
      <c r="D161" s="696">
        <v>10</v>
      </c>
      <c r="E161" s="696">
        <v>3</v>
      </c>
      <c r="F161" s="291">
        <v>1287</v>
      </c>
      <c r="G161" s="699">
        <v>1155</v>
      </c>
      <c r="H161" s="694"/>
      <c r="I161" s="697">
        <v>6</v>
      </c>
      <c r="J161" s="379">
        <f>ROUND(G161*(1+'29_01_H_2020'!$O$14),2)</f>
        <v>1448.25</v>
      </c>
      <c r="K161" s="151">
        <f t="shared" si="102"/>
        <v>0</v>
      </c>
      <c r="L161" s="151">
        <f>ROUND(H161*(1+'29_01_H_2020'!$O$14),2)</f>
        <v>0</v>
      </c>
      <c r="M161" s="151">
        <f t="shared" si="103"/>
        <v>293.25</v>
      </c>
      <c r="N161" s="151">
        <f t="shared" si="104"/>
        <v>1759.5</v>
      </c>
      <c r="O161" s="151">
        <f t="shared" si="95"/>
        <v>21114</v>
      </c>
      <c r="P161" s="151">
        <f>ROUND(O161*'29_01_H_2020'!$O$17,2)</f>
        <v>4980.79</v>
      </c>
      <c r="Q161" s="380">
        <f t="shared" si="105"/>
        <v>26094.79</v>
      </c>
      <c r="R161" s="329"/>
      <c r="S161" s="431"/>
      <c r="T161" s="153"/>
      <c r="U161" s="153"/>
      <c r="V161" s="152"/>
      <c r="W161" s="152"/>
      <c r="X161" s="430"/>
      <c r="Y161" s="430"/>
      <c r="Z161" s="430"/>
      <c r="AA161" s="430"/>
      <c r="AB161" s="430"/>
      <c r="AC161" s="430"/>
      <c r="AD161" s="430"/>
      <c r="AE161" s="430"/>
      <c r="AF161" s="430"/>
      <c r="AG161" s="430"/>
      <c r="AH161" s="329"/>
      <c r="AI161" s="152"/>
      <c r="AJ161" s="152"/>
      <c r="AK161" s="430"/>
      <c r="AL161" s="430"/>
      <c r="AM161" s="430"/>
      <c r="AN161" s="430"/>
      <c r="AO161" s="430"/>
      <c r="AP161" s="430"/>
      <c r="AQ161" s="430"/>
      <c r="AR161" s="430"/>
      <c r="AS161" s="430"/>
      <c r="AT161" s="430"/>
      <c r="AU161" s="329"/>
      <c r="AV161" s="152"/>
      <c r="AW161" s="152"/>
      <c r="AX161" s="152"/>
    </row>
    <row r="162" spans="1:50">
      <c r="A162" s="39" t="s">
        <v>72</v>
      </c>
      <c r="B162" s="21" t="s">
        <v>66</v>
      </c>
      <c r="C162" s="21" t="s">
        <v>71</v>
      </c>
      <c r="D162" s="696">
        <v>10</v>
      </c>
      <c r="E162" s="696">
        <v>3</v>
      </c>
      <c r="F162" s="291">
        <v>1287</v>
      </c>
      <c r="G162" s="699">
        <v>900</v>
      </c>
      <c r="H162" s="694"/>
      <c r="I162" s="697">
        <v>1</v>
      </c>
      <c r="J162" s="379">
        <f>ROUND(G162*(1+'29_01_H_2020'!$O$14),2)</f>
        <v>1128.51</v>
      </c>
      <c r="K162" s="151">
        <f t="shared" si="102"/>
        <v>0</v>
      </c>
      <c r="L162" s="151">
        <f>ROUND(H162*(1+'29_01_H_2020'!$O$14),2)</f>
        <v>0</v>
      </c>
      <c r="M162" s="151">
        <f t="shared" si="103"/>
        <v>228.51</v>
      </c>
      <c r="N162" s="151">
        <f t="shared" si="104"/>
        <v>228.51</v>
      </c>
      <c r="O162" s="151">
        <f t="shared" si="95"/>
        <v>2742.12</v>
      </c>
      <c r="P162" s="151">
        <f>ROUND(O162*'29_01_H_2020'!$O$17,2)</f>
        <v>646.87</v>
      </c>
      <c r="Q162" s="380">
        <f t="shared" si="105"/>
        <v>3388.99</v>
      </c>
      <c r="R162" s="329"/>
      <c r="S162" s="431"/>
      <c r="T162" s="153"/>
      <c r="U162" s="153"/>
      <c r="V162" s="152"/>
      <c r="W162" s="152"/>
      <c r="X162" s="430"/>
      <c r="Y162" s="430"/>
      <c r="Z162" s="430"/>
      <c r="AA162" s="430"/>
      <c r="AB162" s="430"/>
      <c r="AC162" s="430"/>
      <c r="AD162" s="430"/>
      <c r="AE162" s="430"/>
      <c r="AF162" s="430"/>
      <c r="AG162" s="430"/>
      <c r="AH162" s="329"/>
      <c r="AI162" s="152"/>
      <c r="AJ162" s="152"/>
      <c r="AK162" s="430"/>
      <c r="AL162" s="430"/>
      <c r="AM162" s="430"/>
      <c r="AN162" s="430"/>
      <c r="AO162" s="430"/>
      <c r="AP162" s="430"/>
      <c r="AQ162" s="430"/>
      <c r="AR162" s="430"/>
      <c r="AS162" s="430"/>
      <c r="AT162" s="430"/>
      <c r="AU162" s="329"/>
      <c r="AV162" s="152"/>
      <c r="AW162" s="152"/>
      <c r="AX162" s="152"/>
    </row>
    <row r="163" spans="1:50">
      <c r="A163" s="39" t="s">
        <v>72</v>
      </c>
      <c r="B163" s="21" t="s">
        <v>66</v>
      </c>
      <c r="C163" s="21" t="s">
        <v>71</v>
      </c>
      <c r="D163" s="696">
        <v>10</v>
      </c>
      <c r="E163" s="696">
        <v>3</v>
      </c>
      <c r="F163" s="291">
        <v>1287</v>
      </c>
      <c r="G163" s="699">
        <v>1050</v>
      </c>
      <c r="H163" s="694"/>
      <c r="I163" s="697">
        <v>1</v>
      </c>
      <c r="J163" s="379">
        <f>ROUND(G163*(1+'29_01_H_2020'!$O$14),2)</f>
        <v>1316.6</v>
      </c>
      <c r="K163" s="151">
        <f t="shared" si="102"/>
        <v>0</v>
      </c>
      <c r="L163" s="151">
        <f>ROUND(H163*(1+'29_01_H_2020'!$O$14),2)</f>
        <v>0</v>
      </c>
      <c r="M163" s="151">
        <f t="shared" si="103"/>
        <v>266.59999999999991</v>
      </c>
      <c r="N163" s="151">
        <f t="shared" si="104"/>
        <v>266.59999999999991</v>
      </c>
      <c r="O163" s="151">
        <f t="shared" si="95"/>
        <v>3199.1999999999989</v>
      </c>
      <c r="P163" s="151">
        <f>ROUND(O163*'29_01_H_2020'!$O$17,2)</f>
        <v>754.69</v>
      </c>
      <c r="Q163" s="380">
        <f t="shared" si="105"/>
        <v>3953.889999999999</v>
      </c>
      <c r="R163" s="329"/>
      <c r="S163" s="431"/>
      <c r="T163" s="153"/>
      <c r="U163" s="153"/>
      <c r="V163" s="152"/>
      <c r="W163" s="152"/>
      <c r="X163" s="430"/>
      <c r="Y163" s="430"/>
      <c r="Z163" s="430"/>
      <c r="AA163" s="430"/>
      <c r="AB163" s="430"/>
      <c r="AC163" s="430"/>
      <c r="AD163" s="430"/>
      <c r="AE163" s="430"/>
      <c r="AF163" s="430"/>
      <c r="AG163" s="430"/>
      <c r="AH163" s="329"/>
      <c r="AI163" s="152"/>
      <c r="AJ163" s="152"/>
      <c r="AK163" s="430"/>
      <c r="AL163" s="430"/>
      <c r="AM163" s="430"/>
      <c r="AN163" s="430"/>
      <c r="AO163" s="430"/>
      <c r="AP163" s="430"/>
      <c r="AQ163" s="430"/>
      <c r="AR163" s="430"/>
      <c r="AS163" s="430"/>
      <c r="AT163" s="430"/>
      <c r="AU163" s="329"/>
      <c r="AV163" s="152"/>
      <c r="AW163" s="152"/>
      <c r="AX163" s="152"/>
    </row>
    <row r="164" spans="1:50">
      <c r="A164" s="39" t="s">
        <v>72</v>
      </c>
      <c r="B164" s="21" t="s">
        <v>66</v>
      </c>
      <c r="C164" s="21" t="s">
        <v>71</v>
      </c>
      <c r="D164" s="696">
        <v>10</v>
      </c>
      <c r="E164" s="696">
        <v>3</v>
      </c>
      <c r="F164" s="291">
        <v>1287</v>
      </c>
      <c r="G164" s="699">
        <v>1000</v>
      </c>
      <c r="H164" s="694"/>
      <c r="I164" s="697">
        <v>1</v>
      </c>
      <c r="J164" s="379">
        <f>ROUND(G164*(1+'29_01_H_2020'!$O$14),2)</f>
        <v>1253.9000000000001</v>
      </c>
      <c r="K164" s="151">
        <f t="shared" si="102"/>
        <v>0</v>
      </c>
      <c r="L164" s="151">
        <f>ROUND(H164*(1+'29_01_H_2020'!$O$14),2)</f>
        <v>0</v>
      </c>
      <c r="M164" s="151">
        <f t="shared" si="103"/>
        <v>253.90000000000009</v>
      </c>
      <c r="N164" s="151">
        <f t="shared" si="104"/>
        <v>253.90000000000009</v>
      </c>
      <c r="O164" s="151">
        <f t="shared" si="95"/>
        <v>3046.8000000000011</v>
      </c>
      <c r="P164" s="151">
        <f>ROUND(O164*'29_01_H_2020'!$O$17,2)</f>
        <v>718.74</v>
      </c>
      <c r="Q164" s="380">
        <f t="shared" si="105"/>
        <v>3765.5400000000009</v>
      </c>
      <c r="R164" s="329"/>
      <c r="S164" s="431"/>
      <c r="T164" s="153"/>
      <c r="U164" s="153"/>
      <c r="V164" s="152"/>
      <c r="W164" s="152"/>
      <c r="X164" s="430"/>
      <c r="Y164" s="430"/>
      <c r="Z164" s="430"/>
      <c r="AA164" s="430"/>
      <c r="AB164" s="430"/>
      <c r="AC164" s="430"/>
      <c r="AD164" s="430"/>
      <c r="AE164" s="430"/>
      <c r="AF164" s="430"/>
      <c r="AG164" s="430"/>
      <c r="AH164" s="329"/>
      <c r="AI164" s="152"/>
      <c r="AJ164" s="152"/>
      <c r="AK164" s="430"/>
      <c r="AL164" s="430"/>
      <c r="AM164" s="430"/>
      <c r="AN164" s="430"/>
      <c r="AO164" s="430"/>
      <c r="AP164" s="430"/>
      <c r="AQ164" s="430"/>
      <c r="AR164" s="430"/>
      <c r="AS164" s="430"/>
      <c r="AT164" s="430"/>
      <c r="AU164" s="329"/>
      <c r="AV164" s="152"/>
      <c r="AW164" s="152"/>
      <c r="AX164" s="152"/>
    </row>
    <row r="165" spans="1:50">
      <c r="A165" s="20" t="s">
        <v>73</v>
      </c>
      <c r="B165" s="696" t="s">
        <v>74</v>
      </c>
      <c r="C165" s="696" t="s">
        <v>42</v>
      </c>
      <c r="D165" s="696">
        <v>9</v>
      </c>
      <c r="E165" s="26" t="s">
        <v>69</v>
      </c>
      <c r="F165" s="290">
        <v>1190</v>
      </c>
      <c r="G165" s="699">
        <v>1144</v>
      </c>
      <c r="H165" s="694"/>
      <c r="I165" s="701">
        <v>3</v>
      </c>
      <c r="J165" s="379">
        <f>ROUND(G165*(1+'29_01_H_2020'!$O$14),2)</f>
        <v>1434.46</v>
      </c>
      <c r="K165" s="151">
        <f t="shared" si="102"/>
        <v>0</v>
      </c>
      <c r="L165" s="151">
        <f>ROUND(H165*(1+'29_01_H_2020'!$O$14),2)</f>
        <v>0</v>
      </c>
      <c r="M165" s="151">
        <f t="shared" si="103"/>
        <v>290.46000000000004</v>
      </c>
      <c r="N165" s="151">
        <f t="shared" si="104"/>
        <v>871.38000000000011</v>
      </c>
      <c r="O165" s="151">
        <f t="shared" si="95"/>
        <v>10456.560000000001</v>
      </c>
      <c r="P165" s="151">
        <f>ROUND(O165*'29_01_H_2020'!$O$17,2)</f>
        <v>2466.6999999999998</v>
      </c>
      <c r="Q165" s="380">
        <f t="shared" si="105"/>
        <v>12923.260000000002</v>
      </c>
      <c r="R165" s="329"/>
      <c r="S165" s="431"/>
      <c r="T165" s="153"/>
      <c r="U165" s="153"/>
      <c r="V165" s="152"/>
      <c r="W165" s="152"/>
      <c r="X165" s="430"/>
      <c r="Y165" s="430"/>
      <c r="Z165" s="430"/>
      <c r="AA165" s="430"/>
      <c r="AB165" s="430"/>
      <c r="AC165" s="430"/>
      <c r="AD165" s="430"/>
      <c r="AE165" s="430"/>
      <c r="AF165" s="430"/>
      <c r="AG165" s="430"/>
      <c r="AH165" s="329"/>
      <c r="AI165" s="152"/>
      <c r="AJ165" s="152"/>
      <c r="AK165" s="430"/>
      <c r="AL165" s="430"/>
      <c r="AM165" s="430"/>
      <c r="AN165" s="430"/>
      <c r="AO165" s="430"/>
      <c r="AP165" s="430"/>
      <c r="AQ165" s="430"/>
      <c r="AR165" s="430"/>
      <c r="AS165" s="430"/>
      <c r="AT165" s="430"/>
      <c r="AU165" s="329"/>
      <c r="AV165" s="152"/>
      <c r="AW165" s="152"/>
      <c r="AX165" s="152"/>
    </row>
    <row r="166" spans="1:50">
      <c r="A166" s="352" t="s">
        <v>73</v>
      </c>
      <c r="B166" s="696" t="s">
        <v>74</v>
      </c>
      <c r="C166" s="696" t="s">
        <v>42</v>
      </c>
      <c r="D166" s="696">
        <v>9</v>
      </c>
      <c r="E166" s="26" t="s">
        <v>69</v>
      </c>
      <c r="F166" s="290">
        <v>1190</v>
      </c>
      <c r="G166" s="699">
        <v>1015</v>
      </c>
      <c r="H166" s="694"/>
      <c r="I166" s="701">
        <v>1</v>
      </c>
      <c r="J166" s="379">
        <f>ROUND(G166*(1+'29_01_H_2020'!$O$14),2)</f>
        <v>1272.71</v>
      </c>
      <c r="K166" s="151">
        <f t="shared" si="102"/>
        <v>0</v>
      </c>
      <c r="L166" s="151">
        <f>ROUND(H166*(1+'29_01_H_2020'!$O$14),2)</f>
        <v>0</v>
      </c>
      <c r="M166" s="151">
        <f t="shared" si="103"/>
        <v>257.71000000000004</v>
      </c>
      <c r="N166" s="151">
        <f t="shared" si="104"/>
        <v>257.71000000000004</v>
      </c>
      <c r="O166" s="151">
        <f t="shared" si="95"/>
        <v>3092.5200000000004</v>
      </c>
      <c r="P166" s="151">
        <f>ROUND(O166*'29_01_H_2020'!$O$17,2)</f>
        <v>729.53</v>
      </c>
      <c r="Q166" s="380">
        <f t="shared" si="105"/>
        <v>3822.05</v>
      </c>
      <c r="R166" s="329"/>
      <c r="S166" s="431"/>
      <c r="T166" s="153"/>
      <c r="U166" s="153"/>
      <c r="V166" s="152"/>
      <c r="W166" s="152"/>
      <c r="X166" s="430"/>
      <c r="Y166" s="430"/>
      <c r="Z166" s="430"/>
      <c r="AA166" s="430"/>
      <c r="AB166" s="430"/>
      <c r="AC166" s="430"/>
      <c r="AD166" s="430"/>
      <c r="AE166" s="430"/>
      <c r="AF166" s="430"/>
      <c r="AG166" s="430"/>
      <c r="AH166" s="329"/>
      <c r="AI166" s="152"/>
      <c r="AJ166" s="152"/>
      <c r="AK166" s="430"/>
      <c r="AL166" s="430"/>
      <c r="AM166" s="430"/>
      <c r="AN166" s="430"/>
      <c r="AO166" s="430"/>
      <c r="AP166" s="430"/>
      <c r="AQ166" s="430"/>
      <c r="AR166" s="430"/>
      <c r="AS166" s="430"/>
      <c r="AT166" s="430"/>
      <c r="AU166" s="329"/>
      <c r="AV166" s="152"/>
      <c r="AW166" s="152"/>
      <c r="AX166" s="152"/>
    </row>
    <row r="167" spans="1:50">
      <c r="A167" s="20" t="s">
        <v>73</v>
      </c>
      <c r="B167" s="21" t="s">
        <v>74</v>
      </c>
      <c r="C167" s="21" t="s">
        <v>26</v>
      </c>
      <c r="D167" s="696">
        <v>10</v>
      </c>
      <c r="E167" s="26" t="s">
        <v>69</v>
      </c>
      <c r="F167" s="290">
        <v>1287</v>
      </c>
      <c r="G167" s="699">
        <v>1180</v>
      </c>
      <c r="H167" s="694"/>
      <c r="I167" s="701">
        <v>1</v>
      </c>
      <c r="J167" s="379">
        <f>ROUND(G167*(1+'29_01_H_2020'!$O$14),2)</f>
        <v>1479.6</v>
      </c>
      <c r="K167" s="151">
        <f t="shared" si="102"/>
        <v>0</v>
      </c>
      <c r="L167" s="151">
        <f>ROUND(H167*(1+'29_01_H_2020'!$O$14),2)</f>
        <v>0</v>
      </c>
      <c r="M167" s="151">
        <f t="shared" si="103"/>
        <v>299.59999999999991</v>
      </c>
      <c r="N167" s="151">
        <f t="shared" si="104"/>
        <v>299.59999999999991</v>
      </c>
      <c r="O167" s="151">
        <f t="shared" si="95"/>
        <v>3595.1999999999989</v>
      </c>
      <c r="P167" s="151">
        <f>ROUND(O167*'29_01_H_2020'!$O$17,2)</f>
        <v>848.11</v>
      </c>
      <c r="Q167" s="380">
        <f t="shared" si="105"/>
        <v>4443.3099999999986</v>
      </c>
      <c r="R167" s="329"/>
      <c r="S167" s="431"/>
      <c r="T167" s="153"/>
      <c r="U167" s="153"/>
      <c r="V167" s="152"/>
      <c r="W167" s="152"/>
      <c r="X167" s="430"/>
      <c r="Y167" s="430"/>
      <c r="Z167" s="430"/>
      <c r="AA167" s="430"/>
      <c r="AB167" s="430"/>
      <c r="AC167" s="430"/>
      <c r="AD167" s="430"/>
      <c r="AE167" s="430"/>
      <c r="AF167" s="430"/>
      <c r="AG167" s="430"/>
      <c r="AH167" s="329"/>
      <c r="AI167" s="152"/>
      <c r="AJ167" s="152"/>
      <c r="AK167" s="430"/>
      <c r="AL167" s="430"/>
      <c r="AM167" s="430"/>
      <c r="AN167" s="430"/>
      <c r="AO167" s="430"/>
      <c r="AP167" s="430"/>
      <c r="AQ167" s="430"/>
      <c r="AR167" s="430"/>
      <c r="AS167" s="430"/>
      <c r="AT167" s="430"/>
      <c r="AU167" s="329"/>
      <c r="AV167" s="152"/>
      <c r="AW167" s="152"/>
      <c r="AX167" s="152"/>
    </row>
    <row r="168" spans="1:50">
      <c r="A168" s="20" t="s">
        <v>73</v>
      </c>
      <c r="B168" s="21" t="s">
        <v>74</v>
      </c>
      <c r="C168" s="21" t="s">
        <v>26</v>
      </c>
      <c r="D168" s="696">
        <v>10</v>
      </c>
      <c r="E168" s="26" t="s">
        <v>69</v>
      </c>
      <c r="F168" s="290">
        <v>1287</v>
      </c>
      <c r="G168" s="699">
        <v>1180</v>
      </c>
      <c r="H168" s="694"/>
      <c r="I168" s="701">
        <v>1</v>
      </c>
      <c r="J168" s="379">
        <f>ROUND(G168*(1+'29_01_H_2020'!$O$14),2)</f>
        <v>1479.6</v>
      </c>
      <c r="K168" s="151">
        <f t="shared" si="102"/>
        <v>0</v>
      </c>
      <c r="L168" s="151">
        <f>ROUND(H168*(1+'29_01_H_2020'!$O$14),2)</f>
        <v>0</v>
      </c>
      <c r="M168" s="151">
        <f t="shared" si="103"/>
        <v>299.59999999999991</v>
      </c>
      <c r="N168" s="151">
        <f t="shared" si="104"/>
        <v>299.59999999999991</v>
      </c>
      <c r="O168" s="151">
        <f t="shared" si="95"/>
        <v>3595.1999999999989</v>
      </c>
      <c r="P168" s="151">
        <f>ROUND(O168*'29_01_H_2020'!$O$17,2)</f>
        <v>848.11</v>
      </c>
      <c r="Q168" s="380">
        <f t="shared" si="105"/>
        <v>4443.3099999999986</v>
      </c>
      <c r="R168" s="329"/>
      <c r="S168" s="431"/>
      <c r="T168" s="153"/>
      <c r="U168" s="153"/>
      <c r="V168" s="152"/>
      <c r="W168" s="152"/>
      <c r="X168" s="430"/>
      <c r="Y168" s="430"/>
      <c r="Z168" s="430"/>
      <c r="AA168" s="430"/>
      <c r="AB168" s="430"/>
      <c r="AC168" s="430"/>
      <c r="AD168" s="430"/>
      <c r="AE168" s="430"/>
      <c r="AF168" s="430"/>
      <c r="AG168" s="430"/>
      <c r="AH168" s="329"/>
      <c r="AI168" s="152"/>
      <c r="AJ168" s="152"/>
      <c r="AK168" s="430"/>
      <c r="AL168" s="430"/>
      <c r="AM168" s="430"/>
      <c r="AN168" s="430"/>
      <c r="AO168" s="430"/>
      <c r="AP168" s="430"/>
      <c r="AQ168" s="430"/>
      <c r="AR168" s="430"/>
      <c r="AS168" s="430"/>
      <c r="AT168" s="430"/>
      <c r="AU168" s="329"/>
      <c r="AV168" s="152"/>
      <c r="AW168" s="152"/>
      <c r="AX168" s="152"/>
    </row>
    <row r="169" spans="1:50">
      <c r="A169" s="20" t="s">
        <v>73</v>
      </c>
      <c r="B169" s="21" t="s">
        <v>74</v>
      </c>
      <c r="C169" s="21" t="s">
        <v>26</v>
      </c>
      <c r="D169" s="696">
        <v>10</v>
      </c>
      <c r="E169" s="26" t="s">
        <v>69</v>
      </c>
      <c r="F169" s="290">
        <v>1287</v>
      </c>
      <c r="G169" s="699">
        <v>1000</v>
      </c>
      <c r="H169" s="694"/>
      <c r="I169" s="701">
        <v>1</v>
      </c>
      <c r="J169" s="379">
        <f>ROUND(G169*(1+'29_01_H_2020'!$O$14),2)</f>
        <v>1253.9000000000001</v>
      </c>
      <c r="K169" s="151">
        <f t="shared" si="102"/>
        <v>0</v>
      </c>
      <c r="L169" s="151">
        <f>ROUND(H169*(1+'29_01_H_2020'!$O$14),2)</f>
        <v>0</v>
      </c>
      <c r="M169" s="151">
        <f t="shared" si="103"/>
        <v>253.90000000000009</v>
      </c>
      <c r="N169" s="151">
        <f t="shared" si="104"/>
        <v>253.90000000000009</v>
      </c>
      <c r="O169" s="151">
        <f t="shared" si="95"/>
        <v>3046.8000000000011</v>
      </c>
      <c r="P169" s="151">
        <f>ROUND(O169*'29_01_H_2020'!$O$17,2)</f>
        <v>718.74</v>
      </c>
      <c r="Q169" s="380">
        <f t="shared" si="105"/>
        <v>3765.5400000000009</v>
      </c>
      <c r="R169" s="329"/>
      <c r="S169" s="431"/>
      <c r="T169" s="153"/>
      <c r="U169" s="153"/>
      <c r="V169" s="152"/>
      <c r="W169" s="152"/>
      <c r="X169" s="430"/>
      <c r="Y169" s="430"/>
      <c r="Z169" s="430"/>
      <c r="AA169" s="430"/>
      <c r="AB169" s="430"/>
      <c r="AC169" s="430"/>
      <c r="AD169" s="430"/>
      <c r="AE169" s="430"/>
      <c r="AF169" s="430"/>
      <c r="AG169" s="430"/>
      <c r="AH169" s="329"/>
      <c r="AI169" s="152"/>
      <c r="AJ169" s="152"/>
      <c r="AK169" s="430"/>
      <c r="AL169" s="430"/>
      <c r="AM169" s="430"/>
      <c r="AN169" s="430"/>
      <c r="AO169" s="430"/>
      <c r="AP169" s="430"/>
      <c r="AQ169" s="430"/>
      <c r="AR169" s="430"/>
      <c r="AS169" s="430"/>
      <c r="AT169" s="430"/>
      <c r="AU169" s="329"/>
      <c r="AV169" s="152"/>
      <c r="AW169" s="152"/>
      <c r="AX169" s="152"/>
    </row>
    <row r="170" spans="1:50">
      <c r="A170" s="20" t="s">
        <v>73</v>
      </c>
      <c r="B170" s="24" t="s">
        <v>74</v>
      </c>
      <c r="C170" s="24" t="s">
        <v>26</v>
      </c>
      <c r="D170" s="26" t="s">
        <v>75</v>
      </c>
      <c r="E170" s="26" t="s">
        <v>69</v>
      </c>
      <c r="F170" s="290">
        <v>1287</v>
      </c>
      <c r="G170" s="699">
        <v>1100</v>
      </c>
      <c r="H170" s="694"/>
      <c r="I170" s="701">
        <v>1</v>
      </c>
      <c r="J170" s="379">
        <f>ROUND(G170*(1+'29_01_H_2020'!$O$14),2)</f>
        <v>1379.29</v>
      </c>
      <c r="K170" s="151">
        <f t="shared" si="102"/>
        <v>0</v>
      </c>
      <c r="L170" s="151">
        <f>ROUND(H170*(1+'29_01_H_2020'!$O$14),2)</f>
        <v>0</v>
      </c>
      <c r="M170" s="151">
        <f t="shared" si="103"/>
        <v>279.28999999999996</v>
      </c>
      <c r="N170" s="151">
        <f t="shared" si="104"/>
        <v>279.28999999999996</v>
      </c>
      <c r="O170" s="151">
        <f t="shared" si="95"/>
        <v>3351.4799999999996</v>
      </c>
      <c r="P170" s="151">
        <f>ROUND(O170*'29_01_H_2020'!$O$17,2)</f>
        <v>790.61</v>
      </c>
      <c r="Q170" s="380">
        <f t="shared" si="105"/>
        <v>4142.0899999999992</v>
      </c>
      <c r="R170" s="329"/>
      <c r="S170" s="431"/>
      <c r="T170" s="153"/>
      <c r="U170" s="153"/>
      <c r="V170" s="152"/>
      <c r="W170" s="152"/>
      <c r="X170" s="430"/>
      <c r="Y170" s="430"/>
      <c r="Z170" s="430"/>
      <c r="AA170" s="430"/>
      <c r="AB170" s="430"/>
      <c r="AC170" s="430"/>
      <c r="AD170" s="430"/>
      <c r="AE170" s="430"/>
      <c r="AF170" s="430"/>
      <c r="AG170" s="430"/>
      <c r="AH170" s="329"/>
      <c r="AI170" s="152"/>
      <c r="AJ170" s="152"/>
      <c r="AK170" s="430"/>
      <c r="AL170" s="430"/>
      <c r="AM170" s="430"/>
      <c r="AN170" s="430"/>
      <c r="AO170" s="430"/>
      <c r="AP170" s="430"/>
      <c r="AQ170" s="430"/>
      <c r="AR170" s="430"/>
      <c r="AS170" s="430"/>
      <c r="AT170" s="430"/>
      <c r="AU170" s="329"/>
      <c r="AV170" s="152"/>
      <c r="AW170" s="152"/>
      <c r="AX170" s="152"/>
    </row>
    <row r="171" spans="1:50">
      <c r="A171" s="20" t="s">
        <v>76</v>
      </c>
      <c r="B171" s="21" t="s">
        <v>74</v>
      </c>
      <c r="C171" s="21" t="s">
        <v>35</v>
      </c>
      <c r="D171" s="696">
        <v>7</v>
      </c>
      <c r="E171" s="26" t="s">
        <v>69</v>
      </c>
      <c r="F171" s="290">
        <v>996</v>
      </c>
      <c r="G171" s="699">
        <v>996</v>
      </c>
      <c r="H171" s="694">
        <f>996*30%</f>
        <v>298.8</v>
      </c>
      <c r="I171" s="701">
        <v>1</v>
      </c>
      <c r="J171" s="379">
        <f>ROUND(G171*(1+'29_01_H_2020'!$O$14),2)</f>
        <v>1248.8800000000001</v>
      </c>
      <c r="K171" s="151">
        <f t="shared" si="102"/>
        <v>75.87</v>
      </c>
      <c r="L171" s="151">
        <f>ROUND(H171*(1+'29_01_H_2020'!$O$14),2)</f>
        <v>374.67</v>
      </c>
      <c r="M171" s="151">
        <f t="shared" si="103"/>
        <v>328.75000000000023</v>
      </c>
      <c r="N171" s="151">
        <f t="shared" si="104"/>
        <v>328.75000000000023</v>
      </c>
      <c r="O171" s="151">
        <f t="shared" si="95"/>
        <v>3945.0000000000027</v>
      </c>
      <c r="P171" s="151">
        <f>ROUND(O171*'29_01_H_2020'!$O$17,2)</f>
        <v>930.63</v>
      </c>
      <c r="Q171" s="380">
        <f t="shared" si="105"/>
        <v>4875.6300000000028</v>
      </c>
      <c r="R171" s="329"/>
      <c r="S171" s="431"/>
      <c r="T171" s="153"/>
      <c r="U171" s="153"/>
      <c r="V171" s="152"/>
      <c r="W171" s="152"/>
      <c r="X171" s="430"/>
      <c r="Y171" s="430"/>
      <c r="Z171" s="430"/>
      <c r="AA171" s="430"/>
      <c r="AB171" s="430"/>
      <c r="AC171" s="430"/>
      <c r="AD171" s="430"/>
      <c r="AE171" s="430"/>
      <c r="AF171" s="430"/>
      <c r="AG171" s="430"/>
      <c r="AH171" s="329"/>
      <c r="AI171" s="152"/>
      <c r="AJ171" s="152"/>
      <c r="AK171" s="430"/>
      <c r="AL171" s="430"/>
      <c r="AM171" s="430"/>
      <c r="AN171" s="430"/>
      <c r="AO171" s="430"/>
      <c r="AP171" s="430"/>
      <c r="AQ171" s="430"/>
      <c r="AR171" s="430"/>
      <c r="AS171" s="430"/>
      <c r="AT171" s="430"/>
      <c r="AU171" s="329"/>
      <c r="AV171" s="152"/>
      <c r="AW171" s="152"/>
      <c r="AX171" s="152"/>
    </row>
    <row r="172" spans="1:50">
      <c r="A172" s="20" t="s">
        <v>76</v>
      </c>
      <c r="B172" s="21" t="s">
        <v>74</v>
      </c>
      <c r="C172" s="21" t="s">
        <v>35</v>
      </c>
      <c r="D172" s="696">
        <v>7</v>
      </c>
      <c r="E172" s="26" t="s">
        <v>69</v>
      </c>
      <c r="F172" s="290">
        <v>996</v>
      </c>
      <c r="G172" s="699">
        <v>996</v>
      </c>
      <c r="H172" s="694">
        <f>996*10%</f>
        <v>99.600000000000009</v>
      </c>
      <c r="I172" s="701">
        <v>1</v>
      </c>
      <c r="J172" s="379">
        <f>ROUND(G172*(1+'29_01_H_2020'!$O$14),2)</f>
        <v>1248.8800000000001</v>
      </c>
      <c r="K172" s="151">
        <f t="shared" si="102"/>
        <v>25.289999999999992</v>
      </c>
      <c r="L172" s="151">
        <f>ROUND(H172*(1+'29_01_H_2020'!$O$14),2)</f>
        <v>124.89</v>
      </c>
      <c r="M172" s="151">
        <f t="shared" si="103"/>
        <v>278.1700000000003</v>
      </c>
      <c r="N172" s="151">
        <f t="shared" si="104"/>
        <v>278.1700000000003</v>
      </c>
      <c r="O172" s="151">
        <f t="shared" si="95"/>
        <v>3338.0400000000036</v>
      </c>
      <c r="P172" s="151">
        <f>ROUND(O172*'29_01_H_2020'!$O$17,2)</f>
        <v>787.44</v>
      </c>
      <c r="Q172" s="380">
        <f t="shared" si="105"/>
        <v>4125.4800000000032</v>
      </c>
      <c r="R172" s="329"/>
      <c r="S172" s="431"/>
      <c r="T172" s="153"/>
      <c r="U172" s="153"/>
      <c r="V172" s="152"/>
      <c r="W172" s="152"/>
      <c r="X172" s="430"/>
      <c r="Y172" s="430"/>
      <c r="Z172" s="430"/>
      <c r="AA172" s="430"/>
      <c r="AB172" s="430"/>
      <c r="AC172" s="430"/>
      <c r="AD172" s="430"/>
      <c r="AE172" s="430"/>
      <c r="AF172" s="430"/>
      <c r="AG172" s="430"/>
      <c r="AH172" s="329"/>
      <c r="AI172" s="152"/>
      <c r="AJ172" s="152"/>
      <c r="AK172" s="430"/>
      <c r="AL172" s="430"/>
      <c r="AM172" s="430"/>
      <c r="AN172" s="430"/>
      <c r="AO172" s="430"/>
      <c r="AP172" s="430"/>
      <c r="AQ172" s="430"/>
      <c r="AR172" s="430"/>
      <c r="AS172" s="430"/>
      <c r="AT172" s="430"/>
      <c r="AU172" s="329"/>
      <c r="AV172" s="152"/>
      <c r="AW172" s="152"/>
      <c r="AX172" s="152"/>
    </row>
    <row r="173" spans="1:50">
      <c r="A173" s="20" t="s">
        <v>77</v>
      </c>
      <c r="B173" s="21" t="s">
        <v>74</v>
      </c>
      <c r="C173" s="21" t="s">
        <v>35</v>
      </c>
      <c r="D173" s="696">
        <v>7</v>
      </c>
      <c r="E173" s="26" t="s">
        <v>69</v>
      </c>
      <c r="F173" s="290">
        <v>996</v>
      </c>
      <c r="G173" s="699">
        <v>979</v>
      </c>
      <c r="H173" s="694"/>
      <c r="I173" s="701">
        <v>2</v>
      </c>
      <c r="J173" s="379">
        <f>ROUND(G173*(1+'29_01_H_2020'!$O$14),2)</f>
        <v>1227.57</v>
      </c>
      <c r="K173" s="151">
        <f t="shared" si="102"/>
        <v>0</v>
      </c>
      <c r="L173" s="151">
        <f>ROUND(H173*(1+'29_01_H_2020'!$O$14),2)</f>
        <v>0</v>
      </c>
      <c r="M173" s="151">
        <f t="shared" si="103"/>
        <v>248.56999999999994</v>
      </c>
      <c r="N173" s="151">
        <f t="shared" si="104"/>
        <v>497.13999999999987</v>
      </c>
      <c r="O173" s="151">
        <f t="shared" si="95"/>
        <v>5965.6799999999985</v>
      </c>
      <c r="P173" s="151">
        <f>ROUND(O173*'29_01_H_2020'!$O$17,2)</f>
        <v>1407.3</v>
      </c>
      <c r="Q173" s="380">
        <f t="shared" si="105"/>
        <v>7372.9799999999987</v>
      </c>
      <c r="R173" s="329"/>
      <c r="S173" s="431"/>
      <c r="T173" s="153"/>
      <c r="U173" s="153"/>
      <c r="V173" s="152"/>
      <c r="W173" s="152"/>
      <c r="X173" s="430"/>
      <c r="Y173" s="430"/>
      <c r="Z173" s="430"/>
      <c r="AA173" s="430"/>
      <c r="AB173" s="430"/>
      <c r="AC173" s="430"/>
      <c r="AD173" s="430"/>
      <c r="AE173" s="430"/>
      <c r="AF173" s="430"/>
      <c r="AG173" s="430"/>
      <c r="AH173" s="329"/>
      <c r="AI173" s="152"/>
      <c r="AJ173" s="152"/>
      <c r="AK173" s="430"/>
      <c r="AL173" s="430"/>
      <c r="AM173" s="430"/>
      <c r="AN173" s="430"/>
      <c r="AO173" s="430"/>
      <c r="AP173" s="430"/>
      <c r="AQ173" s="430"/>
      <c r="AR173" s="430"/>
      <c r="AS173" s="430"/>
      <c r="AT173" s="430"/>
      <c r="AU173" s="329"/>
      <c r="AV173" s="152"/>
      <c r="AW173" s="152"/>
      <c r="AX173" s="152"/>
    </row>
    <row r="174" spans="1:50">
      <c r="A174" s="39" t="s">
        <v>78</v>
      </c>
      <c r="B174" s="26" t="s">
        <v>66</v>
      </c>
      <c r="C174" s="26" t="s">
        <v>79</v>
      </c>
      <c r="D174" s="26" t="s">
        <v>80</v>
      </c>
      <c r="E174" s="26" t="s">
        <v>69</v>
      </c>
      <c r="F174" s="290">
        <v>2264</v>
      </c>
      <c r="G174" s="699">
        <v>2145</v>
      </c>
      <c r="H174" s="694"/>
      <c r="I174" s="697">
        <v>1</v>
      </c>
      <c r="J174" s="379">
        <f>ROUND(G174*(1+'29_01_H_2020'!$O$14),2)</f>
        <v>2689.62</v>
      </c>
      <c r="K174" s="151">
        <f t="shared" si="102"/>
        <v>0</v>
      </c>
      <c r="L174" s="151">
        <f>ROUND(H174*(1+'29_01_H_2020'!$O$14),2)</f>
        <v>0</v>
      </c>
      <c r="M174" s="151">
        <f t="shared" si="103"/>
        <v>544.61999999999989</v>
      </c>
      <c r="N174" s="151">
        <f t="shared" si="104"/>
        <v>544.61999999999989</v>
      </c>
      <c r="O174" s="151">
        <f t="shared" si="95"/>
        <v>6535.4399999999987</v>
      </c>
      <c r="P174" s="151">
        <f>ROUND(O174*'29_01_H_2020'!$O$17,2)</f>
        <v>1541.71</v>
      </c>
      <c r="Q174" s="380">
        <f t="shared" si="105"/>
        <v>8077.1499999999987</v>
      </c>
      <c r="R174" s="329"/>
      <c r="S174" s="431"/>
      <c r="T174" s="153"/>
      <c r="U174" s="153"/>
      <c r="V174" s="152"/>
      <c r="W174" s="152"/>
      <c r="X174" s="430"/>
      <c r="Y174" s="430"/>
      <c r="Z174" s="430"/>
      <c r="AA174" s="430"/>
      <c r="AB174" s="430"/>
      <c r="AC174" s="430"/>
      <c r="AD174" s="430"/>
      <c r="AE174" s="430"/>
      <c r="AF174" s="430"/>
      <c r="AG174" s="430"/>
      <c r="AH174" s="329"/>
      <c r="AI174" s="152"/>
      <c r="AJ174" s="152"/>
      <c r="AK174" s="430"/>
      <c r="AL174" s="430"/>
      <c r="AM174" s="430"/>
      <c r="AN174" s="430"/>
      <c r="AO174" s="430"/>
      <c r="AP174" s="430"/>
      <c r="AQ174" s="430"/>
      <c r="AR174" s="430"/>
      <c r="AS174" s="430"/>
      <c r="AT174" s="430"/>
      <c r="AU174" s="329"/>
      <c r="AV174" s="152"/>
      <c r="AW174" s="152"/>
      <c r="AX174" s="152"/>
    </row>
    <row r="175" spans="1:50">
      <c r="A175" s="39" t="s">
        <v>78</v>
      </c>
      <c r="B175" s="26" t="s">
        <v>66</v>
      </c>
      <c r="C175" s="26" t="s">
        <v>79</v>
      </c>
      <c r="D175" s="26" t="s">
        <v>80</v>
      </c>
      <c r="E175" s="26" t="s">
        <v>69</v>
      </c>
      <c r="F175" s="290">
        <v>2264</v>
      </c>
      <c r="G175" s="699">
        <v>1917</v>
      </c>
      <c r="H175" s="694"/>
      <c r="I175" s="697">
        <v>1</v>
      </c>
      <c r="J175" s="379">
        <f>ROUND(G175*(1+'29_01_H_2020'!$O$14),2)</f>
        <v>2403.73</v>
      </c>
      <c r="K175" s="151">
        <f t="shared" si="102"/>
        <v>0</v>
      </c>
      <c r="L175" s="151">
        <f>ROUND(H175*(1+'29_01_H_2020'!$O$14),2)</f>
        <v>0</v>
      </c>
      <c r="M175" s="151">
        <f t="shared" si="103"/>
        <v>486.73</v>
      </c>
      <c r="N175" s="151">
        <f t="shared" si="104"/>
        <v>486.73</v>
      </c>
      <c r="O175" s="151">
        <f t="shared" si="95"/>
        <v>5840.76</v>
      </c>
      <c r="P175" s="151">
        <f>ROUND(O175*'29_01_H_2020'!$O$17,2)</f>
        <v>1377.84</v>
      </c>
      <c r="Q175" s="380">
        <f t="shared" si="105"/>
        <v>7218.6</v>
      </c>
      <c r="R175" s="329"/>
      <c r="S175" s="431"/>
      <c r="T175" s="153"/>
      <c r="U175" s="153"/>
      <c r="V175" s="152"/>
      <c r="W175" s="152"/>
      <c r="X175" s="430"/>
      <c r="Y175" s="430"/>
      <c r="Z175" s="430"/>
      <c r="AA175" s="430"/>
      <c r="AB175" s="430"/>
      <c r="AC175" s="430"/>
      <c r="AD175" s="430"/>
      <c r="AE175" s="430"/>
      <c r="AF175" s="430"/>
      <c r="AG175" s="430"/>
      <c r="AH175" s="329"/>
      <c r="AI175" s="152"/>
      <c r="AJ175" s="152"/>
      <c r="AK175" s="430"/>
      <c r="AL175" s="430"/>
      <c r="AM175" s="430"/>
      <c r="AN175" s="430"/>
      <c r="AO175" s="430"/>
      <c r="AP175" s="430"/>
      <c r="AQ175" s="430"/>
      <c r="AR175" s="430"/>
      <c r="AS175" s="430"/>
      <c r="AT175" s="430"/>
      <c r="AU175" s="329"/>
      <c r="AV175" s="152"/>
      <c r="AW175" s="152"/>
      <c r="AX175" s="152"/>
    </row>
    <row r="176" spans="1:50">
      <c r="A176" s="39" t="s">
        <v>78</v>
      </c>
      <c r="B176" s="21">
        <v>35</v>
      </c>
      <c r="C176" s="21" t="s">
        <v>13</v>
      </c>
      <c r="D176" s="696">
        <v>13</v>
      </c>
      <c r="E176" s="26" t="s">
        <v>69</v>
      </c>
      <c r="F176" s="290">
        <v>1917</v>
      </c>
      <c r="G176" s="699">
        <v>1917</v>
      </c>
      <c r="H176" s="694"/>
      <c r="I176" s="697">
        <v>1</v>
      </c>
      <c r="J176" s="379">
        <f>ROUND(G176*(1+'29_01_H_2020'!$O$14),2)</f>
        <v>2403.73</v>
      </c>
      <c r="K176" s="151">
        <f t="shared" si="102"/>
        <v>0</v>
      </c>
      <c r="L176" s="151">
        <f>ROUND(H176*(1+'29_01_H_2020'!$O$14),2)</f>
        <v>0</v>
      </c>
      <c r="M176" s="151">
        <f t="shared" si="103"/>
        <v>486.73</v>
      </c>
      <c r="N176" s="151">
        <f t="shared" si="104"/>
        <v>486.73</v>
      </c>
      <c r="O176" s="151">
        <f t="shared" si="95"/>
        <v>5840.76</v>
      </c>
      <c r="P176" s="151">
        <f>ROUND(O176*'29_01_H_2020'!$O$17,2)</f>
        <v>1377.84</v>
      </c>
      <c r="Q176" s="380">
        <f t="shared" si="105"/>
        <v>7218.6</v>
      </c>
      <c r="R176" s="329"/>
      <c r="S176" s="431"/>
      <c r="T176" s="153"/>
      <c r="U176" s="153"/>
      <c r="V176" s="152"/>
      <c r="W176" s="152"/>
      <c r="X176" s="430"/>
      <c r="Y176" s="430"/>
      <c r="Z176" s="430"/>
      <c r="AA176" s="430"/>
      <c r="AB176" s="430"/>
      <c r="AC176" s="430"/>
      <c r="AD176" s="430"/>
      <c r="AE176" s="430"/>
      <c r="AF176" s="430"/>
      <c r="AG176" s="430"/>
      <c r="AH176" s="329"/>
      <c r="AI176" s="152"/>
      <c r="AJ176" s="152"/>
      <c r="AK176" s="430"/>
      <c r="AL176" s="430"/>
      <c r="AM176" s="430"/>
      <c r="AN176" s="430"/>
      <c r="AO176" s="430"/>
      <c r="AP176" s="430"/>
      <c r="AQ176" s="430"/>
      <c r="AR176" s="430"/>
      <c r="AS176" s="430"/>
      <c r="AT176" s="430"/>
      <c r="AU176" s="329"/>
      <c r="AV176" s="152"/>
      <c r="AW176" s="152"/>
      <c r="AX176" s="152"/>
    </row>
    <row r="177" spans="1:50">
      <c r="A177" s="20" t="s">
        <v>81</v>
      </c>
      <c r="B177" s="24" t="s">
        <v>66</v>
      </c>
      <c r="C177" s="24" t="s">
        <v>79</v>
      </c>
      <c r="D177" s="26">
        <v>14</v>
      </c>
      <c r="E177" s="26" t="s">
        <v>69</v>
      </c>
      <c r="F177" s="290">
        <v>2264</v>
      </c>
      <c r="G177" s="699">
        <v>2264</v>
      </c>
      <c r="H177" s="694">
        <f>G177*40%</f>
        <v>905.6</v>
      </c>
      <c r="I177" s="701">
        <v>1</v>
      </c>
      <c r="J177" s="379">
        <f>ROUND(G177*(1+'29_01_H_2020'!$O$14),2)</f>
        <v>2838.83</v>
      </c>
      <c r="K177" s="151">
        <f t="shared" si="102"/>
        <v>229.92999999999995</v>
      </c>
      <c r="L177" s="151">
        <f>ROUND(H177*(1+'29_01_H_2020'!$O$14),2)</f>
        <v>1135.53</v>
      </c>
      <c r="M177" s="151">
        <f t="shared" si="103"/>
        <v>804.75999999999976</v>
      </c>
      <c r="N177" s="151">
        <f t="shared" si="104"/>
        <v>804.75999999999976</v>
      </c>
      <c r="O177" s="151">
        <f t="shared" si="95"/>
        <v>9657.1199999999972</v>
      </c>
      <c r="P177" s="151">
        <f>ROUND(O177*'29_01_H_2020'!$O$17,2)</f>
        <v>2278.11</v>
      </c>
      <c r="Q177" s="380">
        <f t="shared" si="105"/>
        <v>11935.229999999998</v>
      </c>
      <c r="R177" s="329"/>
      <c r="S177" s="431"/>
      <c r="T177" s="153"/>
      <c r="U177" s="153"/>
      <c r="V177" s="152"/>
      <c r="W177" s="152"/>
      <c r="X177" s="430"/>
      <c r="Y177" s="430"/>
      <c r="Z177" s="430"/>
      <c r="AA177" s="430"/>
      <c r="AB177" s="430"/>
      <c r="AC177" s="430"/>
      <c r="AD177" s="430"/>
      <c r="AE177" s="430"/>
      <c r="AF177" s="430"/>
      <c r="AG177" s="430"/>
      <c r="AH177" s="329"/>
      <c r="AI177" s="152"/>
      <c r="AJ177" s="152"/>
      <c r="AK177" s="430"/>
      <c r="AL177" s="430"/>
      <c r="AM177" s="430"/>
      <c r="AN177" s="430"/>
      <c r="AO177" s="430"/>
      <c r="AP177" s="430"/>
      <c r="AQ177" s="430"/>
      <c r="AR177" s="430"/>
      <c r="AS177" s="430"/>
      <c r="AT177" s="430"/>
      <c r="AU177" s="329"/>
      <c r="AV177" s="152"/>
      <c r="AW177" s="152"/>
      <c r="AX177" s="152"/>
    </row>
    <row r="178" spans="1:50">
      <c r="A178" s="20" t="s">
        <v>82</v>
      </c>
      <c r="B178" s="21" t="s">
        <v>66</v>
      </c>
      <c r="C178" s="21" t="s">
        <v>13</v>
      </c>
      <c r="D178" s="696">
        <v>12</v>
      </c>
      <c r="E178" s="706" t="s">
        <v>69</v>
      </c>
      <c r="F178" s="290">
        <v>1647</v>
      </c>
      <c r="G178" s="699">
        <v>1647</v>
      </c>
      <c r="H178" s="694">
        <f>G178*30%</f>
        <v>494.09999999999997</v>
      </c>
      <c r="I178" s="701">
        <v>1</v>
      </c>
      <c r="J178" s="379">
        <f>ROUND(G178*(1+'29_01_H_2020'!$O$14),2)</f>
        <v>2065.17</v>
      </c>
      <c r="K178" s="151">
        <f t="shared" si="102"/>
        <v>125.44999999999999</v>
      </c>
      <c r="L178" s="151">
        <f>ROUND(H178*(1+'29_01_H_2020'!$O$14),2)</f>
        <v>619.54999999999995</v>
      </c>
      <c r="M178" s="151">
        <f t="shared" si="103"/>
        <v>543.62000000000035</v>
      </c>
      <c r="N178" s="151">
        <f t="shared" si="104"/>
        <v>543.62000000000035</v>
      </c>
      <c r="O178" s="151">
        <f t="shared" si="95"/>
        <v>6523.4400000000041</v>
      </c>
      <c r="P178" s="151">
        <f>ROUND(O178*'29_01_H_2020'!$O$17,2)</f>
        <v>1538.88</v>
      </c>
      <c r="Q178" s="380">
        <f t="shared" si="105"/>
        <v>8062.3200000000043</v>
      </c>
      <c r="R178" s="329"/>
      <c r="S178" s="431"/>
      <c r="T178" s="153"/>
      <c r="U178" s="153"/>
      <c r="V178" s="152"/>
      <c r="W178" s="152"/>
      <c r="X178" s="430"/>
      <c r="Y178" s="430"/>
      <c r="Z178" s="430"/>
      <c r="AA178" s="430"/>
      <c r="AB178" s="430"/>
      <c r="AC178" s="430"/>
      <c r="AD178" s="430"/>
      <c r="AE178" s="430"/>
      <c r="AF178" s="430"/>
      <c r="AG178" s="430"/>
      <c r="AH178" s="329"/>
      <c r="AI178" s="152"/>
      <c r="AJ178" s="152"/>
      <c r="AK178" s="430"/>
      <c r="AL178" s="430"/>
      <c r="AM178" s="430"/>
      <c r="AN178" s="430"/>
      <c r="AO178" s="430"/>
      <c r="AP178" s="430"/>
      <c r="AQ178" s="430"/>
      <c r="AR178" s="430"/>
      <c r="AS178" s="430"/>
      <c r="AT178" s="430"/>
      <c r="AU178" s="329"/>
      <c r="AV178" s="152"/>
      <c r="AW178" s="152"/>
      <c r="AX178" s="152"/>
    </row>
    <row r="179" spans="1:50">
      <c r="A179" s="39" t="s">
        <v>83</v>
      </c>
      <c r="B179" s="26" t="s">
        <v>84</v>
      </c>
      <c r="C179" s="24" t="s">
        <v>42</v>
      </c>
      <c r="D179" s="26" t="s">
        <v>85</v>
      </c>
      <c r="E179" s="26" t="s">
        <v>69</v>
      </c>
      <c r="F179" s="291">
        <v>1190</v>
      </c>
      <c r="G179" s="699">
        <v>1111</v>
      </c>
      <c r="H179" s="694"/>
      <c r="I179" s="697">
        <v>1</v>
      </c>
      <c r="J179" s="379">
        <f>ROUND(G179*(1+'29_01_H_2020'!$O$14),2)</f>
        <v>1393.08</v>
      </c>
      <c r="K179" s="151">
        <f t="shared" si="102"/>
        <v>0</v>
      </c>
      <c r="L179" s="151">
        <f>ROUND(H179*(1+'29_01_H_2020'!$O$14),2)</f>
        <v>0</v>
      </c>
      <c r="M179" s="151">
        <f t="shared" si="103"/>
        <v>282.07999999999993</v>
      </c>
      <c r="N179" s="151">
        <f t="shared" si="104"/>
        <v>282.07999999999993</v>
      </c>
      <c r="O179" s="151">
        <f t="shared" si="95"/>
        <v>3384.9599999999991</v>
      </c>
      <c r="P179" s="151">
        <f>ROUND(O179*'29_01_H_2020'!$O$17,2)</f>
        <v>798.51</v>
      </c>
      <c r="Q179" s="380">
        <f t="shared" si="105"/>
        <v>4183.4699999999993</v>
      </c>
      <c r="R179" s="329"/>
      <c r="S179" s="431"/>
      <c r="T179" s="153"/>
      <c r="U179" s="153"/>
      <c r="V179" s="152"/>
      <c r="W179" s="152"/>
      <c r="X179" s="430"/>
      <c r="Y179" s="430"/>
      <c r="Z179" s="430"/>
      <c r="AA179" s="430"/>
      <c r="AB179" s="430"/>
      <c r="AC179" s="430"/>
      <c r="AD179" s="430"/>
      <c r="AE179" s="430"/>
      <c r="AF179" s="430"/>
      <c r="AG179" s="430"/>
      <c r="AH179" s="329"/>
      <c r="AI179" s="152"/>
      <c r="AJ179" s="152"/>
      <c r="AK179" s="430"/>
      <c r="AL179" s="430"/>
      <c r="AM179" s="430"/>
      <c r="AN179" s="430"/>
      <c r="AO179" s="430"/>
      <c r="AP179" s="430"/>
      <c r="AQ179" s="430"/>
      <c r="AR179" s="430"/>
      <c r="AS179" s="430"/>
      <c r="AT179" s="430"/>
      <c r="AU179" s="329"/>
      <c r="AV179" s="152"/>
      <c r="AW179" s="152"/>
      <c r="AX179" s="152"/>
    </row>
    <row r="180" spans="1:50">
      <c r="A180" s="39" t="s">
        <v>83</v>
      </c>
      <c r="B180" s="26" t="s">
        <v>649</v>
      </c>
      <c r="C180" s="24" t="s">
        <v>42</v>
      </c>
      <c r="D180" s="26" t="s">
        <v>85</v>
      </c>
      <c r="E180" s="26" t="s">
        <v>69</v>
      </c>
      <c r="F180" s="291">
        <v>1190</v>
      </c>
      <c r="G180" s="699">
        <v>940</v>
      </c>
      <c r="H180" s="694"/>
      <c r="I180" s="697">
        <v>1</v>
      </c>
      <c r="J180" s="379">
        <f>ROUND(G180*(1+'29_01_H_2020'!$O$14),2)</f>
        <v>1178.67</v>
      </c>
      <c r="K180" s="151">
        <f t="shared" si="102"/>
        <v>0</v>
      </c>
      <c r="L180" s="151">
        <f>ROUND(H180*(1+'29_01_H_2020'!$O$14),2)</f>
        <v>0</v>
      </c>
      <c r="M180" s="151">
        <f t="shared" si="103"/>
        <v>238.67000000000007</v>
      </c>
      <c r="N180" s="151">
        <f t="shared" si="104"/>
        <v>238.67000000000007</v>
      </c>
      <c r="O180" s="151">
        <f t="shared" si="95"/>
        <v>2864.0400000000009</v>
      </c>
      <c r="P180" s="151">
        <f>ROUND(O180*'29_01_H_2020'!$O$17,2)</f>
        <v>675.63</v>
      </c>
      <c r="Q180" s="380">
        <f t="shared" si="105"/>
        <v>3539.670000000001</v>
      </c>
      <c r="R180" s="329"/>
      <c r="S180" s="431"/>
      <c r="T180" s="153"/>
      <c r="U180" s="153"/>
      <c r="V180" s="152"/>
      <c r="W180" s="152"/>
      <c r="X180" s="430"/>
      <c r="Y180" s="430"/>
      <c r="Z180" s="430"/>
      <c r="AA180" s="430"/>
      <c r="AB180" s="430"/>
      <c r="AC180" s="430"/>
      <c r="AD180" s="430"/>
      <c r="AE180" s="430"/>
      <c r="AF180" s="430"/>
      <c r="AG180" s="430"/>
      <c r="AH180" s="329"/>
      <c r="AI180" s="152"/>
      <c r="AJ180" s="152"/>
      <c r="AK180" s="430"/>
      <c r="AL180" s="430"/>
      <c r="AM180" s="430"/>
      <c r="AN180" s="430"/>
      <c r="AO180" s="430"/>
      <c r="AP180" s="430"/>
      <c r="AQ180" s="430"/>
      <c r="AR180" s="430"/>
      <c r="AS180" s="430"/>
      <c r="AT180" s="430"/>
      <c r="AU180" s="329"/>
      <c r="AV180" s="152"/>
      <c r="AW180" s="152"/>
      <c r="AX180" s="152"/>
    </row>
    <row r="181" spans="1:50" ht="25.5">
      <c r="A181" s="20" t="s">
        <v>86</v>
      </c>
      <c r="B181" s="24" t="s">
        <v>84</v>
      </c>
      <c r="C181" s="24" t="s">
        <v>26</v>
      </c>
      <c r="D181" s="26" t="s">
        <v>75</v>
      </c>
      <c r="E181" s="26" t="s">
        <v>69</v>
      </c>
      <c r="F181" s="290">
        <v>1287</v>
      </c>
      <c r="G181" s="699">
        <v>1166</v>
      </c>
      <c r="H181" s="694"/>
      <c r="I181" s="701">
        <v>1</v>
      </c>
      <c r="J181" s="379">
        <f>ROUND(G181*(1+'29_01_H_2020'!$O$14),2)</f>
        <v>1462.05</v>
      </c>
      <c r="K181" s="151">
        <f t="shared" si="102"/>
        <v>0</v>
      </c>
      <c r="L181" s="151">
        <f>ROUND(H181*(1+'29_01_H_2020'!$O$14),2)</f>
        <v>0</v>
      </c>
      <c r="M181" s="151">
        <f t="shared" si="103"/>
        <v>296.04999999999995</v>
      </c>
      <c r="N181" s="151">
        <f t="shared" si="104"/>
        <v>296.04999999999995</v>
      </c>
      <c r="O181" s="151">
        <f t="shared" si="95"/>
        <v>3552.5999999999995</v>
      </c>
      <c r="P181" s="151">
        <f>ROUND(O181*'29_01_H_2020'!$O$17,2)</f>
        <v>838.06</v>
      </c>
      <c r="Q181" s="380">
        <f t="shared" si="105"/>
        <v>4390.66</v>
      </c>
      <c r="R181" s="329"/>
      <c r="S181" s="431"/>
      <c r="T181" s="153"/>
      <c r="U181" s="153"/>
      <c r="V181" s="152"/>
      <c r="W181" s="152"/>
      <c r="X181" s="430"/>
      <c r="Y181" s="430"/>
      <c r="Z181" s="430"/>
      <c r="AA181" s="430"/>
      <c r="AB181" s="430"/>
      <c r="AC181" s="430"/>
      <c r="AD181" s="430"/>
      <c r="AE181" s="430"/>
      <c r="AF181" s="430"/>
      <c r="AG181" s="430"/>
      <c r="AH181" s="329"/>
      <c r="AI181" s="152"/>
      <c r="AJ181" s="152"/>
      <c r="AK181" s="430"/>
      <c r="AL181" s="430"/>
      <c r="AM181" s="430"/>
      <c r="AN181" s="430"/>
      <c r="AO181" s="430"/>
      <c r="AP181" s="430"/>
      <c r="AQ181" s="430"/>
      <c r="AR181" s="430"/>
      <c r="AS181" s="430"/>
      <c r="AT181" s="430"/>
      <c r="AU181" s="329"/>
      <c r="AV181" s="152"/>
      <c r="AW181" s="152"/>
      <c r="AX181" s="152"/>
    </row>
    <row r="182" spans="1:50" ht="25.5">
      <c r="A182" s="20" t="s">
        <v>87</v>
      </c>
      <c r="B182" s="24" t="s">
        <v>84</v>
      </c>
      <c r="C182" s="24" t="s">
        <v>26</v>
      </c>
      <c r="D182" s="26" t="s">
        <v>75</v>
      </c>
      <c r="E182" s="26" t="s">
        <v>69</v>
      </c>
      <c r="F182" s="290">
        <v>1287</v>
      </c>
      <c r="G182" s="699">
        <v>1166</v>
      </c>
      <c r="H182" s="694"/>
      <c r="I182" s="701">
        <v>1</v>
      </c>
      <c r="J182" s="379">
        <f>ROUND(G182*(1+'29_01_H_2020'!$O$14),2)</f>
        <v>1462.05</v>
      </c>
      <c r="K182" s="151">
        <f t="shared" si="102"/>
        <v>0</v>
      </c>
      <c r="L182" s="151">
        <f>ROUND(H182*(1+'29_01_H_2020'!$O$14),2)</f>
        <v>0</v>
      </c>
      <c r="M182" s="151">
        <f t="shared" si="103"/>
        <v>296.04999999999995</v>
      </c>
      <c r="N182" s="151">
        <f t="shared" si="104"/>
        <v>296.04999999999995</v>
      </c>
      <c r="O182" s="151">
        <f t="shared" si="95"/>
        <v>3552.5999999999995</v>
      </c>
      <c r="P182" s="151">
        <f>ROUND(O182*'29_01_H_2020'!$O$17,2)</f>
        <v>838.06</v>
      </c>
      <c r="Q182" s="380">
        <f t="shared" si="105"/>
        <v>4390.66</v>
      </c>
      <c r="R182" s="329"/>
      <c r="S182" s="431"/>
      <c r="T182" s="153"/>
      <c r="U182" s="153"/>
      <c r="V182" s="459"/>
      <c r="W182" s="152"/>
      <c r="X182" s="430"/>
      <c r="Y182" s="430"/>
      <c r="Z182" s="430"/>
      <c r="AA182" s="430"/>
      <c r="AB182" s="430"/>
      <c r="AC182" s="430"/>
      <c r="AD182" s="430"/>
      <c r="AE182" s="430"/>
      <c r="AF182" s="430"/>
      <c r="AG182" s="430"/>
      <c r="AH182" s="329"/>
      <c r="AI182" s="152"/>
      <c r="AJ182" s="152"/>
      <c r="AK182" s="430"/>
      <c r="AL182" s="430"/>
      <c r="AM182" s="430"/>
      <c r="AN182" s="430"/>
      <c r="AO182" s="430"/>
      <c r="AP182" s="430"/>
      <c r="AQ182" s="430"/>
      <c r="AR182" s="430"/>
      <c r="AS182" s="430"/>
      <c r="AT182" s="430"/>
      <c r="AU182" s="329"/>
      <c r="AV182" s="152"/>
      <c r="AW182" s="152"/>
      <c r="AX182" s="152"/>
    </row>
    <row r="183" spans="1:50">
      <c r="A183" s="20" t="s">
        <v>88</v>
      </c>
      <c r="B183" s="24" t="s">
        <v>84</v>
      </c>
      <c r="C183" s="24" t="s">
        <v>42</v>
      </c>
      <c r="D183" s="26" t="s">
        <v>85</v>
      </c>
      <c r="E183" s="26" t="s">
        <v>69</v>
      </c>
      <c r="F183" s="290">
        <v>1015</v>
      </c>
      <c r="G183" s="699">
        <v>1050</v>
      </c>
      <c r="H183" s="694"/>
      <c r="I183" s="701">
        <v>1</v>
      </c>
      <c r="J183" s="379">
        <f>ROUND(G183*(1+'29_01_H_2020'!$O$14),2)</f>
        <v>1316.6</v>
      </c>
      <c r="K183" s="151">
        <f t="shared" si="102"/>
        <v>0</v>
      </c>
      <c r="L183" s="151">
        <f>ROUND(H183*(1+'29_01_H_2020'!$O$14),2)</f>
        <v>0</v>
      </c>
      <c r="M183" s="151">
        <f t="shared" si="103"/>
        <v>266.59999999999991</v>
      </c>
      <c r="N183" s="151">
        <f t="shared" si="104"/>
        <v>266.59999999999991</v>
      </c>
      <c r="O183" s="151">
        <f t="shared" si="95"/>
        <v>3199.1999999999989</v>
      </c>
      <c r="P183" s="151">
        <f>ROUND(O183*'29_01_H_2020'!$O$17,2)</f>
        <v>754.69</v>
      </c>
      <c r="Q183" s="380">
        <f t="shared" si="105"/>
        <v>3953.889999999999</v>
      </c>
      <c r="R183" s="329"/>
      <c r="S183" s="431"/>
      <c r="T183" s="153"/>
      <c r="U183" s="153"/>
      <c r="V183" s="152"/>
      <c r="W183" s="152"/>
      <c r="X183" s="430"/>
      <c r="Y183" s="430"/>
      <c r="Z183" s="430"/>
      <c r="AA183" s="430"/>
      <c r="AB183" s="430"/>
      <c r="AC183" s="430"/>
      <c r="AD183" s="430"/>
      <c r="AE183" s="430"/>
      <c r="AF183" s="430"/>
      <c r="AG183" s="430"/>
      <c r="AH183" s="329"/>
      <c r="AI183" s="152"/>
      <c r="AJ183" s="152"/>
      <c r="AK183" s="430"/>
      <c r="AL183" s="430"/>
      <c r="AM183" s="430"/>
      <c r="AN183" s="430"/>
      <c r="AO183" s="430"/>
      <c r="AP183" s="430"/>
      <c r="AQ183" s="430"/>
      <c r="AR183" s="430"/>
      <c r="AS183" s="430"/>
      <c r="AT183" s="430"/>
      <c r="AU183" s="329"/>
      <c r="AV183" s="152"/>
      <c r="AW183" s="152"/>
      <c r="AX183" s="152"/>
    </row>
    <row r="184" spans="1:50">
      <c r="A184" s="20" t="s">
        <v>89</v>
      </c>
      <c r="B184" s="24" t="s">
        <v>66</v>
      </c>
      <c r="C184" s="24" t="s">
        <v>19</v>
      </c>
      <c r="D184" s="26">
        <v>11</v>
      </c>
      <c r="E184" s="26" t="s">
        <v>69</v>
      </c>
      <c r="F184" s="290">
        <v>1382</v>
      </c>
      <c r="G184" s="699">
        <v>1382</v>
      </c>
      <c r="H184" s="694"/>
      <c r="I184" s="701">
        <v>1</v>
      </c>
      <c r="J184" s="379">
        <f>ROUND(G184*(1+'29_01_H_2020'!$O$14),2)</f>
        <v>1732.89</v>
      </c>
      <c r="K184" s="151">
        <f t="shared" si="102"/>
        <v>0</v>
      </c>
      <c r="L184" s="151">
        <f>ROUND(H184*(1+'29_01_H_2020'!$O$14),2)</f>
        <v>0</v>
      </c>
      <c r="M184" s="151">
        <f t="shared" si="103"/>
        <v>350.8900000000001</v>
      </c>
      <c r="N184" s="151">
        <f t="shared" si="104"/>
        <v>350.8900000000001</v>
      </c>
      <c r="O184" s="151">
        <f t="shared" si="95"/>
        <v>4210.6800000000012</v>
      </c>
      <c r="P184" s="151">
        <f>ROUND(O184*'29_01_H_2020'!$O$17,2)</f>
        <v>993.3</v>
      </c>
      <c r="Q184" s="380">
        <f t="shared" si="105"/>
        <v>5203.9800000000014</v>
      </c>
      <c r="R184" s="329"/>
      <c r="S184" s="431"/>
      <c r="T184" s="153"/>
      <c r="U184" s="153"/>
      <c r="V184" s="152"/>
      <c r="W184" s="152"/>
      <c r="X184" s="430"/>
      <c r="Y184" s="430"/>
      <c r="Z184" s="430"/>
      <c r="AA184" s="430"/>
      <c r="AB184" s="430"/>
      <c r="AC184" s="430"/>
      <c r="AD184" s="430"/>
      <c r="AE184" s="430"/>
      <c r="AF184" s="430"/>
      <c r="AG184" s="430"/>
      <c r="AH184" s="329"/>
      <c r="AI184" s="152"/>
      <c r="AJ184" s="152"/>
      <c r="AK184" s="430"/>
      <c r="AL184" s="430"/>
      <c r="AM184" s="430"/>
      <c r="AN184" s="430"/>
      <c r="AO184" s="430"/>
      <c r="AP184" s="430"/>
      <c r="AQ184" s="430"/>
      <c r="AR184" s="430"/>
      <c r="AS184" s="430"/>
      <c r="AT184" s="430"/>
      <c r="AU184" s="329"/>
      <c r="AV184" s="152"/>
      <c r="AW184" s="152"/>
      <c r="AX184" s="152"/>
    </row>
    <row r="185" spans="1:50">
      <c r="A185" s="352" t="s">
        <v>496</v>
      </c>
      <c r="B185" s="24" t="s">
        <v>66</v>
      </c>
      <c r="C185" s="24" t="s">
        <v>71</v>
      </c>
      <c r="D185" s="26" t="s">
        <v>75</v>
      </c>
      <c r="E185" s="26" t="s">
        <v>148</v>
      </c>
      <c r="F185" s="290">
        <v>1287</v>
      </c>
      <c r="G185" s="699">
        <v>900</v>
      </c>
      <c r="H185" s="694"/>
      <c r="I185" s="701">
        <v>1</v>
      </c>
      <c r="J185" s="379">
        <f>ROUND(G185*(1+'29_01_H_2020'!$O$14),2)</f>
        <v>1128.51</v>
      </c>
      <c r="K185" s="151">
        <f t="shared" si="102"/>
        <v>0</v>
      </c>
      <c r="L185" s="151">
        <f>ROUND(H185*(1+'29_01_H_2020'!$O$14),2)</f>
        <v>0</v>
      </c>
      <c r="M185" s="151">
        <f t="shared" si="103"/>
        <v>228.51</v>
      </c>
      <c r="N185" s="151">
        <f t="shared" si="104"/>
        <v>228.51</v>
      </c>
      <c r="O185" s="151">
        <f t="shared" si="95"/>
        <v>2742.12</v>
      </c>
      <c r="P185" s="151">
        <f>ROUND(O185*'29_01_H_2020'!$O$17,2)</f>
        <v>646.87</v>
      </c>
      <c r="Q185" s="380">
        <f t="shared" si="105"/>
        <v>3388.99</v>
      </c>
      <c r="R185" s="329"/>
      <c r="S185" s="431"/>
      <c r="T185" s="153"/>
      <c r="U185" s="153"/>
      <c r="V185" s="152"/>
      <c r="W185" s="152"/>
      <c r="X185" s="430"/>
      <c r="Y185" s="430"/>
      <c r="Z185" s="430"/>
      <c r="AA185" s="430"/>
      <c r="AB185" s="430"/>
      <c r="AC185" s="430"/>
      <c r="AD185" s="430"/>
      <c r="AE185" s="430"/>
      <c r="AF185" s="430"/>
      <c r="AG185" s="430"/>
      <c r="AH185" s="329"/>
      <c r="AI185" s="152"/>
      <c r="AJ185" s="152"/>
      <c r="AK185" s="430"/>
      <c r="AL185" s="430"/>
      <c r="AM185" s="430"/>
      <c r="AN185" s="430"/>
      <c r="AO185" s="430"/>
      <c r="AP185" s="430"/>
      <c r="AQ185" s="430"/>
      <c r="AR185" s="430"/>
      <c r="AS185" s="430"/>
      <c r="AT185" s="430"/>
      <c r="AU185" s="329"/>
      <c r="AV185" s="152"/>
      <c r="AW185" s="152"/>
      <c r="AX185" s="152"/>
    </row>
    <row r="186" spans="1:50">
      <c r="A186" s="39" t="s">
        <v>496</v>
      </c>
      <c r="B186" s="24" t="s">
        <v>66</v>
      </c>
      <c r="C186" s="24" t="s">
        <v>71</v>
      </c>
      <c r="D186" s="26">
        <v>10</v>
      </c>
      <c r="E186" s="26" t="s">
        <v>69</v>
      </c>
      <c r="F186" s="290">
        <v>1287</v>
      </c>
      <c r="G186" s="699">
        <v>1152</v>
      </c>
      <c r="H186" s="694"/>
      <c r="I186" s="701">
        <v>1</v>
      </c>
      <c r="J186" s="379">
        <f>ROUND(G186*(1+'29_01_H_2020'!$O$14),2)</f>
        <v>1444.49</v>
      </c>
      <c r="K186" s="151">
        <f t="shared" si="102"/>
        <v>0</v>
      </c>
      <c r="L186" s="151">
        <f>ROUND(H186*(1+'29_01_H_2020'!$O$14),2)</f>
        <v>0</v>
      </c>
      <c r="M186" s="151">
        <f t="shared" si="103"/>
        <v>292.49</v>
      </c>
      <c r="N186" s="151">
        <f t="shared" si="104"/>
        <v>292.49</v>
      </c>
      <c r="O186" s="151">
        <f t="shared" si="95"/>
        <v>3509.88</v>
      </c>
      <c r="P186" s="151">
        <f>ROUND(O186*'29_01_H_2020'!$O$17,2)</f>
        <v>827.98</v>
      </c>
      <c r="Q186" s="380">
        <f t="shared" si="105"/>
        <v>4337.8600000000006</v>
      </c>
      <c r="R186" s="329"/>
      <c r="S186" s="431"/>
      <c r="T186" s="153"/>
      <c r="U186" s="153"/>
      <c r="V186" s="152"/>
      <c r="W186" s="152"/>
      <c r="X186" s="430"/>
      <c r="Y186" s="430"/>
      <c r="Z186" s="430"/>
      <c r="AA186" s="430"/>
      <c r="AB186" s="430"/>
      <c r="AC186" s="430"/>
      <c r="AD186" s="430"/>
      <c r="AE186" s="430"/>
      <c r="AF186" s="430"/>
      <c r="AG186" s="430"/>
      <c r="AH186" s="329"/>
      <c r="AI186" s="152"/>
      <c r="AJ186" s="152"/>
      <c r="AK186" s="430"/>
      <c r="AL186" s="430"/>
      <c r="AM186" s="430"/>
      <c r="AN186" s="430"/>
      <c r="AO186" s="430"/>
      <c r="AP186" s="430"/>
      <c r="AQ186" s="430"/>
      <c r="AR186" s="430"/>
      <c r="AS186" s="430"/>
      <c r="AT186" s="430"/>
      <c r="AU186" s="329"/>
      <c r="AV186" s="152"/>
      <c r="AW186" s="152"/>
      <c r="AX186" s="152"/>
    </row>
    <row r="187" spans="1:50">
      <c r="A187" s="39" t="s">
        <v>90</v>
      </c>
      <c r="B187" s="21" t="s">
        <v>74</v>
      </c>
      <c r="C187" s="21" t="s">
        <v>42</v>
      </c>
      <c r="D187" s="696">
        <v>9</v>
      </c>
      <c r="E187" s="26" t="s">
        <v>69</v>
      </c>
      <c r="F187" s="291">
        <v>1190</v>
      </c>
      <c r="G187" s="699">
        <v>1050</v>
      </c>
      <c r="H187" s="694"/>
      <c r="I187" s="697">
        <v>1</v>
      </c>
      <c r="J187" s="379">
        <f>ROUND(G187*(1+'29_01_H_2020'!$O$14),2)</f>
        <v>1316.6</v>
      </c>
      <c r="K187" s="151">
        <f t="shared" si="102"/>
        <v>0</v>
      </c>
      <c r="L187" s="151">
        <f>ROUND(H187*(1+'29_01_H_2020'!$O$14),2)</f>
        <v>0</v>
      </c>
      <c r="M187" s="151">
        <f t="shared" si="103"/>
        <v>266.59999999999991</v>
      </c>
      <c r="N187" s="151">
        <f t="shared" si="104"/>
        <v>266.59999999999991</v>
      </c>
      <c r="O187" s="151">
        <f t="shared" si="95"/>
        <v>3199.1999999999989</v>
      </c>
      <c r="P187" s="151">
        <f>ROUND(O187*'29_01_H_2020'!$O$17,2)</f>
        <v>754.69</v>
      </c>
      <c r="Q187" s="380">
        <f t="shared" si="105"/>
        <v>3953.889999999999</v>
      </c>
      <c r="R187" s="329"/>
      <c r="S187" s="431"/>
      <c r="T187" s="153"/>
      <c r="U187" s="153"/>
      <c r="V187" s="152"/>
      <c r="W187" s="152"/>
      <c r="X187" s="430"/>
      <c r="Y187" s="430"/>
      <c r="Z187" s="430"/>
      <c r="AA187" s="430"/>
      <c r="AB187" s="430"/>
      <c r="AC187" s="430"/>
      <c r="AD187" s="430"/>
      <c r="AE187" s="430"/>
      <c r="AF187" s="430"/>
      <c r="AG187" s="430"/>
      <c r="AH187" s="329"/>
      <c r="AI187" s="152"/>
      <c r="AJ187" s="152"/>
      <c r="AK187" s="430"/>
      <c r="AL187" s="430"/>
      <c r="AM187" s="430"/>
      <c r="AN187" s="430"/>
      <c r="AO187" s="430"/>
      <c r="AP187" s="430"/>
      <c r="AQ187" s="430"/>
      <c r="AR187" s="430"/>
      <c r="AS187" s="430"/>
      <c r="AT187" s="430"/>
      <c r="AU187" s="329"/>
      <c r="AV187" s="152"/>
      <c r="AW187" s="152"/>
      <c r="AX187" s="152"/>
    </row>
    <row r="188" spans="1:50">
      <c r="A188" s="39" t="s">
        <v>90</v>
      </c>
      <c r="B188" s="696" t="s">
        <v>60</v>
      </c>
      <c r="C188" s="696" t="s">
        <v>26</v>
      </c>
      <c r="D188" s="696">
        <v>10</v>
      </c>
      <c r="E188" s="26" t="s">
        <v>69</v>
      </c>
      <c r="F188" s="291">
        <v>1287</v>
      </c>
      <c r="G188" s="699">
        <v>1023</v>
      </c>
      <c r="H188" s="694"/>
      <c r="I188" s="697">
        <v>6</v>
      </c>
      <c r="J188" s="379">
        <f>ROUND(G188*(1+'29_01_H_2020'!$O$14),2)</f>
        <v>1282.74</v>
      </c>
      <c r="K188" s="151">
        <f t="shared" si="102"/>
        <v>0</v>
      </c>
      <c r="L188" s="151">
        <f>ROUND(H188*(1+'29_01_H_2020'!$O$14),2)</f>
        <v>0</v>
      </c>
      <c r="M188" s="151">
        <f t="shared" si="103"/>
        <v>259.74</v>
      </c>
      <c r="N188" s="151">
        <f t="shared" si="104"/>
        <v>1558.44</v>
      </c>
      <c r="O188" s="151">
        <f t="shared" si="95"/>
        <v>18701.28</v>
      </c>
      <c r="P188" s="151">
        <f>ROUND(O188*'29_01_H_2020'!$O$17,2)</f>
        <v>4411.63</v>
      </c>
      <c r="Q188" s="380">
        <f t="shared" si="105"/>
        <v>23112.91</v>
      </c>
      <c r="R188" s="329"/>
      <c r="S188" s="431"/>
      <c r="T188" s="153"/>
      <c r="U188" s="153"/>
      <c r="V188" s="152"/>
      <c r="W188" s="152"/>
      <c r="X188" s="430"/>
      <c r="Y188" s="430"/>
      <c r="Z188" s="430"/>
      <c r="AA188" s="430"/>
      <c r="AB188" s="430"/>
      <c r="AC188" s="430"/>
      <c r="AD188" s="430"/>
      <c r="AE188" s="430"/>
      <c r="AF188" s="430"/>
      <c r="AG188" s="430"/>
      <c r="AH188" s="329"/>
      <c r="AI188" s="152"/>
      <c r="AJ188" s="152"/>
      <c r="AK188" s="430"/>
      <c r="AL188" s="430"/>
      <c r="AM188" s="430"/>
      <c r="AN188" s="430"/>
      <c r="AO188" s="430"/>
      <c r="AP188" s="430"/>
      <c r="AQ188" s="430"/>
      <c r="AR188" s="430"/>
      <c r="AS188" s="430"/>
      <c r="AT188" s="430"/>
      <c r="AU188" s="329"/>
      <c r="AV188" s="152"/>
      <c r="AW188" s="152"/>
      <c r="AX188" s="152"/>
    </row>
    <row r="189" spans="1:50">
      <c r="A189" s="39" t="s">
        <v>90</v>
      </c>
      <c r="B189" s="21" t="s">
        <v>74</v>
      </c>
      <c r="C189" s="21" t="s">
        <v>42</v>
      </c>
      <c r="D189" s="696">
        <v>9</v>
      </c>
      <c r="E189" s="26" t="s">
        <v>69</v>
      </c>
      <c r="F189" s="291">
        <v>1190</v>
      </c>
      <c r="G189" s="699">
        <v>940</v>
      </c>
      <c r="H189" s="694"/>
      <c r="I189" s="697">
        <v>1</v>
      </c>
      <c r="J189" s="379">
        <f>ROUND(G189*(1+'29_01_H_2020'!$O$14),2)</f>
        <v>1178.67</v>
      </c>
      <c r="K189" s="151">
        <f t="shared" si="102"/>
        <v>0</v>
      </c>
      <c r="L189" s="151">
        <f>ROUND(H189*(1+'29_01_H_2020'!$O$14),2)</f>
        <v>0</v>
      </c>
      <c r="M189" s="151">
        <f t="shared" si="103"/>
        <v>238.67000000000007</v>
      </c>
      <c r="N189" s="151">
        <f t="shared" si="104"/>
        <v>238.67000000000007</v>
      </c>
      <c r="O189" s="151">
        <f t="shared" si="95"/>
        <v>2864.0400000000009</v>
      </c>
      <c r="P189" s="151">
        <f>ROUND(O189*'29_01_H_2020'!$O$17,2)</f>
        <v>675.63</v>
      </c>
      <c r="Q189" s="380">
        <f t="shared" si="105"/>
        <v>3539.670000000001</v>
      </c>
      <c r="R189" s="329"/>
      <c r="S189" s="431"/>
      <c r="T189" s="153"/>
      <c r="U189" s="153"/>
      <c r="V189" s="460"/>
      <c r="W189" s="152"/>
      <c r="X189" s="430"/>
      <c r="Y189" s="430"/>
      <c r="Z189" s="430"/>
      <c r="AA189" s="430"/>
      <c r="AB189" s="430"/>
      <c r="AC189" s="430"/>
      <c r="AD189" s="430"/>
      <c r="AE189" s="430"/>
      <c r="AF189" s="430"/>
      <c r="AG189" s="430"/>
      <c r="AH189" s="329"/>
      <c r="AI189" s="152"/>
      <c r="AJ189" s="152"/>
      <c r="AK189" s="430"/>
      <c r="AL189" s="430"/>
      <c r="AM189" s="430"/>
      <c r="AN189" s="430"/>
      <c r="AO189" s="430"/>
      <c r="AP189" s="430"/>
      <c r="AQ189" s="430"/>
      <c r="AR189" s="430"/>
      <c r="AS189" s="430"/>
      <c r="AT189" s="430"/>
      <c r="AU189" s="329"/>
      <c r="AV189" s="152"/>
      <c r="AW189" s="152"/>
      <c r="AX189" s="152"/>
    </row>
    <row r="190" spans="1:50">
      <c r="A190" s="352" t="s">
        <v>90</v>
      </c>
      <c r="B190" s="21">
        <v>10</v>
      </c>
      <c r="C190" s="696" t="s">
        <v>26</v>
      </c>
      <c r="D190" s="696">
        <v>10</v>
      </c>
      <c r="E190" s="26" t="s">
        <v>148</v>
      </c>
      <c r="F190" s="291">
        <v>940</v>
      </c>
      <c r="G190" s="699">
        <v>900</v>
      </c>
      <c r="H190" s="694"/>
      <c r="I190" s="697">
        <v>1</v>
      </c>
      <c r="J190" s="379">
        <f>ROUND(G190*(1+'29_01_H_2020'!$O$14),2)</f>
        <v>1128.51</v>
      </c>
      <c r="K190" s="151">
        <f t="shared" si="102"/>
        <v>0</v>
      </c>
      <c r="L190" s="151">
        <f>ROUND(H190*(1+'29_01_H_2020'!$O$14),2)</f>
        <v>0</v>
      </c>
      <c r="M190" s="151">
        <f t="shared" si="103"/>
        <v>228.51</v>
      </c>
      <c r="N190" s="151">
        <f t="shared" si="104"/>
        <v>228.51</v>
      </c>
      <c r="O190" s="151">
        <f t="shared" si="95"/>
        <v>2742.12</v>
      </c>
      <c r="P190" s="151">
        <f>ROUND(O190*'29_01_H_2020'!$O$17,2)</f>
        <v>646.87</v>
      </c>
      <c r="Q190" s="380">
        <f t="shared" si="105"/>
        <v>3388.99</v>
      </c>
      <c r="R190" s="329"/>
      <c r="S190" s="431"/>
      <c r="T190" s="153"/>
      <c r="U190" s="153"/>
      <c r="V190" s="152"/>
      <c r="W190" s="152"/>
      <c r="X190" s="430"/>
      <c r="Y190" s="430"/>
      <c r="Z190" s="430"/>
      <c r="AA190" s="430"/>
      <c r="AB190" s="430"/>
      <c r="AC190" s="430"/>
      <c r="AD190" s="430"/>
      <c r="AE190" s="430"/>
      <c r="AF190" s="430"/>
      <c r="AG190" s="430"/>
      <c r="AH190" s="329"/>
      <c r="AI190" s="152"/>
      <c r="AJ190" s="152"/>
      <c r="AK190" s="430"/>
      <c r="AL190" s="430"/>
      <c r="AM190" s="430"/>
      <c r="AN190" s="430"/>
      <c r="AO190" s="430"/>
      <c r="AP190" s="430"/>
      <c r="AQ190" s="430"/>
      <c r="AR190" s="430"/>
      <c r="AS190" s="430"/>
      <c r="AT190" s="430"/>
      <c r="AU190" s="329"/>
      <c r="AV190" s="152"/>
      <c r="AW190" s="152"/>
      <c r="AX190" s="152"/>
    </row>
    <row r="191" spans="1:50" ht="25.5">
      <c r="A191" s="20" t="s">
        <v>91</v>
      </c>
      <c r="B191" s="24" t="s">
        <v>66</v>
      </c>
      <c r="C191" s="24" t="s">
        <v>19</v>
      </c>
      <c r="D191" s="26" t="s">
        <v>92</v>
      </c>
      <c r="E191" s="26" t="s">
        <v>69</v>
      </c>
      <c r="F191" s="291">
        <v>1382</v>
      </c>
      <c r="G191" s="699">
        <v>1243</v>
      </c>
      <c r="H191" s="694"/>
      <c r="I191" s="701">
        <v>4</v>
      </c>
      <c r="J191" s="379">
        <f>ROUND(G191*(1+'29_01_H_2020'!$O$14),2)</f>
        <v>1558.6</v>
      </c>
      <c r="K191" s="151">
        <f t="shared" si="102"/>
        <v>0</v>
      </c>
      <c r="L191" s="151">
        <f>ROUND(H191*(1+'29_01_H_2020'!$O$14),2)</f>
        <v>0</v>
      </c>
      <c r="M191" s="151">
        <f t="shared" si="103"/>
        <v>315.59999999999991</v>
      </c>
      <c r="N191" s="151">
        <f t="shared" si="104"/>
        <v>1262.3999999999996</v>
      </c>
      <c r="O191" s="151">
        <f t="shared" si="95"/>
        <v>15148.799999999996</v>
      </c>
      <c r="P191" s="151">
        <f>ROUND(O191*'29_01_H_2020'!$O$17,2)</f>
        <v>3573.6</v>
      </c>
      <c r="Q191" s="380">
        <f t="shared" si="105"/>
        <v>18722.399999999994</v>
      </c>
      <c r="R191" s="329"/>
      <c r="S191" s="431"/>
      <c r="T191" s="153"/>
      <c r="U191" s="153"/>
      <c r="V191" s="152"/>
      <c r="W191" s="152"/>
      <c r="X191" s="430"/>
      <c r="Y191" s="430"/>
      <c r="Z191" s="430"/>
      <c r="AA191" s="430"/>
      <c r="AB191" s="430"/>
      <c r="AC191" s="430"/>
      <c r="AD191" s="430"/>
      <c r="AE191" s="430"/>
      <c r="AF191" s="430"/>
      <c r="AG191" s="430"/>
      <c r="AH191" s="329"/>
      <c r="AI191" s="152"/>
      <c r="AJ191" s="152"/>
      <c r="AK191" s="430"/>
      <c r="AL191" s="430"/>
      <c r="AM191" s="430"/>
      <c r="AN191" s="430"/>
      <c r="AO191" s="430"/>
      <c r="AP191" s="430"/>
      <c r="AQ191" s="430"/>
      <c r="AR191" s="430"/>
      <c r="AS191" s="430"/>
      <c r="AT191" s="430"/>
      <c r="AU191" s="329"/>
      <c r="AV191" s="152"/>
      <c r="AW191" s="152"/>
      <c r="AX191" s="152"/>
    </row>
    <row r="192" spans="1:50">
      <c r="A192" s="39" t="s">
        <v>93</v>
      </c>
      <c r="B192" s="696" t="s">
        <v>66</v>
      </c>
      <c r="C192" s="696" t="s">
        <v>71</v>
      </c>
      <c r="D192" s="696">
        <v>10</v>
      </c>
      <c r="E192" s="26" t="s">
        <v>69</v>
      </c>
      <c r="F192" s="291">
        <v>1287</v>
      </c>
      <c r="G192" s="699">
        <v>1023</v>
      </c>
      <c r="H192" s="694"/>
      <c r="I192" s="697">
        <v>10</v>
      </c>
      <c r="J192" s="379">
        <f>ROUND(G192*(1+'29_01_H_2020'!$O$14),2)</f>
        <v>1282.74</v>
      </c>
      <c r="K192" s="151">
        <f t="shared" si="102"/>
        <v>0</v>
      </c>
      <c r="L192" s="151">
        <f>ROUND(H192*(1+'29_01_H_2020'!$O$14),2)</f>
        <v>0</v>
      </c>
      <c r="M192" s="151">
        <f t="shared" si="103"/>
        <v>259.74</v>
      </c>
      <c r="N192" s="151">
        <f t="shared" si="104"/>
        <v>2597.4</v>
      </c>
      <c r="O192" s="151">
        <f t="shared" si="95"/>
        <v>31168.800000000003</v>
      </c>
      <c r="P192" s="151">
        <f>ROUND(O192*'29_01_H_2020'!$O$17,2)</f>
        <v>7352.72</v>
      </c>
      <c r="Q192" s="380">
        <f t="shared" si="105"/>
        <v>38521.520000000004</v>
      </c>
      <c r="R192" s="329"/>
      <c r="S192" s="431"/>
      <c r="T192" s="153"/>
      <c r="U192" s="153"/>
      <c r="V192" s="152"/>
      <c r="W192" s="152"/>
      <c r="X192" s="430"/>
      <c r="Y192" s="430"/>
      <c r="Z192" s="430"/>
      <c r="AA192" s="430"/>
      <c r="AB192" s="430"/>
      <c r="AC192" s="430"/>
      <c r="AD192" s="430"/>
      <c r="AE192" s="430"/>
      <c r="AF192" s="430"/>
      <c r="AG192" s="430"/>
      <c r="AH192" s="329"/>
      <c r="AI192" s="152"/>
      <c r="AJ192" s="152"/>
      <c r="AK192" s="430"/>
      <c r="AL192" s="430"/>
      <c r="AM192" s="430"/>
      <c r="AN192" s="430"/>
      <c r="AO192" s="430"/>
      <c r="AP192" s="430"/>
      <c r="AQ192" s="430"/>
      <c r="AR192" s="430"/>
      <c r="AS192" s="430"/>
      <c r="AT192" s="430"/>
      <c r="AU192" s="329"/>
      <c r="AV192" s="152"/>
      <c r="AW192" s="152"/>
      <c r="AX192" s="152"/>
    </row>
    <row r="193" spans="1:51">
      <c r="A193" s="28" t="s">
        <v>55</v>
      </c>
      <c r="B193" s="8" t="s">
        <v>52</v>
      </c>
      <c r="C193" s="9" t="s">
        <v>52</v>
      </c>
      <c r="D193" s="9" t="s">
        <v>52</v>
      </c>
      <c r="E193" s="9" t="s">
        <v>52</v>
      </c>
      <c r="F193" s="10" t="s">
        <v>52</v>
      </c>
      <c r="G193" s="10" t="s">
        <v>52</v>
      </c>
      <c r="H193" s="10" t="s">
        <v>52</v>
      </c>
      <c r="I193" s="313">
        <f>SUM(I108:I192)</f>
        <v>142</v>
      </c>
      <c r="J193" s="453"/>
      <c r="K193" s="405"/>
      <c r="L193" s="405"/>
      <c r="M193" s="405"/>
      <c r="N193" s="405"/>
      <c r="O193" s="405"/>
      <c r="P193" s="405"/>
      <c r="Q193" s="406"/>
      <c r="R193" s="152"/>
      <c r="S193" s="152"/>
      <c r="T193" s="152"/>
      <c r="U193" s="152"/>
      <c r="V193" s="152"/>
      <c r="W193" s="152"/>
      <c r="X193" s="152"/>
      <c r="Y193" s="152"/>
      <c r="Z193" s="152"/>
      <c r="AA193" s="152"/>
      <c r="AB193" s="152"/>
      <c r="AC193" s="152"/>
      <c r="AD193" s="152"/>
      <c r="AE193" s="152"/>
      <c r="AF193" s="152"/>
      <c r="AG193" s="152"/>
      <c r="AH193" s="152"/>
      <c r="AI193" s="152"/>
      <c r="AJ193" s="152"/>
      <c r="AK193" s="152"/>
      <c r="AL193" s="152"/>
      <c r="AM193" s="152"/>
      <c r="AN193" s="152"/>
      <c r="AO193" s="152"/>
      <c r="AP193" s="152"/>
      <c r="AQ193" s="152"/>
      <c r="AR193" s="152"/>
      <c r="AS193" s="152"/>
      <c r="AT193" s="152"/>
      <c r="AU193" s="152"/>
      <c r="AV193" s="152"/>
      <c r="AW193" s="152"/>
      <c r="AX193" s="152"/>
    </row>
    <row r="194" spans="1:51">
      <c r="A194" s="1111" t="s">
        <v>28</v>
      </c>
      <c r="B194" s="1112"/>
      <c r="C194" s="1112"/>
      <c r="D194" s="1112"/>
      <c r="E194" s="1112"/>
      <c r="F194" s="1112"/>
      <c r="G194" s="1112"/>
      <c r="H194" s="1112"/>
      <c r="I194" s="1113"/>
      <c r="J194" s="454"/>
      <c r="K194" s="383"/>
      <c r="L194" s="383"/>
      <c r="M194" s="383"/>
      <c r="N194" s="383"/>
      <c r="O194" s="383"/>
      <c r="P194" s="383"/>
      <c r="Q194" s="386"/>
      <c r="R194" s="152"/>
      <c r="S194" s="152"/>
      <c r="T194" s="152"/>
      <c r="U194" s="152"/>
      <c r="V194" s="152"/>
      <c r="W194" s="152"/>
      <c r="X194" s="152"/>
      <c r="Y194" s="152"/>
      <c r="Z194" s="152"/>
      <c r="AA194" s="152"/>
      <c r="AB194" s="152"/>
      <c r="AC194" s="152"/>
      <c r="AD194" s="152"/>
      <c r="AE194" s="152"/>
      <c r="AF194" s="152"/>
      <c r="AG194" s="152"/>
      <c r="AH194" s="152"/>
      <c r="AI194" s="152"/>
      <c r="AJ194" s="152"/>
      <c r="AK194" s="152"/>
      <c r="AL194" s="152"/>
      <c r="AM194" s="152"/>
      <c r="AN194" s="152"/>
      <c r="AO194" s="152"/>
      <c r="AP194" s="152"/>
      <c r="AQ194" s="152"/>
      <c r="AR194" s="152"/>
      <c r="AS194" s="152"/>
      <c r="AT194" s="152"/>
      <c r="AU194" s="152"/>
      <c r="AV194" s="152"/>
      <c r="AW194" s="152"/>
      <c r="AX194" s="152"/>
    </row>
    <row r="195" spans="1:51">
      <c r="A195" s="28" t="s">
        <v>55</v>
      </c>
      <c r="B195" s="8" t="s">
        <v>52</v>
      </c>
      <c r="C195" s="9" t="s">
        <v>52</v>
      </c>
      <c r="D195" s="9" t="s">
        <v>52</v>
      </c>
      <c r="E195" s="9" t="s">
        <v>52</v>
      </c>
      <c r="F195" s="10" t="s">
        <v>52</v>
      </c>
      <c r="G195" s="10" t="s">
        <v>52</v>
      </c>
      <c r="H195" s="10" t="s">
        <v>52</v>
      </c>
      <c r="I195" s="313">
        <v>0</v>
      </c>
      <c r="J195" s="453"/>
      <c r="K195" s="405"/>
      <c r="L195" s="405"/>
      <c r="M195" s="405"/>
      <c r="N195" s="405"/>
      <c r="O195" s="405"/>
      <c r="P195" s="405"/>
      <c r="Q195" s="406"/>
      <c r="R195" s="152"/>
      <c r="S195" s="152"/>
      <c r="T195" s="152"/>
      <c r="U195" s="152"/>
      <c r="V195" s="152"/>
      <c r="W195" s="152"/>
      <c r="X195" s="152"/>
      <c r="Y195" s="152"/>
      <c r="Z195" s="152"/>
      <c r="AA195" s="152"/>
      <c r="AB195" s="152"/>
      <c r="AC195" s="152"/>
      <c r="AD195" s="152"/>
      <c r="AE195" s="152"/>
      <c r="AF195" s="152"/>
      <c r="AG195" s="152"/>
      <c r="AH195" s="152"/>
      <c r="AI195" s="152"/>
      <c r="AJ195" s="152"/>
      <c r="AK195" s="152"/>
      <c r="AL195" s="152"/>
      <c r="AM195" s="152"/>
      <c r="AN195" s="152"/>
      <c r="AO195" s="152"/>
      <c r="AP195" s="152"/>
      <c r="AQ195" s="152"/>
      <c r="AR195" s="152"/>
      <c r="AS195" s="152"/>
      <c r="AT195" s="152"/>
      <c r="AU195" s="152"/>
      <c r="AV195" s="152"/>
      <c r="AW195" s="152"/>
      <c r="AX195" s="152"/>
    </row>
    <row r="196" spans="1:51">
      <c r="A196" s="1127" t="s">
        <v>47</v>
      </c>
      <c r="B196" s="1128"/>
      <c r="C196" s="1128"/>
      <c r="D196" s="1128"/>
      <c r="E196" s="1128"/>
      <c r="F196" s="1128"/>
      <c r="G196" s="29"/>
      <c r="H196" s="29"/>
      <c r="I196" s="446"/>
      <c r="J196" s="454"/>
      <c r="K196" s="383"/>
      <c r="L196" s="383"/>
      <c r="M196" s="383"/>
      <c r="N196" s="383"/>
      <c r="O196" s="383"/>
      <c r="P196" s="383"/>
      <c r="Q196" s="386"/>
      <c r="R196" s="152"/>
      <c r="S196" s="152"/>
      <c r="T196" s="152"/>
      <c r="U196" s="152"/>
      <c r="V196" s="152"/>
      <c r="W196" s="152"/>
      <c r="X196" s="152"/>
      <c r="Y196" s="152"/>
      <c r="Z196" s="152"/>
      <c r="AA196" s="152"/>
      <c r="AB196" s="152"/>
      <c r="AC196" s="152"/>
      <c r="AD196" s="152"/>
      <c r="AE196" s="152"/>
      <c r="AF196" s="152"/>
      <c r="AG196" s="152"/>
      <c r="AH196" s="152"/>
      <c r="AI196" s="152"/>
      <c r="AJ196" s="152"/>
      <c r="AK196" s="152"/>
      <c r="AL196" s="152"/>
      <c r="AM196" s="152"/>
      <c r="AN196" s="152"/>
      <c r="AO196" s="152"/>
      <c r="AP196" s="152"/>
      <c r="AQ196" s="152"/>
      <c r="AR196" s="152"/>
      <c r="AS196" s="152"/>
      <c r="AT196" s="152"/>
      <c r="AU196" s="152"/>
      <c r="AV196" s="152"/>
      <c r="AW196" s="152"/>
      <c r="AX196" s="152"/>
    </row>
    <row r="197" spans="1:51">
      <c r="A197" s="692" t="s">
        <v>94</v>
      </c>
      <c r="B197" s="27" t="s">
        <v>66</v>
      </c>
      <c r="C197" s="27" t="s">
        <v>79</v>
      </c>
      <c r="D197" s="27" t="s">
        <v>80</v>
      </c>
      <c r="E197" s="27" t="s">
        <v>69</v>
      </c>
      <c r="F197" s="707">
        <v>2264</v>
      </c>
      <c r="G197" s="693">
        <v>2145</v>
      </c>
      <c r="H197" s="694">
        <f>G197*40%</f>
        <v>858</v>
      </c>
      <c r="I197" s="695">
        <v>1</v>
      </c>
      <c r="J197" s="379">
        <f>ROUND(G197*(1+'29_01_H_2020'!$O$14),2)</f>
        <v>2689.62</v>
      </c>
      <c r="K197" s="151">
        <f t="shared" ref="K197" si="106">L197-H197</f>
        <v>217.84999999999991</v>
      </c>
      <c r="L197" s="151">
        <f>ROUND(H197*(1+'29_01_H_2020'!$O$14),2)</f>
        <v>1075.8499999999999</v>
      </c>
      <c r="M197" s="151">
        <f t="shared" ref="M197" si="107">(J197+L197)-(G197+H197)</f>
        <v>762.4699999999998</v>
      </c>
      <c r="N197" s="151">
        <f t="shared" ref="N197" si="108">M197*I197</f>
        <v>762.4699999999998</v>
      </c>
      <c r="O197" s="151">
        <f t="shared" ref="O197:O201" si="109">N197*12</f>
        <v>9149.6399999999976</v>
      </c>
      <c r="P197" s="151">
        <f>ROUND(O197*'29_01_H_2020'!$O$17,2)</f>
        <v>2158.4</v>
      </c>
      <c r="Q197" s="380">
        <f t="shared" ref="Q197" si="110">SUM(O197:P197)</f>
        <v>11308.039999999997</v>
      </c>
      <c r="R197" s="329"/>
      <c r="S197" s="431"/>
      <c r="T197" s="153"/>
      <c r="U197" s="153"/>
      <c r="V197" s="460"/>
      <c r="W197" s="152"/>
      <c r="X197" s="430"/>
      <c r="Y197" s="430"/>
      <c r="Z197" s="430"/>
      <c r="AA197" s="430"/>
      <c r="AB197" s="430"/>
      <c r="AC197" s="430"/>
      <c r="AD197" s="430"/>
      <c r="AE197" s="430"/>
      <c r="AF197" s="430"/>
      <c r="AG197" s="430"/>
      <c r="AH197" s="329"/>
      <c r="AI197" s="152"/>
      <c r="AJ197" s="152"/>
      <c r="AK197" s="430"/>
      <c r="AL197" s="430"/>
      <c r="AM197" s="430"/>
      <c r="AN197" s="430"/>
      <c r="AO197" s="430"/>
      <c r="AP197" s="430"/>
      <c r="AQ197" s="430"/>
      <c r="AR197" s="430"/>
      <c r="AS197" s="430"/>
      <c r="AT197" s="430"/>
      <c r="AU197" s="329"/>
      <c r="AV197" s="152"/>
      <c r="AW197" s="152"/>
      <c r="AX197" s="152"/>
    </row>
    <row r="198" spans="1:51">
      <c r="A198" s="692" t="s">
        <v>95</v>
      </c>
      <c r="B198" s="696" t="s">
        <v>60</v>
      </c>
      <c r="C198" s="696" t="s">
        <v>42</v>
      </c>
      <c r="D198" s="696">
        <v>9</v>
      </c>
      <c r="E198" s="26" t="s">
        <v>69</v>
      </c>
      <c r="F198" s="708">
        <v>1190</v>
      </c>
      <c r="G198" s="693">
        <v>1078</v>
      </c>
      <c r="H198" s="694"/>
      <c r="I198" s="697">
        <v>9</v>
      </c>
      <c r="J198" s="379">
        <f>ROUND(G198*(1+'29_01_H_2020'!$O$14),2)</f>
        <v>1351.7</v>
      </c>
      <c r="K198" s="151">
        <f t="shared" ref="K198:K201" si="111">L198-H198</f>
        <v>0</v>
      </c>
      <c r="L198" s="151">
        <f>ROUND(H198*(1+'29_01_H_2020'!$O$14),2)</f>
        <v>0</v>
      </c>
      <c r="M198" s="151">
        <f t="shared" ref="M198:M201" si="112">(J198+L198)-(G198+H198)</f>
        <v>273.70000000000005</v>
      </c>
      <c r="N198" s="151">
        <f t="shared" ref="N198:N201" si="113">M198*I198</f>
        <v>2463.3000000000002</v>
      </c>
      <c r="O198" s="151">
        <f t="shared" si="109"/>
        <v>29559.600000000002</v>
      </c>
      <c r="P198" s="151">
        <f>ROUND(O198*'29_01_H_2020'!$O$17,2)</f>
        <v>6973.11</v>
      </c>
      <c r="Q198" s="380">
        <f t="shared" ref="Q198:Q201" si="114">SUM(O198:P198)</f>
        <v>36532.71</v>
      </c>
      <c r="R198" s="329"/>
      <c r="S198" s="431"/>
      <c r="T198" s="153"/>
      <c r="U198" s="153"/>
      <c r="V198" s="460"/>
      <c r="W198" s="152"/>
      <c r="X198" s="430"/>
      <c r="Y198" s="430"/>
      <c r="Z198" s="430"/>
      <c r="AA198" s="430"/>
      <c r="AB198" s="430"/>
      <c r="AC198" s="430"/>
      <c r="AD198" s="430"/>
      <c r="AE198" s="430"/>
      <c r="AF198" s="430"/>
      <c r="AG198" s="430"/>
      <c r="AH198" s="329"/>
      <c r="AI198" s="152"/>
      <c r="AJ198" s="152"/>
      <c r="AK198" s="430"/>
      <c r="AL198" s="430"/>
      <c r="AM198" s="430"/>
      <c r="AN198" s="430"/>
      <c r="AO198" s="430"/>
      <c r="AP198" s="430"/>
      <c r="AQ198" s="430"/>
      <c r="AR198" s="430"/>
      <c r="AS198" s="430"/>
      <c r="AT198" s="430"/>
      <c r="AU198" s="329"/>
      <c r="AV198" s="152"/>
      <c r="AW198" s="152"/>
      <c r="AX198" s="152"/>
    </row>
    <row r="199" spans="1:51">
      <c r="A199" s="692" t="s">
        <v>373</v>
      </c>
      <c r="B199" s="696" t="s">
        <v>60</v>
      </c>
      <c r="C199" s="696" t="s">
        <v>42</v>
      </c>
      <c r="D199" s="696">
        <v>9</v>
      </c>
      <c r="E199" s="26" t="s">
        <v>69</v>
      </c>
      <c r="F199" s="708">
        <v>1190</v>
      </c>
      <c r="G199" s="693">
        <v>1078</v>
      </c>
      <c r="H199" s="694"/>
      <c r="I199" s="697">
        <v>2</v>
      </c>
      <c r="J199" s="379">
        <f>ROUND(G199*(1+'29_01_H_2020'!$O$14),2)</f>
        <v>1351.7</v>
      </c>
      <c r="K199" s="151">
        <f t="shared" si="111"/>
        <v>0</v>
      </c>
      <c r="L199" s="151">
        <f>ROUND(H199*(1+'29_01_H_2020'!$O$14),2)</f>
        <v>0</v>
      </c>
      <c r="M199" s="151">
        <f t="shared" si="112"/>
        <v>273.70000000000005</v>
      </c>
      <c r="N199" s="151">
        <f t="shared" si="113"/>
        <v>547.40000000000009</v>
      </c>
      <c r="O199" s="151">
        <f t="shared" si="109"/>
        <v>6568.8000000000011</v>
      </c>
      <c r="P199" s="151">
        <f>ROUND(O199*'29_01_H_2020'!$O$17,2)</f>
        <v>1549.58</v>
      </c>
      <c r="Q199" s="380">
        <f t="shared" si="114"/>
        <v>8118.380000000001</v>
      </c>
      <c r="R199" s="329"/>
      <c r="S199" s="431"/>
      <c r="T199" s="153"/>
      <c r="U199" s="153"/>
      <c r="V199" s="152"/>
      <c r="W199" s="152"/>
      <c r="X199" s="430"/>
      <c r="Y199" s="430"/>
      <c r="Z199" s="430"/>
      <c r="AA199" s="430"/>
      <c r="AB199" s="430"/>
      <c r="AC199" s="430"/>
      <c r="AD199" s="430"/>
      <c r="AE199" s="430"/>
      <c r="AF199" s="430"/>
      <c r="AG199" s="430"/>
      <c r="AH199" s="329"/>
      <c r="AI199" s="152"/>
      <c r="AJ199" s="152"/>
      <c r="AK199" s="430"/>
      <c r="AL199" s="430"/>
      <c r="AM199" s="430"/>
      <c r="AN199" s="430"/>
      <c r="AO199" s="430"/>
      <c r="AP199" s="430"/>
      <c r="AQ199" s="430"/>
      <c r="AR199" s="430"/>
      <c r="AS199" s="430"/>
      <c r="AT199" s="430"/>
      <c r="AU199" s="329"/>
      <c r="AV199" s="152"/>
      <c r="AW199" s="152"/>
      <c r="AX199" s="152"/>
    </row>
    <row r="200" spans="1:51">
      <c r="A200" s="25" t="s">
        <v>373</v>
      </c>
      <c r="B200" s="696" t="s">
        <v>60</v>
      </c>
      <c r="C200" s="696" t="s">
        <v>42</v>
      </c>
      <c r="D200" s="22">
        <v>9</v>
      </c>
      <c r="E200" s="26" t="s">
        <v>69</v>
      </c>
      <c r="F200" s="290">
        <v>1190</v>
      </c>
      <c r="G200" s="698"/>
      <c r="H200" s="694"/>
      <c r="I200" s="697"/>
      <c r="J200" s="379">
        <f>ROUND(G200*(1+'29_01_H_2020'!$O$14),2)</f>
        <v>0</v>
      </c>
      <c r="K200" s="151">
        <f t="shared" si="111"/>
        <v>0</v>
      </c>
      <c r="L200" s="151">
        <f>ROUND(H200*(1+'29_01_H_2020'!$O$14),2)</f>
        <v>0</v>
      </c>
      <c r="M200" s="151">
        <f t="shared" si="112"/>
        <v>0</v>
      </c>
      <c r="N200" s="151">
        <f t="shared" si="113"/>
        <v>0</v>
      </c>
      <c r="O200" s="151">
        <f t="shared" si="109"/>
        <v>0</v>
      </c>
      <c r="P200" s="151">
        <f>ROUND(O200*'29_01_H_2020'!$O$17,2)</f>
        <v>0</v>
      </c>
      <c r="Q200" s="380">
        <f t="shared" si="114"/>
        <v>0</v>
      </c>
      <c r="R200" s="329"/>
      <c r="S200" s="431"/>
      <c r="T200" s="153"/>
      <c r="U200" s="153"/>
      <c r="V200" s="152"/>
      <c r="W200" s="152"/>
      <c r="X200" s="430"/>
      <c r="Y200" s="430"/>
      <c r="Z200" s="430"/>
      <c r="AA200" s="430"/>
      <c r="AB200" s="430"/>
      <c r="AC200" s="430"/>
      <c r="AD200" s="430"/>
      <c r="AE200" s="430"/>
      <c r="AF200" s="430"/>
      <c r="AG200" s="430"/>
      <c r="AH200" s="329"/>
      <c r="AI200" s="152"/>
      <c r="AJ200" s="152"/>
      <c r="AK200" s="430"/>
      <c r="AL200" s="430"/>
      <c r="AM200" s="430"/>
      <c r="AN200" s="430"/>
      <c r="AO200" s="430"/>
      <c r="AP200" s="430"/>
      <c r="AQ200" s="430"/>
      <c r="AR200" s="430"/>
      <c r="AS200" s="430"/>
      <c r="AT200" s="430"/>
      <c r="AU200" s="329"/>
      <c r="AV200" s="152"/>
      <c r="AW200" s="152"/>
      <c r="AX200" s="152"/>
    </row>
    <row r="201" spans="1:51">
      <c r="A201" s="692" t="s">
        <v>96</v>
      </c>
      <c r="B201" s="26" t="s">
        <v>75</v>
      </c>
      <c r="C201" s="26" t="s">
        <v>42</v>
      </c>
      <c r="D201" s="26" t="s">
        <v>85</v>
      </c>
      <c r="E201" s="26" t="s">
        <v>69</v>
      </c>
      <c r="F201" s="290">
        <v>1190</v>
      </c>
      <c r="G201" s="699">
        <v>1023</v>
      </c>
      <c r="H201" s="694"/>
      <c r="I201" s="700">
        <v>3</v>
      </c>
      <c r="J201" s="379">
        <f>ROUND(G201*(1+'29_01_H_2020'!$O$14),2)</f>
        <v>1282.74</v>
      </c>
      <c r="K201" s="151">
        <f t="shared" si="111"/>
        <v>0</v>
      </c>
      <c r="L201" s="151">
        <f>ROUND(H201*(1+'29_01_H_2020'!$O$14),2)</f>
        <v>0</v>
      </c>
      <c r="M201" s="151">
        <f t="shared" si="112"/>
        <v>259.74</v>
      </c>
      <c r="N201" s="151">
        <f t="shared" si="113"/>
        <v>779.22</v>
      </c>
      <c r="O201" s="151">
        <f t="shared" si="109"/>
        <v>9350.64</v>
      </c>
      <c r="P201" s="151">
        <f>ROUND(O201*'29_01_H_2020'!$O$17,2)</f>
        <v>2205.8200000000002</v>
      </c>
      <c r="Q201" s="380">
        <f t="shared" si="114"/>
        <v>11556.46</v>
      </c>
      <c r="R201" s="329"/>
      <c r="S201" s="431"/>
      <c r="T201" s="153"/>
      <c r="U201" s="153"/>
      <c r="V201" s="152"/>
      <c r="W201" s="152"/>
      <c r="X201" s="430"/>
      <c r="Y201" s="430"/>
      <c r="Z201" s="430"/>
      <c r="AA201" s="430"/>
      <c r="AB201" s="430"/>
      <c r="AC201" s="430"/>
      <c r="AD201" s="430"/>
      <c r="AE201" s="430"/>
      <c r="AF201" s="430"/>
      <c r="AG201" s="430"/>
      <c r="AH201" s="329"/>
      <c r="AI201" s="152"/>
      <c r="AJ201" s="152"/>
      <c r="AK201" s="430"/>
      <c r="AL201" s="430"/>
      <c r="AM201" s="430"/>
      <c r="AN201" s="430"/>
      <c r="AO201" s="430"/>
      <c r="AP201" s="430"/>
      <c r="AQ201" s="430"/>
      <c r="AR201" s="430"/>
      <c r="AS201" s="430"/>
      <c r="AT201" s="430"/>
      <c r="AU201" s="329"/>
      <c r="AV201" s="152"/>
      <c r="AW201" s="152"/>
      <c r="AX201" s="152"/>
    </row>
    <row r="202" spans="1:51" ht="15.75" thickBot="1">
      <c r="A202" s="28" t="s">
        <v>55</v>
      </c>
      <c r="B202" s="8" t="s">
        <v>52</v>
      </c>
      <c r="C202" s="9" t="s">
        <v>52</v>
      </c>
      <c r="D202" s="9" t="s">
        <v>52</v>
      </c>
      <c r="E202" s="9" t="s">
        <v>52</v>
      </c>
      <c r="F202" s="10" t="s">
        <v>52</v>
      </c>
      <c r="G202" s="10" t="s">
        <v>52</v>
      </c>
      <c r="H202" s="10" t="s">
        <v>52</v>
      </c>
      <c r="I202" s="313">
        <f>SUM(I197:I201)</f>
        <v>15</v>
      </c>
      <c r="J202" s="455"/>
      <c r="K202" s="421"/>
      <c r="L202" s="421"/>
      <c r="M202" s="421"/>
      <c r="N202" s="421"/>
      <c r="O202" s="421"/>
      <c r="P202" s="421"/>
      <c r="Q202" s="42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Q202" s="152"/>
      <c r="AR202" s="152"/>
      <c r="AS202" s="152"/>
      <c r="AT202" s="152"/>
      <c r="AU202" s="152"/>
      <c r="AV202" s="152"/>
      <c r="AW202" s="152"/>
      <c r="AX202" s="152"/>
    </row>
    <row r="203" spans="1:51" ht="15.75" thickBot="1">
      <c r="A203" s="18" t="s">
        <v>57</v>
      </c>
      <c r="B203" s="19"/>
      <c r="C203" s="19"/>
      <c r="D203" s="19"/>
      <c r="E203" s="19"/>
      <c r="F203" s="19"/>
      <c r="G203" s="19"/>
      <c r="H203" s="19"/>
      <c r="I203" s="433">
        <f>SUM(I193,I195,I202)</f>
        <v>157</v>
      </c>
      <c r="J203" s="456"/>
      <c r="K203" s="457"/>
      <c r="L203" s="457"/>
      <c r="M203" s="457"/>
      <c r="N203" s="457"/>
      <c r="O203" s="457"/>
      <c r="P203" s="457"/>
      <c r="Q203" s="458">
        <f>SUM(Q108:Q192,Q197:Q201)</f>
        <v>775553.24</v>
      </c>
      <c r="R203" s="152"/>
      <c r="S203" s="152"/>
      <c r="T203" s="325"/>
      <c r="U203" s="325"/>
      <c r="V203" s="152"/>
      <c r="W203" s="152"/>
      <c r="X203" s="152"/>
      <c r="Y203" s="152"/>
      <c r="Z203" s="152"/>
      <c r="AA203" s="152"/>
      <c r="AB203" s="152"/>
      <c r="AC203" s="152"/>
      <c r="AD203" s="152"/>
      <c r="AE203" s="325"/>
      <c r="AF203" s="325"/>
      <c r="AG203" s="325"/>
      <c r="AH203" s="152"/>
      <c r="AI203" s="152"/>
      <c r="AJ203" s="152"/>
      <c r="AK203" s="152"/>
      <c r="AL203" s="152"/>
      <c r="AM203" s="152"/>
      <c r="AN203" s="152"/>
      <c r="AO203" s="152"/>
      <c r="AP203" s="152"/>
      <c r="AQ203" s="152"/>
      <c r="AR203" s="325"/>
      <c r="AS203" s="325"/>
      <c r="AT203" s="325"/>
      <c r="AU203" s="152"/>
      <c r="AV203" s="152"/>
      <c r="AW203" s="152"/>
      <c r="AX203" s="152"/>
    </row>
    <row r="204" spans="1:51" ht="15.75" thickBot="1">
      <c r="J204" s="30"/>
      <c r="R204" s="152"/>
      <c r="S204" s="152"/>
      <c r="T204" s="152"/>
      <c r="U204" s="329"/>
      <c r="V204" s="152"/>
      <c r="W204" s="152"/>
      <c r="X204" s="152"/>
      <c r="Y204" s="152"/>
      <c r="Z204" s="152"/>
      <c r="AA204" s="152"/>
      <c r="AB204" s="152"/>
      <c r="AC204" s="152"/>
      <c r="AD204" s="152"/>
      <c r="AE204" s="152"/>
      <c r="AF204" s="152"/>
      <c r="AG204" s="329"/>
      <c r="AH204" s="152"/>
      <c r="AI204" s="152"/>
      <c r="AJ204" s="152"/>
      <c r="AK204" s="152"/>
      <c r="AL204" s="152"/>
      <c r="AM204" s="152"/>
      <c r="AN204" s="152"/>
      <c r="AO204" s="152"/>
      <c r="AP204" s="152"/>
      <c r="AQ204" s="152"/>
      <c r="AR204" s="152"/>
      <c r="AS204" s="152"/>
      <c r="AT204" s="329"/>
      <c r="AU204" s="152"/>
      <c r="AV204" s="152"/>
      <c r="AW204" s="152"/>
      <c r="AX204" s="152"/>
    </row>
    <row r="205" spans="1:51">
      <c r="A205" s="1092" t="s">
        <v>109</v>
      </c>
      <c r="B205" s="1093"/>
      <c r="C205" s="1093"/>
      <c r="D205" s="1093"/>
      <c r="E205" s="1093"/>
      <c r="F205" s="1093"/>
      <c r="G205" s="1093"/>
      <c r="H205" s="1093"/>
      <c r="I205" s="1094"/>
      <c r="J205" s="478"/>
      <c r="K205" s="435"/>
      <c r="L205" s="435"/>
      <c r="M205" s="435"/>
      <c r="N205" s="435"/>
      <c r="O205" s="435"/>
      <c r="P205" s="435"/>
      <c r="Q205" s="436"/>
      <c r="R205" s="152"/>
      <c r="S205" s="152"/>
      <c r="T205" s="152"/>
      <c r="U205" s="152"/>
      <c r="V205" s="152"/>
      <c r="W205" s="152"/>
      <c r="X205" s="152"/>
      <c r="Y205" s="152"/>
      <c r="Z205" s="152"/>
      <c r="AA205" s="152"/>
      <c r="AB205" s="152"/>
      <c r="AC205" s="152"/>
      <c r="AD205" s="152"/>
      <c r="AE205" s="152"/>
      <c r="AF205" s="152"/>
      <c r="AG205" s="152"/>
      <c r="AH205" s="152"/>
      <c r="AI205" s="152"/>
      <c r="AJ205" s="152"/>
      <c r="AK205" s="152"/>
      <c r="AL205" s="152"/>
      <c r="AM205" s="152"/>
      <c r="AN205" s="152"/>
      <c r="AO205" s="152"/>
      <c r="AP205" s="152"/>
      <c r="AQ205" s="152"/>
      <c r="AR205" s="152"/>
      <c r="AS205" s="152"/>
      <c r="AT205" s="152"/>
      <c r="AU205" s="152"/>
      <c r="AV205" s="152"/>
      <c r="AW205" s="152"/>
      <c r="AX205" s="152"/>
    </row>
    <row r="206" spans="1:51">
      <c r="A206" s="1095" t="s">
        <v>110</v>
      </c>
      <c r="B206" s="1096"/>
      <c r="C206" s="1096"/>
      <c r="D206" s="1096"/>
      <c r="E206" s="1096"/>
      <c r="F206" s="1096"/>
      <c r="G206" s="1096"/>
      <c r="H206" s="1096"/>
      <c r="I206" s="1097"/>
      <c r="J206" s="338"/>
      <c r="K206" s="176"/>
      <c r="L206" s="176"/>
      <c r="M206" s="176"/>
      <c r="N206" s="176"/>
      <c r="O206" s="176"/>
      <c r="P206" s="176"/>
      <c r="Q206" s="473"/>
      <c r="R206" s="152"/>
      <c r="S206" s="152"/>
      <c r="T206" s="152"/>
      <c r="U206" s="152"/>
      <c r="V206" s="152"/>
      <c r="W206" s="152"/>
      <c r="X206" s="152"/>
      <c r="Y206" s="152"/>
      <c r="Z206" s="152"/>
      <c r="AA206" s="152"/>
      <c r="AB206" s="152"/>
      <c r="AC206" s="152"/>
      <c r="AD206" s="152"/>
      <c r="AE206" s="152"/>
      <c r="AF206" s="152"/>
      <c r="AG206" s="152"/>
      <c r="AH206" s="152"/>
      <c r="AI206" s="152"/>
      <c r="AJ206" s="152"/>
      <c r="AK206" s="152"/>
      <c r="AL206" s="152"/>
      <c r="AM206" s="152"/>
      <c r="AN206" s="152"/>
      <c r="AO206" s="152"/>
      <c r="AP206" s="152"/>
      <c r="AQ206" s="152"/>
      <c r="AR206" s="152"/>
      <c r="AS206" s="152"/>
      <c r="AT206" s="152"/>
      <c r="AU206" s="152"/>
      <c r="AV206" s="152"/>
      <c r="AW206" s="152"/>
      <c r="AX206" s="152"/>
      <c r="AY206" s="152"/>
    </row>
    <row r="207" spans="1:51">
      <c r="A207" s="1098" t="s">
        <v>11</v>
      </c>
      <c r="B207" s="1099"/>
      <c r="C207" s="1099"/>
      <c r="D207" s="1099"/>
      <c r="E207" s="1099"/>
      <c r="F207" s="1099"/>
      <c r="G207" s="1099"/>
      <c r="H207" s="1099"/>
      <c r="I207" s="1100"/>
      <c r="J207" s="454"/>
      <c r="K207" s="383"/>
      <c r="L207" s="383"/>
      <c r="M207" s="383"/>
      <c r="N207" s="383"/>
      <c r="O207" s="383"/>
      <c r="P207" s="383"/>
      <c r="Q207" s="386"/>
      <c r="R207" s="152"/>
      <c r="S207" s="152"/>
      <c r="T207" s="152"/>
      <c r="U207" s="152"/>
      <c r="V207" s="152"/>
      <c r="W207" s="152"/>
      <c r="X207" s="152"/>
      <c r="Y207" s="152"/>
      <c r="Z207" s="152"/>
      <c r="AA207" s="152"/>
      <c r="AB207" s="152"/>
      <c r="AC207" s="152"/>
      <c r="AD207" s="152"/>
      <c r="AE207" s="152"/>
      <c r="AF207" s="152"/>
      <c r="AG207" s="152"/>
      <c r="AH207" s="152"/>
      <c r="AI207" s="152"/>
      <c r="AJ207" s="152"/>
      <c r="AK207" s="152"/>
      <c r="AL207" s="152"/>
      <c r="AM207" s="152"/>
      <c r="AN207" s="152"/>
      <c r="AO207" s="152"/>
      <c r="AP207" s="152"/>
      <c r="AQ207" s="152"/>
      <c r="AR207" s="152"/>
      <c r="AS207" s="152"/>
      <c r="AT207" s="152"/>
      <c r="AU207" s="152"/>
      <c r="AV207" s="152"/>
      <c r="AW207" s="152"/>
      <c r="AX207" s="152"/>
      <c r="AY207" s="152"/>
    </row>
    <row r="208" spans="1:51" ht="25.5">
      <c r="A208" s="31" t="s">
        <v>97</v>
      </c>
      <c r="B208" s="32">
        <v>35</v>
      </c>
      <c r="C208" s="32" t="s">
        <v>17</v>
      </c>
      <c r="D208" s="259">
        <v>12</v>
      </c>
      <c r="E208" s="35">
        <v>3</v>
      </c>
      <c r="F208" s="292">
        <v>1647</v>
      </c>
      <c r="G208" s="36">
        <v>1647</v>
      </c>
      <c r="H208" s="33">
        <v>164.7</v>
      </c>
      <c r="I208" s="471">
        <v>1</v>
      </c>
      <c r="J208" s="379">
        <f>ROUND(G208*(1+'29_01_H_2020'!$O$14),2)</f>
        <v>2065.17</v>
      </c>
      <c r="K208" s="151">
        <f t="shared" ref="K208" si="115">L208-H208</f>
        <v>41.820000000000022</v>
      </c>
      <c r="L208" s="151">
        <f>ROUND(H208*(1+'29_01_H_2020'!$O$14),2)</f>
        <v>206.52</v>
      </c>
      <c r="M208" s="151">
        <f t="shared" ref="M208" si="116">(J208+L208)-(G208+H208)</f>
        <v>459.99</v>
      </c>
      <c r="N208" s="151">
        <f t="shared" ref="N208" si="117">M208*I208</f>
        <v>459.99</v>
      </c>
      <c r="O208" s="151">
        <f t="shared" ref="O208:O234" si="118">N208*12</f>
        <v>5519.88</v>
      </c>
      <c r="P208" s="151">
        <f>ROUND(O208*'29_01_H_2020'!$O$17,2)</f>
        <v>1302.1400000000001</v>
      </c>
      <c r="Q208" s="380">
        <f t="shared" ref="Q208" si="119">SUM(O208:P208)</f>
        <v>6822.02</v>
      </c>
      <c r="R208" s="329"/>
      <c r="S208" s="431"/>
      <c r="T208" s="153"/>
      <c r="U208" s="153"/>
      <c r="V208" s="152"/>
      <c r="W208" s="152"/>
      <c r="X208" s="430"/>
      <c r="Y208" s="430"/>
      <c r="Z208" s="430"/>
      <c r="AA208" s="430"/>
      <c r="AB208" s="430"/>
      <c r="AC208" s="430"/>
      <c r="AD208" s="430"/>
      <c r="AE208" s="430"/>
      <c r="AF208" s="430"/>
      <c r="AG208" s="430"/>
      <c r="AH208" s="329"/>
      <c r="AI208" s="152"/>
      <c r="AJ208" s="152"/>
      <c r="AK208" s="430"/>
      <c r="AL208" s="430"/>
      <c r="AM208" s="430"/>
      <c r="AN208" s="430"/>
      <c r="AO208" s="430"/>
      <c r="AP208" s="430"/>
      <c r="AQ208" s="430"/>
      <c r="AR208" s="430"/>
      <c r="AS208" s="430"/>
      <c r="AT208" s="430"/>
      <c r="AU208" s="329"/>
      <c r="AV208" s="152"/>
      <c r="AW208" s="152"/>
      <c r="AX208" s="152"/>
      <c r="AY208" s="152"/>
    </row>
    <row r="209" spans="1:51" ht="25.5">
      <c r="A209" s="31" t="s">
        <v>98</v>
      </c>
      <c r="B209" s="32">
        <v>35</v>
      </c>
      <c r="C209" s="32" t="s">
        <v>21</v>
      </c>
      <c r="D209" s="259">
        <v>11</v>
      </c>
      <c r="E209" s="35">
        <v>3</v>
      </c>
      <c r="F209" s="292">
        <v>1382</v>
      </c>
      <c r="G209" s="36">
        <v>1382</v>
      </c>
      <c r="H209" s="33">
        <v>138.19999999999999</v>
      </c>
      <c r="I209" s="471">
        <v>1</v>
      </c>
      <c r="J209" s="379">
        <f>ROUND(G209*(1+'29_01_H_2020'!$O$14),2)</f>
        <v>1732.89</v>
      </c>
      <c r="K209" s="151">
        <f t="shared" ref="K209:K234" si="120">L209-H209</f>
        <v>35.090000000000003</v>
      </c>
      <c r="L209" s="151">
        <f>ROUND(H209*(1+'29_01_H_2020'!$O$14),2)</f>
        <v>173.29</v>
      </c>
      <c r="M209" s="151">
        <f t="shared" ref="M209:M234" si="121">(J209+L209)-(G209+H209)</f>
        <v>385.98</v>
      </c>
      <c r="N209" s="151">
        <f t="shared" ref="N209:N234" si="122">M209*I209</f>
        <v>385.98</v>
      </c>
      <c r="O209" s="151">
        <f t="shared" si="118"/>
        <v>4631.76</v>
      </c>
      <c r="P209" s="151">
        <f>ROUND(O209*'29_01_H_2020'!$O$17,2)</f>
        <v>1092.6300000000001</v>
      </c>
      <c r="Q209" s="380">
        <f t="shared" ref="Q209:Q234" si="123">SUM(O209:P209)</f>
        <v>5724.39</v>
      </c>
      <c r="R209" s="329"/>
      <c r="S209" s="431"/>
      <c r="T209" s="153"/>
      <c r="U209" s="153"/>
      <c r="V209" s="152"/>
      <c r="W209" s="152"/>
      <c r="X209" s="430"/>
      <c r="Y209" s="430"/>
      <c r="Z209" s="430"/>
      <c r="AA209" s="430"/>
      <c r="AB209" s="430"/>
      <c r="AC209" s="430"/>
      <c r="AD209" s="430"/>
      <c r="AE209" s="430"/>
      <c r="AF209" s="430"/>
      <c r="AG209" s="430"/>
      <c r="AH209" s="329"/>
      <c r="AI209" s="152"/>
      <c r="AJ209" s="152"/>
      <c r="AK209" s="430"/>
      <c r="AL209" s="430"/>
      <c r="AM209" s="430"/>
      <c r="AN209" s="430"/>
      <c r="AO209" s="430"/>
      <c r="AP209" s="430"/>
      <c r="AQ209" s="430"/>
      <c r="AR209" s="430"/>
      <c r="AS209" s="430"/>
      <c r="AT209" s="430"/>
      <c r="AU209" s="329"/>
      <c r="AV209" s="152"/>
      <c r="AW209" s="152"/>
      <c r="AX209" s="152"/>
      <c r="AY209" s="152"/>
    </row>
    <row r="210" spans="1:51" ht="25.5">
      <c r="A210" s="31" t="s">
        <v>104</v>
      </c>
      <c r="B210" s="32">
        <v>35</v>
      </c>
      <c r="C210" s="32" t="s">
        <v>21</v>
      </c>
      <c r="D210" s="259">
        <v>11</v>
      </c>
      <c r="E210" s="35">
        <v>3</v>
      </c>
      <c r="F210" s="292">
        <v>1382</v>
      </c>
      <c r="G210" s="36">
        <v>1382</v>
      </c>
      <c r="H210" s="33">
        <v>138.19999999999999</v>
      </c>
      <c r="I210" s="471">
        <v>1</v>
      </c>
      <c r="J210" s="379">
        <f>ROUND(G210*(1+'29_01_H_2020'!$O$14),2)</f>
        <v>1732.89</v>
      </c>
      <c r="K210" s="151">
        <f t="shared" si="120"/>
        <v>35.090000000000003</v>
      </c>
      <c r="L210" s="151">
        <f>ROUND(H210*(1+'29_01_H_2020'!$O$14),2)</f>
        <v>173.29</v>
      </c>
      <c r="M210" s="151">
        <f t="shared" si="121"/>
        <v>385.98</v>
      </c>
      <c r="N210" s="151">
        <f t="shared" si="122"/>
        <v>385.98</v>
      </c>
      <c r="O210" s="151">
        <f t="shared" si="118"/>
        <v>4631.76</v>
      </c>
      <c r="P210" s="151">
        <f>ROUND(O210*'29_01_H_2020'!$O$17,2)</f>
        <v>1092.6300000000001</v>
      </c>
      <c r="Q210" s="380">
        <f t="shared" si="123"/>
        <v>5724.39</v>
      </c>
      <c r="R210" s="329"/>
      <c r="S210" s="431"/>
      <c r="T210" s="153"/>
      <c r="U210" s="153"/>
      <c r="V210" s="470"/>
      <c r="W210" s="152"/>
      <c r="X210" s="430"/>
      <c r="Y210" s="430"/>
      <c r="Z210" s="430"/>
      <c r="AA210" s="430"/>
      <c r="AB210" s="430"/>
      <c r="AC210" s="430"/>
      <c r="AD210" s="430"/>
      <c r="AE210" s="430"/>
      <c r="AF210" s="430"/>
      <c r="AG210" s="430"/>
      <c r="AH210" s="329"/>
      <c r="AI210" s="152"/>
      <c r="AJ210" s="152"/>
      <c r="AK210" s="430"/>
      <c r="AL210" s="430"/>
      <c r="AM210" s="430"/>
      <c r="AN210" s="430"/>
      <c r="AO210" s="430"/>
      <c r="AP210" s="430"/>
      <c r="AQ210" s="430"/>
      <c r="AR210" s="430"/>
      <c r="AS210" s="430"/>
      <c r="AT210" s="430"/>
      <c r="AU210" s="329"/>
      <c r="AV210" s="152"/>
      <c r="AW210" s="152"/>
      <c r="AX210" s="152"/>
      <c r="AY210" s="152"/>
    </row>
    <row r="211" spans="1:51">
      <c r="A211" s="31" t="s">
        <v>99</v>
      </c>
      <c r="B211" s="32">
        <v>35</v>
      </c>
      <c r="C211" s="32" t="s">
        <v>26</v>
      </c>
      <c r="D211" s="259">
        <v>10</v>
      </c>
      <c r="E211" s="35">
        <v>3</v>
      </c>
      <c r="F211" s="292">
        <v>1287</v>
      </c>
      <c r="G211" s="36">
        <v>1287</v>
      </c>
      <c r="H211" s="33">
        <v>25.3</v>
      </c>
      <c r="I211" s="471">
        <v>1</v>
      </c>
      <c r="J211" s="379">
        <f>ROUND(G211*(1+'29_01_H_2020'!$O$14),2)</f>
        <v>1613.77</v>
      </c>
      <c r="K211" s="151">
        <f t="shared" si="120"/>
        <v>6.4199999999999982</v>
      </c>
      <c r="L211" s="151">
        <f>ROUND(H211*(1+'29_01_H_2020'!$O$14),2)</f>
        <v>31.72</v>
      </c>
      <c r="M211" s="151">
        <f t="shared" si="121"/>
        <v>333.19000000000005</v>
      </c>
      <c r="N211" s="151">
        <f t="shared" si="122"/>
        <v>333.19000000000005</v>
      </c>
      <c r="O211" s="151">
        <f t="shared" si="118"/>
        <v>3998.2800000000007</v>
      </c>
      <c r="P211" s="151">
        <f>ROUND(O211*'29_01_H_2020'!$O$17,2)</f>
        <v>943.19</v>
      </c>
      <c r="Q211" s="380">
        <f t="shared" si="123"/>
        <v>4941.4700000000012</v>
      </c>
      <c r="R211" s="329"/>
      <c r="S211" s="431"/>
      <c r="T211" s="153"/>
      <c r="U211" s="153"/>
      <c r="V211" s="152"/>
      <c r="W211" s="152"/>
      <c r="X211" s="430"/>
      <c r="Y211" s="430"/>
      <c r="Z211" s="430"/>
      <c r="AA211" s="430"/>
      <c r="AB211" s="430"/>
      <c r="AC211" s="430"/>
      <c r="AD211" s="430"/>
      <c r="AE211" s="430"/>
      <c r="AF211" s="430"/>
      <c r="AG211" s="430"/>
      <c r="AH211" s="329"/>
      <c r="AI211" s="152"/>
      <c r="AJ211" s="152"/>
      <c r="AK211" s="430"/>
      <c r="AL211" s="430"/>
      <c r="AM211" s="430"/>
      <c r="AN211" s="430"/>
      <c r="AO211" s="430"/>
      <c r="AP211" s="430"/>
      <c r="AQ211" s="430"/>
      <c r="AR211" s="430"/>
      <c r="AS211" s="430"/>
      <c r="AT211" s="430"/>
      <c r="AU211" s="329"/>
      <c r="AV211" s="152"/>
      <c r="AW211" s="152"/>
      <c r="AX211" s="152"/>
      <c r="AY211" s="152"/>
    </row>
    <row r="212" spans="1:51">
      <c r="A212" s="31" t="s">
        <v>99</v>
      </c>
      <c r="B212" s="32">
        <v>35</v>
      </c>
      <c r="C212" s="32" t="s">
        <v>26</v>
      </c>
      <c r="D212" s="259">
        <v>10</v>
      </c>
      <c r="E212" s="35">
        <v>3</v>
      </c>
      <c r="F212" s="292">
        <v>1287</v>
      </c>
      <c r="G212" s="36">
        <v>1287</v>
      </c>
      <c r="H212" s="33">
        <v>25.3</v>
      </c>
      <c r="I212" s="471">
        <v>1</v>
      </c>
      <c r="J212" s="379">
        <f>ROUND(G212*(1+'29_01_H_2020'!$O$14),2)</f>
        <v>1613.77</v>
      </c>
      <c r="K212" s="151">
        <f t="shared" si="120"/>
        <v>6.4199999999999982</v>
      </c>
      <c r="L212" s="151">
        <f>ROUND(H212*(1+'29_01_H_2020'!$O$14),2)</f>
        <v>31.72</v>
      </c>
      <c r="M212" s="151">
        <f t="shared" si="121"/>
        <v>333.19000000000005</v>
      </c>
      <c r="N212" s="151">
        <f t="shared" si="122"/>
        <v>333.19000000000005</v>
      </c>
      <c r="O212" s="151">
        <f t="shared" si="118"/>
        <v>3998.2800000000007</v>
      </c>
      <c r="P212" s="151">
        <f>ROUND(O212*'29_01_H_2020'!$O$17,2)</f>
        <v>943.19</v>
      </c>
      <c r="Q212" s="380">
        <f t="shared" si="123"/>
        <v>4941.4700000000012</v>
      </c>
      <c r="R212" s="329"/>
      <c r="S212" s="431"/>
      <c r="T212" s="153"/>
      <c r="U212" s="153"/>
      <c r="V212" s="152"/>
      <c r="W212" s="152"/>
      <c r="X212" s="430"/>
      <c r="Y212" s="430"/>
      <c r="Z212" s="430"/>
      <c r="AA212" s="430"/>
      <c r="AB212" s="430"/>
      <c r="AC212" s="430"/>
      <c r="AD212" s="430"/>
      <c r="AE212" s="430"/>
      <c r="AF212" s="430"/>
      <c r="AG212" s="430"/>
      <c r="AH212" s="329"/>
      <c r="AI212" s="152"/>
      <c r="AJ212" s="152"/>
      <c r="AK212" s="430"/>
      <c r="AL212" s="430"/>
      <c r="AM212" s="430"/>
      <c r="AN212" s="430"/>
      <c r="AO212" s="430"/>
      <c r="AP212" s="430"/>
      <c r="AQ212" s="430"/>
      <c r="AR212" s="430"/>
      <c r="AS212" s="430"/>
      <c r="AT212" s="430"/>
      <c r="AU212" s="329"/>
      <c r="AV212" s="152"/>
      <c r="AW212" s="152"/>
      <c r="AX212" s="152"/>
      <c r="AY212" s="152"/>
    </row>
    <row r="213" spans="1:51" ht="25.5">
      <c r="A213" s="31" t="s">
        <v>644</v>
      </c>
      <c r="B213" s="32">
        <v>35</v>
      </c>
      <c r="C213" s="32" t="s">
        <v>26</v>
      </c>
      <c r="D213" s="259">
        <v>10</v>
      </c>
      <c r="E213" s="35">
        <v>2</v>
      </c>
      <c r="F213" s="292">
        <v>1115</v>
      </c>
      <c r="G213" s="36">
        <v>1115</v>
      </c>
      <c r="H213" s="33"/>
      <c r="I213" s="471">
        <v>1</v>
      </c>
      <c r="J213" s="379">
        <f>ROUND(G213*(1+'29_01_H_2020'!$O$14),2)</f>
        <v>1398.1</v>
      </c>
      <c r="K213" s="151">
        <f t="shared" si="120"/>
        <v>0</v>
      </c>
      <c r="L213" s="151">
        <f>ROUND(H213*(1+'29_01_H_2020'!$O$14),2)</f>
        <v>0</v>
      </c>
      <c r="M213" s="151">
        <f t="shared" si="121"/>
        <v>283.09999999999991</v>
      </c>
      <c r="N213" s="151">
        <f t="shared" si="122"/>
        <v>283.09999999999991</v>
      </c>
      <c r="O213" s="151">
        <f t="shared" si="118"/>
        <v>3397.1999999999989</v>
      </c>
      <c r="P213" s="151">
        <f>ROUND(O213*'29_01_H_2020'!$O$17,2)</f>
        <v>801.4</v>
      </c>
      <c r="Q213" s="380">
        <f t="shared" si="123"/>
        <v>4198.5999999999985</v>
      </c>
      <c r="R213" s="329"/>
      <c r="S213" s="431"/>
      <c r="T213" s="153"/>
      <c r="U213" s="153"/>
      <c r="V213" s="152"/>
      <c r="W213" s="152"/>
      <c r="X213" s="430"/>
      <c r="Y213" s="430"/>
      <c r="Z213" s="430"/>
      <c r="AA213" s="430"/>
      <c r="AB213" s="430"/>
      <c r="AC213" s="430"/>
      <c r="AD213" s="430"/>
      <c r="AE213" s="430"/>
      <c r="AF213" s="430"/>
      <c r="AG213" s="430"/>
      <c r="AH213" s="329"/>
      <c r="AI213" s="152"/>
      <c r="AJ213" s="152"/>
      <c r="AK213" s="430"/>
      <c r="AL213" s="430"/>
      <c r="AM213" s="430"/>
      <c r="AN213" s="430"/>
      <c r="AO213" s="430"/>
      <c r="AP213" s="430"/>
      <c r="AQ213" s="430"/>
      <c r="AR213" s="430"/>
      <c r="AS213" s="430"/>
      <c r="AT213" s="430"/>
      <c r="AU213" s="329"/>
      <c r="AV213" s="152"/>
      <c r="AW213" s="152"/>
      <c r="AX213" s="152"/>
      <c r="AY213" s="152"/>
    </row>
    <row r="214" spans="1:51">
      <c r="A214" s="31" t="s">
        <v>100</v>
      </c>
      <c r="B214" s="32">
        <v>35</v>
      </c>
      <c r="C214" s="32" t="s">
        <v>42</v>
      </c>
      <c r="D214" s="259">
        <v>9</v>
      </c>
      <c r="E214" s="35">
        <v>3</v>
      </c>
      <c r="F214" s="292">
        <v>1190</v>
      </c>
      <c r="G214" s="36">
        <v>1190</v>
      </c>
      <c r="H214" s="33">
        <v>119</v>
      </c>
      <c r="I214" s="471">
        <v>4</v>
      </c>
      <c r="J214" s="379">
        <f>ROUND(G214*(1+'29_01_H_2020'!$O$14),2)</f>
        <v>1492.14</v>
      </c>
      <c r="K214" s="151">
        <f t="shared" si="120"/>
        <v>30.210000000000008</v>
      </c>
      <c r="L214" s="151">
        <f>ROUND(H214*(1+'29_01_H_2020'!$O$14),2)</f>
        <v>149.21</v>
      </c>
      <c r="M214" s="151">
        <f t="shared" si="121"/>
        <v>332.35000000000014</v>
      </c>
      <c r="N214" s="151">
        <f t="shared" si="122"/>
        <v>1329.4000000000005</v>
      </c>
      <c r="O214" s="151">
        <f t="shared" si="118"/>
        <v>15952.800000000007</v>
      </c>
      <c r="P214" s="151">
        <f>ROUND(O214*'29_01_H_2020'!$O$17,2)</f>
        <v>3763.27</v>
      </c>
      <c r="Q214" s="380">
        <f t="shared" si="123"/>
        <v>19716.070000000007</v>
      </c>
      <c r="R214" s="329"/>
      <c r="S214" s="431"/>
      <c r="T214" s="153"/>
      <c r="U214" s="153"/>
      <c r="V214" s="152"/>
      <c r="W214" s="152"/>
      <c r="X214" s="430"/>
      <c r="Y214" s="430"/>
      <c r="Z214" s="430"/>
      <c r="AA214" s="430"/>
      <c r="AB214" s="430"/>
      <c r="AC214" s="430"/>
      <c r="AD214" s="430"/>
      <c r="AE214" s="430"/>
      <c r="AF214" s="430"/>
      <c r="AG214" s="430"/>
      <c r="AH214" s="329"/>
      <c r="AI214" s="152"/>
      <c r="AJ214" s="152"/>
      <c r="AK214" s="430"/>
      <c r="AL214" s="430"/>
      <c r="AM214" s="430"/>
      <c r="AN214" s="430"/>
      <c r="AO214" s="430"/>
      <c r="AP214" s="430"/>
      <c r="AQ214" s="430"/>
      <c r="AR214" s="430"/>
      <c r="AS214" s="430"/>
      <c r="AT214" s="430"/>
      <c r="AU214" s="329"/>
      <c r="AV214" s="152"/>
      <c r="AW214" s="152"/>
      <c r="AX214" s="152"/>
      <c r="AY214" s="152"/>
    </row>
    <row r="215" spans="1:51">
      <c r="A215" s="31" t="s">
        <v>100</v>
      </c>
      <c r="B215" s="32">
        <v>35</v>
      </c>
      <c r="C215" s="32" t="s">
        <v>42</v>
      </c>
      <c r="D215" s="259">
        <v>9</v>
      </c>
      <c r="E215" s="35">
        <v>3</v>
      </c>
      <c r="F215" s="292">
        <v>1190</v>
      </c>
      <c r="G215" s="36">
        <v>1190</v>
      </c>
      <c r="H215" s="33">
        <v>64</v>
      </c>
      <c r="I215" s="471">
        <v>1</v>
      </c>
      <c r="J215" s="379">
        <f>ROUND(G215*(1+'29_01_H_2020'!$O$14),2)</f>
        <v>1492.14</v>
      </c>
      <c r="K215" s="151">
        <f t="shared" si="120"/>
        <v>16.25</v>
      </c>
      <c r="L215" s="151">
        <f>ROUND(H215*(1+'29_01_H_2020'!$O$14),2)</f>
        <v>80.25</v>
      </c>
      <c r="M215" s="151">
        <f t="shared" si="121"/>
        <v>318.3900000000001</v>
      </c>
      <c r="N215" s="151">
        <f t="shared" si="122"/>
        <v>318.3900000000001</v>
      </c>
      <c r="O215" s="151">
        <f t="shared" si="118"/>
        <v>3820.6800000000012</v>
      </c>
      <c r="P215" s="151">
        <f>ROUND(O215*'29_01_H_2020'!$O$17,2)</f>
        <v>901.3</v>
      </c>
      <c r="Q215" s="380">
        <f t="shared" si="123"/>
        <v>4721.9800000000014</v>
      </c>
      <c r="R215" s="329"/>
      <c r="S215" s="431"/>
      <c r="T215" s="153"/>
      <c r="U215" s="153"/>
      <c r="V215" s="152"/>
      <c r="W215" s="152"/>
      <c r="X215" s="430"/>
      <c r="Y215" s="430"/>
      <c r="Z215" s="430"/>
      <c r="AA215" s="430"/>
      <c r="AB215" s="430"/>
      <c r="AC215" s="430"/>
      <c r="AD215" s="430"/>
      <c r="AE215" s="430"/>
      <c r="AF215" s="430"/>
      <c r="AG215" s="430"/>
      <c r="AH215" s="329"/>
      <c r="AI215" s="152"/>
      <c r="AJ215" s="152"/>
      <c r="AK215" s="430"/>
      <c r="AL215" s="430"/>
      <c r="AM215" s="430"/>
      <c r="AN215" s="430"/>
      <c r="AO215" s="430"/>
      <c r="AP215" s="430"/>
      <c r="AQ215" s="430"/>
      <c r="AR215" s="430"/>
      <c r="AS215" s="430"/>
      <c r="AT215" s="430"/>
      <c r="AU215" s="329"/>
      <c r="AV215" s="152"/>
      <c r="AW215" s="152"/>
      <c r="AX215" s="152"/>
      <c r="AY215" s="152"/>
    </row>
    <row r="216" spans="1:51">
      <c r="A216" s="31" t="s">
        <v>100</v>
      </c>
      <c r="B216" s="32">
        <v>35</v>
      </c>
      <c r="C216" s="32" t="s">
        <v>42</v>
      </c>
      <c r="D216" s="259">
        <v>9</v>
      </c>
      <c r="E216" s="35">
        <v>3</v>
      </c>
      <c r="F216" s="292">
        <v>1190</v>
      </c>
      <c r="G216" s="36">
        <v>1190</v>
      </c>
      <c r="H216" s="33"/>
      <c r="I216" s="471">
        <v>1</v>
      </c>
      <c r="J216" s="379">
        <f>ROUND(G216*(1+'29_01_H_2020'!$O$14),2)</f>
        <v>1492.14</v>
      </c>
      <c r="K216" s="151">
        <f t="shared" si="120"/>
        <v>0</v>
      </c>
      <c r="L216" s="151">
        <f>ROUND(H216*(1+'29_01_H_2020'!$O$14),2)</f>
        <v>0</v>
      </c>
      <c r="M216" s="151">
        <f t="shared" si="121"/>
        <v>302.1400000000001</v>
      </c>
      <c r="N216" s="151">
        <f t="shared" si="122"/>
        <v>302.1400000000001</v>
      </c>
      <c r="O216" s="151">
        <f t="shared" si="118"/>
        <v>3625.6800000000012</v>
      </c>
      <c r="P216" s="151">
        <f>ROUND(O216*'29_01_H_2020'!$O$17,2)</f>
        <v>855.3</v>
      </c>
      <c r="Q216" s="380">
        <f t="shared" si="123"/>
        <v>4480.9800000000014</v>
      </c>
      <c r="R216" s="329"/>
      <c r="S216" s="431"/>
      <c r="T216" s="153"/>
      <c r="U216" s="153"/>
      <c r="V216" s="152"/>
      <c r="W216" s="152"/>
      <c r="X216" s="430"/>
      <c r="Y216" s="430"/>
      <c r="Z216" s="430"/>
      <c r="AA216" s="430"/>
      <c r="AB216" s="430"/>
      <c r="AC216" s="430"/>
      <c r="AD216" s="430"/>
      <c r="AE216" s="430"/>
      <c r="AF216" s="430"/>
      <c r="AG216" s="430"/>
      <c r="AH216" s="329"/>
      <c r="AI216" s="152"/>
      <c r="AJ216" s="152"/>
      <c r="AK216" s="430"/>
      <c r="AL216" s="430"/>
      <c r="AM216" s="430"/>
      <c r="AN216" s="430"/>
      <c r="AO216" s="430"/>
      <c r="AP216" s="430"/>
      <c r="AQ216" s="430"/>
      <c r="AR216" s="430"/>
      <c r="AS216" s="430"/>
      <c r="AT216" s="430"/>
      <c r="AU216" s="329"/>
      <c r="AV216" s="152"/>
      <c r="AW216" s="152"/>
      <c r="AX216" s="152"/>
      <c r="AY216" s="152"/>
    </row>
    <row r="217" spans="1:51">
      <c r="A217" s="31" t="s">
        <v>100</v>
      </c>
      <c r="B217" s="32">
        <v>35</v>
      </c>
      <c r="C217" s="32" t="s">
        <v>42</v>
      </c>
      <c r="D217" s="259">
        <v>9</v>
      </c>
      <c r="E217" s="35">
        <v>3</v>
      </c>
      <c r="F217" s="292">
        <v>1190</v>
      </c>
      <c r="G217" s="36">
        <v>1140</v>
      </c>
      <c r="H217" s="33"/>
      <c r="I217" s="471">
        <v>2</v>
      </c>
      <c r="J217" s="379">
        <f>ROUND(G217*(1+'29_01_H_2020'!$O$14),2)</f>
        <v>1429.45</v>
      </c>
      <c r="K217" s="151">
        <f t="shared" si="120"/>
        <v>0</v>
      </c>
      <c r="L217" s="151">
        <f>ROUND(H217*(1+'29_01_H_2020'!$O$14),2)</f>
        <v>0</v>
      </c>
      <c r="M217" s="151">
        <f t="shared" si="121"/>
        <v>289.45000000000005</v>
      </c>
      <c r="N217" s="151">
        <f t="shared" si="122"/>
        <v>578.90000000000009</v>
      </c>
      <c r="O217" s="151">
        <f t="shared" si="118"/>
        <v>6946.8000000000011</v>
      </c>
      <c r="P217" s="151">
        <f>ROUND(O217*'29_01_H_2020'!$O$17,2)</f>
        <v>1638.75</v>
      </c>
      <c r="Q217" s="380">
        <f t="shared" si="123"/>
        <v>8585.5500000000011</v>
      </c>
      <c r="R217" s="329"/>
      <c r="S217" s="431"/>
      <c r="T217" s="153"/>
      <c r="U217" s="153"/>
      <c r="V217" s="152"/>
      <c r="W217" s="152"/>
      <c r="X217" s="430"/>
      <c r="Y217" s="430"/>
      <c r="Z217" s="430"/>
      <c r="AA217" s="430"/>
      <c r="AB217" s="430"/>
      <c r="AC217" s="430"/>
      <c r="AD217" s="430"/>
      <c r="AE217" s="430"/>
      <c r="AF217" s="430"/>
      <c r="AG217" s="430"/>
      <c r="AH217" s="329"/>
      <c r="AI217" s="152"/>
      <c r="AJ217" s="152"/>
      <c r="AK217" s="430"/>
      <c r="AL217" s="430"/>
      <c r="AM217" s="430"/>
      <c r="AN217" s="430"/>
      <c r="AO217" s="430"/>
      <c r="AP217" s="430"/>
      <c r="AQ217" s="430"/>
      <c r="AR217" s="430"/>
      <c r="AS217" s="430"/>
      <c r="AT217" s="430"/>
      <c r="AU217" s="329"/>
      <c r="AV217" s="152"/>
      <c r="AW217" s="152"/>
      <c r="AX217" s="152"/>
      <c r="AY217" s="152"/>
    </row>
    <row r="218" spans="1:51">
      <c r="A218" s="31" t="s">
        <v>100</v>
      </c>
      <c r="B218" s="32">
        <v>35</v>
      </c>
      <c r="C218" s="32" t="s">
        <v>42</v>
      </c>
      <c r="D218" s="259">
        <v>9</v>
      </c>
      <c r="E218" s="35">
        <v>3</v>
      </c>
      <c r="F218" s="292">
        <v>1190</v>
      </c>
      <c r="G218" s="36">
        <v>950</v>
      </c>
      <c r="H218" s="33"/>
      <c r="I218" s="471">
        <v>1</v>
      </c>
      <c r="J218" s="379">
        <f>ROUND(G218*(1+'29_01_H_2020'!$O$14),2)</f>
        <v>1191.21</v>
      </c>
      <c r="K218" s="151">
        <f t="shared" si="120"/>
        <v>0</v>
      </c>
      <c r="L218" s="151">
        <f>ROUND(H218*(1+'29_01_H_2020'!$O$14),2)</f>
        <v>0</v>
      </c>
      <c r="M218" s="151">
        <f t="shared" si="121"/>
        <v>241.21000000000004</v>
      </c>
      <c r="N218" s="151">
        <f t="shared" si="122"/>
        <v>241.21000000000004</v>
      </c>
      <c r="O218" s="151">
        <f t="shared" si="118"/>
        <v>2894.5200000000004</v>
      </c>
      <c r="P218" s="151">
        <f>ROUND(O218*'29_01_H_2020'!$O$17,2)</f>
        <v>682.82</v>
      </c>
      <c r="Q218" s="380">
        <f t="shared" si="123"/>
        <v>3577.3400000000006</v>
      </c>
      <c r="R218" s="329"/>
      <c r="S218" s="431"/>
      <c r="T218" s="153"/>
      <c r="U218" s="153"/>
      <c r="V218" s="152"/>
      <c r="W218" s="152"/>
      <c r="X218" s="430"/>
      <c r="Y218" s="430"/>
      <c r="Z218" s="430"/>
      <c r="AA218" s="430"/>
      <c r="AB218" s="430"/>
      <c r="AC218" s="430"/>
      <c r="AD218" s="430"/>
      <c r="AE218" s="430"/>
      <c r="AF218" s="430"/>
      <c r="AG218" s="430"/>
      <c r="AH218" s="329"/>
      <c r="AI218" s="152"/>
      <c r="AJ218" s="152"/>
      <c r="AK218" s="430"/>
      <c r="AL218" s="430"/>
      <c r="AM218" s="430"/>
      <c r="AN218" s="430"/>
      <c r="AO218" s="430"/>
      <c r="AP218" s="430"/>
      <c r="AQ218" s="430"/>
      <c r="AR218" s="430"/>
      <c r="AS218" s="430"/>
      <c r="AT218" s="430"/>
      <c r="AU218" s="329"/>
      <c r="AV218" s="152"/>
      <c r="AW218" s="152"/>
      <c r="AX218" s="152"/>
      <c r="AY218" s="152"/>
    </row>
    <row r="219" spans="1:51">
      <c r="A219" s="31" t="s">
        <v>83</v>
      </c>
      <c r="B219" s="32">
        <v>18.600000000000001</v>
      </c>
      <c r="C219" s="32" t="s">
        <v>101</v>
      </c>
      <c r="D219" s="259">
        <v>9</v>
      </c>
      <c r="E219" s="35">
        <v>3</v>
      </c>
      <c r="F219" s="292">
        <v>1190</v>
      </c>
      <c r="G219" s="36">
        <v>1190</v>
      </c>
      <c r="H219" s="33">
        <v>119</v>
      </c>
      <c r="I219" s="471">
        <v>2</v>
      </c>
      <c r="J219" s="379">
        <f>ROUND(G219*(1+'29_01_H_2020'!$O$14),2)</f>
        <v>1492.14</v>
      </c>
      <c r="K219" s="151">
        <f t="shared" si="120"/>
        <v>30.210000000000008</v>
      </c>
      <c r="L219" s="151">
        <f>ROUND(H219*(1+'29_01_H_2020'!$O$14),2)</f>
        <v>149.21</v>
      </c>
      <c r="M219" s="151">
        <f t="shared" si="121"/>
        <v>332.35000000000014</v>
      </c>
      <c r="N219" s="151">
        <f t="shared" si="122"/>
        <v>664.70000000000027</v>
      </c>
      <c r="O219" s="151">
        <f t="shared" si="118"/>
        <v>7976.4000000000033</v>
      </c>
      <c r="P219" s="151">
        <f>ROUND(O219*'29_01_H_2020'!$O$17,2)</f>
        <v>1881.63</v>
      </c>
      <c r="Q219" s="380">
        <f t="shared" si="123"/>
        <v>9858.0300000000025</v>
      </c>
      <c r="R219" s="329"/>
      <c r="S219" s="431"/>
      <c r="T219" s="153"/>
      <c r="U219" s="153"/>
      <c r="V219" s="152"/>
      <c r="W219" s="152"/>
      <c r="X219" s="430"/>
      <c r="Y219" s="430"/>
      <c r="Z219" s="430"/>
      <c r="AA219" s="430"/>
      <c r="AB219" s="430"/>
      <c r="AC219" s="430"/>
      <c r="AD219" s="430"/>
      <c r="AE219" s="430"/>
      <c r="AF219" s="430"/>
      <c r="AG219" s="430"/>
      <c r="AH219" s="329"/>
      <c r="AI219" s="152"/>
      <c r="AJ219" s="152"/>
      <c r="AK219" s="430"/>
      <c r="AL219" s="430"/>
      <c r="AM219" s="430"/>
      <c r="AN219" s="430"/>
      <c r="AO219" s="430"/>
      <c r="AP219" s="430"/>
      <c r="AQ219" s="430"/>
      <c r="AR219" s="430"/>
      <c r="AS219" s="430"/>
      <c r="AT219" s="430"/>
      <c r="AU219" s="329"/>
      <c r="AV219" s="152"/>
      <c r="AW219" s="152"/>
      <c r="AX219" s="152"/>
      <c r="AY219" s="152"/>
    </row>
    <row r="220" spans="1:51">
      <c r="A220" s="31" t="s">
        <v>83</v>
      </c>
      <c r="B220" s="32">
        <v>18.600000000000001</v>
      </c>
      <c r="C220" s="32" t="s">
        <v>101</v>
      </c>
      <c r="D220" s="259">
        <v>9</v>
      </c>
      <c r="E220" s="35">
        <v>2</v>
      </c>
      <c r="F220" s="292">
        <v>1015</v>
      </c>
      <c r="G220" s="36">
        <v>1015</v>
      </c>
      <c r="H220" s="33"/>
      <c r="I220" s="471">
        <v>2</v>
      </c>
      <c r="J220" s="379">
        <f>ROUND(G220*(1+'29_01_H_2020'!$O$14),2)</f>
        <v>1272.71</v>
      </c>
      <c r="K220" s="151">
        <f t="shared" si="120"/>
        <v>0</v>
      </c>
      <c r="L220" s="151">
        <f>ROUND(H220*(1+'29_01_H_2020'!$O$14),2)</f>
        <v>0</v>
      </c>
      <c r="M220" s="151">
        <f t="shared" si="121"/>
        <v>257.71000000000004</v>
      </c>
      <c r="N220" s="151">
        <f t="shared" si="122"/>
        <v>515.42000000000007</v>
      </c>
      <c r="O220" s="151">
        <f t="shared" si="118"/>
        <v>6185.0400000000009</v>
      </c>
      <c r="P220" s="151">
        <f>ROUND(O220*'29_01_H_2020'!$O$17,2)</f>
        <v>1459.05</v>
      </c>
      <c r="Q220" s="380">
        <f t="shared" si="123"/>
        <v>7644.0900000000011</v>
      </c>
      <c r="R220" s="329"/>
      <c r="S220" s="431"/>
      <c r="T220" s="153"/>
      <c r="U220" s="153"/>
      <c r="V220" s="152"/>
      <c r="W220" s="152"/>
      <c r="X220" s="430"/>
      <c r="Y220" s="430"/>
      <c r="Z220" s="430"/>
      <c r="AA220" s="430"/>
      <c r="AB220" s="430"/>
      <c r="AC220" s="430"/>
      <c r="AD220" s="430"/>
      <c r="AE220" s="430"/>
      <c r="AF220" s="430"/>
      <c r="AG220" s="430"/>
      <c r="AH220" s="329"/>
      <c r="AI220" s="152"/>
      <c r="AJ220" s="152"/>
      <c r="AK220" s="430"/>
      <c r="AL220" s="430"/>
      <c r="AM220" s="430"/>
      <c r="AN220" s="430"/>
      <c r="AO220" s="430"/>
      <c r="AP220" s="430"/>
      <c r="AQ220" s="430"/>
      <c r="AR220" s="430"/>
      <c r="AS220" s="430"/>
      <c r="AT220" s="430"/>
      <c r="AU220" s="329"/>
      <c r="AV220" s="152"/>
      <c r="AW220" s="152"/>
      <c r="AX220" s="152"/>
      <c r="AY220" s="152"/>
    </row>
    <row r="221" spans="1:51">
      <c r="A221" s="31" t="s">
        <v>102</v>
      </c>
      <c r="B221" s="32">
        <v>35</v>
      </c>
      <c r="C221" s="32" t="s">
        <v>42</v>
      </c>
      <c r="D221" s="259">
        <v>9</v>
      </c>
      <c r="E221" s="35">
        <v>3</v>
      </c>
      <c r="F221" s="292">
        <v>1190</v>
      </c>
      <c r="G221" s="36">
        <v>1190</v>
      </c>
      <c r="H221" s="33"/>
      <c r="I221" s="471">
        <v>1</v>
      </c>
      <c r="J221" s="379">
        <f>ROUND(G221*(1+'29_01_H_2020'!$O$14),2)</f>
        <v>1492.14</v>
      </c>
      <c r="K221" s="151">
        <f t="shared" si="120"/>
        <v>0</v>
      </c>
      <c r="L221" s="151">
        <f>ROUND(H221*(1+'29_01_H_2020'!$O$14),2)</f>
        <v>0</v>
      </c>
      <c r="M221" s="151">
        <f t="shared" si="121"/>
        <v>302.1400000000001</v>
      </c>
      <c r="N221" s="151">
        <f t="shared" si="122"/>
        <v>302.1400000000001</v>
      </c>
      <c r="O221" s="151">
        <f t="shared" si="118"/>
        <v>3625.6800000000012</v>
      </c>
      <c r="P221" s="151">
        <f>ROUND(O221*'29_01_H_2020'!$O$17,2)</f>
        <v>855.3</v>
      </c>
      <c r="Q221" s="380">
        <f t="shared" si="123"/>
        <v>4480.9800000000014</v>
      </c>
      <c r="R221" s="329"/>
      <c r="S221" s="431"/>
      <c r="T221" s="153"/>
      <c r="U221" s="153"/>
      <c r="V221" s="152"/>
      <c r="W221" s="152"/>
      <c r="X221" s="430"/>
      <c r="Y221" s="430"/>
      <c r="Z221" s="430"/>
      <c r="AA221" s="430"/>
      <c r="AB221" s="430"/>
      <c r="AC221" s="430"/>
      <c r="AD221" s="430"/>
      <c r="AE221" s="430"/>
      <c r="AF221" s="430"/>
      <c r="AG221" s="430"/>
      <c r="AH221" s="329"/>
      <c r="AI221" s="152"/>
      <c r="AJ221" s="152"/>
      <c r="AK221" s="430"/>
      <c r="AL221" s="430"/>
      <c r="AM221" s="430"/>
      <c r="AN221" s="430"/>
      <c r="AO221" s="430"/>
      <c r="AP221" s="430"/>
      <c r="AQ221" s="430"/>
      <c r="AR221" s="430"/>
      <c r="AS221" s="430"/>
      <c r="AT221" s="430"/>
      <c r="AU221" s="329"/>
      <c r="AV221" s="152"/>
      <c r="AW221" s="152"/>
      <c r="AX221" s="152"/>
      <c r="AY221" s="152"/>
    </row>
    <row r="222" spans="1:51">
      <c r="A222" s="31" t="s">
        <v>103</v>
      </c>
      <c r="B222" s="32">
        <v>18.600000000000001</v>
      </c>
      <c r="C222" s="32" t="s">
        <v>49</v>
      </c>
      <c r="D222" s="259">
        <v>6</v>
      </c>
      <c r="E222" s="35">
        <v>3</v>
      </c>
      <c r="F222" s="292">
        <v>899</v>
      </c>
      <c r="G222" s="36">
        <v>899</v>
      </c>
      <c r="H222" s="33">
        <v>89.9</v>
      </c>
      <c r="I222" s="471">
        <v>1</v>
      </c>
      <c r="J222" s="379">
        <f>ROUND(G222*(1+'29_01_H_2020'!$O$14),2)</f>
        <v>1127.26</v>
      </c>
      <c r="K222" s="151">
        <f t="shared" si="120"/>
        <v>22.83</v>
      </c>
      <c r="L222" s="151">
        <f>ROUND(H222*(1+'29_01_H_2020'!$O$14),2)</f>
        <v>112.73</v>
      </c>
      <c r="M222" s="151">
        <f t="shared" si="121"/>
        <v>251.09000000000003</v>
      </c>
      <c r="N222" s="151">
        <f t="shared" si="122"/>
        <v>251.09000000000003</v>
      </c>
      <c r="O222" s="151">
        <f t="shared" si="118"/>
        <v>3013.0800000000004</v>
      </c>
      <c r="P222" s="151">
        <f>ROUND(O222*'29_01_H_2020'!$O$17,2)</f>
        <v>710.79</v>
      </c>
      <c r="Q222" s="380">
        <f t="shared" si="123"/>
        <v>3723.8700000000003</v>
      </c>
      <c r="R222" s="329"/>
      <c r="S222" s="431"/>
      <c r="T222" s="153"/>
      <c r="U222" s="153"/>
      <c r="V222" s="152"/>
      <c r="W222" s="152"/>
      <c r="X222" s="430"/>
      <c r="Y222" s="430"/>
      <c r="Z222" s="430"/>
      <c r="AA222" s="430"/>
      <c r="AB222" s="430"/>
      <c r="AC222" s="430"/>
      <c r="AD222" s="430"/>
      <c r="AE222" s="430"/>
      <c r="AF222" s="430"/>
      <c r="AG222" s="430"/>
      <c r="AH222" s="329"/>
      <c r="AI222" s="152"/>
      <c r="AJ222" s="152"/>
      <c r="AK222" s="430"/>
      <c r="AL222" s="430"/>
      <c r="AM222" s="430"/>
      <c r="AN222" s="430"/>
      <c r="AO222" s="430"/>
      <c r="AP222" s="430"/>
      <c r="AQ222" s="430"/>
      <c r="AR222" s="430"/>
      <c r="AS222" s="430"/>
      <c r="AT222" s="430"/>
      <c r="AU222" s="329"/>
      <c r="AV222" s="152"/>
      <c r="AW222" s="152"/>
      <c r="AX222" s="152"/>
      <c r="AY222" s="152"/>
    </row>
    <row r="223" spans="1:51">
      <c r="A223" s="31" t="s">
        <v>100</v>
      </c>
      <c r="B223" s="32">
        <v>35</v>
      </c>
      <c r="C223" s="32" t="s">
        <v>42</v>
      </c>
      <c r="D223" s="259">
        <v>9</v>
      </c>
      <c r="E223" s="35">
        <v>3</v>
      </c>
      <c r="F223" s="292">
        <v>1190</v>
      </c>
      <c r="G223" s="36">
        <v>1190</v>
      </c>
      <c r="H223" s="33">
        <v>64</v>
      </c>
      <c r="I223" s="471">
        <v>8</v>
      </c>
      <c r="J223" s="379">
        <f>ROUND(G223*(1+'29_01_H_2020'!$O$14),2)</f>
        <v>1492.14</v>
      </c>
      <c r="K223" s="151">
        <f t="shared" si="120"/>
        <v>16.25</v>
      </c>
      <c r="L223" s="151">
        <f>ROUND(H223*(1+'29_01_H_2020'!$O$14),2)</f>
        <v>80.25</v>
      </c>
      <c r="M223" s="151">
        <f t="shared" si="121"/>
        <v>318.3900000000001</v>
      </c>
      <c r="N223" s="151">
        <f t="shared" si="122"/>
        <v>2547.1200000000008</v>
      </c>
      <c r="O223" s="151">
        <f t="shared" si="118"/>
        <v>30565.44000000001</v>
      </c>
      <c r="P223" s="151">
        <f>ROUND(O223*'29_01_H_2020'!$O$17,2)</f>
        <v>7210.39</v>
      </c>
      <c r="Q223" s="380">
        <f t="shared" si="123"/>
        <v>37775.830000000009</v>
      </c>
      <c r="R223" s="329"/>
      <c r="S223" s="431"/>
      <c r="T223" s="153"/>
      <c r="U223" s="153"/>
      <c r="V223" s="152"/>
      <c r="W223" s="152"/>
      <c r="X223" s="430"/>
      <c r="Y223" s="430"/>
      <c r="Z223" s="430"/>
      <c r="AA223" s="430"/>
      <c r="AB223" s="430"/>
      <c r="AC223" s="430"/>
      <c r="AD223" s="430"/>
      <c r="AE223" s="430"/>
      <c r="AF223" s="430"/>
      <c r="AG223" s="430"/>
      <c r="AH223" s="329"/>
      <c r="AI223" s="152"/>
      <c r="AJ223" s="152"/>
      <c r="AK223" s="430"/>
      <c r="AL223" s="430"/>
      <c r="AM223" s="430"/>
      <c r="AN223" s="430"/>
      <c r="AO223" s="430"/>
      <c r="AP223" s="430"/>
      <c r="AQ223" s="430"/>
      <c r="AR223" s="430"/>
      <c r="AS223" s="430"/>
      <c r="AT223" s="430"/>
      <c r="AU223" s="329"/>
      <c r="AV223" s="152"/>
      <c r="AW223" s="152"/>
      <c r="AX223" s="152"/>
      <c r="AY223" s="152"/>
    </row>
    <row r="224" spans="1:51">
      <c r="A224" s="31" t="s">
        <v>100</v>
      </c>
      <c r="B224" s="32">
        <v>35</v>
      </c>
      <c r="C224" s="32" t="s">
        <v>42</v>
      </c>
      <c r="D224" s="259">
        <v>9</v>
      </c>
      <c r="E224" s="35">
        <v>3</v>
      </c>
      <c r="F224" s="292">
        <v>1190</v>
      </c>
      <c r="G224" s="36">
        <v>1190</v>
      </c>
      <c r="H224" s="33"/>
      <c r="I224" s="471">
        <v>2</v>
      </c>
      <c r="J224" s="379">
        <f>ROUND(G224*(1+'29_01_H_2020'!$O$14),2)</f>
        <v>1492.14</v>
      </c>
      <c r="K224" s="151">
        <f t="shared" si="120"/>
        <v>0</v>
      </c>
      <c r="L224" s="151">
        <f>ROUND(H224*(1+'29_01_H_2020'!$O$14),2)</f>
        <v>0</v>
      </c>
      <c r="M224" s="151">
        <f t="shared" si="121"/>
        <v>302.1400000000001</v>
      </c>
      <c r="N224" s="151">
        <f t="shared" si="122"/>
        <v>604.2800000000002</v>
      </c>
      <c r="O224" s="151">
        <f t="shared" si="118"/>
        <v>7251.3600000000024</v>
      </c>
      <c r="P224" s="151">
        <f>ROUND(O224*'29_01_H_2020'!$O$17,2)</f>
        <v>1710.6</v>
      </c>
      <c r="Q224" s="380">
        <f t="shared" si="123"/>
        <v>8961.9600000000028</v>
      </c>
      <c r="R224" s="329"/>
      <c r="S224" s="431"/>
      <c r="T224" s="153"/>
      <c r="U224" s="153"/>
      <c r="V224" s="152"/>
      <c r="W224" s="152"/>
      <c r="X224" s="430"/>
      <c r="Y224" s="430"/>
      <c r="Z224" s="430"/>
      <c r="AA224" s="430"/>
      <c r="AB224" s="430"/>
      <c r="AC224" s="430"/>
      <c r="AD224" s="430"/>
      <c r="AE224" s="430"/>
      <c r="AF224" s="430"/>
      <c r="AG224" s="430"/>
      <c r="AH224" s="329"/>
      <c r="AI224" s="152"/>
      <c r="AJ224" s="152"/>
      <c r="AK224" s="430"/>
      <c r="AL224" s="430"/>
      <c r="AM224" s="430"/>
      <c r="AN224" s="430"/>
      <c r="AO224" s="430"/>
      <c r="AP224" s="430"/>
      <c r="AQ224" s="430"/>
      <c r="AR224" s="430"/>
      <c r="AS224" s="430"/>
      <c r="AT224" s="430"/>
      <c r="AU224" s="329"/>
      <c r="AV224" s="152"/>
      <c r="AW224" s="152"/>
      <c r="AX224" s="152"/>
      <c r="AY224" s="152"/>
    </row>
    <row r="225" spans="1:51">
      <c r="A225" s="31" t="s">
        <v>100</v>
      </c>
      <c r="B225" s="32">
        <v>35</v>
      </c>
      <c r="C225" s="32" t="s">
        <v>42</v>
      </c>
      <c r="D225" s="259">
        <v>9</v>
      </c>
      <c r="E225" s="35">
        <v>3</v>
      </c>
      <c r="F225" s="292">
        <v>1190</v>
      </c>
      <c r="G225" s="36">
        <v>1190</v>
      </c>
      <c r="H225" s="33">
        <v>49</v>
      </c>
      <c r="I225" s="471">
        <v>1</v>
      </c>
      <c r="J225" s="379">
        <f>ROUND(G225*(1+'29_01_H_2020'!$O$14),2)</f>
        <v>1492.14</v>
      </c>
      <c r="K225" s="151">
        <f t="shared" si="120"/>
        <v>12.439999999999998</v>
      </c>
      <c r="L225" s="151">
        <f>ROUND(H225*(1+'29_01_H_2020'!$O$14),2)</f>
        <v>61.44</v>
      </c>
      <c r="M225" s="151">
        <f t="shared" si="121"/>
        <v>314.58000000000015</v>
      </c>
      <c r="N225" s="151">
        <f t="shared" si="122"/>
        <v>314.58000000000015</v>
      </c>
      <c r="O225" s="151">
        <f t="shared" si="118"/>
        <v>3774.9600000000019</v>
      </c>
      <c r="P225" s="151">
        <f>ROUND(O225*'29_01_H_2020'!$O$17,2)</f>
        <v>890.51</v>
      </c>
      <c r="Q225" s="380">
        <f t="shared" si="123"/>
        <v>4665.4700000000021</v>
      </c>
      <c r="R225" s="329"/>
      <c r="S225" s="431"/>
      <c r="T225" s="153"/>
      <c r="U225" s="153"/>
      <c r="V225" s="152"/>
      <c r="W225" s="152"/>
      <c r="X225" s="430"/>
      <c r="Y225" s="430"/>
      <c r="Z225" s="430"/>
      <c r="AA225" s="430"/>
      <c r="AB225" s="430"/>
      <c r="AC225" s="430"/>
      <c r="AD225" s="430"/>
      <c r="AE225" s="430"/>
      <c r="AF225" s="430"/>
      <c r="AG225" s="430"/>
      <c r="AH225" s="329"/>
      <c r="AI225" s="152"/>
      <c r="AJ225" s="152"/>
      <c r="AK225" s="430"/>
      <c r="AL225" s="430"/>
      <c r="AM225" s="430"/>
      <c r="AN225" s="430"/>
      <c r="AO225" s="430"/>
      <c r="AP225" s="430"/>
      <c r="AQ225" s="430"/>
      <c r="AR225" s="430"/>
      <c r="AS225" s="430"/>
      <c r="AT225" s="430"/>
      <c r="AU225" s="329"/>
      <c r="AV225" s="152"/>
      <c r="AW225" s="152"/>
      <c r="AX225" s="152"/>
      <c r="AY225" s="152"/>
    </row>
    <row r="226" spans="1:51">
      <c r="A226" s="31" t="s">
        <v>100</v>
      </c>
      <c r="B226" s="32">
        <v>35</v>
      </c>
      <c r="C226" s="32" t="s">
        <v>42</v>
      </c>
      <c r="D226" s="259">
        <v>9</v>
      </c>
      <c r="E226" s="35">
        <v>3</v>
      </c>
      <c r="F226" s="292">
        <v>1190</v>
      </c>
      <c r="G226" s="36">
        <v>1190</v>
      </c>
      <c r="H226" s="33">
        <v>64</v>
      </c>
      <c r="I226" s="471">
        <v>1</v>
      </c>
      <c r="J226" s="379">
        <f>ROUND(G226*(1+'29_01_H_2020'!$O$14),2)</f>
        <v>1492.14</v>
      </c>
      <c r="K226" s="151">
        <f t="shared" si="120"/>
        <v>16.25</v>
      </c>
      <c r="L226" s="151">
        <f>ROUND(H226*(1+'29_01_H_2020'!$O$14),2)</f>
        <v>80.25</v>
      </c>
      <c r="M226" s="151">
        <f t="shared" si="121"/>
        <v>318.3900000000001</v>
      </c>
      <c r="N226" s="151">
        <f t="shared" si="122"/>
        <v>318.3900000000001</v>
      </c>
      <c r="O226" s="151">
        <f t="shared" si="118"/>
        <v>3820.6800000000012</v>
      </c>
      <c r="P226" s="151">
        <f>ROUND(O226*'29_01_H_2020'!$O$17,2)</f>
        <v>901.3</v>
      </c>
      <c r="Q226" s="380">
        <f t="shared" si="123"/>
        <v>4721.9800000000014</v>
      </c>
      <c r="R226" s="329"/>
      <c r="S226" s="431"/>
      <c r="T226" s="153"/>
      <c r="U226" s="153"/>
      <c r="V226" s="152"/>
      <c r="W226" s="152"/>
      <c r="X226" s="430"/>
      <c r="Y226" s="430"/>
      <c r="Z226" s="430"/>
      <c r="AA226" s="430"/>
      <c r="AB226" s="430"/>
      <c r="AC226" s="430"/>
      <c r="AD226" s="430"/>
      <c r="AE226" s="430"/>
      <c r="AF226" s="430"/>
      <c r="AG226" s="430"/>
      <c r="AH226" s="329"/>
      <c r="AI226" s="152"/>
      <c r="AJ226" s="152"/>
      <c r="AK226" s="430"/>
      <c r="AL226" s="430"/>
      <c r="AM226" s="430"/>
      <c r="AN226" s="430"/>
      <c r="AO226" s="430"/>
      <c r="AP226" s="430"/>
      <c r="AQ226" s="430"/>
      <c r="AR226" s="430"/>
      <c r="AS226" s="430"/>
      <c r="AT226" s="430"/>
      <c r="AU226" s="329"/>
      <c r="AV226" s="152"/>
      <c r="AW226" s="152"/>
      <c r="AX226" s="152"/>
      <c r="AY226" s="152"/>
    </row>
    <row r="227" spans="1:51">
      <c r="A227" s="31" t="s">
        <v>100</v>
      </c>
      <c r="B227" s="32">
        <v>35</v>
      </c>
      <c r="C227" s="32" t="s">
        <v>42</v>
      </c>
      <c r="D227" s="259">
        <v>9</v>
      </c>
      <c r="E227" s="35">
        <v>2</v>
      </c>
      <c r="F227" s="292">
        <v>1015</v>
      </c>
      <c r="G227" s="36">
        <v>1015</v>
      </c>
      <c r="H227" s="33"/>
      <c r="I227" s="471">
        <v>1</v>
      </c>
      <c r="J227" s="379">
        <f>ROUND(G227*(1+'29_01_H_2020'!$O$14),2)</f>
        <v>1272.71</v>
      </c>
      <c r="K227" s="151">
        <f t="shared" si="120"/>
        <v>0</v>
      </c>
      <c r="L227" s="151">
        <f>ROUND(H227*(1+'29_01_H_2020'!$O$14),2)</f>
        <v>0</v>
      </c>
      <c r="M227" s="151">
        <f t="shared" si="121"/>
        <v>257.71000000000004</v>
      </c>
      <c r="N227" s="151">
        <f t="shared" si="122"/>
        <v>257.71000000000004</v>
      </c>
      <c r="O227" s="151">
        <f t="shared" si="118"/>
        <v>3092.5200000000004</v>
      </c>
      <c r="P227" s="151">
        <f>ROUND(O227*'29_01_H_2020'!$O$17,2)</f>
        <v>729.53</v>
      </c>
      <c r="Q227" s="380">
        <f t="shared" si="123"/>
        <v>3822.05</v>
      </c>
      <c r="R227" s="329"/>
      <c r="S227" s="431"/>
      <c r="T227" s="153"/>
      <c r="U227" s="153"/>
      <c r="V227" s="152"/>
      <c r="W227" s="152"/>
      <c r="X227" s="430"/>
      <c r="Y227" s="430"/>
      <c r="Z227" s="430"/>
      <c r="AA227" s="430"/>
      <c r="AB227" s="430"/>
      <c r="AC227" s="430"/>
      <c r="AD227" s="430"/>
      <c r="AE227" s="430"/>
      <c r="AF227" s="430"/>
      <c r="AG227" s="430"/>
      <c r="AH227" s="329"/>
      <c r="AI227" s="152"/>
      <c r="AJ227" s="152"/>
      <c r="AK227" s="430"/>
      <c r="AL227" s="430"/>
      <c r="AM227" s="430"/>
      <c r="AN227" s="430"/>
      <c r="AO227" s="430"/>
      <c r="AP227" s="430"/>
      <c r="AQ227" s="430"/>
      <c r="AR227" s="430"/>
      <c r="AS227" s="430"/>
      <c r="AT227" s="430"/>
      <c r="AU227" s="329"/>
      <c r="AV227" s="152"/>
      <c r="AW227" s="152"/>
      <c r="AX227" s="152"/>
      <c r="AY227" s="152"/>
    </row>
    <row r="228" spans="1:51">
      <c r="A228" s="31" t="s">
        <v>102</v>
      </c>
      <c r="B228" s="32">
        <v>35</v>
      </c>
      <c r="C228" s="32" t="s">
        <v>35</v>
      </c>
      <c r="D228" s="259">
        <v>7</v>
      </c>
      <c r="E228" s="35">
        <v>3</v>
      </c>
      <c r="F228" s="292">
        <v>996</v>
      </c>
      <c r="G228" s="36">
        <v>996</v>
      </c>
      <c r="H228" s="33">
        <v>49</v>
      </c>
      <c r="I228" s="471">
        <v>9</v>
      </c>
      <c r="J228" s="379">
        <f>ROUND(G228*(1+'29_01_H_2020'!$O$14),2)</f>
        <v>1248.8800000000001</v>
      </c>
      <c r="K228" s="151">
        <f t="shared" si="120"/>
        <v>12.439999999999998</v>
      </c>
      <c r="L228" s="151">
        <f>ROUND(H228*(1+'29_01_H_2020'!$O$14),2)</f>
        <v>61.44</v>
      </c>
      <c r="M228" s="151">
        <f t="shared" si="121"/>
        <v>265.32000000000016</v>
      </c>
      <c r="N228" s="151">
        <f t="shared" si="122"/>
        <v>2387.8800000000015</v>
      </c>
      <c r="O228" s="151">
        <f t="shared" si="118"/>
        <v>28654.560000000019</v>
      </c>
      <c r="P228" s="151">
        <f>ROUND(O228*'29_01_H_2020'!$O$17,2)</f>
        <v>6759.61</v>
      </c>
      <c r="Q228" s="380">
        <f t="shared" si="123"/>
        <v>35414.17000000002</v>
      </c>
      <c r="R228" s="329"/>
      <c r="S228" s="431"/>
      <c r="T228" s="153"/>
      <c r="U228" s="153"/>
      <c r="V228" s="152"/>
      <c r="W228" s="152"/>
      <c r="X228" s="430"/>
      <c r="Y228" s="430"/>
      <c r="Z228" s="430"/>
      <c r="AA228" s="430"/>
      <c r="AB228" s="430"/>
      <c r="AC228" s="430"/>
      <c r="AD228" s="430"/>
      <c r="AE228" s="430"/>
      <c r="AF228" s="430"/>
      <c r="AG228" s="430"/>
      <c r="AH228" s="329"/>
      <c r="AI228" s="152"/>
      <c r="AJ228" s="152"/>
      <c r="AK228" s="430"/>
      <c r="AL228" s="430"/>
      <c r="AM228" s="430"/>
      <c r="AN228" s="430"/>
      <c r="AO228" s="430"/>
      <c r="AP228" s="430"/>
      <c r="AQ228" s="430"/>
      <c r="AR228" s="430"/>
      <c r="AS228" s="430"/>
      <c r="AT228" s="430"/>
      <c r="AU228" s="329"/>
      <c r="AV228" s="152"/>
      <c r="AW228" s="152"/>
      <c r="AX228" s="152"/>
      <c r="AY228" s="152"/>
    </row>
    <row r="229" spans="1:51">
      <c r="A229" s="31" t="s">
        <v>102</v>
      </c>
      <c r="B229" s="32">
        <v>35</v>
      </c>
      <c r="C229" s="32" t="s">
        <v>35</v>
      </c>
      <c r="D229" s="259">
        <v>7</v>
      </c>
      <c r="E229" s="35">
        <v>3</v>
      </c>
      <c r="F229" s="292">
        <v>996</v>
      </c>
      <c r="G229" s="36">
        <v>996</v>
      </c>
      <c r="H229" s="33"/>
      <c r="I229" s="471">
        <v>1</v>
      </c>
      <c r="J229" s="379">
        <f>ROUND(G229*(1+'29_01_H_2020'!$O$14),2)</f>
        <v>1248.8800000000001</v>
      </c>
      <c r="K229" s="151">
        <f t="shared" si="120"/>
        <v>0</v>
      </c>
      <c r="L229" s="151">
        <f>ROUND(H229*(1+'29_01_H_2020'!$O$14),2)</f>
        <v>0</v>
      </c>
      <c r="M229" s="151">
        <f t="shared" si="121"/>
        <v>252.88000000000011</v>
      </c>
      <c r="N229" s="151">
        <f t="shared" si="122"/>
        <v>252.88000000000011</v>
      </c>
      <c r="O229" s="151">
        <f t="shared" si="118"/>
        <v>3034.5600000000013</v>
      </c>
      <c r="P229" s="151">
        <f>ROUND(O229*'29_01_H_2020'!$O$17,2)</f>
        <v>715.85</v>
      </c>
      <c r="Q229" s="380">
        <f t="shared" si="123"/>
        <v>3750.4100000000012</v>
      </c>
      <c r="R229" s="329"/>
      <c r="S229" s="431"/>
      <c r="T229" s="153"/>
      <c r="U229" s="153"/>
      <c r="V229" s="152"/>
      <c r="W229" s="152"/>
      <c r="X229" s="430"/>
      <c r="Y229" s="430"/>
      <c r="Z229" s="430"/>
      <c r="AA229" s="430"/>
      <c r="AB229" s="430"/>
      <c r="AC229" s="430"/>
      <c r="AD229" s="430"/>
      <c r="AE229" s="430"/>
      <c r="AF229" s="430"/>
      <c r="AG229" s="430"/>
      <c r="AH229" s="329"/>
      <c r="AI229" s="152"/>
      <c r="AJ229" s="152"/>
      <c r="AK229" s="430"/>
      <c r="AL229" s="430"/>
      <c r="AM229" s="430"/>
      <c r="AN229" s="430"/>
      <c r="AO229" s="430"/>
      <c r="AP229" s="430"/>
      <c r="AQ229" s="430"/>
      <c r="AR229" s="430"/>
      <c r="AS229" s="430"/>
      <c r="AT229" s="430"/>
      <c r="AU229" s="329"/>
      <c r="AV229" s="152"/>
      <c r="AW229" s="152"/>
      <c r="AX229" s="152"/>
      <c r="AY229" s="152"/>
    </row>
    <row r="230" spans="1:51">
      <c r="A230" s="31" t="s">
        <v>102</v>
      </c>
      <c r="B230" s="32">
        <v>35</v>
      </c>
      <c r="C230" s="32" t="s">
        <v>35</v>
      </c>
      <c r="D230" s="259">
        <v>7</v>
      </c>
      <c r="E230" s="35">
        <v>1</v>
      </c>
      <c r="F230" s="292">
        <v>675</v>
      </c>
      <c r="G230" s="36">
        <v>675</v>
      </c>
      <c r="H230" s="33"/>
      <c r="I230" s="471">
        <v>2</v>
      </c>
      <c r="J230" s="379">
        <f>ROUND(G230*(1+'29_01_H_2020'!$O$14),2)</f>
        <v>846.38</v>
      </c>
      <c r="K230" s="151">
        <f t="shared" si="120"/>
        <v>0</v>
      </c>
      <c r="L230" s="151">
        <f>ROUND(H230*(1+'29_01_H_2020'!$O$14),2)</f>
        <v>0</v>
      </c>
      <c r="M230" s="151">
        <f t="shared" si="121"/>
        <v>171.38</v>
      </c>
      <c r="N230" s="151">
        <f t="shared" si="122"/>
        <v>342.76</v>
      </c>
      <c r="O230" s="151">
        <f t="shared" si="118"/>
        <v>4113.12</v>
      </c>
      <c r="P230" s="151">
        <f>ROUND(O230*'29_01_H_2020'!$O$17,2)</f>
        <v>970.29</v>
      </c>
      <c r="Q230" s="380">
        <f t="shared" si="123"/>
        <v>5083.41</v>
      </c>
      <c r="R230" s="329"/>
      <c r="S230" s="431"/>
      <c r="T230" s="153"/>
      <c r="U230" s="153"/>
      <c r="V230" s="152"/>
      <c r="W230" s="152"/>
      <c r="X230" s="430"/>
      <c r="Y230" s="430"/>
      <c r="Z230" s="430"/>
      <c r="AA230" s="430"/>
      <c r="AB230" s="430"/>
      <c r="AC230" s="430"/>
      <c r="AD230" s="430"/>
      <c r="AE230" s="430"/>
      <c r="AF230" s="430"/>
      <c r="AG230" s="430"/>
      <c r="AH230" s="329"/>
      <c r="AI230" s="152"/>
      <c r="AJ230" s="152"/>
      <c r="AK230" s="430"/>
      <c r="AL230" s="430"/>
      <c r="AM230" s="430"/>
      <c r="AN230" s="430"/>
      <c r="AO230" s="430"/>
      <c r="AP230" s="430"/>
      <c r="AQ230" s="430"/>
      <c r="AR230" s="430"/>
      <c r="AS230" s="430"/>
      <c r="AT230" s="430"/>
      <c r="AU230" s="329"/>
      <c r="AV230" s="152"/>
      <c r="AW230" s="152"/>
      <c r="AX230" s="152"/>
      <c r="AY230" s="152"/>
    </row>
    <row r="231" spans="1:51">
      <c r="A231" s="31" t="s">
        <v>105</v>
      </c>
      <c r="B231" s="32">
        <v>35</v>
      </c>
      <c r="C231" s="32" t="s">
        <v>42</v>
      </c>
      <c r="D231" s="259">
        <v>9</v>
      </c>
      <c r="E231" s="35">
        <v>3</v>
      </c>
      <c r="F231" s="292">
        <v>1190</v>
      </c>
      <c r="G231" s="36">
        <v>1190</v>
      </c>
      <c r="H231" s="33">
        <v>20</v>
      </c>
      <c r="I231" s="471">
        <v>7</v>
      </c>
      <c r="J231" s="379">
        <f>ROUND(G231*(1+'29_01_H_2020'!$O$14),2)</f>
        <v>1492.14</v>
      </c>
      <c r="K231" s="151">
        <f t="shared" si="120"/>
        <v>5.0799999999999983</v>
      </c>
      <c r="L231" s="151">
        <f>ROUND(H231*(1+'29_01_H_2020'!$O$14),2)</f>
        <v>25.08</v>
      </c>
      <c r="M231" s="151">
        <f t="shared" si="121"/>
        <v>307.22000000000003</v>
      </c>
      <c r="N231" s="151">
        <f t="shared" si="122"/>
        <v>2150.54</v>
      </c>
      <c r="O231" s="151">
        <f t="shared" si="118"/>
        <v>25806.48</v>
      </c>
      <c r="P231" s="151">
        <f>ROUND(O231*'29_01_H_2020'!$O$17,2)</f>
        <v>6087.75</v>
      </c>
      <c r="Q231" s="380">
        <f t="shared" si="123"/>
        <v>31894.23</v>
      </c>
      <c r="R231" s="329"/>
      <c r="S231" s="431"/>
      <c r="T231" s="153"/>
      <c r="U231" s="153"/>
      <c r="V231" s="152"/>
      <c r="W231" s="152"/>
      <c r="X231" s="430"/>
      <c r="Y231" s="430"/>
      <c r="Z231" s="430"/>
      <c r="AA231" s="430"/>
      <c r="AB231" s="430"/>
      <c r="AC231" s="430"/>
      <c r="AD231" s="430"/>
      <c r="AE231" s="430"/>
      <c r="AF231" s="430"/>
      <c r="AG231" s="430"/>
      <c r="AH231" s="329"/>
      <c r="AI231" s="152"/>
      <c r="AJ231" s="152"/>
      <c r="AK231" s="430"/>
      <c r="AL231" s="430"/>
      <c r="AM231" s="430"/>
      <c r="AN231" s="430"/>
      <c r="AO231" s="430"/>
      <c r="AP231" s="430"/>
      <c r="AQ231" s="430"/>
      <c r="AR231" s="430"/>
      <c r="AS231" s="430"/>
      <c r="AT231" s="430"/>
      <c r="AU231" s="329"/>
      <c r="AV231" s="152"/>
      <c r="AW231" s="152"/>
      <c r="AX231" s="152"/>
      <c r="AY231" s="152"/>
    </row>
    <row r="232" spans="1:51">
      <c r="A232" s="31" t="s">
        <v>106</v>
      </c>
      <c r="B232" s="32">
        <v>35</v>
      </c>
      <c r="C232" s="32" t="s">
        <v>42</v>
      </c>
      <c r="D232" s="259">
        <v>9</v>
      </c>
      <c r="E232" s="35">
        <v>3</v>
      </c>
      <c r="F232" s="292">
        <v>1190</v>
      </c>
      <c r="G232" s="36">
        <v>1155</v>
      </c>
      <c r="H232" s="33"/>
      <c r="I232" s="471">
        <v>9</v>
      </c>
      <c r="J232" s="379">
        <f>ROUND(G232*(1+'29_01_H_2020'!$O$14),2)</f>
        <v>1448.25</v>
      </c>
      <c r="K232" s="151">
        <f t="shared" si="120"/>
        <v>0</v>
      </c>
      <c r="L232" s="151">
        <f>ROUND(H232*(1+'29_01_H_2020'!$O$14),2)</f>
        <v>0</v>
      </c>
      <c r="M232" s="151">
        <f t="shared" si="121"/>
        <v>293.25</v>
      </c>
      <c r="N232" s="151">
        <f t="shared" si="122"/>
        <v>2639.25</v>
      </c>
      <c r="O232" s="151">
        <f t="shared" si="118"/>
        <v>31671</v>
      </c>
      <c r="P232" s="151">
        <f>ROUND(O232*'29_01_H_2020'!$O$17,2)</f>
        <v>7471.19</v>
      </c>
      <c r="Q232" s="380">
        <f t="shared" si="123"/>
        <v>39142.19</v>
      </c>
      <c r="R232" s="329"/>
      <c r="S232" s="431"/>
      <c r="T232" s="153"/>
      <c r="U232" s="153"/>
      <c r="V232" s="152"/>
      <c r="W232" s="152"/>
      <c r="X232" s="430"/>
      <c r="Y232" s="430"/>
      <c r="Z232" s="430"/>
      <c r="AA232" s="430"/>
      <c r="AB232" s="430"/>
      <c r="AC232" s="430"/>
      <c r="AD232" s="430"/>
      <c r="AE232" s="430"/>
      <c r="AF232" s="430"/>
      <c r="AG232" s="430"/>
      <c r="AH232" s="329"/>
      <c r="AI232" s="152"/>
      <c r="AJ232" s="152"/>
      <c r="AK232" s="430"/>
      <c r="AL232" s="430"/>
      <c r="AM232" s="430"/>
      <c r="AN232" s="430"/>
      <c r="AO232" s="430"/>
      <c r="AP232" s="430"/>
      <c r="AQ232" s="430"/>
      <c r="AR232" s="430"/>
      <c r="AS232" s="430"/>
      <c r="AT232" s="430"/>
      <c r="AU232" s="329"/>
      <c r="AV232" s="152"/>
      <c r="AW232" s="152"/>
      <c r="AX232" s="152"/>
      <c r="AY232" s="152"/>
    </row>
    <row r="233" spans="1:51" ht="25.5">
      <c r="A233" s="31" t="s">
        <v>107</v>
      </c>
      <c r="B233" s="32">
        <v>35</v>
      </c>
      <c r="C233" s="32" t="s">
        <v>35</v>
      </c>
      <c r="D233" s="259">
        <v>7</v>
      </c>
      <c r="E233" s="35">
        <v>3</v>
      </c>
      <c r="F233" s="292">
        <v>996</v>
      </c>
      <c r="G233" s="36">
        <v>990</v>
      </c>
      <c r="H233" s="33"/>
      <c r="I233" s="471">
        <v>1</v>
      </c>
      <c r="J233" s="379">
        <f>ROUND(G233*(1+'29_01_H_2020'!$O$14),2)</f>
        <v>1241.3599999999999</v>
      </c>
      <c r="K233" s="151">
        <f t="shared" si="120"/>
        <v>0</v>
      </c>
      <c r="L233" s="151">
        <f>ROUND(H233*(1+'29_01_H_2020'!$O$14),2)</f>
        <v>0</v>
      </c>
      <c r="M233" s="151">
        <f t="shared" si="121"/>
        <v>251.3599999999999</v>
      </c>
      <c r="N233" s="151">
        <f t="shared" si="122"/>
        <v>251.3599999999999</v>
      </c>
      <c r="O233" s="151">
        <f t="shared" si="118"/>
        <v>3016.3199999999988</v>
      </c>
      <c r="P233" s="151">
        <f>ROUND(O233*'29_01_H_2020'!$O$17,2)</f>
        <v>711.55</v>
      </c>
      <c r="Q233" s="380">
        <f t="shared" si="123"/>
        <v>3727.869999999999</v>
      </c>
      <c r="R233" s="329"/>
      <c r="S233" s="431"/>
      <c r="T233" s="153"/>
      <c r="U233" s="153"/>
      <c r="V233" s="152"/>
      <c r="W233" s="152"/>
      <c r="X233" s="430"/>
      <c r="Y233" s="430"/>
      <c r="Z233" s="430"/>
      <c r="AA233" s="430"/>
      <c r="AB233" s="430"/>
      <c r="AC233" s="430"/>
      <c r="AD233" s="430"/>
      <c r="AE233" s="430"/>
      <c r="AF233" s="430"/>
      <c r="AG233" s="430"/>
      <c r="AH233" s="329"/>
      <c r="AI233" s="152"/>
      <c r="AJ233" s="152"/>
      <c r="AK233" s="430"/>
      <c r="AL233" s="430"/>
      <c r="AM233" s="430"/>
      <c r="AN233" s="430"/>
      <c r="AO233" s="430"/>
      <c r="AP233" s="430"/>
      <c r="AQ233" s="430"/>
      <c r="AR233" s="430"/>
      <c r="AS233" s="430"/>
      <c r="AT233" s="430"/>
      <c r="AU233" s="329"/>
      <c r="AV233" s="152"/>
      <c r="AW233" s="152"/>
      <c r="AX233" s="152"/>
      <c r="AY233" s="152"/>
    </row>
    <row r="234" spans="1:51" ht="15.75" thickBot="1">
      <c r="A234" s="31" t="s">
        <v>108</v>
      </c>
      <c r="B234" s="32">
        <v>35</v>
      </c>
      <c r="C234" s="32" t="s">
        <v>35</v>
      </c>
      <c r="D234" s="259">
        <v>7</v>
      </c>
      <c r="E234" s="35">
        <v>3</v>
      </c>
      <c r="F234" s="292">
        <v>996</v>
      </c>
      <c r="G234" s="36">
        <v>990</v>
      </c>
      <c r="H234" s="33"/>
      <c r="I234" s="471">
        <v>12</v>
      </c>
      <c r="J234" s="379">
        <f>ROUND(G234*(1+'29_01_H_2020'!$O$14),2)</f>
        <v>1241.3599999999999</v>
      </c>
      <c r="K234" s="151">
        <f t="shared" si="120"/>
        <v>0</v>
      </c>
      <c r="L234" s="151">
        <f>ROUND(H234*(1+'29_01_H_2020'!$O$14),2)</f>
        <v>0</v>
      </c>
      <c r="M234" s="151">
        <f t="shared" si="121"/>
        <v>251.3599999999999</v>
      </c>
      <c r="N234" s="151">
        <f t="shared" si="122"/>
        <v>3016.3199999999988</v>
      </c>
      <c r="O234" s="151">
        <f t="shared" si="118"/>
        <v>36195.839999999982</v>
      </c>
      <c r="P234" s="151">
        <f>ROUND(O234*'29_01_H_2020'!$O$17,2)</f>
        <v>8538.6</v>
      </c>
      <c r="Q234" s="380">
        <f t="shared" si="123"/>
        <v>44734.439999999981</v>
      </c>
      <c r="R234" s="329"/>
      <c r="S234" s="431"/>
      <c r="T234" s="153"/>
      <c r="U234" s="153"/>
      <c r="V234" s="152"/>
      <c r="W234" s="152"/>
      <c r="X234" s="430"/>
      <c r="Y234" s="430"/>
      <c r="Z234" s="430"/>
      <c r="AA234" s="430"/>
      <c r="AB234" s="430"/>
      <c r="AC234" s="430"/>
      <c r="AD234" s="430"/>
      <c r="AE234" s="430"/>
      <c r="AF234" s="430"/>
      <c r="AG234" s="430"/>
      <c r="AH234" s="329"/>
      <c r="AI234" s="152"/>
      <c r="AJ234" s="152"/>
      <c r="AK234" s="430"/>
      <c r="AL234" s="430"/>
      <c r="AM234" s="430"/>
      <c r="AN234" s="430"/>
      <c r="AO234" s="430"/>
      <c r="AP234" s="430"/>
      <c r="AQ234" s="430"/>
      <c r="AR234" s="430"/>
      <c r="AS234" s="430"/>
      <c r="AT234" s="430"/>
      <c r="AU234" s="329"/>
      <c r="AV234" s="152"/>
      <c r="AW234" s="152"/>
      <c r="AX234" s="152"/>
      <c r="AY234" s="152"/>
    </row>
    <row r="235" spans="1:51" ht="15.75" thickBot="1">
      <c r="A235" s="466" t="s">
        <v>55</v>
      </c>
      <c r="B235" s="467" t="s">
        <v>52</v>
      </c>
      <c r="C235" s="468" t="s">
        <v>52</v>
      </c>
      <c r="D235" s="468" t="s">
        <v>52</v>
      </c>
      <c r="E235" s="468" t="s">
        <v>52</v>
      </c>
      <c r="F235" s="469" t="s">
        <v>52</v>
      </c>
      <c r="G235" s="469" t="s">
        <v>52</v>
      </c>
      <c r="H235" s="469" t="s">
        <v>52</v>
      </c>
      <c r="I235" s="472">
        <f>SUM(I208:I234)</f>
        <v>75</v>
      </c>
      <c r="J235" s="475"/>
      <c r="K235" s="476"/>
      <c r="L235" s="476"/>
      <c r="M235" s="476"/>
      <c r="N235" s="476"/>
      <c r="O235" s="476"/>
      <c r="P235" s="476"/>
      <c r="Q235" s="477">
        <f>SUM(Q208:Q234)</f>
        <v>322835.24000000005</v>
      </c>
      <c r="R235" s="152"/>
      <c r="S235" s="152"/>
      <c r="T235" s="152"/>
      <c r="U235" s="152"/>
      <c r="V235" s="152"/>
      <c r="W235" s="152"/>
      <c r="X235" s="152"/>
      <c r="Y235" s="152"/>
      <c r="Z235" s="152"/>
      <c r="AA235" s="152"/>
      <c r="AB235" s="152"/>
      <c r="AC235" s="152"/>
      <c r="AD235" s="152"/>
      <c r="AE235" s="152"/>
      <c r="AF235" s="152"/>
      <c r="AG235" s="152"/>
      <c r="AH235" s="152"/>
      <c r="AI235" s="152"/>
      <c r="AJ235" s="152"/>
      <c r="AK235" s="152"/>
      <c r="AL235" s="152"/>
      <c r="AM235" s="152"/>
      <c r="AN235" s="152"/>
      <c r="AO235" s="152"/>
      <c r="AP235" s="152"/>
      <c r="AQ235" s="152"/>
      <c r="AR235" s="152"/>
      <c r="AS235" s="152"/>
      <c r="AT235" s="152"/>
      <c r="AU235" s="152"/>
      <c r="AV235" s="152"/>
      <c r="AW235" s="152"/>
      <c r="AX235" s="152"/>
      <c r="AY235" s="152"/>
    </row>
    <row r="236" spans="1:51" s="333" customFormat="1" ht="15.75" thickBot="1">
      <c r="A236" s="461"/>
      <c r="B236" s="462"/>
      <c r="C236" s="463"/>
      <c r="D236" s="463"/>
      <c r="E236" s="463"/>
      <c r="F236" s="464"/>
      <c r="G236" s="464"/>
      <c r="H236" s="464"/>
      <c r="I236" s="465"/>
      <c r="R236" s="152"/>
      <c r="S236" s="152"/>
      <c r="T236" s="152"/>
      <c r="U236" s="152"/>
      <c r="V236" s="152"/>
      <c r="W236" s="152"/>
      <c r="X236" s="152"/>
      <c r="Y236" s="152"/>
      <c r="Z236" s="152"/>
      <c r="AA236" s="152"/>
      <c r="AB236" s="152"/>
      <c r="AC236" s="152"/>
      <c r="AD236" s="152"/>
      <c r="AE236" s="152"/>
      <c r="AF236" s="152"/>
      <c r="AG236" s="152"/>
      <c r="AH236" s="152"/>
      <c r="AI236" s="152"/>
      <c r="AJ236" s="152"/>
      <c r="AK236" s="152"/>
      <c r="AL236" s="152"/>
      <c r="AM236" s="152"/>
      <c r="AN236" s="152"/>
      <c r="AO236" s="152"/>
      <c r="AP236" s="152"/>
      <c r="AQ236" s="152"/>
      <c r="AR236" s="152"/>
      <c r="AS236" s="152"/>
      <c r="AT236" s="152"/>
      <c r="AU236" s="152"/>
      <c r="AV236" s="152"/>
      <c r="AW236" s="152"/>
      <c r="AX236" s="152"/>
      <c r="AY236" s="152"/>
    </row>
    <row r="237" spans="1:51">
      <c r="A237" s="1092" t="s">
        <v>358</v>
      </c>
      <c r="B237" s="1093"/>
      <c r="C237" s="1093"/>
      <c r="D237" s="1093"/>
      <c r="E237" s="1093"/>
      <c r="F237" s="1093"/>
      <c r="G237" s="1093"/>
      <c r="H237" s="1093"/>
      <c r="I237" s="1094"/>
      <c r="J237" s="434"/>
      <c r="K237" s="435"/>
      <c r="L237" s="435"/>
      <c r="M237" s="435"/>
      <c r="N237" s="435"/>
      <c r="O237" s="435"/>
      <c r="P237" s="435"/>
      <c r="Q237" s="436"/>
      <c r="R237" s="152"/>
      <c r="S237" s="152"/>
      <c r="T237" s="325"/>
      <c r="U237" s="325"/>
      <c r="V237" s="152"/>
      <c r="W237" s="152"/>
      <c r="X237" s="152"/>
      <c r="Y237" s="152"/>
      <c r="Z237" s="152"/>
      <c r="AA237" s="152"/>
      <c r="AB237" s="152"/>
      <c r="AC237" s="152"/>
      <c r="AD237" s="152"/>
      <c r="AE237" s="325"/>
      <c r="AF237" s="325"/>
      <c r="AG237" s="325"/>
      <c r="AH237" s="152"/>
      <c r="AI237" s="152"/>
      <c r="AJ237" s="152"/>
      <c r="AK237" s="152"/>
      <c r="AL237" s="152"/>
      <c r="AM237" s="152"/>
      <c r="AN237" s="152"/>
      <c r="AO237" s="152"/>
      <c r="AP237" s="152"/>
      <c r="AQ237" s="152"/>
      <c r="AR237" s="325"/>
      <c r="AS237" s="325"/>
      <c r="AT237" s="325"/>
      <c r="AU237" s="152"/>
      <c r="AV237" s="152"/>
      <c r="AW237" s="152"/>
      <c r="AX237" s="152"/>
      <c r="AY237" s="152"/>
    </row>
    <row r="238" spans="1:51">
      <c r="A238" s="1095" t="s">
        <v>379</v>
      </c>
      <c r="B238" s="1096"/>
      <c r="C238" s="1096"/>
      <c r="D238" s="1096"/>
      <c r="E238" s="1096"/>
      <c r="F238" s="1096"/>
      <c r="G238" s="1096"/>
      <c r="H238" s="1096"/>
      <c r="I238" s="1097"/>
      <c r="J238" s="165"/>
      <c r="K238" s="176"/>
      <c r="L238" s="176"/>
      <c r="M238" s="176"/>
      <c r="N238" s="176"/>
      <c r="O238" s="176"/>
      <c r="P238" s="176"/>
      <c r="Q238" s="166"/>
      <c r="R238" s="152"/>
      <c r="S238" s="152"/>
      <c r="T238" s="152"/>
      <c r="U238" s="329"/>
      <c r="V238" s="152"/>
      <c r="W238" s="152"/>
      <c r="X238" s="152"/>
      <c r="Y238" s="152"/>
      <c r="Z238" s="152"/>
      <c r="AA238" s="152"/>
      <c r="AB238" s="152"/>
      <c r="AC238" s="152"/>
      <c r="AD238" s="152"/>
      <c r="AE238" s="152"/>
      <c r="AF238" s="152"/>
      <c r="AG238" s="329"/>
      <c r="AH238" s="152"/>
      <c r="AI238" s="152"/>
      <c r="AJ238" s="152"/>
      <c r="AK238" s="152"/>
      <c r="AL238" s="152"/>
      <c r="AM238" s="152"/>
      <c r="AN238" s="152"/>
      <c r="AO238" s="152"/>
      <c r="AP238" s="152"/>
      <c r="AQ238" s="152"/>
      <c r="AR238" s="152"/>
      <c r="AS238" s="152"/>
      <c r="AT238" s="329"/>
      <c r="AU238" s="152"/>
      <c r="AV238" s="152"/>
      <c r="AW238" s="152"/>
      <c r="AX238" s="152"/>
      <c r="AY238" s="152"/>
    </row>
    <row r="239" spans="1:51">
      <c r="A239" s="1101" t="s">
        <v>11</v>
      </c>
      <c r="B239" s="1102"/>
      <c r="C239" s="1102"/>
      <c r="D239" s="1102"/>
      <c r="E239" s="1102"/>
      <c r="F239" s="1102"/>
      <c r="G239" s="1102"/>
      <c r="H239" s="1102"/>
      <c r="I239" s="1102"/>
      <c r="J239" s="385"/>
      <c r="K239" s="383"/>
      <c r="L239" s="383"/>
      <c r="M239" s="383"/>
      <c r="N239" s="383"/>
      <c r="O239" s="383"/>
      <c r="P239" s="383"/>
      <c r="Q239" s="386"/>
      <c r="R239" s="152"/>
      <c r="S239" s="152"/>
      <c r="T239" s="152"/>
      <c r="U239" s="152"/>
      <c r="V239" s="152"/>
      <c r="W239" s="152"/>
      <c r="X239" s="152"/>
      <c r="Y239" s="152"/>
      <c r="Z239" s="152"/>
      <c r="AA239" s="152"/>
      <c r="AB239" s="152"/>
      <c r="AC239" s="152"/>
      <c r="AD239" s="152"/>
      <c r="AE239" s="152"/>
      <c r="AF239" s="152"/>
      <c r="AG239" s="152"/>
      <c r="AH239" s="152"/>
      <c r="AI239" s="152"/>
      <c r="AJ239" s="152"/>
      <c r="AK239" s="152"/>
      <c r="AL239" s="152"/>
      <c r="AM239" s="152"/>
      <c r="AN239" s="152"/>
      <c r="AO239" s="152"/>
      <c r="AP239" s="152"/>
      <c r="AQ239" s="152"/>
      <c r="AR239" s="152"/>
      <c r="AS239" s="152"/>
      <c r="AT239" s="152"/>
      <c r="AU239" s="152"/>
      <c r="AV239" s="152"/>
      <c r="AW239" s="152"/>
      <c r="AX239" s="152"/>
      <c r="AY239" s="152"/>
    </row>
    <row r="240" spans="1:51">
      <c r="A240" s="348" t="s">
        <v>359</v>
      </c>
      <c r="B240" s="349">
        <v>1</v>
      </c>
      <c r="C240" s="349" t="s">
        <v>17</v>
      </c>
      <c r="D240" s="349" t="s">
        <v>80</v>
      </c>
      <c r="E240" s="349" t="s">
        <v>69</v>
      </c>
      <c r="F240" s="288">
        <v>2264</v>
      </c>
      <c r="G240" s="351">
        <v>2264</v>
      </c>
      <c r="H240" s="351">
        <v>905.6</v>
      </c>
      <c r="I240" s="445">
        <v>1</v>
      </c>
      <c r="J240" s="379">
        <f>ROUND(G240*(1+'29_01_H_2020'!$O$14),2)</f>
        <v>2838.83</v>
      </c>
      <c r="K240" s="151">
        <f t="shared" ref="K240" si="124">L240-H240</f>
        <v>229.92999999999995</v>
      </c>
      <c r="L240" s="151">
        <f>ROUND(H240*(1+'29_01_H_2020'!$O$14),2)</f>
        <v>1135.53</v>
      </c>
      <c r="M240" s="151">
        <f t="shared" ref="M240" si="125">(J240+L240)-(G240+H240)</f>
        <v>804.75999999999976</v>
      </c>
      <c r="N240" s="151">
        <f t="shared" ref="N240" si="126">M240*I240</f>
        <v>804.75999999999976</v>
      </c>
      <c r="O240" s="151">
        <f t="shared" ref="O240:O269" si="127">N240*12</f>
        <v>9657.1199999999972</v>
      </c>
      <c r="P240" s="151">
        <f>ROUND(O240*'29_01_H_2020'!$O$17,2)</f>
        <v>2278.11</v>
      </c>
      <c r="Q240" s="380">
        <f t="shared" ref="Q240" si="128">SUM(O240:P240)</f>
        <v>11935.229999999998</v>
      </c>
      <c r="R240" s="329"/>
      <c r="S240" s="431"/>
      <c r="T240" s="153"/>
      <c r="U240" s="153"/>
      <c r="V240" s="152"/>
      <c r="W240" s="152"/>
      <c r="X240" s="430"/>
      <c r="Y240" s="430"/>
      <c r="Z240" s="430"/>
      <c r="AA240" s="430"/>
      <c r="AB240" s="430"/>
      <c r="AC240" s="430"/>
      <c r="AD240" s="430"/>
      <c r="AE240" s="430"/>
      <c r="AF240" s="430"/>
      <c r="AG240" s="430"/>
      <c r="AH240" s="329"/>
      <c r="AI240" s="152"/>
      <c r="AJ240" s="152"/>
      <c r="AK240" s="430"/>
      <c r="AL240" s="430"/>
      <c r="AM240" s="430"/>
      <c r="AN240" s="430"/>
      <c r="AO240" s="430"/>
      <c r="AP240" s="430"/>
      <c r="AQ240" s="430"/>
      <c r="AR240" s="430"/>
      <c r="AS240" s="430"/>
      <c r="AT240" s="430"/>
      <c r="AU240" s="329"/>
      <c r="AV240" s="152"/>
      <c r="AW240" s="152"/>
    </row>
    <row r="241" spans="1:49" ht="25.5">
      <c r="A241" s="348" t="s">
        <v>360</v>
      </c>
      <c r="B241" s="349" t="s">
        <v>75</v>
      </c>
      <c r="C241" s="349" t="s">
        <v>13</v>
      </c>
      <c r="D241" s="349">
        <v>13</v>
      </c>
      <c r="E241" s="349">
        <v>3</v>
      </c>
      <c r="F241" s="288">
        <v>1917</v>
      </c>
      <c r="G241" s="351">
        <v>1917</v>
      </c>
      <c r="H241" s="351">
        <v>1246.05</v>
      </c>
      <c r="I241" s="445">
        <v>1</v>
      </c>
      <c r="J241" s="379">
        <f>ROUND(G241*(1+'29_01_H_2020'!$O$14),2)</f>
        <v>2403.73</v>
      </c>
      <c r="K241" s="151">
        <f t="shared" ref="K241:K255" si="129">L241-H241</f>
        <v>316.37000000000012</v>
      </c>
      <c r="L241" s="151">
        <f>ROUND(H241*(1+'29_01_H_2020'!$O$14),2)</f>
        <v>1562.42</v>
      </c>
      <c r="M241" s="151">
        <f t="shared" ref="M241:M255" si="130">(J241+L241)-(G241+H241)</f>
        <v>803.09999999999991</v>
      </c>
      <c r="N241" s="151">
        <f t="shared" ref="N241:N255" si="131">M241*I241</f>
        <v>803.09999999999991</v>
      </c>
      <c r="O241" s="151">
        <f t="shared" si="127"/>
        <v>9637.1999999999989</v>
      </c>
      <c r="P241" s="151">
        <f>ROUND(O241*'29_01_H_2020'!$O$17,2)</f>
        <v>2273.42</v>
      </c>
      <c r="Q241" s="380">
        <f t="shared" ref="Q241:Q255" si="132">SUM(O241:P241)</f>
        <v>11910.619999999999</v>
      </c>
      <c r="R241" s="329"/>
      <c r="S241" s="431"/>
      <c r="T241" s="153"/>
      <c r="U241" s="153"/>
      <c r="V241" s="152"/>
      <c r="W241" s="152"/>
      <c r="X241" s="430"/>
      <c r="Y241" s="430"/>
      <c r="Z241" s="430"/>
      <c r="AA241" s="430"/>
      <c r="AB241" s="430"/>
      <c r="AC241" s="430"/>
      <c r="AD241" s="430"/>
      <c r="AE241" s="430"/>
      <c r="AF241" s="430"/>
      <c r="AG241" s="430"/>
      <c r="AH241" s="329"/>
      <c r="AI241" s="152"/>
      <c r="AJ241" s="152"/>
      <c r="AK241" s="430"/>
      <c r="AL241" s="430"/>
      <c r="AM241" s="430"/>
      <c r="AN241" s="430"/>
      <c r="AO241" s="430"/>
      <c r="AP241" s="430"/>
      <c r="AQ241" s="430"/>
      <c r="AR241" s="430"/>
      <c r="AS241" s="430"/>
      <c r="AT241" s="430"/>
      <c r="AU241" s="329"/>
      <c r="AV241" s="152"/>
      <c r="AW241" s="152"/>
    </row>
    <row r="242" spans="1:49" ht="25.5">
      <c r="A242" s="348" t="s">
        <v>361</v>
      </c>
      <c r="B242" s="349" t="s">
        <v>75</v>
      </c>
      <c r="C242" s="349" t="s">
        <v>19</v>
      </c>
      <c r="D242" s="349">
        <v>12</v>
      </c>
      <c r="E242" s="349">
        <v>3</v>
      </c>
      <c r="F242" s="288">
        <v>1647</v>
      </c>
      <c r="G242" s="351">
        <v>1647</v>
      </c>
      <c r="H242" s="351">
        <v>905.85</v>
      </c>
      <c r="I242" s="445">
        <v>1</v>
      </c>
      <c r="J242" s="379">
        <f>ROUND(G242*(1+'29_01_H_2020'!$O$14),2)</f>
        <v>2065.17</v>
      </c>
      <c r="K242" s="151">
        <f t="shared" si="129"/>
        <v>229.99999999999989</v>
      </c>
      <c r="L242" s="151">
        <f>ROUND(H242*(1+'29_01_H_2020'!$O$14),2)</f>
        <v>1135.8499999999999</v>
      </c>
      <c r="M242" s="151">
        <f t="shared" si="130"/>
        <v>648.17000000000007</v>
      </c>
      <c r="N242" s="151">
        <f t="shared" si="131"/>
        <v>648.17000000000007</v>
      </c>
      <c r="O242" s="151">
        <f t="shared" si="127"/>
        <v>7778.0400000000009</v>
      </c>
      <c r="P242" s="151">
        <f>ROUND(O242*'29_01_H_2020'!$O$17,2)</f>
        <v>1834.84</v>
      </c>
      <c r="Q242" s="380">
        <f t="shared" si="132"/>
        <v>9612.880000000001</v>
      </c>
      <c r="R242" s="329"/>
      <c r="S242" s="431"/>
      <c r="T242" s="153"/>
      <c r="U242" s="153"/>
      <c r="V242" s="152"/>
      <c r="W242" s="152"/>
      <c r="X242" s="430"/>
      <c r="Y242" s="430"/>
      <c r="Z242" s="430"/>
      <c r="AA242" s="430"/>
      <c r="AB242" s="430"/>
      <c r="AC242" s="430"/>
      <c r="AD242" s="430"/>
      <c r="AE242" s="430"/>
      <c r="AF242" s="430"/>
      <c r="AG242" s="430"/>
      <c r="AH242" s="329"/>
      <c r="AI242" s="152"/>
      <c r="AJ242" s="152"/>
      <c r="AK242" s="430"/>
      <c r="AL242" s="430"/>
      <c r="AM242" s="430"/>
      <c r="AN242" s="430"/>
      <c r="AO242" s="430"/>
      <c r="AP242" s="430"/>
      <c r="AQ242" s="430"/>
      <c r="AR242" s="430"/>
      <c r="AS242" s="430"/>
      <c r="AT242" s="430"/>
      <c r="AU242" s="329"/>
      <c r="AV242" s="152"/>
      <c r="AW242" s="152"/>
    </row>
    <row r="243" spans="1:49" ht="25.5">
      <c r="A243" s="348" t="s">
        <v>362</v>
      </c>
      <c r="B243" s="349" t="s">
        <v>75</v>
      </c>
      <c r="C243" s="349" t="s">
        <v>19</v>
      </c>
      <c r="D243" s="349">
        <v>12</v>
      </c>
      <c r="E243" s="349">
        <v>3</v>
      </c>
      <c r="F243" s="288">
        <v>1647</v>
      </c>
      <c r="G243" s="351">
        <v>1647</v>
      </c>
      <c r="H243" s="351">
        <v>658.8</v>
      </c>
      <c r="I243" s="445">
        <v>2</v>
      </c>
      <c r="J243" s="379">
        <f>ROUND(G243*(1+'29_01_H_2020'!$O$14),2)</f>
        <v>2065.17</v>
      </c>
      <c r="K243" s="151">
        <f t="shared" si="129"/>
        <v>167.2700000000001</v>
      </c>
      <c r="L243" s="151">
        <f>ROUND(H243*(1+'29_01_H_2020'!$O$14),2)</f>
        <v>826.07</v>
      </c>
      <c r="M243" s="151">
        <f t="shared" si="130"/>
        <v>585.44000000000005</v>
      </c>
      <c r="N243" s="151">
        <f t="shared" si="131"/>
        <v>1170.8800000000001</v>
      </c>
      <c r="O243" s="151">
        <f t="shared" si="127"/>
        <v>14050.560000000001</v>
      </c>
      <c r="P243" s="151">
        <f>ROUND(O243*'29_01_H_2020'!$O$17,2)</f>
        <v>3314.53</v>
      </c>
      <c r="Q243" s="380">
        <f t="shared" si="132"/>
        <v>17365.09</v>
      </c>
      <c r="R243" s="329"/>
      <c r="S243" s="431"/>
      <c r="T243" s="153"/>
      <c r="U243" s="153"/>
      <c r="V243" s="152"/>
      <c r="W243" s="152"/>
      <c r="X243" s="430"/>
      <c r="Y243" s="430"/>
      <c r="Z243" s="430"/>
      <c r="AA243" s="430"/>
      <c r="AB243" s="430"/>
      <c r="AC243" s="430"/>
      <c r="AD243" s="430"/>
      <c r="AE243" s="430"/>
      <c r="AF243" s="430"/>
      <c r="AG243" s="430"/>
      <c r="AH243" s="329"/>
      <c r="AI243" s="152"/>
      <c r="AJ243" s="152"/>
      <c r="AK243" s="430"/>
      <c r="AL243" s="430"/>
      <c r="AM243" s="430"/>
      <c r="AN243" s="430"/>
      <c r="AO243" s="430"/>
      <c r="AP243" s="430"/>
      <c r="AQ243" s="430"/>
      <c r="AR243" s="430"/>
      <c r="AS243" s="430"/>
      <c r="AT243" s="430"/>
      <c r="AU243" s="329"/>
      <c r="AV243" s="152"/>
      <c r="AW243" s="152"/>
    </row>
    <row r="244" spans="1:49" ht="25.5">
      <c r="A244" s="348" t="s">
        <v>363</v>
      </c>
      <c r="B244" s="349" t="s">
        <v>75</v>
      </c>
      <c r="C244" s="349" t="s">
        <v>19</v>
      </c>
      <c r="D244" s="349">
        <v>12</v>
      </c>
      <c r="E244" s="349">
        <v>3</v>
      </c>
      <c r="F244" s="288">
        <v>1647</v>
      </c>
      <c r="G244" s="351">
        <v>1647</v>
      </c>
      <c r="H244" s="351">
        <v>658.8</v>
      </c>
      <c r="I244" s="445">
        <v>3</v>
      </c>
      <c r="J244" s="379">
        <f>ROUND(G244*(1+'29_01_H_2020'!$O$14),2)</f>
        <v>2065.17</v>
      </c>
      <c r="K244" s="151">
        <f t="shared" si="129"/>
        <v>167.2700000000001</v>
      </c>
      <c r="L244" s="151">
        <f>ROUND(H244*(1+'29_01_H_2020'!$O$14),2)</f>
        <v>826.07</v>
      </c>
      <c r="M244" s="151">
        <f t="shared" si="130"/>
        <v>585.44000000000005</v>
      </c>
      <c r="N244" s="151">
        <f t="shared" si="131"/>
        <v>1756.3200000000002</v>
      </c>
      <c r="O244" s="151">
        <f t="shared" si="127"/>
        <v>21075.840000000004</v>
      </c>
      <c r="P244" s="151">
        <f>ROUND(O244*'29_01_H_2020'!$O$17,2)</f>
        <v>4971.79</v>
      </c>
      <c r="Q244" s="380">
        <f t="shared" si="132"/>
        <v>26047.630000000005</v>
      </c>
      <c r="R244" s="329"/>
      <c r="S244" s="431"/>
      <c r="T244" s="153"/>
      <c r="U244" s="153"/>
      <c r="V244" s="152"/>
      <c r="W244" s="152"/>
      <c r="X244" s="430"/>
      <c r="Y244" s="430"/>
      <c r="Z244" s="430"/>
      <c r="AA244" s="430"/>
      <c r="AB244" s="430"/>
      <c r="AC244" s="430"/>
      <c r="AD244" s="430"/>
      <c r="AE244" s="430"/>
      <c r="AF244" s="430"/>
      <c r="AG244" s="430"/>
      <c r="AH244" s="329"/>
      <c r="AI244" s="152"/>
      <c r="AJ244" s="152"/>
      <c r="AK244" s="430"/>
      <c r="AL244" s="430"/>
      <c r="AM244" s="430"/>
      <c r="AN244" s="430"/>
      <c r="AO244" s="430"/>
      <c r="AP244" s="430"/>
      <c r="AQ244" s="430"/>
      <c r="AR244" s="430"/>
      <c r="AS244" s="430"/>
      <c r="AT244" s="430"/>
      <c r="AU244" s="329"/>
      <c r="AV244" s="152"/>
      <c r="AW244" s="152"/>
    </row>
    <row r="245" spans="1:49" ht="25.5">
      <c r="A245" s="348" t="s">
        <v>364</v>
      </c>
      <c r="B245" s="349" t="s">
        <v>75</v>
      </c>
      <c r="C245" s="349" t="s">
        <v>19</v>
      </c>
      <c r="D245" s="349">
        <v>12</v>
      </c>
      <c r="E245" s="349">
        <v>3</v>
      </c>
      <c r="F245" s="288">
        <v>1647</v>
      </c>
      <c r="G245" s="351">
        <v>1647</v>
      </c>
      <c r="H245" s="351">
        <v>658.8</v>
      </c>
      <c r="I245" s="445">
        <v>1</v>
      </c>
      <c r="J245" s="379">
        <f>ROUND(G245*(1+'29_01_H_2020'!$O$14),2)</f>
        <v>2065.17</v>
      </c>
      <c r="K245" s="151">
        <f t="shared" si="129"/>
        <v>167.2700000000001</v>
      </c>
      <c r="L245" s="151">
        <f>ROUND(H245*(1+'29_01_H_2020'!$O$14),2)</f>
        <v>826.07</v>
      </c>
      <c r="M245" s="151">
        <f t="shared" si="130"/>
        <v>585.44000000000005</v>
      </c>
      <c r="N245" s="151">
        <f t="shared" si="131"/>
        <v>585.44000000000005</v>
      </c>
      <c r="O245" s="151">
        <f t="shared" si="127"/>
        <v>7025.2800000000007</v>
      </c>
      <c r="P245" s="151">
        <f>ROUND(O245*'29_01_H_2020'!$O$17,2)</f>
        <v>1657.26</v>
      </c>
      <c r="Q245" s="380">
        <f t="shared" si="132"/>
        <v>8682.5400000000009</v>
      </c>
      <c r="R245" s="329"/>
      <c r="S245" s="431"/>
      <c r="T245" s="153"/>
      <c r="U245" s="153"/>
      <c r="V245" s="152"/>
      <c r="W245" s="152"/>
      <c r="X245" s="430"/>
      <c r="Y245" s="430"/>
      <c r="Z245" s="430"/>
      <c r="AA245" s="430"/>
      <c r="AB245" s="430"/>
      <c r="AC245" s="430"/>
      <c r="AD245" s="430"/>
      <c r="AE245" s="430"/>
      <c r="AF245" s="430"/>
      <c r="AG245" s="430"/>
      <c r="AH245" s="329"/>
      <c r="AI245" s="152"/>
      <c r="AJ245" s="152"/>
      <c r="AK245" s="430"/>
      <c r="AL245" s="430"/>
      <c r="AM245" s="430"/>
      <c r="AN245" s="430"/>
      <c r="AO245" s="430"/>
      <c r="AP245" s="430"/>
      <c r="AQ245" s="430"/>
      <c r="AR245" s="430"/>
      <c r="AS245" s="430"/>
      <c r="AT245" s="430"/>
      <c r="AU245" s="329"/>
      <c r="AV245" s="152"/>
      <c r="AW245" s="152"/>
    </row>
    <row r="246" spans="1:49" ht="25.5">
      <c r="A246" s="348" t="s">
        <v>365</v>
      </c>
      <c r="B246" s="349" t="s">
        <v>75</v>
      </c>
      <c r="C246" s="349" t="s">
        <v>19</v>
      </c>
      <c r="D246" s="349">
        <v>12</v>
      </c>
      <c r="E246" s="349">
        <v>3</v>
      </c>
      <c r="F246" s="288">
        <v>1647</v>
      </c>
      <c r="G246" s="351">
        <v>1647</v>
      </c>
      <c r="H246" s="351">
        <v>658.8</v>
      </c>
      <c r="I246" s="445">
        <v>4</v>
      </c>
      <c r="J246" s="379">
        <f>ROUND(G246*(1+'29_01_H_2020'!$O$14),2)</f>
        <v>2065.17</v>
      </c>
      <c r="K246" s="151">
        <f t="shared" si="129"/>
        <v>167.2700000000001</v>
      </c>
      <c r="L246" s="151">
        <f>ROUND(H246*(1+'29_01_H_2020'!$O$14),2)</f>
        <v>826.07</v>
      </c>
      <c r="M246" s="151">
        <f t="shared" si="130"/>
        <v>585.44000000000005</v>
      </c>
      <c r="N246" s="151">
        <f t="shared" si="131"/>
        <v>2341.7600000000002</v>
      </c>
      <c r="O246" s="151">
        <f t="shared" si="127"/>
        <v>28101.120000000003</v>
      </c>
      <c r="P246" s="151">
        <f>ROUND(O246*'29_01_H_2020'!$O$17,2)</f>
        <v>6629.05</v>
      </c>
      <c r="Q246" s="380">
        <f t="shared" si="132"/>
        <v>34730.170000000006</v>
      </c>
      <c r="R246" s="329"/>
      <c r="S246" s="431"/>
      <c r="T246" s="153"/>
      <c r="U246" s="153"/>
      <c r="V246" s="152"/>
      <c r="W246" s="152"/>
      <c r="X246" s="430"/>
      <c r="Y246" s="430"/>
      <c r="Z246" s="430"/>
      <c r="AA246" s="430"/>
      <c r="AB246" s="430"/>
      <c r="AC246" s="430"/>
      <c r="AD246" s="430"/>
      <c r="AE246" s="430"/>
      <c r="AF246" s="430"/>
      <c r="AG246" s="430"/>
      <c r="AH246" s="329"/>
      <c r="AI246" s="152"/>
      <c r="AJ246" s="152"/>
      <c r="AK246" s="430"/>
      <c r="AL246" s="430"/>
      <c r="AM246" s="430"/>
      <c r="AN246" s="430"/>
      <c r="AO246" s="430"/>
      <c r="AP246" s="430"/>
      <c r="AQ246" s="430"/>
      <c r="AR246" s="430"/>
      <c r="AS246" s="430"/>
      <c r="AT246" s="430"/>
      <c r="AU246" s="329"/>
      <c r="AV246" s="152"/>
      <c r="AW246" s="152"/>
    </row>
    <row r="247" spans="1:49" ht="25.5">
      <c r="A247" s="348" t="s">
        <v>366</v>
      </c>
      <c r="B247" s="349" t="s">
        <v>75</v>
      </c>
      <c r="C247" s="349" t="s">
        <v>19</v>
      </c>
      <c r="D247" s="349">
        <v>12</v>
      </c>
      <c r="E247" s="349">
        <v>3</v>
      </c>
      <c r="F247" s="288">
        <v>1647</v>
      </c>
      <c r="G247" s="351">
        <v>1627</v>
      </c>
      <c r="H247" s="351">
        <v>390.48</v>
      </c>
      <c r="I247" s="445">
        <v>1</v>
      </c>
      <c r="J247" s="379">
        <f>ROUND(G247*(1+'29_01_H_2020'!$O$14),2)</f>
        <v>2040.1</v>
      </c>
      <c r="K247" s="151">
        <f t="shared" si="129"/>
        <v>99.139999999999986</v>
      </c>
      <c r="L247" s="151">
        <f>ROUND(H247*(1+'29_01_H_2020'!$O$14),2)</f>
        <v>489.62</v>
      </c>
      <c r="M247" s="151">
        <f t="shared" si="130"/>
        <v>512.23999999999978</v>
      </c>
      <c r="N247" s="151">
        <f t="shared" si="131"/>
        <v>512.23999999999978</v>
      </c>
      <c r="O247" s="151">
        <f t="shared" si="127"/>
        <v>6146.8799999999974</v>
      </c>
      <c r="P247" s="151">
        <f>ROUND(O247*'29_01_H_2020'!$O$17,2)</f>
        <v>1450.05</v>
      </c>
      <c r="Q247" s="380">
        <f t="shared" si="132"/>
        <v>7596.9299999999976</v>
      </c>
      <c r="R247" s="329"/>
      <c r="S247" s="431"/>
      <c r="T247" s="153"/>
      <c r="U247" s="153"/>
      <c r="V247" s="152"/>
      <c r="W247" s="152"/>
      <c r="X247" s="430"/>
      <c r="Y247" s="430"/>
      <c r="Z247" s="430"/>
      <c r="AA247" s="430"/>
      <c r="AB247" s="430"/>
      <c r="AC247" s="430"/>
      <c r="AD247" s="430"/>
      <c r="AE247" s="430"/>
      <c r="AF247" s="430"/>
      <c r="AG247" s="430"/>
      <c r="AH247" s="329"/>
      <c r="AI247" s="152"/>
      <c r="AJ247" s="152"/>
      <c r="AK247" s="430"/>
      <c r="AL247" s="430"/>
      <c r="AM247" s="430"/>
      <c r="AN247" s="430"/>
      <c r="AO247" s="430"/>
      <c r="AP247" s="430"/>
      <c r="AQ247" s="430"/>
      <c r="AR247" s="430"/>
      <c r="AS247" s="430"/>
      <c r="AT247" s="430"/>
      <c r="AU247" s="329"/>
      <c r="AV247" s="152"/>
      <c r="AW247" s="152"/>
    </row>
    <row r="248" spans="1:49">
      <c r="A248" s="348" t="s">
        <v>367</v>
      </c>
      <c r="B248" s="349" t="s">
        <v>75</v>
      </c>
      <c r="C248" s="349" t="s">
        <v>19</v>
      </c>
      <c r="D248" s="349">
        <v>12</v>
      </c>
      <c r="E248" s="349">
        <v>3</v>
      </c>
      <c r="F248" s="288">
        <v>1647</v>
      </c>
      <c r="G248" s="351">
        <v>1491</v>
      </c>
      <c r="H248" s="351">
        <v>283.29000000000002</v>
      </c>
      <c r="I248" s="445">
        <v>25.25</v>
      </c>
      <c r="J248" s="379">
        <f>ROUND(G248*(1+'29_01_H_2020'!$O$14),2)</f>
        <v>1869.56</v>
      </c>
      <c r="K248" s="151">
        <f t="shared" si="129"/>
        <v>71.930000000000007</v>
      </c>
      <c r="L248" s="151">
        <f>ROUND(H248*(1+'29_01_H_2020'!$O$14),2)</f>
        <v>355.22</v>
      </c>
      <c r="M248" s="151">
        <f t="shared" si="130"/>
        <v>450.48999999999978</v>
      </c>
      <c r="N248" s="151">
        <f t="shared" si="131"/>
        <v>11374.872499999994</v>
      </c>
      <c r="O248" s="151">
        <f t="shared" si="127"/>
        <v>136498.46999999991</v>
      </c>
      <c r="P248" s="151">
        <f>ROUND(O248*'29_01_H_2020'!$O$17,2)</f>
        <v>32199.99</v>
      </c>
      <c r="Q248" s="380">
        <f t="shared" si="132"/>
        <v>168698.4599999999</v>
      </c>
      <c r="R248" s="329"/>
      <c r="S248" s="431"/>
      <c r="T248" s="153"/>
      <c r="U248" s="153"/>
      <c r="V248" s="152"/>
      <c r="W248" s="152"/>
      <c r="X248" s="430"/>
      <c r="Y248" s="430"/>
      <c r="Z248" s="430"/>
      <c r="AA248" s="430"/>
      <c r="AB248" s="430"/>
      <c r="AC248" s="430"/>
      <c r="AD248" s="430"/>
      <c r="AE248" s="430"/>
      <c r="AF248" s="430"/>
      <c r="AG248" s="430"/>
      <c r="AH248" s="329"/>
      <c r="AI248" s="152"/>
      <c r="AJ248" s="152"/>
      <c r="AK248" s="430"/>
      <c r="AL248" s="430"/>
      <c r="AM248" s="430"/>
      <c r="AN248" s="430"/>
      <c r="AO248" s="430"/>
      <c r="AP248" s="430"/>
      <c r="AQ248" s="430"/>
      <c r="AR248" s="430"/>
      <c r="AS248" s="430"/>
      <c r="AT248" s="430"/>
      <c r="AU248" s="329"/>
      <c r="AV248" s="152"/>
      <c r="AW248" s="152"/>
    </row>
    <row r="249" spans="1:49" ht="25.5">
      <c r="A249" s="348" t="s">
        <v>368</v>
      </c>
      <c r="B249" s="349" t="s">
        <v>75</v>
      </c>
      <c r="C249" s="349" t="s">
        <v>19</v>
      </c>
      <c r="D249" s="349">
        <v>12</v>
      </c>
      <c r="E249" s="349">
        <v>3</v>
      </c>
      <c r="F249" s="288">
        <v>1647</v>
      </c>
      <c r="G249" s="351">
        <v>1491</v>
      </c>
      <c r="H249" s="351">
        <v>283.29000000000002</v>
      </c>
      <c r="I249" s="445">
        <v>3</v>
      </c>
      <c r="J249" s="379">
        <f>ROUND(G249*(1+'29_01_H_2020'!$O$14),2)</f>
        <v>1869.56</v>
      </c>
      <c r="K249" s="151">
        <f t="shared" si="129"/>
        <v>71.930000000000007</v>
      </c>
      <c r="L249" s="151">
        <f>ROUND(H249*(1+'29_01_H_2020'!$O$14),2)</f>
        <v>355.22</v>
      </c>
      <c r="M249" s="151">
        <f t="shared" si="130"/>
        <v>450.48999999999978</v>
      </c>
      <c r="N249" s="151">
        <f t="shared" si="131"/>
        <v>1351.4699999999993</v>
      </c>
      <c r="O249" s="151">
        <f t="shared" si="127"/>
        <v>16217.639999999992</v>
      </c>
      <c r="P249" s="151">
        <f>ROUND(O249*'29_01_H_2020'!$O$17,2)</f>
        <v>3825.74</v>
      </c>
      <c r="Q249" s="380">
        <f t="shared" si="132"/>
        <v>20043.37999999999</v>
      </c>
      <c r="R249" s="329"/>
      <c r="S249" s="431"/>
      <c r="T249" s="153"/>
      <c r="U249" s="153"/>
      <c r="V249" s="152"/>
      <c r="W249" s="152"/>
      <c r="X249" s="430"/>
      <c r="Y249" s="430"/>
      <c r="Z249" s="430"/>
      <c r="AA249" s="430"/>
      <c r="AB249" s="430"/>
      <c r="AC249" s="430"/>
      <c r="AD249" s="430"/>
      <c r="AE249" s="430"/>
      <c r="AF249" s="430"/>
      <c r="AG249" s="430"/>
      <c r="AH249" s="329"/>
      <c r="AI249" s="152"/>
      <c r="AJ249" s="152"/>
      <c r="AK249" s="430"/>
      <c r="AL249" s="430"/>
      <c r="AM249" s="430"/>
      <c r="AN249" s="430"/>
      <c r="AO249" s="430"/>
      <c r="AP249" s="430"/>
      <c r="AQ249" s="430"/>
      <c r="AR249" s="430"/>
      <c r="AS249" s="430"/>
      <c r="AT249" s="430"/>
      <c r="AU249" s="329"/>
      <c r="AV249" s="152"/>
      <c r="AW249" s="152"/>
    </row>
    <row r="250" spans="1:49">
      <c r="A250" s="348" t="s">
        <v>369</v>
      </c>
      <c r="B250" s="349" t="s">
        <v>75</v>
      </c>
      <c r="C250" s="349" t="s">
        <v>26</v>
      </c>
      <c r="D250" s="349">
        <v>10</v>
      </c>
      <c r="E250" s="349">
        <v>3</v>
      </c>
      <c r="F250" s="288">
        <v>1287</v>
      </c>
      <c r="G250" s="351">
        <v>869</v>
      </c>
      <c r="H250" s="351">
        <v>86.9</v>
      </c>
      <c r="I250" s="445">
        <v>0.25</v>
      </c>
      <c r="J250" s="379">
        <f>ROUND(G250*(1+'29_01_H_2020'!$O$14),2)</f>
        <v>1089.6400000000001</v>
      </c>
      <c r="K250" s="151">
        <f t="shared" si="129"/>
        <v>22.059999999999988</v>
      </c>
      <c r="L250" s="151">
        <f>ROUND(H250*(1+'29_01_H_2020'!$O$14),2)</f>
        <v>108.96</v>
      </c>
      <c r="M250" s="151">
        <f t="shared" si="130"/>
        <v>242.70000000000016</v>
      </c>
      <c r="N250" s="151">
        <f t="shared" si="131"/>
        <v>60.67500000000004</v>
      </c>
      <c r="O250" s="151">
        <f t="shared" si="127"/>
        <v>728.10000000000048</v>
      </c>
      <c r="P250" s="151">
        <f>ROUND(O250*'29_01_H_2020'!$O$17,2)</f>
        <v>171.76</v>
      </c>
      <c r="Q250" s="380">
        <f t="shared" si="132"/>
        <v>899.86000000000047</v>
      </c>
      <c r="R250" s="329"/>
      <c r="S250" s="431"/>
      <c r="T250" s="153"/>
      <c r="U250" s="153"/>
      <c r="V250" s="152"/>
      <c r="W250" s="152"/>
      <c r="X250" s="430"/>
      <c r="Y250" s="430"/>
      <c r="Z250" s="430"/>
      <c r="AA250" s="430"/>
      <c r="AB250" s="430"/>
      <c r="AC250" s="430"/>
      <c r="AD250" s="430"/>
      <c r="AE250" s="430"/>
      <c r="AF250" s="430"/>
      <c r="AG250" s="430"/>
      <c r="AH250" s="329"/>
      <c r="AI250" s="152"/>
      <c r="AJ250" s="152"/>
      <c r="AK250" s="430"/>
      <c r="AL250" s="430"/>
      <c r="AM250" s="430"/>
      <c r="AN250" s="430"/>
      <c r="AO250" s="430"/>
      <c r="AP250" s="430"/>
      <c r="AQ250" s="430"/>
      <c r="AR250" s="430"/>
      <c r="AS250" s="430"/>
      <c r="AT250" s="430"/>
      <c r="AU250" s="329"/>
      <c r="AV250" s="152"/>
      <c r="AW250" s="152"/>
    </row>
    <row r="251" spans="1:49">
      <c r="A251" s="348" t="s">
        <v>369</v>
      </c>
      <c r="B251" s="349" t="s">
        <v>75</v>
      </c>
      <c r="C251" s="349" t="s">
        <v>26</v>
      </c>
      <c r="D251" s="349">
        <v>10</v>
      </c>
      <c r="E251" s="349">
        <v>3</v>
      </c>
      <c r="F251" s="288">
        <v>1287</v>
      </c>
      <c r="G251" s="351">
        <v>1287</v>
      </c>
      <c r="H251" s="351">
        <v>128.69999999999999</v>
      </c>
      <c r="I251" s="445">
        <v>0.75</v>
      </c>
      <c r="J251" s="379">
        <f>ROUND(G251*(1+'29_01_H_2020'!$O$14),2)</f>
        <v>1613.77</v>
      </c>
      <c r="K251" s="151">
        <f t="shared" si="129"/>
        <v>32.680000000000007</v>
      </c>
      <c r="L251" s="151">
        <f>ROUND(H251*(1+'29_01_H_2020'!$O$14),2)</f>
        <v>161.38</v>
      </c>
      <c r="M251" s="151">
        <f t="shared" si="130"/>
        <v>359.45000000000005</v>
      </c>
      <c r="N251" s="151">
        <f t="shared" si="131"/>
        <v>269.58750000000003</v>
      </c>
      <c r="O251" s="151">
        <f t="shared" si="127"/>
        <v>3235.05</v>
      </c>
      <c r="P251" s="151">
        <f>ROUND(O251*'29_01_H_2020'!$O$17,2)</f>
        <v>763.15</v>
      </c>
      <c r="Q251" s="380">
        <f t="shared" si="132"/>
        <v>3998.2000000000003</v>
      </c>
      <c r="R251" s="329"/>
      <c r="S251" s="431"/>
      <c r="T251" s="153"/>
      <c r="U251" s="153"/>
      <c r="V251" s="152"/>
      <c r="W251" s="152"/>
      <c r="X251" s="430"/>
      <c r="Y251" s="430"/>
      <c r="Z251" s="430"/>
      <c r="AA251" s="430"/>
      <c r="AB251" s="430"/>
      <c r="AC251" s="430"/>
      <c r="AD251" s="430"/>
      <c r="AE251" s="430"/>
      <c r="AF251" s="430"/>
      <c r="AG251" s="430"/>
      <c r="AH251" s="329"/>
      <c r="AI251" s="152"/>
      <c r="AJ251" s="152"/>
      <c r="AK251" s="430"/>
      <c r="AL251" s="430"/>
      <c r="AM251" s="430"/>
      <c r="AN251" s="430"/>
      <c r="AO251" s="430"/>
      <c r="AP251" s="430"/>
      <c r="AQ251" s="430"/>
      <c r="AR251" s="430"/>
      <c r="AS251" s="430"/>
      <c r="AT251" s="430"/>
      <c r="AU251" s="329"/>
      <c r="AV251" s="152"/>
      <c r="AW251" s="152"/>
    </row>
    <row r="252" spans="1:49">
      <c r="A252" s="348" t="s">
        <v>370</v>
      </c>
      <c r="B252" s="349" t="s">
        <v>75</v>
      </c>
      <c r="C252" s="349" t="s">
        <v>26</v>
      </c>
      <c r="D252" s="349">
        <v>10</v>
      </c>
      <c r="E252" s="349">
        <v>3</v>
      </c>
      <c r="F252" s="288">
        <v>1287</v>
      </c>
      <c r="G252" s="351">
        <v>1175</v>
      </c>
      <c r="H252" s="351">
        <v>293.75</v>
      </c>
      <c r="I252" s="445">
        <v>6</v>
      </c>
      <c r="J252" s="379">
        <f>ROUND(G252*(1+'29_01_H_2020'!$O$14),2)</f>
        <v>1473.33</v>
      </c>
      <c r="K252" s="151">
        <f t="shared" si="129"/>
        <v>74.579999999999984</v>
      </c>
      <c r="L252" s="151">
        <f>ROUND(H252*(1+'29_01_H_2020'!$O$14),2)</f>
        <v>368.33</v>
      </c>
      <c r="M252" s="151">
        <f t="shared" si="130"/>
        <v>372.90999999999985</v>
      </c>
      <c r="N252" s="151">
        <f t="shared" si="131"/>
        <v>2237.4599999999991</v>
      </c>
      <c r="O252" s="151">
        <f t="shared" si="127"/>
        <v>26849.51999999999</v>
      </c>
      <c r="P252" s="151">
        <f>ROUND(O252*'29_01_H_2020'!$O$17,2)</f>
        <v>6333.8</v>
      </c>
      <c r="Q252" s="380">
        <f t="shared" si="132"/>
        <v>33183.319999999992</v>
      </c>
      <c r="R252" s="329"/>
      <c r="S252" s="431"/>
      <c r="T252" s="153"/>
      <c r="U252" s="153"/>
      <c r="V252" s="152"/>
      <c r="W252" s="152"/>
      <c r="X252" s="430"/>
      <c r="Y252" s="430"/>
      <c r="Z252" s="430"/>
      <c r="AA252" s="430"/>
      <c r="AB252" s="430"/>
      <c r="AC252" s="430"/>
      <c r="AD252" s="430"/>
      <c r="AE252" s="430"/>
      <c r="AF252" s="430"/>
      <c r="AG252" s="430"/>
      <c r="AH252" s="329"/>
      <c r="AI252" s="152"/>
      <c r="AJ252" s="152"/>
      <c r="AK252" s="430"/>
      <c r="AL252" s="430"/>
      <c r="AM252" s="430"/>
      <c r="AN252" s="430"/>
      <c r="AO252" s="430"/>
      <c r="AP252" s="430"/>
      <c r="AQ252" s="430"/>
      <c r="AR252" s="430"/>
      <c r="AS252" s="430"/>
      <c r="AT252" s="430"/>
      <c r="AU252" s="329"/>
      <c r="AV252" s="152"/>
      <c r="AW252" s="152"/>
    </row>
    <row r="253" spans="1:49">
      <c r="A253" s="348" t="s">
        <v>370</v>
      </c>
      <c r="B253" s="349" t="s">
        <v>75</v>
      </c>
      <c r="C253" s="349" t="s">
        <v>26</v>
      </c>
      <c r="D253" s="349">
        <v>10</v>
      </c>
      <c r="E253" s="349" t="s">
        <v>149</v>
      </c>
      <c r="F253" s="288">
        <v>1115</v>
      </c>
      <c r="G253" s="351">
        <v>1115</v>
      </c>
      <c r="H253" s="351">
        <v>278.75</v>
      </c>
      <c r="I253" s="445">
        <v>3</v>
      </c>
      <c r="J253" s="379">
        <f>ROUND(G253*(1+'29_01_H_2020'!$O$14),2)</f>
        <v>1398.1</v>
      </c>
      <c r="K253" s="151">
        <f t="shared" si="129"/>
        <v>70.769999999999982</v>
      </c>
      <c r="L253" s="151">
        <f>ROUND(H253*(1+'29_01_H_2020'!$O$14),2)</f>
        <v>349.52</v>
      </c>
      <c r="M253" s="151">
        <f t="shared" si="130"/>
        <v>353.86999999999989</v>
      </c>
      <c r="N253" s="151">
        <f t="shared" si="131"/>
        <v>1061.6099999999997</v>
      </c>
      <c r="O253" s="151">
        <f t="shared" si="127"/>
        <v>12739.319999999996</v>
      </c>
      <c r="P253" s="151">
        <f>ROUND(O253*'29_01_H_2020'!$O$17,2)</f>
        <v>3005.21</v>
      </c>
      <c r="Q253" s="380">
        <f t="shared" si="132"/>
        <v>15744.529999999995</v>
      </c>
      <c r="R253" s="329"/>
      <c r="S253" s="431"/>
      <c r="T253" s="153"/>
      <c r="U253" s="153"/>
      <c r="V253" s="152"/>
      <c r="W253" s="152"/>
      <c r="X253" s="430"/>
      <c r="Y253" s="430"/>
      <c r="Z253" s="430"/>
      <c r="AA253" s="430"/>
      <c r="AB253" s="430"/>
      <c r="AC253" s="430"/>
      <c r="AD253" s="430"/>
      <c r="AE253" s="430"/>
      <c r="AF253" s="430"/>
      <c r="AG253" s="430"/>
      <c r="AH253" s="329"/>
      <c r="AI253" s="152"/>
      <c r="AJ253" s="152"/>
      <c r="AK253" s="430"/>
      <c r="AL253" s="430"/>
      <c r="AM253" s="430"/>
      <c r="AN253" s="430"/>
      <c r="AO253" s="430"/>
      <c r="AP253" s="430"/>
      <c r="AQ253" s="430"/>
      <c r="AR253" s="430"/>
      <c r="AS253" s="430"/>
      <c r="AT253" s="430"/>
      <c r="AU253" s="329"/>
      <c r="AV253" s="152"/>
      <c r="AW253" s="152"/>
    </row>
    <row r="254" spans="1:49">
      <c r="A254" s="348" t="s">
        <v>371</v>
      </c>
      <c r="B254" s="349" t="s">
        <v>75</v>
      </c>
      <c r="C254" s="349" t="s">
        <v>26</v>
      </c>
      <c r="D254" s="349" t="s">
        <v>75</v>
      </c>
      <c r="E254" s="349">
        <v>3</v>
      </c>
      <c r="F254" s="288">
        <v>1287</v>
      </c>
      <c r="G254" s="351">
        <v>1175</v>
      </c>
      <c r="H254" s="351">
        <v>293.75</v>
      </c>
      <c r="I254" s="445">
        <v>0.7</v>
      </c>
      <c r="J254" s="379">
        <f>ROUND(G254*(1+'29_01_H_2020'!$O$14),2)</f>
        <v>1473.33</v>
      </c>
      <c r="K254" s="151">
        <f t="shared" si="129"/>
        <v>74.579999999999984</v>
      </c>
      <c r="L254" s="151">
        <f>ROUND(H254*(1+'29_01_H_2020'!$O$14),2)</f>
        <v>368.33</v>
      </c>
      <c r="M254" s="151">
        <f t="shared" si="130"/>
        <v>372.90999999999985</v>
      </c>
      <c r="N254" s="151">
        <f t="shared" si="131"/>
        <v>261.03699999999986</v>
      </c>
      <c r="O254" s="151">
        <f t="shared" si="127"/>
        <v>3132.4439999999986</v>
      </c>
      <c r="P254" s="151">
        <f>ROUND(O254*'29_01_H_2020'!$O$17,2)</f>
        <v>738.94</v>
      </c>
      <c r="Q254" s="380">
        <f t="shared" si="132"/>
        <v>3871.3839999999987</v>
      </c>
      <c r="R254" s="329"/>
      <c r="S254" s="431"/>
      <c r="T254" s="153"/>
      <c r="U254" s="153"/>
      <c r="V254" s="152"/>
      <c r="W254" s="152"/>
      <c r="X254" s="430"/>
      <c r="Y254" s="430"/>
      <c r="Z254" s="430"/>
      <c r="AA254" s="430"/>
      <c r="AB254" s="430"/>
      <c r="AC254" s="430"/>
      <c r="AD254" s="430"/>
      <c r="AE254" s="430"/>
      <c r="AF254" s="430"/>
      <c r="AG254" s="430"/>
      <c r="AH254" s="329"/>
      <c r="AI254" s="152"/>
      <c r="AJ254" s="152"/>
      <c r="AK254" s="430"/>
      <c r="AL254" s="430"/>
      <c r="AM254" s="430"/>
      <c r="AN254" s="430"/>
      <c r="AO254" s="430"/>
      <c r="AP254" s="430"/>
      <c r="AQ254" s="430"/>
      <c r="AR254" s="430"/>
      <c r="AS254" s="430"/>
      <c r="AT254" s="430"/>
      <c r="AU254" s="329"/>
      <c r="AV254" s="152"/>
      <c r="AW254" s="152"/>
    </row>
    <row r="255" spans="1:49">
      <c r="A255" s="348" t="s">
        <v>62</v>
      </c>
      <c r="B255" s="350" t="s">
        <v>118</v>
      </c>
      <c r="C255" s="350" t="s">
        <v>45</v>
      </c>
      <c r="D255" s="350">
        <v>9</v>
      </c>
      <c r="E255" s="350">
        <v>1</v>
      </c>
      <c r="F255" s="288">
        <v>835</v>
      </c>
      <c r="G255" s="351">
        <v>691</v>
      </c>
      <c r="H255" s="351">
        <v>172.75</v>
      </c>
      <c r="I255" s="445">
        <v>1.2</v>
      </c>
      <c r="J255" s="379">
        <f>ROUND(G255*(1+'29_01_H_2020'!$O$14),2)</f>
        <v>866.44</v>
      </c>
      <c r="K255" s="151">
        <f t="shared" si="129"/>
        <v>43.860000000000014</v>
      </c>
      <c r="L255" s="151">
        <f>ROUND(H255*(1+'29_01_H_2020'!$O$14),2)</f>
        <v>216.61</v>
      </c>
      <c r="M255" s="151">
        <f t="shared" si="130"/>
        <v>219.30000000000018</v>
      </c>
      <c r="N255" s="151">
        <f t="shared" si="131"/>
        <v>263.1600000000002</v>
      </c>
      <c r="O255" s="151">
        <f t="shared" si="127"/>
        <v>3157.9200000000023</v>
      </c>
      <c r="P255" s="151">
        <f>ROUND(O255*'29_01_H_2020'!$O$17,2)</f>
        <v>744.95</v>
      </c>
      <c r="Q255" s="380">
        <f t="shared" si="132"/>
        <v>3902.8700000000026</v>
      </c>
      <c r="R255" s="329"/>
      <c r="S255" s="431"/>
      <c r="T255" s="153"/>
      <c r="U255" s="153"/>
      <c r="V255" s="152"/>
      <c r="W255" s="152"/>
      <c r="X255" s="430"/>
      <c r="Y255" s="430"/>
      <c r="Z255" s="430"/>
      <c r="AA255" s="430"/>
      <c r="AB255" s="430"/>
      <c r="AC255" s="430"/>
      <c r="AD255" s="430"/>
      <c r="AE255" s="430"/>
      <c r="AF255" s="430"/>
      <c r="AG255" s="430"/>
      <c r="AH255" s="329"/>
      <c r="AI255" s="152"/>
      <c r="AJ255" s="152"/>
      <c r="AK255" s="430"/>
      <c r="AL255" s="430"/>
      <c r="AM255" s="430"/>
      <c r="AN255" s="430"/>
      <c r="AO255" s="430"/>
      <c r="AP255" s="430"/>
      <c r="AQ255" s="430"/>
      <c r="AR255" s="430"/>
      <c r="AS255" s="430"/>
      <c r="AT255" s="430"/>
      <c r="AU255" s="329"/>
      <c r="AV255" s="152"/>
      <c r="AW255" s="152"/>
    </row>
    <row r="256" spans="1:49">
      <c r="A256" s="1163" t="s">
        <v>28</v>
      </c>
      <c r="B256" s="1164"/>
      <c r="C256" s="1164"/>
      <c r="D256" s="1164"/>
      <c r="E256" s="1164"/>
      <c r="F256" s="1164"/>
      <c r="G256" s="1164"/>
      <c r="H256" s="1164"/>
      <c r="I256" s="1164"/>
      <c r="J256" s="385"/>
      <c r="K256" s="383"/>
      <c r="L256" s="383"/>
      <c r="M256" s="383"/>
      <c r="N256" s="383"/>
      <c r="O256" s="383"/>
      <c r="P256" s="383"/>
      <c r="Q256" s="386"/>
      <c r="R256" s="152"/>
      <c r="S256" s="152"/>
      <c r="T256" s="152"/>
      <c r="U256" s="152"/>
      <c r="V256" s="152"/>
      <c r="W256" s="152"/>
      <c r="X256" s="152"/>
      <c r="Y256" s="152"/>
      <c r="Z256" s="152"/>
      <c r="AA256" s="152"/>
      <c r="AB256" s="152"/>
      <c r="AC256" s="152"/>
      <c r="AD256" s="152"/>
      <c r="AE256" s="152"/>
      <c r="AF256" s="152"/>
      <c r="AG256" s="152"/>
      <c r="AH256" s="152"/>
      <c r="AI256" s="152"/>
      <c r="AJ256" s="152"/>
      <c r="AK256" s="152"/>
      <c r="AL256" s="152"/>
      <c r="AM256" s="152"/>
      <c r="AN256" s="152"/>
      <c r="AO256" s="152"/>
      <c r="AP256" s="152"/>
      <c r="AQ256" s="152"/>
      <c r="AR256" s="152"/>
      <c r="AS256" s="152"/>
      <c r="AT256" s="152"/>
      <c r="AU256" s="152"/>
      <c r="AV256" s="152"/>
      <c r="AW256" s="152"/>
    </row>
    <row r="257" spans="1:49">
      <c r="A257" s="346" t="s">
        <v>372</v>
      </c>
      <c r="B257" s="349" t="s">
        <v>146</v>
      </c>
      <c r="C257" s="349" t="s">
        <v>13</v>
      </c>
      <c r="D257" s="349">
        <v>11</v>
      </c>
      <c r="E257" s="349">
        <v>3</v>
      </c>
      <c r="F257" s="288">
        <v>1382</v>
      </c>
      <c r="G257" s="336">
        <v>1356</v>
      </c>
      <c r="H257" s="336">
        <v>108.48</v>
      </c>
      <c r="I257" s="480">
        <v>1</v>
      </c>
      <c r="J257" s="379">
        <f>ROUND(G257*(1+'29_01_H_2020'!$O$10),2)</f>
        <v>1700.29</v>
      </c>
      <c r="K257" s="151">
        <f t="shared" ref="K257" si="133">L257-H257</f>
        <v>27.540000000000006</v>
      </c>
      <c r="L257" s="151">
        <f>ROUND(H257*(1+'29_01_H_2020'!$O$10),2)</f>
        <v>136.02000000000001</v>
      </c>
      <c r="M257" s="151">
        <f t="shared" ref="M257" si="134">(J257+L257)-(G257+H257)</f>
        <v>371.82999999999993</v>
      </c>
      <c r="N257" s="151">
        <f t="shared" ref="N257" si="135">M257*I257</f>
        <v>371.82999999999993</v>
      </c>
      <c r="O257" s="151">
        <f t="shared" si="127"/>
        <v>4461.9599999999991</v>
      </c>
      <c r="P257" s="151">
        <f>ROUND(O257*'29_01_H_2020'!$O$17,2)</f>
        <v>1052.58</v>
      </c>
      <c r="Q257" s="380">
        <f t="shared" ref="Q257" si="136">SUM(O257:P257)</f>
        <v>5514.5399999999991</v>
      </c>
      <c r="R257" s="329"/>
      <c r="S257" s="431"/>
      <c r="T257" s="153"/>
      <c r="U257" s="153"/>
      <c r="V257" s="152"/>
      <c r="W257" s="152"/>
      <c r="X257" s="430"/>
      <c r="Y257" s="430"/>
      <c r="Z257" s="430"/>
      <c r="AA257" s="430"/>
      <c r="AB257" s="430"/>
      <c r="AC257" s="430"/>
      <c r="AD257" s="430"/>
      <c r="AE257" s="430"/>
      <c r="AF257" s="430"/>
      <c r="AG257" s="430"/>
      <c r="AH257" s="329"/>
      <c r="AI257" s="152"/>
      <c r="AJ257" s="152"/>
      <c r="AK257" s="430"/>
      <c r="AL257" s="430"/>
      <c r="AM257" s="430"/>
      <c r="AN257" s="430"/>
      <c r="AO257" s="430"/>
      <c r="AP257" s="430"/>
      <c r="AQ257" s="430"/>
      <c r="AR257" s="430"/>
      <c r="AS257" s="430"/>
      <c r="AT257" s="430"/>
      <c r="AU257" s="329"/>
      <c r="AV257" s="152"/>
      <c r="AW257" s="152"/>
    </row>
    <row r="258" spans="1:49">
      <c r="A258" s="346" t="s">
        <v>31</v>
      </c>
      <c r="B258" s="349" t="s">
        <v>118</v>
      </c>
      <c r="C258" s="349" t="s">
        <v>30</v>
      </c>
      <c r="D258" s="349">
        <v>9</v>
      </c>
      <c r="E258" s="349">
        <v>3</v>
      </c>
      <c r="F258" s="288">
        <v>1190</v>
      </c>
      <c r="G258" s="336">
        <v>1054</v>
      </c>
      <c r="H258" s="336">
        <v>200.26</v>
      </c>
      <c r="I258" s="480">
        <v>16</v>
      </c>
      <c r="J258" s="379">
        <f>ROUND(G258*(1+'29_01_H_2020'!$O$10),2)</f>
        <v>1321.61</v>
      </c>
      <c r="K258" s="151">
        <f t="shared" ref="K258:K260" si="137">L258-H258</f>
        <v>50.850000000000023</v>
      </c>
      <c r="L258" s="151">
        <f>ROUND(H258*(1+'29_01_H_2020'!$O$10),2)</f>
        <v>251.11</v>
      </c>
      <c r="M258" s="151">
        <f t="shared" ref="M258:M260" si="138">(J258+L258)-(G258+H258)</f>
        <v>318.45999999999981</v>
      </c>
      <c r="N258" s="151">
        <f t="shared" ref="N258:N260" si="139">M258*I258</f>
        <v>5095.3599999999969</v>
      </c>
      <c r="O258" s="151">
        <f t="shared" si="127"/>
        <v>61144.319999999963</v>
      </c>
      <c r="P258" s="151">
        <f>ROUND(O258*'29_01_H_2020'!$O$17,2)</f>
        <v>14423.95</v>
      </c>
      <c r="Q258" s="380">
        <f t="shared" ref="Q258:Q260" si="140">SUM(O258:P258)</f>
        <v>75568.26999999996</v>
      </c>
      <c r="R258" s="329"/>
      <c r="S258" s="431"/>
      <c r="T258" s="153"/>
      <c r="U258" s="153"/>
      <c r="V258" s="152"/>
      <c r="W258" s="152"/>
      <c r="X258" s="430"/>
      <c r="Y258" s="430"/>
      <c r="Z258" s="430"/>
      <c r="AA258" s="430"/>
      <c r="AB258" s="430"/>
      <c r="AC258" s="430"/>
      <c r="AD258" s="430"/>
      <c r="AE258" s="430"/>
      <c r="AF258" s="430"/>
      <c r="AG258" s="430"/>
      <c r="AH258" s="329"/>
      <c r="AI258" s="152"/>
      <c r="AJ258" s="152"/>
      <c r="AK258" s="430"/>
      <c r="AL258" s="430"/>
      <c r="AM258" s="430"/>
      <c r="AN258" s="430"/>
      <c r="AO258" s="430"/>
      <c r="AP258" s="430"/>
      <c r="AQ258" s="430"/>
      <c r="AR258" s="430"/>
      <c r="AS258" s="430"/>
      <c r="AT258" s="430"/>
      <c r="AU258" s="329"/>
      <c r="AV258" s="152"/>
      <c r="AW258" s="152"/>
    </row>
    <row r="259" spans="1:49">
      <c r="A259" s="346" t="s">
        <v>373</v>
      </c>
      <c r="B259" s="349" t="s">
        <v>75</v>
      </c>
      <c r="C259" s="349" t="s">
        <v>42</v>
      </c>
      <c r="D259" s="349">
        <v>9</v>
      </c>
      <c r="E259" s="349">
        <v>3</v>
      </c>
      <c r="F259" s="288">
        <v>1190</v>
      </c>
      <c r="G259" s="336">
        <v>955</v>
      </c>
      <c r="H259" s="336">
        <v>181.45</v>
      </c>
      <c r="I259" s="480">
        <v>30</v>
      </c>
      <c r="J259" s="379">
        <f>ROUND(G259*(1+'29_01_H_2020'!$O$10),2)</f>
        <v>1197.47</v>
      </c>
      <c r="K259" s="151">
        <f t="shared" si="137"/>
        <v>46.070000000000022</v>
      </c>
      <c r="L259" s="151">
        <f>ROUND(H259*(1+'29_01_H_2020'!$O$10),2)</f>
        <v>227.52</v>
      </c>
      <c r="M259" s="151">
        <f t="shared" si="138"/>
        <v>288.53999999999996</v>
      </c>
      <c r="N259" s="151">
        <f t="shared" si="139"/>
        <v>8656.1999999999989</v>
      </c>
      <c r="O259" s="151">
        <f t="shared" si="127"/>
        <v>103874.4</v>
      </c>
      <c r="P259" s="151">
        <f>ROUND(O259*'29_01_H_2020'!$O$17,2)</f>
        <v>24503.97</v>
      </c>
      <c r="Q259" s="380">
        <f t="shared" si="140"/>
        <v>128378.37</v>
      </c>
      <c r="R259" s="329"/>
      <c r="S259" s="431"/>
      <c r="T259" s="153"/>
      <c r="U259" s="153"/>
      <c r="V259" s="152"/>
      <c r="W259" s="152"/>
      <c r="X259" s="430"/>
      <c r="Y259" s="430"/>
      <c r="Z259" s="430"/>
      <c r="AA259" s="430"/>
      <c r="AB259" s="430"/>
      <c r="AC259" s="430"/>
      <c r="AD259" s="430"/>
      <c r="AE259" s="430"/>
      <c r="AF259" s="430"/>
      <c r="AG259" s="430"/>
      <c r="AH259" s="329"/>
      <c r="AI259" s="152"/>
      <c r="AJ259" s="152"/>
      <c r="AK259" s="430"/>
      <c r="AL259" s="430"/>
      <c r="AM259" s="430"/>
      <c r="AN259" s="430"/>
      <c r="AO259" s="430"/>
      <c r="AP259" s="430"/>
      <c r="AQ259" s="430"/>
      <c r="AR259" s="430"/>
      <c r="AS259" s="430"/>
      <c r="AT259" s="430"/>
      <c r="AU259" s="329"/>
      <c r="AV259" s="152"/>
      <c r="AW259" s="152"/>
    </row>
    <row r="260" spans="1:49">
      <c r="A260" s="346" t="s">
        <v>373</v>
      </c>
      <c r="B260" s="349" t="s">
        <v>75</v>
      </c>
      <c r="C260" s="349" t="s">
        <v>42</v>
      </c>
      <c r="D260" s="349">
        <v>9</v>
      </c>
      <c r="E260" s="349" t="s">
        <v>149</v>
      </c>
      <c r="F260" s="288">
        <v>1015</v>
      </c>
      <c r="G260" s="336">
        <v>813</v>
      </c>
      <c r="H260" s="336">
        <v>154.47</v>
      </c>
      <c r="I260" s="480">
        <v>2.75</v>
      </c>
      <c r="J260" s="379">
        <f>ROUND(G260*(1+'29_01_H_2020'!$O$10),2)</f>
        <v>1019.42</v>
      </c>
      <c r="K260" s="151">
        <f t="shared" si="137"/>
        <v>39.22</v>
      </c>
      <c r="L260" s="151">
        <f>ROUND(H260*(1+'29_01_H_2020'!$O$10),2)</f>
        <v>193.69</v>
      </c>
      <c r="M260" s="151">
        <f t="shared" si="138"/>
        <v>245.63999999999987</v>
      </c>
      <c r="N260" s="151">
        <f t="shared" si="139"/>
        <v>675.50999999999965</v>
      </c>
      <c r="O260" s="151">
        <f t="shared" si="127"/>
        <v>8106.1199999999953</v>
      </c>
      <c r="P260" s="151">
        <f>ROUND(O260*'29_01_H_2020'!$O$17,2)</f>
        <v>1912.23</v>
      </c>
      <c r="Q260" s="380">
        <f t="shared" si="140"/>
        <v>10018.349999999995</v>
      </c>
      <c r="R260" s="329"/>
      <c r="S260" s="431"/>
      <c r="T260" s="153"/>
      <c r="U260" s="153"/>
      <c r="V260" s="152"/>
      <c r="W260" s="152"/>
      <c r="X260" s="430"/>
      <c r="Y260" s="430"/>
      <c r="Z260" s="430"/>
      <c r="AA260" s="430"/>
      <c r="AB260" s="430"/>
      <c r="AC260" s="430"/>
      <c r="AD260" s="430"/>
      <c r="AE260" s="430"/>
      <c r="AF260" s="430"/>
      <c r="AG260" s="430"/>
      <c r="AH260" s="329"/>
      <c r="AI260" s="152"/>
      <c r="AJ260" s="152"/>
      <c r="AK260" s="430"/>
      <c r="AL260" s="430"/>
      <c r="AM260" s="430"/>
      <c r="AN260" s="430"/>
      <c r="AO260" s="430"/>
      <c r="AP260" s="430"/>
      <c r="AQ260" s="430"/>
      <c r="AR260" s="430"/>
      <c r="AS260" s="430"/>
      <c r="AT260" s="430"/>
      <c r="AU260" s="329"/>
      <c r="AV260" s="152"/>
      <c r="AW260" s="152"/>
    </row>
    <row r="261" spans="1:49">
      <c r="A261" s="1163" t="s">
        <v>47</v>
      </c>
      <c r="B261" s="1164"/>
      <c r="C261" s="1164"/>
      <c r="D261" s="1164"/>
      <c r="E261" s="1164"/>
      <c r="F261" s="1164"/>
      <c r="G261" s="1164"/>
      <c r="H261" s="1164"/>
      <c r="I261" s="1164"/>
      <c r="J261" s="385"/>
      <c r="K261" s="383"/>
      <c r="L261" s="383"/>
      <c r="M261" s="383"/>
      <c r="N261" s="383"/>
      <c r="O261" s="383"/>
      <c r="P261" s="383"/>
      <c r="Q261" s="386"/>
      <c r="R261" s="152"/>
      <c r="S261" s="152"/>
      <c r="T261" s="152"/>
      <c r="U261" s="152"/>
      <c r="V261" s="152"/>
      <c r="W261" s="152"/>
      <c r="X261" s="152"/>
      <c r="Y261" s="152"/>
      <c r="Z261" s="152"/>
      <c r="AA261" s="152"/>
      <c r="AB261" s="152"/>
      <c r="AC261" s="152"/>
      <c r="AD261" s="152"/>
      <c r="AE261" s="152"/>
      <c r="AF261" s="152"/>
      <c r="AG261" s="152"/>
      <c r="AH261" s="152"/>
      <c r="AI261" s="152"/>
      <c r="AJ261" s="152"/>
      <c r="AK261" s="152"/>
      <c r="AL261" s="152"/>
      <c r="AM261" s="152"/>
      <c r="AN261" s="152"/>
      <c r="AO261" s="152"/>
      <c r="AP261" s="152"/>
      <c r="AQ261" s="152"/>
      <c r="AR261" s="152"/>
      <c r="AS261" s="152"/>
      <c r="AT261" s="152"/>
      <c r="AU261" s="152"/>
      <c r="AV261" s="152"/>
      <c r="AW261" s="152"/>
    </row>
    <row r="262" spans="1:49">
      <c r="A262" s="348" t="s">
        <v>374</v>
      </c>
      <c r="B262" s="349" t="s">
        <v>75</v>
      </c>
      <c r="C262" s="349" t="s">
        <v>35</v>
      </c>
      <c r="D262" s="349">
        <v>7</v>
      </c>
      <c r="E262" s="349" t="s">
        <v>69</v>
      </c>
      <c r="F262" s="288">
        <v>996</v>
      </c>
      <c r="G262" s="336">
        <v>921</v>
      </c>
      <c r="H262" s="336">
        <v>230.25</v>
      </c>
      <c r="I262" s="480">
        <v>13.05</v>
      </c>
      <c r="J262" s="379">
        <f>ROUND(G262*(1+'29_01_H_2020'!$O$14),2)</f>
        <v>1154.8399999999999</v>
      </c>
      <c r="K262" s="151">
        <f t="shared" ref="K262" si="141">L262-H262</f>
        <v>58.45999999999998</v>
      </c>
      <c r="L262" s="151">
        <f>ROUND(H262*(1+'29_01_H_2020'!$O$14),2)</f>
        <v>288.70999999999998</v>
      </c>
      <c r="M262" s="151">
        <f t="shared" ref="M262" si="142">(J262+L262)-(G262+H262)</f>
        <v>292.29999999999995</v>
      </c>
      <c r="N262" s="151">
        <f t="shared" ref="N262" si="143">M262*I262</f>
        <v>3814.5149999999994</v>
      </c>
      <c r="O262" s="151">
        <f t="shared" si="127"/>
        <v>45774.179999999993</v>
      </c>
      <c r="P262" s="151">
        <f>ROUND(O262*'29_01_H_2020'!$O$17,2)</f>
        <v>10798.13</v>
      </c>
      <c r="Q262" s="380">
        <f t="shared" ref="Q262" si="144">SUM(O262:P262)</f>
        <v>56572.30999999999</v>
      </c>
      <c r="R262" s="329"/>
      <c r="S262" s="431"/>
      <c r="T262" s="153"/>
      <c r="U262" s="153"/>
      <c r="V262" s="152"/>
      <c r="W262" s="152"/>
      <c r="X262" s="430"/>
      <c r="Y262" s="430"/>
      <c r="Z262" s="430"/>
      <c r="AA262" s="430"/>
      <c r="AB262" s="430"/>
      <c r="AC262" s="430"/>
      <c r="AD262" s="430"/>
      <c r="AE262" s="430"/>
      <c r="AF262" s="430"/>
      <c r="AG262" s="430"/>
      <c r="AH262" s="329"/>
      <c r="AI262" s="152"/>
      <c r="AJ262" s="152"/>
      <c r="AK262" s="430"/>
      <c r="AL262" s="430"/>
      <c r="AM262" s="430"/>
      <c r="AN262" s="430"/>
      <c r="AO262" s="430"/>
      <c r="AP262" s="430"/>
      <c r="AQ262" s="430"/>
      <c r="AR262" s="430"/>
      <c r="AS262" s="430"/>
      <c r="AT262" s="430"/>
      <c r="AU262" s="329"/>
      <c r="AV262" s="152"/>
      <c r="AW262" s="152"/>
    </row>
    <row r="263" spans="1:49">
      <c r="A263" s="348" t="s">
        <v>374</v>
      </c>
      <c r="B263" s="349" t="s">
        <v>75</v>
      </c>
      <c r="C263" s="349" t="s">
        <v>35</v>
      </c>
      <c r="D263" s="349">
        <v>7</v>
      </c>
      <c r="E263" s="349" t="s">
        <v>69</v>
      </c>
      <c r="F263" s="288">
        <v>996</v>
      </c>
      <c r="G263" s="336">
        <v>838</v>
      </c>
      <c r="H263" s="336">
        <v>209.5</v>
      </c>
      <c r="I263" s="480">
        <v>4.25</v>
      </c>
      <c r="J263" s="379">
        <f>ROUND(G263*(1+'29_01_H_2020'!$O$14),2)</f>
        <v>1050.77</v>
      </c>
      <c r="K263" s="151">
        <f t="shared" ref="K263:K269" si="145">L263-H263</f>
        <v>53.19</v>
      </c>
      <c r="L263" s="151">
        <f>ROUND(H263*(1+'29_01_H_2020'!$O$14),2)</f>
        <v>262.69</v>
      </c>
      <c r="M263" s="151">
        <f t="shared" ref="M263:M269" si="146">(J263+L263)-(G263+H263)</f>
        <v>265.96000000000004</v>
      </c>
      <c r="N263" s="151">
        <f t="shared" ref="N263:N269" si="147">M263*I263</f>
        <v>1130.3300000000002</v>
      </c>
      <c r="O263" s="151">
        <f t="shared" si="127"/>
        <v>13563.960000000003</v>
      </c>
      <c r="P263" s="151">
        <f>ROUND(O263*'29_01_H_2020'!$O$17,2)</f>
        <v>3199.74</v>
      </c>
      <c r="Q263" s="380">
        <f t="shared" ref="Q263:Q269" si="148">SUM(O263:P263)</f>
        <v>16763.700000000004</v>
      </c>
      <c r="R263" s="329"/>
      <c r="S263" s="431"/>
      <c r="T263" s="153"/>
      <c r="U263" s="153"/>
      <c r="V263" s="152"/>
      <c r="W263" s="152"/>
      <c r="X263" s="430"/>
      <c r="Y263" s="430"/>
      <c r="Z263" s="430"/>
      <c r="AA263" s="430"/>
      <c r="AB263" s="430"/>
      <c r="AC263" s="430"/>
      <c r="AD263" s="430"/>
      <c r="AE263" s="430"/>
      <c r="AF263" s="430"/>
      <c r="AG263" s="430"/>
      <c r="AH263" s="329"/>
      <c r="AI263" s="152"/>
      <c r="AJ263" s="152"/>
      <c r="AK263" s="430"/>
      <c r="AL263" s="430"/>
      <c r="AM263" s="430"/>
      <c r="AN263" s="430"/>
      <c r="AO263" s="430"/>
      <c r="AP263" s="430"/>
      <c r="AQ263" s="430"/>
      <c r="AR263" s="430"/>
      <c r="AS263" s="430"/>
      <c r="AT263" s="430"/>
      <c r="AU263" s="329"/>
      <c r="AV263" s="152"/>
      <c r="AW263" s="152"/>
    </row>
    <row r="264" spans="1:49">
      <c r="A264" s="348" t="s">
        <v>374</v>
      </c>
      <c r="B264" s="349" t="s">
        <v>75</v>
      </c>
      <c r="C264" s="349" t="s">
        <v>35</v>
      </c>
      <c r="D264" s="349">
        <v>7</v>
      </c>
      <c r="E264" s="349" t="s">
        <v>69</v>
      </c>
      <c r="F264" s="288">
        <v>996</v>
      </c>
      <c r="G264" s="336">
        <v>789</v>
      </c>
      <c r="H264" s="336">
        <v>149.91</v>
      </c>
      <c r="I264" s="480">
        <v>1.5</v>
      </c>
      <c r="J264" s="379">
        <f>ROUND(G264*(1+'29_01_H_2020'!$O$14),2)</f>
        <v>989.33</v>
      </c>
      <c r="K264" s="151">
        <f t="shared" si="145"/>
        <v>38.06</v>
      </c>
      <c r="L264" s="151">
        <f>ROUND(H264*(1+'29_01_H_2020'!$O$14),2)</f>
        <v>187.97</v>
      </c>
      <c r="M264" s="151">
        <f t="shared" si="146"/>
        <v>238.39</v>
      </c>
      <c r="N264" s="151">
        <f t="shared" si="147"/>
        <v>357.58499999999998</v>
      </c>
      <c r="O264" s="151">
        <f t="shared" si="127"/>
        <v>4291.0199999999995</v>
      </c>
      <c r="P264" s="151">
        <f>ROUND(O264*'29_01_H_2020'!$O$17,2)</f>
        <v>1012.25</v>
      </c>
      <c r="Q264" s="380">
        <f t="shared" si="148"/>
        <v>5303.2699999999995</v>
      </c>
      <c r="R264" s="329"/>
      <c r="S264" s="431"/>
      <c r="T264" s="153"/>
      <c r="U264" s="153"/>
      <c r="V264" s="152"/>
      <c r="W264" s="152"/>
      <c r="X264" s="430"/>
      <c r="Y264" s="430"/>
      <c r="Z264" s="430"/>
      <c r="AA264" s="430"/>
      <c r="AB264" s="430"/>
      <c r="AC264" s="430"/>
      <c r="AD264" s="430"/>
      <c r="AE264" s="430"/>
      <c r="AF264" s="430"/>
      <c r="AG264" s="430"/>
      <c r="AH264" s="329"/>
      <c r="AI264" s="152"/>
      <c r="AJ264" s="152"/>
      <c r="AK264" s="430"/>
      <c r="AL264" s="430"/>
      <c r="AM264" s="430"/>
      <c r="AN264" s="430"/>
      <c r="AO264" s="430"/>
      <c r="AP264" s="430"/>
      <c r="AQ264" s="430"/>
      <c r="AR264" s="430"/>
      <c r="AS264" s="430"/>
      <c r="AT264" s="430"/>
      <c r="AU264" s="329"/>
      <c r="AV264" s="152"/>
      <c r="AW264" s="152"/>
    </row>
    <row r="265" spans="1:49">
      <c r="A265" s="348" t="s">
        <v>374</v>
      </c>
      <c r="B265" s="349" t="s">
        <v>75</v>
      </c>
      <c r="C265" s="349" t="s">
        <v>35</v>
      </c>
      <c r="D265" s="349">
        <v>7</v>
      </c>
      <c r="E265" s="349" t="s">
        <v>69</v>
      </c>
      <c r="F265" s="288">
        <v>996</v>
      </c>
      <c r="G265" s="336">
        <v>785</v>
      </c>
      <c r="H265" s="336">
        <v>196.25</v>
      </c>
      <c r="I265" s="480">
        <v>0.5</v>
      </c>
      <c r="J265" s="379">
        <f>ROUND(G265*(1+'29_01_H_2020'!$O$14),2)</f>
        <v>984.31</v>
      </c>
      <c r="K265" s="151">
        <f t="shared" si="145"/>
        <v>49.830000000000013</v>
      </c>
      <c r="L265" s="151">
        <f>ROUND(H265*(1+'29_01_H_2020'!$O$14),2)</f>
        <v>246.08</v>
      </c>
      <c r="M265" s="151">
        <f t="shared" si="146"/>
        <v>249.13999999999987</v>
      </c>
      <c r="N265" s="151">
        <f t="shared" si="147"/>
        <v>124.56999999999994</v>
      </c>
      <c r="O265" s="151">
        <f t="shared" si="127"/>
        <v>1494.8399999999992</v>
      </c>
      <c r="P265" s="151">
        <f>ROUND(O265*'29_01_H_2020'!$O$17,2)</f>
        <v>352.63</v>
      </c>
      <c r="Q265" s="380">
        <f t="shared" si="148"/>
        <v>1847.4699999999993</v>
      </c>
      <c r="R265" s="329"/>
      <c r="S265" s="431"/>
      <c r="T265" s="153"/>
      <c r="U265" s="153"/>
      <c r="V265" s="152"/>
      <c r="W265" s="152"/>
      <c r="X265" s="430"/>
      <c r="Y265" s="430"/>
      <c r="Z265" s="430"/>
      <c r="AA265" s="430"/>
      <c r="AB265" s="430"/>
      <c r="AC265" s="430"/>
      <c r="AD265" s="430"/>
      <c r="AE265" s="430"/>
      <c r="AF265" s="430"/>
      <c r="AG265" s="430"/>
      <c r="AH265" s="329"/>
      <c r="AI265" s="152"/>
      <c r="AJ265" s="152"/>
      <c r="AK265" s="430"/>
      <c r="AL265" s="430"/>
      <c r="AM265" s="430"/>
      <c r="AN265" s="430"/>
      <c r="AO265" s="430"/>
      <c r="AP265" s="430"/>
      <c r="AQ265" s="430"/>
      <c r="AR265" s="430"/>
      <c r="AS265" s="430"/>
      <c r="AT265" s="430"/>
      <c r="AU265" s="329"/>
      <c r="AV265" s="152"/>
      <c r="AW265" s="152"/>
    </row>
    <row r="266" spans="1:49">
      <c r="A266" s="348" t="s">
        <v>374</v>
      </c>
      <c r="B266" s="349" t="s">
        <v>75</v>
      </c>
      <c r="C266" s="349" t="s">
        <v>35</v>
      </c>
      <c r="D266" s="349">
        <v>7</v>
      </c>
      <c r="E266" s="349" t="s">
        <v>149</v>
      </c>
      <c r="F266" s="288">
        <v>835</v>
      </c>
      <c r="G266" s="336">
        <v>669</v>
      </c>
      <c r="H266" s="336">
        <v>127.11</v>
      </c>
      <c r="I266" s="480">
        <v>0.75</v>
      </c>
      <c r="J266" s="379">
        <f>ROUND(G266*(1+'29_01_H_2020'!$O$14),2)</f>
        <v>838.86</v>
      </c>
      <c r="K266" s="151">
        <f t="shared" si="145"/>
        <v>32.269999999999996</v>
      </c>
      <c r="L266" s="151">
        <f>ROUND(H266*(1+'29_01_H_2020'!$O$14),2)</f>
        <v>159.38</v>
      </c>
      <c r="M266" s="151">
        <f t="shared" si="146"/>
        <v>202.13</v>
      </c>
      <c r="N266" s="151">
        <f t="shared" si="147"/>
        <v>151.5975</v>
      </c>
      <c r="O266" s="151">
        <f t="shared" si="127"/>
        <v>1819.17</v>
      </c>
      <c r="P266" s="151">
        <f>ROUND(O266*'29_01_H_2020'!$O$17,2)</f>
        <v>429.14</v>
      </c>
      <c r="Q266" s="380">
        <f t="shared" si="148"/>
        <v>2248.31</v>
      </c>
      <c r="R266" s="329"/>
      <c r="S266" s="431"/>
      <c r="T266" s="153"/>
      <c r="U266" s="153"/>
      <c r="V266" s="152"/>
      <c r="W266" s="152"/>
      <c r="X266" s="430"/>
      <c r="Y266" s="430"/>
      <c r="Z266" s="430"/>
      <c r="AA266" s="430"/>
      <c r="AB266" s="430"/>
      <c r="AC266" s="430"/>
      <c r="AD266" s="430"/>
      <c r="AE266" s="430"/>
      <c r="AF266" s="430"/>
      <c r="AG266" s="430"/>
      <c r="AH266" s="329"/>
      <c r="AI266" s="152"/>
      <c r="AJ266" s="152"/>
      <c r="AK266" s="430"/>
      <c r="AL266" s="430"/>
      <c r="AM266" s="430"/>
      <c r="AN266" s="430"/>
      <c r="AO266" s="430"/>
      <c r="AP266" s="430"/>
      <c r="AQ266" s="430"/>
      <c r="AR266" s="430"/>
      <c r="AS266" s="430"/>
      <c r="AT266" s="430"/>
      <c r="AU266" s="329"/>
      <c r="AV266" s="152"/>
      <c r="AW266" s="152"/>
    </row>
    <row r="267" spans="1:49">
      <c r="A267" s="348" t="s">
        <v>48</v>
      </c>
      <c r="B267" s="349" t="s">
        <v>146</v>
      </c>
      <c r="C267" s="349" t="s">
        <v>49</v>
      </c>
      <c r="D267" s="349">
        <v>5</v>
      </c>
      <c r="E267" s="349">
        <v>3</v>
      </c>
      <c r="F267" s="288">
        <v>802</v>
      </c>
      <c r="G267" s="336">
        <v>802</v>
      </c>
      <c r="H267" s="336">
        <v>200.5</v>
      </c>
      <c r="I267" s="480">
        <v>4.25</v>
      </c>
      <c r="J267" s="379">
        <f>ROUND(G267*(1+'29_01_H_2020'!$O$14),2)</f>
        <v>1005.63</v>
      </c>
      <c r="K267" s="151">
        <f t="shared" si="145"/>
        <v>50.91</v>
      </c>
      <c r="L267" s="151">
        <f>ROUND(H267*(1+'29_01_H_2020'!$O$14),2)</f>
        <v>251.41</v>
      </c>
      <c r="M267" s="151">
        <f t="shared" si="146"/>
        <v>254.53999999999996</v>
      </c>
      <c r="N267" s="151">
        <f t="shared" si="147"/>
        <v>1081.7949999999998</v>
      </c>
      <c r="O267" s="151">
        <f t="shared" si="127"/>
        <v>12981.539999999997</v>
      </c>
      <c r="P267" s="151">
        <f>ROUND(O267*'29_01_H_2020'!$O$17,2)</f>
        <v>3062.35</v>
      </c>
      <c r="Q267" s="380">
        <f t="shared" si="148"/>
        <v>16043.889999999998</v>
      </c>
      <c r="R267" s="329"/>
      <c r="S267" s="431"/>
      <c r="T267" s="153"/>
      <c r="U267" s="153"/>
      <c r="V267" s="152"/>
      <c r="W267" s="152"/>
      <c r="X267" s="430"/>
      <c r="Y267" s="430"/>
      <c r="Z267" s="430"/>
      <c r="AA267" s="430"/>
      <c r="AB267" s="430"/>
      <c r="AC267" s="430"/>
      <c r="AD267" s="430"/>
      <c r="AE267" s="430"/>
      <c r="AF267" s="430"/>
      <c r="AG267" s="430"/>
      <c r="AH267" s="329"/>
      <c r="AI267" s="152"/>
      <c r="AJ267" s="152"/>
      <c r="AK267" s="430"/>
      <c r="AL267" s="430"/>
      <c r="AM267" s="430"/>
      <c r="AN267" s="430"/>
      <c r="AO267" s="430"/>
      <c r="AP267" s="430"/>
      <c r="AQ267" s="430"/>
      <c r="AR267" s="430"/>
      <c r="AS267" s="430"/>
      <c r="AT267" s="430"/>
      <c r="AU267" s="329"/>
      <c r="AV267" s="152"/>
      <c r="AW267" s="152"/>
    </row>
    <row r="268" spans="1:49">
      <c r="A268" s="348" t="s">
        <v>375</v>
      </c>
      <c r="B268" s="349" t="s">
        <v>376</v>
      </c>
      <c r="C268" s="349" t="s">
        <v>35</v>
      </c>
      <c r="D268" s="349">
        <v>4</v>
      </c>
      <c r="E268" s="349">
        <v>3</v>
      </c>
      <c r="F268" s="288">
        <v>705</v>
      </c>
      <c r="G268" s="336">
        <v>576</v>
      </c>
      <c r="H268" s="336">
        <v>109.44</v>
      </c>
      <c r="I268" s="480">
        <v>4</v>
      </c>
      <c r="J268" s="379">
        <f>ROUND(G268*(1+'29_01_H_2020'!$O$14),2)</f>
        <v>722.25</v>
      </c>
      <c r="K268" s="151">
        <f t="shared" si="145"/>
        <v>27.789999999999992</v>
      </c>
      <c r="L268" s="151">
        <f>ROUND(H268*(1+'29_01_H_2020'!$O$14),2)</f>
        <v>137.22999999999999</v>
      </c>
      <c r="M268" s="151">
        <f t="shared" si="146"/>
        <v>174.03999999999996</v>
      </c>
      <c r="N268" s="151">
        <f t="shared" si="147"/>
        <v>696.15999999999985</v>
      </c>
      <c r="O268" s="151">
        <f t="shared" si="127"/>
        <v>8353.9199999999983</v>
      </c>
      <c r="P268" s="151">
        <f>ROUND(O268*'29_01_H_2020'!$O$17,2)</f>
        <v>1970.69</v>
      </c>
      <c r="Q268" s="380">
        <f t="shared" si="148"/>
        <v>10324.609999999999</v>
      </c>
      <c r="R268" s="329"/>
      <c r="S268" s="431"/>
      <c r="T268" s="153"/>
      <c r="U268" s="153"/>
      <c r="V268" s="152"/>
      <c r="W268" s="152"/>
      <c r="X268" s="430"/>
      <c r="Y268" s="430"/>
      <c r="Z268" s="430"/>
      <c r="AA268" s="430"/>
      <c r="AB268" s="430"/>
      <c r="AC268" s="430"/>
      <c r="AD268" s="430"/>
      <c r="AE268" s="430"/>
      <c r="AF268" s="430"/>
      <c r="AG268" s="430"/>
      <c r="AH268" s="329"/>
      <c r="AI268" s="152"/>
      <c r="AJ268" s="152"/>
      <c r="AK268" s="430"/>
      <c r="AL268" s="430"/>
      <c r="AM268" s="430"/>
      <c r="AN268" s="430"/>
      <c r="AO268" s="430"/>
      <c r="AP268" s="430"/>
      <c r="AQ268" s="430"/>
      <c r="AR268" s="430"/>
      <c r="AS268" s="430"/>
      <c r="AT268" s="430"/>
      <c r="AU268" s="329"/>
      <c r="AV268" s="152"/>
      <c r="AW268" s="152"/>
    </row>
    <row r="269" spans="1:49" ht="15.75" thickBot="1">
      <c r="A269" s="348" t="s">
        <v>377</v>
      </c>
      <c r="B269" s="349" t="s">
        <v>378</v>
      </c>
      <c r="C269" s="349" t="s">
        <v>37</v>
      </c>
      <c r="D269" s="349" t="s">
        <v>256</v>
      </c>
      <c r="E269" s="349" t="s">
        <v>69</v>
      </c>
      <c r="F269" s="288">
        <v>899</v>
      </c>
      <c r="G269" s="336">
        <v>644</v>
      </c>
      <c r="H269" s="336">
        <v>51.52</v>
      </c>
      <c r="I269" s="480">
        <v>0.75</v>
      </c>
      <c r="J269" s="379">
        <f>ROUND(G269*(1+'29_01_H_2020'!$O$14),2)</f>
        <v>807.51</v>
      </c>
      <c r="K269" s="151">
        <f t="shared" si="145"/>
        <v>13.079999999999991</v>
      </c>
      <c r="L269" s="151">
        <f>ROUND(H269*(1+'29_01_H_2020'!$O$14),2)</f>
        <v>64.599999999999994</v>
      </c>
      <c r="M269" s="151">
        <f t="shared" si="146"/>
        <v>176.59000000000003</v>
      </c>
      <c r="N269" s="151">
        <f t="shared" si="147"/>
        <v>132.44250000000002</v>
      </c>
      <c r="O269" s="151">
        <f t="shared" si="127"/>
        <v>1589.3100000000004</v>
      </c>
      <c r="P269" s="151">
        <f>ROUND(O269*'29_01_H_2020'!$O$17,2)</f>
        <v>374.92</v>
      </c>
      <c r="Q269" s="380">
        <f t="shared" si="148"/>
        <v>1964.2300000000005</v>
      </c>
      <c r="R269" s="329"/>
      <c r="S269" s="431"/>
      <c r="T269" s="153"/>
      <c r="U269" s="153"/>
      <c r="V269" s="152"/>
      <c r="W269" s="152"/>
      <c r="X269" s="430"/>
      <c r="Y269" s="430"/>
      <c r="Z269" s="430"/>
      <c r="AA269" s="430"/>
      <c r="AB269" s="430"/>
      <c r="AC269" s="430"/>
      <c r="AD269" s="430"/>
      <c r="AE269" s="430"/>
      <c r="AF269" s="430"/>
      <c r="AG269" s="430"/>
      <c r="AH269" s="329"/>
      <c r="AI269" s="152"/>
      <c r="AJ269" s="152"/>
      <c r="AK269" s="430"/>
      <c r="AL269" s="430"/>
      <c r="AM269" s="430"/>
      <c r="AN269" s="430"/>
      <c r="AO269" s="430"/>
      <c r="AP269" s="430"/>
      <c r="AQ269" s="430"/>
      <c r="AR269" s="430"/>
      <c r="AS269" s="430"/>
      <c r="AT269" s="430"/>
      <c r="AU269" s="329"/>
      <c r="AV269" s="152"/>
      <c r="AW269" s="152"/>
    </row>
    <row r="270" spans="1:49" ht="15.75" thickBot="1">
      <c r="A270" s="156" t="s">
        <v>55</v>
      </c>
      <c r="B270" s="157" t="s">
        <v>52</v>
      </c>
      <c r="C270" s="157"/>
      <c r="D270" s="157" t="s">
        <v>52</v>
      </c>
      <c r="E270" s="157" t="s">
        <v>52</v>
      </c>
      <c r="F270" s="157" t="s">
        <v>52</v>
      </c>
      <c r="G270" s="157" t="s">
        <v>52</v>
      </c>
      <c r="H270" s="157" t="s">
        <v>52</v>
      </c>
      <c r="I270" s="331">
        <f>SUM(I240:I255,I257:I260,I262:I269)</f>
        <v>132.94999999999999</v>
      </c>
      <c r="J270" s="165"/>
      <c r="K270" s="176"/>
      <c r="L270" s="176"/>
      <c r="M270" s="176"/>
      <c r="N270" s="176"/>
      <c r="O270" s="176"/>
      <c r="P270" s="176"/>
      <c r="Q270" s="166"/>
      <c r="R270" s="152"/>
      <c r="S270" s="152"/>
      <c r="T270" s="152"/>
      <c r="U270" s="152"/>
      <c r="V270" s="152"/>
      <c r="W270" s="152"/>
      <c r="X270" s="152"/>
      <c r="Y270" s="152"/>
      <c r="Z270" s="152"/>
      <c r="AA270" s="152"/>
      <c r="AB270" s="152"/>
      <c r="AC270" s="152"/>
      <c r="AD270" s="152"/>
      <c r="AE270" s="152"/>
      <c r="AF270" s="152"/>
      <c r="AG270" s="152"/>
      <c r="AH270" s="152"/>
      <c r="AI270" s="152"/>
      <c r="AJ270" s="152"/>
      <c r="AK270" s="152"/>
      <c r="AL270" s="152"/>
      <c r="AM270" s="152"/>
      <c r="AN270" s="152"/>
      <c r="AO270" s="152"/>
      <c r="AP270" s="152"/>
      <c r="AQ270" s="152"/>
      <c r="AR270" s="152"/>
      <c r="AS270" s="152"/>
      <c r="AT270" s="152"/>
      <c r="AU270" s="152"/>
      <c r="AV270" s="152"/>
      <c r="AW270" s="152"/>
    </row>
    <row r="271" spans="1:49" ht="15.75" thickBot="1">
      <c r="A271" s="479" t="s">
        <v>55</v>
      </c>
      <c r="B271" s="15" t="s">
        <v>52</v>
      </c>
      <c r="C271" s="16" t="s">
        <v>52</v>
      </c>
      <c r="D271" s="16" t="s">
        <v>52</v>
      </c>
      <c r="E271" s="16" t="s">
        <v>52</v>
      </c>
      <c r="F271" s="17" t="s">
        <v>52</v>
      </c>
      <c r="G271" s="17" t="s">
        <v>52</v>
      </c>
      <c r="H271" s="17" t="s">
        <v>52</v>
      </c>
      <c r="I271" s="432">
        <v>0</v>
      </c>
      <c r="J271" s="475"/>
      <c r="K271" s="476"/>
      <c r="L271" s="476"/>
      <c r="M271" s="476"/>
      <c r="N271" s="476"/>
      <c r="O271" s="476"/>
      <c r="P271" s="476"/>
      <c r="Q271" s="477">
        <f>SUM(Q262:Q269,Q257:Q260,Q240:Q255)</f>
        <v>708770.41399999976</v>
      </c>
      <c r="R271" s="152"/>
      <c r="S271" s="152"/>
      <c r="T271" s="152"/>
      <c r="U271" s="329"/>
      <c r="V271" s="152"/>
      <c r="W271" s="152"/>
      <c r="X271" s="152"/>
      <c r="Y271" s="152"/>
      <c r="Z271" s="152"/>
      <c r="AA271" s="152"/>
      <c r="AB271" s="152"/>
      <c r="AC271" s="152"/>
      <c r="AD271" s="152"/>
      <c r="AE271" s="152"/>
      <c r="AF271" s="152"/>
      <c r="AG271" s="329"/>
      <c r="AH271" s="152"/>
      <c r="AI271" s="152"/>
      <c r="AJ271" s="152"/>
      <c r="AK271" s="152"/>
      <c r="AL271" s="152"/>
      <c r="AM271" s="152"/>
      <c r="AN271" s="152"/>
      <c r="AO271" s="152"/>
      <c r="AP271" s="152"/>
      <c r="AQ271" s="152"/>
      <c r="AR271" s="152"/>
      <c r="AS271" s="152"/>
      <c r="AT271" s="329"/>
      <c r="AU271" s="152"/>
      <c r="AV271" s="152"/>
      <c r="AW271" s="152"/>
    </row>
    <row r="272" spans="1:49" s="333" customFormat="1" ht="15.75" thickBot="1">
      <c r="A272" s="461"/>
      <c r="B272" s="462"/>
      <c r="C272" s="463"/>
      <c r="D272" s="463"/>
      <c r="E272" s="463"/>
      <c r="F272" s="464"/>
      <c r="G272" s="464"/>
      <c r="H272" s="464"/>
      <c r="I272" s="465"/>
      <c r="Q272" s="145"/>
      <c r="R272" s="152"/>
      <c r="S272" s="152"/>
      <c r="T272" s="152"/>
      <c r="U272" s="329"/>
      <c r="V272" s="152"/>
      <c r="W272" s="152"/>
      <c r="X272" s="152"/>
      <c r="Y272" s="152"/>
      <c r="Z272" s="152"/>
      <c r="AA272" s="152"/>
      <c r="AB272" s="152"/>
      <c r="AC272" s="152"/>
      <c r="AD272" s="152"/>
      <c r="AE272" s="152"/>
      <c r="AF272" s="152"/>
      <c r="AG272" s="329"/>
      <c r="AH272" s="152"/>
      <c r="AI272" s="152"/>
      <c r="AJ272" s="152"/>
      <c r="AK272" s="152"/>
      <c r="AL272" s="152"/>
      <c r="AM272" s="152"/>
      <c r="AN272" s="152"/>
      <c r="AO272" s="152"/>
      <c r="AP272" s="152"/>
      <c r="AQ272" s="152"/>
      <c r="AR272" s="152"/>
      <c r="AS272" s="152"/>
      <c r="AT272" s="329"/>
      <c r="AU272" s="152"/>
      <c r="AV272" s="152"/>
      <c r="AW272" s="152"/>
    </row>
    <row r="273" spans="1:58">
      <c r="A273" s="1092" t="s">
        <v>423</v>
      </c>
      <c r="B273" s="1093"/>
      <c r="C273" s="1093"/>
      <c r="D273" s="1093"/>
      <c r="E273" s="1093"/>
      <c r="F273" s="1093"/>
      <c r="G273" s="1093"/>
      <c r="H273" s="1093"/>
      <c r="I273" s="1094"/>
      <c r="J273" s="434"/>
      <c r="K273" s="435"/>
      <c r="L273" s="435"/>
      <c r="M273" s="435"/>
      <c r="N273" s="435"/>
      <c r="O273" s="435"/>
      <c r="P273" s="435"/>
      <c r="Q273" s="436"/>
      <c r="R273" s="152"/>
      <c r="S273" s="152"/>
      <c r="T273" s="152"/>
      <c r="U273" s="152"/>
      <c r="V273" s="152"/>
      <c r="W273" s="152"/>
      <c r="X273" s="152"/>
      <c r="Y273" s="152"/>
      <c r="Z273" s="152"/>
      <c r="AA273" s="152"/>
      <c r="AB273" s="152"/>
      <c r="AC273" s="152"/>
      <c r="AD273" s="152"/>
      <c r="AE273" s="152"/>
      <c r="AF273" s="152"/>
      <c r="AG273" s="152"/>
      <c r="AH273" s="152"/>
      <c r="AI273" s="152"/>
      <c r="AJ273" s="152"/>
      <c r="AK273" s="152"/>
      <c r="AL273" s="152"/>
      <c r="AM273" s="152"/>
      <c r="AN273" s="152"/>
      <c r="AO273" s="152"/>
      <c r="AP273" s="152"/>
      <c r="AQ273" s="152"/>
      <c r="AR273" s="152"/>
      <c r="AS273" s="152"/>
      <c r="AT273" s="152"/>
      <c r="AU273" s="152"/>
      <c r="AV273" s="152"/>
      <c r="AW273" s="152"/>
    </row>
    <row r="274" spans="1:58">
      <c r="A274" s="1176" t="s">
        <v>424</v>
      </c>
      <c r="B274" s="1177"/>
      <c r="C274" s="1177"/>
      <c r="D274" s="1177"/>
      <c r="E274" s="1177"/>
      <c r="F274" s="1177"/>
      <c r="G274" s="1177"/>
      <c r="H274" s="1177"/>
      <c r="I274" s="1177"/>
      <c r="J274" s="165"/>
      <c r="K274" s="176"/>
      <c r="L274" s="176"/>
      <c r="M274" s="176"/>
      <c r="N274" s="176"/>
      <c r="O274" s="176"/>
      <c r="P274" s="176"/>
      <c r="Q274" s="166"/>
      <c r="R274" s="152"/>
      <c r="S274" s="152"/>
      <c r="T274" s="152"/>
      <c r="U274" s="152"/>
      <c r="V274" s="152"/>
      <c r="W274" s="152"/>
      <c r="X274" s="152"/>
      <c r="Y274" s="152"/>
      <c r="Z274" s="152"/>
      <c r="AA274" s="152"/>
      <c r="AB274" s="152"/>
      <c r="AC274" s="152"/>
      <c r="AD274" s="152"/>
      <c r="AE274" s="152"/>
      <c r="AF274" s="152"/>
      <c r="AG274" s="152"/>
      <c r="AH274" s="152"/>
      <c r="AI274" s="152"/>
      <c r="AJ274" s="152"/>
      <c r="AK274" s="152"/>
      <c r="AL274" s="152"/>
      <c r="AM274" s="152"/>
      <c r="AN274" s="152"/>
      <c r="AO274" s="152"/>
      <c r="AP274" s="152"/>
      <c r="AQ274" s="152"/>
      <c r="AR274" s="152"/>
      <c r="AS274" s="152"/>
      <c r="AT274" s="152"/>
      <c r="AU274" s="152"/>
      <c r="AV274" s="152"/>
      <c r="AW274" s="152"/>
    </row>
    <row r="275" spans="1:58">
      <c r="A275" s="1079" t="s">
        <v>11</v>
      </c>
      <c r="B275" s="1080"/>
      <c r="C275" s="1080"/>
      <c r="D275" s="1080"/>
      <c r="E275" s="1080"/>
      <c r="F275" s="1080"/>
      <c r="G275" s="1080"/>
      <c r="H275" s="1080"/>
      <c r="I275" s="1080"/>
      <c r="J275" s="385"/>
      <c r="K275" s="383"/>
      <c r="L275" s="383"/>
      <c r="M275" s="383"/>
      <c r="N275" s="383"/>
      <c r="O275" s="383"/>
      <c r="P275" s="383"/>
      <c r="Q275" s="386"/>
      <c r="R275" s="152"/>
      <c r="S275" s="152"/>
      <c r="T275" s="152"/>
      <c r="U275" s="152"/>
      <c r="V275" s="152"/>
      <c r="W275" s="152"/>
      <c r="X275" s="152"/>
      <c r="Y275" s="152"/>
      <c r="Z275" s="152"/>
      <c r="AA275" s="152"/>
      <c r="AB275" s="152"/>
      <c r="AC275" s="152"/>
      <c r="AD275" s="152"/>
      <c r="AE275" s="152"/>
      <c r="AF275" s="152"/>
      <c r="AG275" s="152"/>
      <c r="AH275" s="152"/>
      <c r="AI275" s="152"/>
      <c r="AJ275" s="152"/>
      <c r="AK275" s="152"/>
      <c r="AL275" s="152"/>
      <c r="AM275" s="152"/>
      <c r="AN275" s="152"/>
      <c r="AO275" s="152"/>
      <c r="AP275" s="152"/>
      <c r="AQ275" s="152"/>
      <c r="AR275" s="152"/>
      <c r="AS275" s="152"/>
      <c r="AT275" s="152"/>
      <c r="AU275" s="152"/>
      <c r="AV275" s="152"/>
      <c r="AW275" s="152"/>
    </row>
    <row r="276" spans="1:58" ht="26.25">
      <c r="A276" s="1" t="s">
        <v>425</v>
      </c>
      <c r="B276" s="343" t="s">
        <v>66</v>
      </c>
      <c r="C276" s="334" t="s">
        <v>79</v>
      </c>
      <c r="D276" s="334">
        <v>14</v>
      </c>
      <c r="E276" s="334">
        <v>3</v>
      </c>
      <c r="F276" s="347">
        <v>2264</v>
      </c>
      <c r="G276" s="345">
        <v>1870</v>
      </c>
      <c r="H276" s="334"/>
      <c r="I276" s="344">
        <v>1</v>
      </c>
      <c r="J276" s="379">
        <f>ROUND(G276*(1+'29_01_H_2020'!$O$14),2)</f>
        <v>2344.79</v>
      </c>
      <c r="K276" s="151">
        <f t="shared" ref="K276" si="149">L276-H276</f>
        <v>0</v>
      </c>
      <c r="L276" s="151">
        <f>ROUND(H276*(1+'29_01_H_2020'!$O$14),2)</f>
        <v>0</v>
      </c>
      <c r="M276" s="151">
        <f t="shared" ref="M276" si="150">(J276+L276)-(G276+H276)</f>
        <v>474.78999999999996</v>
      </c>
      <c r="N276" s="151">
        <f t="shared" ref="N276" si="151">M276*I276</f>
        <v>474.78999999999996</v>
      </c>
      <c r="O276" s="151">
        <f t="shared" ref="O276:O282" si="152">N276*12</f>
        <v>5697.48</v>
      </c>
      <c r="P276" s="151">
        <f>ROUND(O276*'29_01_H_2020'!$O$17,2)</f>
        <v>1344.04</v>
      </c>
      <c r="Q276" s="380">
        <f t="shared" ref="Q276" si="153">SUM(O276:P276)</f>
        <v>7041.5199999999995</v>
      </c>
      <c r="R276" s="329"/>
      <c r="S276" s="431"/>
      <c r="T276" s="153"/>
      <c r="U276" s="153"/>
      <c r="V276" s="152"/>
      <c r="W276" s="152"/>
      <c r="X276" s="430"/>
      <c r="Y276" s="430"/>
      <c r="Z276" s="430"/>
      <c r="AA276" s="430"/>
      <c r="AB276" s="430"/>
      <c r="AC276" s="430"/>
      <c r="AD276" s="430"/>
      <c r="AE276" s="430"/>
      <c r="AF276" s="430"/>
      <c r="AG276" s="430"/>
      <c r="AH276" s="329"/>
      <c r="AI276" s="152"/>
      <c r="AJ276" s="152"/>
      <c r="AK276" s="430"/>
      <c r="AL276" s="430"/>
      <c r="AM276" s="430"/>
      <c r="AN276" s="430"/>
      <c r="AO276" s="430"/>
      <c r="AP276" s="430"/>
      <c r="AQ276" s="430"/>
      <c r="AR276" s="430"/>
      <c r="AS276" s="430"/>
      <c r="AT276" s="430"/>
      <c r="AU276" s="329"/>
      <c r="AV276" s="152"/>
      <c r="AW276" s="152"/>
    </row>
    <row r="277" spans="1:58">
      <c r="A277" s="1" t="s">
        <v>426</v>
      </c>
      <c r="B277" s="343" t="s">
        <v>66</v>
      </c>
      <c r="C277" s="334" t="s">
        <v>13</v>
      </c>
      <c r="D277" s="334">
        <v>12</v>
      </c>
      <c r="E277" s="334">
        <v>3</v>
      </c>
      <c r="F277" s="347">
        <v>1647</v>
      </c>
      <c r="G277" s="345">
        <v>1502</v>
      </c>
      <c r="H277" s="334"/>
      <c r="I277" s="344">
        <v>1</v>
      </c>
      <c r="J277" s="379">
        <f>ROUND(G277*(1+'29_01_H_2020'!$O$14),2)</f>
        <v>1883.36</v>
      </c>
      <c r="K277" s="151">
        <f t="shared" ref="K277:K282" si="154">L277-H277</f>
        <v>0</v>
      </c>
      <c r="L277" s="151">
        <f>ROUND(H277*(1+'29_01_H_2020'!$O$14),2)</f>
        <v>0</v>
      </c>
      <c r="M277" s="151">
        <f t="shared" ref="M277:M282" si="155">(J277+L277)-(G277+H277)</f>
        <v>381.3599999999999</v>
      </c>
      <c r="N277" s="151">
        <f t="shared" ref="N277:N282" si="156">M277*I277</f>
        <v>381.3599999999999</v>
      </c>
      <c r="O277" s="151">
        <f t="shared" si="152"/>
        <v>4576.3199999999988</v>
      </c>
      <c r="P277" s="151">
        <f>ROUND(O277*'29_01_H_2020'!$O$17,2)</f>
        <v>1079.55</v>
      </c>
      <c r="Q277" s="380">
        <f t="shared" ref="Q277:Q282" si="157">SUM(O277:P277)</f>
        <v>5655.869999999999</v>
      </c>
      <c r="R277" s="329"/>
      <c r="S277" s="431"/>
      <c r="T277" s="153"/>
      <c r="U277" s="153"/>
      <c r="V277" s="152"/>
      <c r="W277" s="152"/>
      <c r="X277" s="430"/>
      <c r="Y277" s="430"/>
      <c r="Z277" s="430"/>
      <c r="AA277" s="430"/>
      <c r="AB277" s="430"/>
      <c r="AC277" s="430"/>
      <c r="AD277" s="430"/>
      <c r="AE277" s="430"/>
      <c r="AF277" s="430"/>
      <c r="AG277" s="430"/>
      <c r="AH277" s="329"/>
      <c r="AI277" s="152"/>
      <c r="AJ277" s="152"/>
      <c r="AK277" s="430"/>
      <c r="AL277" s="430"/>
      <c r="AM277" s="430"/>
      <c r="AN277" s="430"/>
      <c r="AO277" s="430"/>
      <c r="AP277" s="430"/>
      <c r="AQ277" s="430"/>
      <c r="AR277" s="430"/>
      <c r="AS277" s="430"/>
      <c r="AT277" s="430"/>
      <c r="AU277" s="329"/>
      <c r="AV277" s="152"/>
      <c r="AW277" s="152"/>
    </row>
    <row r="278" spans="1:58" ht="26.25">
      <c r="A278" s="1" t="s">
        <v>427</v>
      </c>
      <c r="B278" s="343" t="s">
        <v>66</v>
      </c>
      <c r="C278" s="334" t="s">
        <v>19</v>
      </c>
      <c r="D278" s="334">
        <v>11</v>
      </c>
      <c r="E278" s="334">
        <v>3</v>
      </c>
      <c r="F278" s="347">
        <v>1382</v>
      </c>
      <c r="G278" s="345">
        <v>1250</v>
      </c>
      <c r="H278" s="334"/>
      <c r="I278" s="344">
        <v>5</v>
      </c>
      <c r="J278" s="379">
        <f>ROUND(G278*(1+'29_01_H_2020'!$O$14),2)</f>
        <v>1567.38</v>
      </c>
      <c r="K278" s="151">
        <f t="shared" si="154"/>
        <v>0</v>
      </c>
      <c r="L278" s="151">
        <f>ROUND(H278*(1+'29_01_H_2020'!$O$14),2)</f>
        <v>0</v>
      </c>
      <c r="M278" s="151">
        <f t="shared" si="155"/>
        <v>317.38000000000011</v>
      </c>
      <c r="N278" s="151">
        <f t="shared" si="156"/>
        <v>1586.9000000000005</v>
      </c>
      <c r="O278" s="151">
        <f t="shared" si="152"/>
        <v>19042.800000000007</v>
      </c>
      <c r="P278" s="151">
        <f>ROUND(O278*'29_01_H_2020'!$O$17,2)</f>
        <v>4492.2</v>
      </c>
      <c r="Q278" s="380">
        <f t="shared" si="157"/>
        <v>23535.000000000007</v>
      </c>
      <c r="R278" s="329"/>
      <c r="S278" s="431"/>
      <c r="T278" s="153"/>
      <c r="U278" s="153"/>
      <c r="V278" s="152"/>
      <c r="W278" s="152"/>
      <c r="X278" s="430"/>
      <c r="Y278" s="430"/>
      <c r="Z278" s="430"/>
      <c r="AA278" s="430"/>
      <c r="AB278" s="430"/>
      <c r="AC278" s="430"/>
      <c r="AD278" s="430"/>
      <c r="AE278" s="430"/>
      <c r="AF278" s="430"/>
      <c r="AG278" s="430"/>
      <c r="AH278" s="329"/>
      <c r="AI278" s="152"/>
      <c r="AJ278" s="152"/>
      <c r="AK278" s="430"/>
      <c r="AL278" s="430"/>
      <c r="AM278" s="430"/>
      <c r="AN278" s="430"/>
      <c r="AO278" s="430"/>
      <c r="AP278" s="430"/>
      <c r="AQ278" s="430"/>
      <c r="AR278" s="430"/>
      <c r="AS278" s="430"/>
      <c r="AT278" s="430"/>
      <c r="AU278" s="329"/>
      <c r="AV278" s="152"/>
      <c r="AW278" s="152"/>
    </row>
    <row r="279" spans="1:58" ht="26.25">
      <c r="A279" s="1" t="s">
        <v>427</v>
      </c>
      <c r="B279" s="343" t="s">
        <v>66</v>
      </c>
      <c r="C279" s="340" t="s">
        <v>71</v>
      </c>
      <c r="D279" s="340">
        <v>11</v>
      </c>
      <c r="E279" s="226">
        <v>3</v>
      </c>
      <c r="F279" s="347">
        <v>1382</v>
      </c>
      <c r="G279" s="345">
        <v>1250</v>
      </c>
      <c r="H279" s="334"/>
      <c r="I279" s="344">
        <v>2</v>
      </c>
      <c r="J279" s="379">
        <f>ROUND(G279*(1+'29_01_H_2020'!$O$14),2)</f>
        <v>1567.38</v>
      </c>
      <c r="K279" s="151">
        <f t="shared" si="154"/>
        <v>0</v>
      </c>
      <c r="L279" s="151">
        <f>ROUND(H279*(1+'29_01_H_2020'!$O$14),2)</f>
        <v>0</v>
      </c>
      <c r="M279" s="151">
        <f t="shared" si="155"/>
        <v>317.38000000000011</v>
      </c>
      <c r="N279" s="151">
        <f t="shared" si="156"/>
        <v>634.76000000000022</v>
      </c>
      <c r="O279" s="151">
        <f t="shared" si="152"/>
        <v>7617.1200000000026</v>
      </c>
      <c r="P279" s="151">
        <f>ROUND(O279*'29_01_H_2020'!$O$17,2)</f>
        <v>1796.88</v>
      </c>
      <c r="Q279" s="380">
        <f t="shared" si="157"/>
        <v>9414.0000000000036</v>
      </c>
      <c r="R279" s="329"/>
      <c r="S279" s="431"/>
      <c r="T279" s="153"/>
      <c r="U279" s="153"/>
      <c r="V279" s="152"/>
      <c r="W279" s="152"/>
      <c r="X279" s="430"/>
      <c r="Y279" s="430"/>
      <c r="Z279" s="430"/>
      <c r="AA279" s="430"/>
      <c r="AB279" s="430"/>
      <c r="AC279" s="430"/>
      <c r="AD279" s="430"/>
      <c r="AE279" s="430"/>
      <c r="AF279" s="430"/>
      <c r="AG279" s="430"/>
      <c r="AH279" s="329"/>
      <c r="AI279" s="152"/>
      <c r="AJ279" s="152"/>
      <c r="AK279" s="430"/>
      <c r="AL279" s="430"/>
      <c r="AM279" s="430"/>
      <c r="AN279" s="430"/>
      <c r="AO279" s="430"/>
      <c r="AP279" s="430"/>
      <c r="AQ279" s="430"/>
      <c r="AR279" s="430"/>
      <c r="AS279" s="430"/>
      <c r="AT279" s="430"/>
      <c r="AU279" s="329"/>
      <c r="AV279" s="152"/>
      <c r="AW279" s="152"/>
    </row>
    <row r="280" spans="1:58">
      <c r="A280" s="1" t="s">
        <v>645</v>
      </c>
      <c r="B280" s="343" t="s">
        <v>66</v>
      </c>
      <c r="C280" s="340" t="s">
        <v>71</v>
      </c>
      <c r="D280" s="340">
        <v>10</v>
      </c>
      <c r="E280" s="226">
        <v>1</v>
      </c>
      <c r="F280" s="347">
        <v>1287</v>
      </c>
      <c r="G280" s="345">
        <v>829</v>
      </c>
      <c r="H280" s="334"/>
      <c r="I280" s="344">
        <v>1</v>
      </c>
      <c r="J280" s="379">
        <f>ROUND(G280*(1+'29_01_H_2020'!$O$14),2)</f>
        <v>1039.48</v>
      </c>
      <c r="K280" s="151">
        <f t="shared" si="154"/>
        <v>0</v>
      </c>
      <c r="L280" s="151">
        <f>ROUND(H280*(1+'29_01_H_2020'!$O$14),2)</f>
        <v>0</v>
      </c>
      <c r="M280" s="151">
        <f t="shared" si="155"/>
        <v>210.48000000000002</v>
      </c>
      <c r="N280" s="151">
        <f t="shared" si="156"/>
        <v>210.48000000000002</v>
      </c>
      <c r="O280" s="151">
        <f t="shared" si="152"/>
        <v>2525.7600000000002</v>
      </c>
      <c r="P280" s="151">
        <f>ROUND(O280*'29_01_H_2020'!$O$17,2)</f>
        <v>595.83000000000004</v>
      </c>
      <c r="Q280" s="380">
        <f t="shared" si="157"/>
        <v>3121.59</v>
      </c>
      <c r="R280" s="329"/>
      <c r="S280" s="431"/>
      <c r="T280" s="153"/>
      <c r="U280" s="153"/>
      <c r="V280" s="152"/>
      <c r="W280" s="152"/>
      <c r="X280" s="430"/>
      <c r="Y280" s="430"/>
      <c r="Z280" s="430"/>
      <c r="AA280" s="430"/>
      <c r="AB280" s="430"/>
      <c r="AC280" s="430"/>
      <c r="AD280" s="430"/>
      <c r="AE280" s="430"/>
      <c r="AF280" s="430"/>
      <c r="AG280" s="430"/>
      <c r="AH280" s="329"/>
      <c r="AI280" s="152"/>
      <c r="AJ280" s="152"/>
      <c r="AK280" s="430"/>
      <c r="AL280" s="430"/>
      <c r="AM280" s="430"/>
      <c r="AN280" s="430"/>
      <c r="AO280" s="430"/>
      <c r="AP280" s="430"/>
      <c r="AQ280" s="430"/>
      <c r="AR280" s="430"/>
      <c r="AS280" s="430"/>
      <c r="AT280" s="430"/>
      <c r="AU280" s="329"/>
      <c r="AV280" s="152"/>
      <c r="AW280" s="152"/>
    </row>
    <row r="281" spans="1:58" ht="39">
      <c r="A281" s="1" t="s">
        <v>428</v>
      </c>
      <c r="B281" s="343" t="s">
        <v>66</v>
      </c>
      <c r="C281" s="334" t="s">
        <v>13</v>
      </c>
      <c r="D281" s="334">
        <v>12</v>
      </c>
      <c r="E281" s="334">
        <v>3</v>
      </c>
      <c r="F281" s="347">
        <v>1647</v>
      </c>
      <c r="G281" s="345">
        <v>1570</v>
      </c>
      <c r="H281" s="334"/>
      <c r="I281" s="344">
        <v>1</v>
      </c>
      <c r="J281" s="379">
        <f>ROUND(G281*(1+'29_01_H_2020'!$O$14),2)</f>
        <v>1968.62</v>
      </c>
      <c r="K281" s="151">
        <f t="shared" si="154"/>
        <v>0</v>
      </c>
      <c r="L281" s="151">
        <f>ROUND(H281*(1+'29_01_H_2020'!$O$14),2)</f>
        <v>0</v>
      </c>
      <c r="M281" s="151">
        <f t="shared" si="155"/>
        <v>398.61999999999989</v>
      </c>
      <c r="N281" s="151">
        <f t="shared" si="156"/>
        <v>398.61999999999989</v>
      </c>
      <c r="O281" s="151">
        <f t="shared" si="152"/>
        <v>4783.4399999999987</v>
      </c>
      <c r="P281" s="151">
        <f>ROUND(O281*'29_01_H_2020'!$O$17,2)</f>
        <v>1128.4100000000001</v>
      </c>
      <c r="Q281" s="380">
        <f t="shared" si="157"/>
        <v>5911.8499999999985</v>
      </c>
      <c r="R281" s="329"/>
      <c r="S281" s="431"/>
      <c r="T281" s="153"/>
      <c r="U281" s="153"/>
      <c r="V281" s="152"/>
      <c r="W281" s="152"/>
      <c r="X281" s="430"/>
      <c r="Y281" s="430"/>
      <c r="Z281" s="430"/>
      <c r="AA281" s="430"/>
      <c r="AB281" s="430"/>
      <c r="AC281" s="430"/>
      <c r="AD281" s="430"/>
      <c r="AE281" s="430"/>
      <c r="AF281" s="430"/>
      <c r="AG281" s="430"/>
      <c r="AH281" s="329"/>
      <c r="AI281" s="152"/>
      <c r="AJ281" s="152"/>
      <c r="AK281" s="430"/>
      <c r="AL281" s="430"/>
      <c r="AM281" s="430"/>
      <c r="AN281" s="430"/>
      <c r="AO281" s="430"/>
      <c r="AP281" s="430"/>
      <c r="AQ281" s="430"/>
      <c r="AR281" s="430"/>
      <c r="AS281" s="430"/>
      <c r="AT281" s="430"/>
      <c r="AU281" s="329"/>
      <c r="AV281" s="152"/>
      <c r="AW281" s="152"/>
    </row>
    <row r="282" spans="1:58" ht="27" thickBot="1">
      <c r="A282" s="1" t="s">
        <v>429</v>
      </c>
      <c r="B282" s="343" t="s">
        <v>66</v>
      </c>
      <c r="C282" s="340" t="s">
        <v>19</v>
      </c>
      <c r="D282" s="226">
        <v>11</v>
      </c>
      <c r="E282" s="226">
        <v>3</v>
      </c>
      <c r="F282" s="347">
        <v>1382</v>
      </c>
      <c r="G282" s="345">
        <v>1250</v>
      </c>
      <c r="H282" s="334"/>
      <c r="I282" s="344">
        <v>4</v>
      </c>
      <c r="J282" s="379">
        <f>ROUND(G282*(1+'29_01_H_2020'!$O$14),2)</f>
        <v>1567.38</v>
      </c>
      <c r="K282" s="151">
        <f t="shared" si="154"/>
        <v>0</v>
      </c>
      <c r="L282" s="151">
        <f>ROUND(H282*(1+'29_01_H_2020'!$O$14),2)</f>
        <v>0</v>
      </c>
      <c r="M282" s="151">
        <f t="shared" si="155"/>
        <v>317.38000000000011</v>
      </c>
      <c r="N282" s="151">
        <f t="shared" si="156"/>
        <v>1269.5200000000004</v>
      </c>
      <c r="O282" s="151">
        <f t="shared" si="152"/>
        <v>15234.240000000005</v>
      </c>
      <c r="P282" s="151">
        <f>ROUND(O282*'29_01_H_2020'!$O$17,2)</f>
        <v>3593.76</v>
      </c>
      <c r="Q282" s="380">
        <f t="shared" si="157"/>
        <v>18828.000000000007</v>
      </c>
      <c r="R282" s="329"/>
      <c r="S282" s="431"/>
      <c r="T282" s="153"/>
      <c r="U282" s="153"/>
      <c r="V282" s="152"/>
      <c r="W282" s="152"/>
      <c r="X282" s="430"/>
      <c r="Y282" s="430"/>
      <c r="Z282" s="430"/>
      <c r="AA282" s="430"/>
      <c r="AB282" s="430"/>
      <c r="AC282" s="430"/>
      <c r="AD282" s="430"/>
      <c r="AE282" s="430"/>
      <c r="AF282" s="430"/>
      <c r="AG282" s="430"/>
      <c r="AH282" s="329"/>
      <c r="AI282" s="152"/>
      <c r="AJ282" s="152"/>
      <c r="AK282" s="430"/>
      <c r="AL282" s="430"/>
      <c r="AM282" s="430"/>
      <c r="AN282" s="430"/>
      <c r="AO282" s="430"/>
      <c r="AP282" s="430"/>
      <c r="AQ282" s="430"/>
      <c r="AR282" s="430"/>
      <c r="AS282" s="430"/>
      <c r="AT282" s="430"/>
      <c r="AU282" s="329"/>
      <c r="AV282" s="152"/>
      <c r="AW282" s="152"/>
    </row>
    <row r="283" spans="1:58" ht="15.75" thickBot="1">
      <c r="A283" s="156" t="s">
        <v>55</v>
      </c>
      <c r="B283" s="157" t="s">
        <v>52</v>
      </c>
      <c r="C283" s="157"/>
      <c r="D283" s="157" t="s">
        <v>52</v>
      </c>
      <c r="E283" s="157" t="s">
        <v>52</v>
      </c>
      <c r="F283" s="157" t="s">
        <v>52</v>
      </c>
      <c r="G283" s="157" t="s">
        <v>52</v>
      </c>
      <c r="H283" s="157" t="s">
        <v>52</v>
      </c>
      <c r="I283" s="331">
        <f>SUM(I276:I282)</f>
        <v>15</v>
      </c>
      <c r="J283" s="389"/>
      <c r="K283" s="390"/>
      <c r="L283" s="390"/>
      <c r="M283" s="390"/>
      <c r="N283" s="390"/>
      <c r="O283" s="390"/>
      <c r="P283" s="390"/>
      <c r="Q283" s="474">
        <f>SUM(Q276:Q282)</f>
        <v>73507.830000000016</v>
      </c>
      <c r="R283" s="152"/>
      <c r="S283" s="152"/>
      <c r="T283" s="152"/>
      <c r="U283" s="329"/>
      <c r="V283" s="152"/>
      <c r="W283" s="152"/>
      <c r="X283" s="152"/>
      <c r="Y283" s="152"/>
      <c r="Z283" s="152"/>
      <c r="AA283" s="152"/>
      <c r="AB283" s="152"/>
      <c r="AC283" s="152"/>
      <c r="AD283" s="152"/>
      <c r="AE283" s="152"/>
      <c r="AF283" s="152"/>
      <c r="AG283" s="329"/>
      <c r="AH283" s="152"/>
      <c r="AI283" s="152"/>
      <c r="AJ283" s="152"/>
      <c r="AK283" s="152"/>
      <c r="AL283" s="152"/>
      <c r="AM283" s="152"/>
      <c r="AN283" s="152"/>
      <c r="AO283" s="152"/>
      <c r="AP283" s="152"/>
      <c r="AQ283" s="152"/>
      <c r="AR283" s="152"/>
      <c r="AS283" s="152"/>
      <c r="AT283" s="329"/>
      <c r="AU283" s="152"/>
      <c r="AV283" s="152"/>
      <c r="AW283" s="152"/>
    </row>
    <row r="284" spans="1:58">
      <c r="A284" s="481"/>
      <c r="B284" s="481"/>
      <c r="C284" s="481"/>
      <c r="D284" s="481"/>
      <c r="E284" s="481"/>
      <c r="F284" s="481"/>
      <c r="G284" s="481"/>
      <c r="H284" s="481"/>
      <c r="I284" s="482"/>
      <c r="R284" s="152"/>
      <c r="S284" s="152"/>
      <c r="T284" s="152"/>
      <c r="U284" s="152"/>
      <c r="V284" s="152"/>
      <c r="W284" s="152"/>
      <c r="X284" s="152"/>
      <c r="Y284" s="152"/>
      <c r="Z284" s="152"/>
      <c r="AA284" s="152"/>
      <c r="AB284" s="152"/>
      <c r="AC284" s="152"/>
      <c r="AD284" s="152"/>
      <c r="AE284" s="152"/>
      <c r="AF284" s="152"/>
      <c r="AG284" s="152"/>
      <c r="AH284" s="152"/>
      <c r="AI284" s="152"/>
      <c r="AJ284" s="152"/>
      <c r="AK284" s="152"/>
      <c r="AL284" s="152"/>
      <c r="AM284" s="152"/>
      <c r="AN284" s="152"/>
      <c r="AO284" s="152"/>
      <c r="AP284" s="152"/>
      <c r="AQ284" s="152"/>
      <c r="AR284" s="152"/>
      <c r="AS284" s="152"/>
      <c r="AT284" s="152"/>
      <c r="AU284" s="152"/>
      <c r="AV284" s="152"/>
      <c r="AW284" s="152"/>
    </row>
    <row r="285" spans="1:58">
      <c r="A285" s="483"/>
      <c r="B285" s="470"/>
      <c r="C285" s="470"/>
      <c r="D285" s="470"/>
      <c r="E285" s="470"/>
      <c r="F285" s="470"/>
      <c r="G285" s="470"/>
      <c r="H285" s="470"/>
      <c r="I285" s="484"/>
      <c r="K285" s="152"/>
      <c r="L285" s="152"/>
      <c r="M285" s="357"/>
      <c r="N285" s="357"/>
      <c r="O285" s="357"/>
      <c r="P285" s="357"/>
      <c r="Q285" s="357"/>
      <c r="R285" s="152"/>
      <c r="S285" s="152"/>
      <c r="T285" s="325"/>
      <c r="U285" s="325"/>
      <c r="V285" s="152"/>
      <c r="W285" s="152"/>
      <c r="X285" s="152"/>
      <c r="Y285" s="357"/>
      <c r="Z285" s="357"/>
      <c r="AA285" s="357"/>
      <c r="AB285" s="357"/>
      <c r="AC285" s="357"/>
      <c r="AD285" s="357"/>
      <c r="AE285" s="325"/>
      <c r="AF285" s="325"/>
      <c r="AG285" s="325"/>
      <c r="AH285" s="152"/>
      <c r="AI285" s="152"/>
      <c r="AJ285" s="152"/>
      <c r="AK285" s="152"/>
      <c r="AL285" s="357"/>
      <c r="AM285" s="357"/>
      <c r="AN285" s="357"/>
      <c r="AO285" s="357"/>
      <c r="AP285" s="357"/>
      <c r="AQ285" s="357"/>
      <c r="AR285" s="325"/>
      <c r="AS285" s="325"/>
      <c r="AT285" s="325"/>
      <c r="AU285" s="152"/>
      <c r="AV285" s="152"/>
      <c r="AW285" s="152"/>
      <c r="AX285" s="152"/>
      <c r="AY285" s="152"/>
      <c r="AZ285" s="152"/>
      <c r="BA285" s="152"/>
      <c r="BB285" s="152"/>
      <c r="BC285" s="152"/>
      <c r="BD285" s="152"/>
      <c r="BE285" s="152"/>
      <c r="BF285" s="152"/>
    </row>
    <row r="286" spans="1:58">
      <c r="A286" s="152"/>
      <c r="B286" s="152"/>
      <c r="C286" s="152"/>
      <c r="D286" s="152"/>
      <c r="E286" s="152"/>
      <c r="F286" s="152"/>
      <c r="G286" s="152"/>
      <c r="H286" s="152"/>
      <c r="I286" s="152"/>
      <c r="K286" s="152"/>
      <c r="L286" s="152"/>
      <c r="M286" s="357"/>
      <c r="N286" s="357"/>
      <c r="O286" s="357"/>
      <c r="P286" s="357"/>
      <c r="Q286" s="357"/>
      <c r="R286" s="152"/>
      <c r="S286" s="152"/>
      <c r="T286" s="324"/>
      <c r="U286" s="326"/>
      <c r="V286" s="152"/>
      <c r="W286" s="152"/>
      <c r="X286" s="152"/>
      <c r="Y286" s="357"/>
      <c r="Z286" s="357"/>
      <c r="AA286" s="357"/>
      <c r="AB286" s="357"/>
      <c r="AC286" s="357"/>
      <c r="AD286" s="357"/>
      <c r="AE286" s="324"/>
      <c r="AF286" s="324"/>
      <c r="AG286" s="326"/>
      <c r="AH286" s="152"/>
      <c r="AI286" s="152"/>
      <c r="AJ286" s="152"/>
      <c r="AK286" s="152"/>
      <c r="AL286" s="357"/>
      <c r="AM286" s="357"/>
      <c r="AN286" s="357"/>
      <c r="AO286" s="357"/>
      <c r="AP286" s="357"/>
      <c r="AQ286" s="357"/>
      <c r="AR286" s="324"/>
      <c r="AS286" s="324"/>
      <c r="AT286" s="326"/>
      <c r="AU286" s="152"/>
      <c r="AV286" s="152"/>
      <c r="AW286" s="152"/>
      <c r="AX286" s="152"/>
      <c r="AY286" s="152"/>
      <c r="AZ286" s="152"/>
      <c r="BA286" s="152"/>
      <c r="BB286" s="152"/>
      <c r="BC286" s="152"/>
      <c r="BD286" s="152"/>
      <c r="BE286" s="152"/>
      <c r="BF286" s="152"/>
    </row>
    <row r="287" spans="1:58">
      <c r="K287" s="152"/>
      <c r="L287" s="152"/>
      <c r="M287" s="152"/>
      <c r="N287" s="152"/>
      <c r="O287" s="152"/>
      <c r="P287" s="152"/>
      <c r="Q287" s="152"/>
      <c r="R287" s="152"/>
      <c r="S287" s="152"/>
      <c r="T287" s="152"/>
      <c r="U287" s="152"/>
      <c r="V287" s="152"/>
      <c r="W287" s="152"/>
      <c r="X287" s="152"/>
      <c r="Y287" s="152"/>
      <c r="Z287" s="152"/>
      <c r="AA287" s="152"/>
      <c r="AB287" s="152"/>
      <c r="AC287" s="152"/>
      <c r="AD287" s="152"/>
      <c r="AE287" s="152"/>
      <c r="AF287" s="152"/>
      <c r="AG287" s="152"/>
      <c r="AH287" s="152"/>
      <c r="AI287" s="152"/>
      <c r="AJ287" s="152"/>
      <c r="AK287" s="152"/>
      <c r="AL287" s="152"/>
      <c r="AM287" s="152"/>
      <c r="AN287" s="152"/>
      <c r="AO287" s="152"/>
      <c r="AP287" s="152"/>
      <c r="AQ287" s="152"/>
      <c r="AR287" s="152"/>
      <c r="AS287" s="152"/>
      <c r="AT287" s="152"/>
      <c r="AU287" s="152"/>
      <c r="AV287" s="152"/>
      <c r="AW287" s="152"/>
      <c r="AX287" s="152"/>
      <c r="AY287" s="152"/>
      <c r="AZ287" s="152"/>
      <c r="BA287" s="152"/>
      <c r="BB287" s="152"/>
      <c r="BC287" s="152"/>
      <c r="BD287" s="152"/>
      <c r="BE287" s="152"/>
      <c r="BF287" s="152"/>
    </row>
    <row r="288" spans="1:58">
      <c r="K288" s="152"/>
      <c r="L288" s="152"/>
      <c r="M288" s="152"/>
      <c r="N288" s="152"/>
      <c r="O288" s="152"/>
      <c r="P288" s="152"/>
      <c r="Q288" s="328"/>
      <c r="R288" s="152"/>
      <c r="S288" s="152"/>
      <c r="T288" s="152"/>
      <c r="U288" s="152"/>
      <c r="V288" s="152"/>
      <c r="W288" s="152"/>
      <c r="X288" s="152"/>
      <c r="Y288" s="152"/>
      <c r="Z288" s="152"/>
      <c r="AA288" s="152"/>
      <c r="AB288" s="152"/>
      <c r="AC288" s="152"/>
      <c r="AD288" s="152"/>
      <c r="AE288" s="152"/>
      <c r="AF288" s="152"/>
      <c r="AG288" s="152"/>
      <c r="AH288" s="152"/>
      <c r="AI288" s="152"/>
      <c r="AJ288" s="152"/>
      <c r="AK288" s="152"/>
      <c r="AL288" s="152"/>
      <c r="AM288" s="152"/>
      <c r="AN288" s="152"/>
      <c r="AO288" s="152"/>
      <c r="AP288" s="152"/>
      <c r="AQ288" s="152"/>
      <c r="AR288" s="152"/>
      <c r="AS288" s="152"/>
      <c r="AT288" s="152"/>
      <c r="AU288" s="152"/>
      <c r="AV288" s="152"/>
      <c r="AW288" s="152"/>
      <c r="AX288" s="152"/>
      <c r="AY288" s="152"/>
      <c r="AZ288" s="152"/>
      <c r="BA288" s="152"/>
      <c r="BB288" s="152"/>
      <c r="BC288" s="152"/>
      <c r="BD288" s="152"/>
      <c r="BE288" s="152"/>
      <c r="BF288" s="152"/>
    </row>
    <row r="289" spans="11:58">
      <c r="K289" s="152"/>
      <c r="L289" s="152"/>
      <c r="M289" s="152"/>
      <c r="N289" s="152"/>
      <c r="O289" s="152"/>
      <c r="P289" s="152"/>
      <c r="Q289" s="152"/>
      <c r="R289" s="152"/>
      <c r="S289" s="152"/>
      <c r="T289" s="152"/>
      <c r="U289" s="152"/>
      <c r="V289" s="152"/>
      <c r="W289" s="152"/>
      <c r="X289" s="152"/>
      <c r="Y289" s="152"/>
      <c r="Z289" s="152"/>
      <c r="AA289" s="152"/>
      <c r="AB289" s="152"/>
      <c r="AC289" s="152"/>
      <c r="AD289" s="152"/>
      <c r="AE289" s="152"/>
      <c r="AF289" s="152"/>
      <c r="AG289" s="152"/>
      <c r="AH289" s="152"/>
      <c r="AI289" s="152"/>
      <c r="AJ289" s="152"/>
      <c r="AK289" s="152"/>
      <c r="AL289" s="152"/>
      <c r="AM289" s="152"/>
      <c r="AN289" s="152"/>
      <c r="AO289" s="152"/>
      <c r="AP289" s="152"/>
      <c r="AQ289" s="152"/>
      <c r="AR289" s="152"/>
      <c r="AS289" s="152"/>
      <c r="AT289" s="152"/>
      <c r="AU289" s="152"/>
      <c r="AV289" s="152"/>
      <c r="AW289" s="152"/>
      <c r="AX289" s="152"/>
      <c r="AY289" s="152"/>
      <c r="AZ289" s="152"/>
      <c r="BA289" s="152"/>
      <c r="BB289" s="152"/>
      <c r="BC289" s="152"/>
      <c r="BD289" s="152"/>
      <c r="BE289" s="152"/>
      <c r="BF289" s="152"/>
    </row>
    <row r="290" spans="11:58">
      <c r="K290" s="152"/>
      <c r="L290" s="152"/>
      <c r="M290" s="152"/>
      <c r="N290" s="152"/>
      <c r="O290" s="152"/>
      <c r="P290" s="152"/>
      <c r="Q290" s="152"/>
      <c r="R290" s="152"/>
      <c r="S290" s="152"/>
      <c r="T290" s="152"/>
      <c r="U290" s="152"/>
      <c r="V290" s="152"/>
      <c r="W290" s="152"/>
      <c r="X290" s="152"/>
      <c r="Y290" s="152"/>
      <c r="Z290" s="152"/>
      <c r="AA290" s="152"/>
      <c r="AB290" s="152"/>
      <c r="AC290" s="152"/>
      <c r="AD290" s="152"/>
      <c r="AE290" s="152"/>
      <c r="AF290" s="152"/>
      <c r="AG290" s="152"/>
      <c r="AH290" s="152"/>
      <c r="AI290" s="152"/>
      <c r="AJ290" s="152"/>
      <c r="AK290" s="152"/>
      <c r="AL290" s="152"/>
      <c r="AM290" s="152"/>
      <c r="AN290" s="152"/>
      <c r="AO290" s="152"/>
      <c r="AP290" s="152"/>
      <c r="AQ290" s="152"/>
      <c r="AR290" s="152"/>
      <c r="AS290" s="152"/>
      <c r="AT290" s="152"/>
      <c r="AU290" s="152"/>
      <c r="AV290" s="152"/>
      <c r="AW290" s="152"/>
      <c r="AX290" s="152"/>
      <c r="AY290" s="152"/>
      <c r="AZ290" s="152"/>
      <c r="BA290" s="152"/>
      <c r="BB290" s="152"/>
      <c r="BC290" s="152"/>
      <c r="BD290" s="152"/>
      <c r="BE290" s="152"/>
      <c r="BF290" s="152"/>
    </row>
    <row r="291" spans="11:58">
      <c r="K291" s="152"/>
      <c r="L291" s="152"/>
      <c r="M291" s="152"/>
      <c r="N291" s="152"/>
      <c r="O291" s="152"/>
      <c r="P291" s="152"/>
      <c r="Q291" s="152"/>
      <c r="R291" s="152"/>
      <c r="S291" s="152"/>
      <c r="T291" s="152"/>
      <c r="U291" s="152"/>
      <c r="V291" s="152"/>
      <c r="W291" s="152"/>
      <c r="X291" s="152"/>
      <c r="Y291" s="152"/>
      <c r="Z291" s="152"/>
      <c r="AA291" s="152"/>
      <c r="AB291" s="152"/>
      <c r="AC291" s="152"/>
      <c r="AD291" s="152"/>
      <c r="AE291" s="152"/>
      <c r="AF291" s="152"/>
      <c r="AG291" s="152"/>
      <c r="AH291" s="152"/>
      <c r="AI291" s="152"/>
      <c r="AJ291" s="152"/>
      <c r="AK291" s="152"/>
      <c r="AL291" s="152"/>
      <c r="AM291" s="152"/>
      <c r="AN291" s="152"/>
      <c r="AO291" s="152"/>
      <c r="AP291" s="152"/>
      <c r="AQ291" s="152"/>
      <c r="AR291" s="152"/>
      <c r="AS291" s="152"/>
      <c r="AT291" s="152"/>
      <c r="AU291" s="152"/>
      <c r="AV291" s="152"/>
      <c r="AW291" s="152"/>
      <c r="AX291" s="152"/>
      <c r="AY291" s="152"/>
      <c r="AZ291" s="152"/>
      <c r="BA291" s="152"/>
      <c r="BB291" s="152"/>
      <c r="BC291" s="152"/>
      <c r="BD291" s="152"/>
      <c r="BE291" s="152"/>
      <c r="BF291" s="152"/>
    </row>
    <row r="292" spans="11:58">
      <c r="K292" s="152"/>
      <c r="L292" s="152"/>
      <c r="M292" s="152"/>
      <c r="N292" s="152"/>
      <c r="O292" s="152"/>
      <c r="P292" s="152"/>
      <c r="Q292" s="152"/>
      <c r="R292" s="152"/>
      <c r="S292" s="152"/>
      <c r="T292" s="152"/>
      <c r="U292" s="152"/>
      <c r="V292" s="152"/>
      <c r="W292" s="152"/>
      <c r="X292" s="152"/>
      <c r="Y292" s="152"/>
      <c r="Z292" s="152"/>
      <c r="AA292" s="152"/>
      <c r="AB292" s="152"/>
      <c r="AC292" s="152"/>
      <c r="AD292" s="152"/>
      <c r="AE292" s="152"/>
      <c r="AF292" s="152"/>
      <c r="AG292" s="152"/>
      <c r="AH292" s="152"/>
      <c r="AI292" s="152"/>
      <c r="AJ292" s="152"/>
      <c r="AK292" s="152"/>
      <c r="AL292" s="152"/>
      <c r="AM292" s="152"/>
      <c r="AN292" s="152"/>
      <c r="AO292" s="152"/>
      <c r="AP292" s="152"/>
      <c r="AQ292" s="152"/>
      <c r="AR292" s="152"/>
      <c r="AS292" s="152"/>
      <c r="AT292" s="152"/>
      <c r="AU292" s="152"/>
      <c r="AV292" s="152"/>
      <c r="AW292" s="152"/>
      <c r="AX292" s="152"/>
      <c r="AY292" s="152"/>
      <c r="AZ292" s="152"/>
      <c r="BA292" s="152"/>
      <c r="BB292" s="152"/>
      <c r="BC292" s="152"/>
      <c r="BD292" s="152"/>
      <c r="BE292" s="152"/>
      <c r="BF292" s="152"/>
    </row>
    <row r="293" spans="11:58">
      <c r="K293" s="152"/>
      <c r="L293" s="152"/>
      <c r="M293" s="152"/>
      <c r="N293" s="152"/>
      <c r="O293" s="152"/>
      <c r="P293" s="152"/>
      <c r="Q293" s="152"/>
      <c r="R293" s="152"/>
      <c r="S293" s="152"/>
      <c r="T293" s="152"/>
      <c r="U293" s="152"/>
      <c r="V293" s="152"/>
      <c r="W293" s="152"/>
      <c r="X293" s="152"/>
      <c r="Y293" s="152"/>
      <c r="Z293" s="152"/>
      <c r="AA293" s="152"/>
      <c r="AB293" s="152"/>
      <c r="AC293" s="152"/>
      <c r="AD293" s="152"/>
      <c r="AE293" s="152"/>
      <c r="AF293" s="152"/>
      <c r="AG293" s="152"/>
      <c r="AH293" s="152"/>
      <c r="AI293" s="152"/>
      <c r="AJ293" s="152"/>
      <c r="AK293" s="152"/>
      <c r="AL293" s="152"/>
      <c r="AM293" s="152"/>
      <c r="AN293" s="152"/>
      <c r="AO293" s="152"/>
      <c r="AP293" s="152"/>
      <c r="AQ293" s="152"/>
      <c r="AR293" s="152"/>
      <c r="AS293" s="152"/>
      <c r="AT293" s="152"/>
      <c r="AU293" s="152"/>
      <c r="AV293" s="152"/>
      <c r="AW293" s="152"/>
      <c r="AX293" s="152"/>
      <c r="AY293" s="152"/>
      <c r="AZ293" s="152"/>
      <c r="BA293" s="152"/>
      <c r="BB293" s="152"/>
      <c r="BC293" s="152"/>
      <c r="BD293" s="152"/>
      <c r="BE293" s="152"/>
      <c r="BF293" s="152"/>
    </row>
  </sheetData>
  <mergeCells count="36">
    <mergeCell ref="A2:Q2"/>
    <mergeCell ref="A6:I6"/>
    <mergeCell ref="N90:O90"/>
    <mergeCell ref="AA102:AD102"/>
    <mergeCell ref="A53:I53"/>
    <mergeCell ref="A89:I89"/>
    <mergeCell ref="A90:I90"/>
    <mergeCell ref="A66:I66"/>
    <mergeCell ref="A54:I54"/>
    <mergeCell ref="A82:I82"/>
    <mergeCell ref="A274:I274"/>
    <mergeCell ref="A275:I275"/>
    <mergeCell ref="A194:I194"/>
    <mergeCell ref="A206:I206"/>
    <mergeCell ref="A237:I237"/>
    <mergeCell ref="A238:I238"/>
    <mergeCell ref="A261:I261"/>
    <mergeCell ref="A256:I256"/>
    <mergeCell ref="A239:I239"/>
    <mergeCell ref="A205:I205"/>
    <mergeCell ref="P1:Q1"/>
    <mergeCell ref="AN102:AQ102"/>
    <mergeCell ref="A207:I207"/>
    <mergeCell ref="A273:I273"/>
    <mergeCell ref="A45:I45"/>
    <mergeCell ref="A91:I91"/>
    <mergeCell ref="A94:I94"/>
    <mergeCell ref="A99:I99"/>
    <mergeCell ref="A196:F196"/>
    <mergeCell ref="A106:I106"/>
    <mergeCell ref="A105:I105"/>
    <mergeCell ref="A107:I107"/>
    <mergeCell ref="AN103:AQ103"/>
    <mergeCell ref="A52:I52"/>
    <mergeCell ref="A29:I29"/>
    <mergeCell ref="AA103:AD103"/>
  </mergeCells>
  <pageMargins left="0.23622047244094491" right="0.23622047244094491" top="0.74803149606299213" bottom="0.74803149606299213" header="0.31496062992125984" footer="0.31496062992125984"/>
  <pageSetup paperSize="9" scale="65" orientation="landscape" verticalDpi="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EB173-90B8-4D6E-84E1-0954A406924B}">
  <dimension ref="A1:L110"/>
  <sheetViews>
    <sheetView zoomScaleNormal="100" workbookViewId="0">
      <selection activeCell="L7" sqref="L7"/>
    </sheetView>
  </sheetViews>
  <sheetFormatPr defaultRowHeight="15"/>
  <cols>
    <col min="1" max="1" width="40.140625" customWidth="1"/>
    <col min="2" max="2" width="10.42578125" customWidth="1"/>
    <col min="6" max="6" width="9.85546875" bestFit="1" customWidth="1"/>
    <col min="7" max="7" width="13.140625" customWidth="1"/>
    <col min="8" max="8" width="14" bestFit="1" customWidth="1"/>
    <col min="10" max="10" width="14" bestFit="1" customWidth="1"/>
    <col min="12" max="12" width="14" bestFit="1" customWidth="1"/>
  </cols>
  <sheetData>
    <row r="1" spans="1:8">
      <c r="F1" s="1147" t="s">
        <v>721</v>
      </c>
      <c r="G1" s="1147"/>
    </row>
    <row r="2" spans="1:8">
      <c r="A2" s="1189" t="s">
        <v>495</v>
      </c>
      <c r="B2" s="1189"/>
      <c r="C2" s="1189"/>
      <c r="D2" s="1189"/>
      <c r="E2" s="1189"/>
      <c r="F2" s="1189"/>
    </row>
    <row r="3" spans="1:8">
      <c r="A3" s="1189"/>
      <c r="B3" s="1189"/>
      <c r="C3" s="1189"/>
      <c r="D3" s="1189"/>
      <c r="E3" s="1189"/>
      <c r="F3" s="1189"/>
    </row>
    <row r="4" spans="1:8" ht="15.75" thickBot="1">
      <c r="G4" s="507" t="s">
        <v>489</v>
      </c>
    </row>
    <row r="5" spans="1:8" ht="15.75">
      <c r="A5" s="1184" t="s">
        <v>0</v>
      </c>
      <c r="B5" s="1185"/>
      <c r="C5" s="1185"/>
      <c r="D5" s="1185"/>
      <c r="E5" s="1185"/>
      <c r="F5" s="1185"/>
      <c r="G5" s="1186"/>
    </row>
    <row r="6" spans="1:8">
      <c r="A6" s="1190" t="s">
        <v>151</v>
      </c>
      <c r="B6" s="1192" t="s">
        <v>152</v>
      </c>
      <c r="C6" s="1194" t="s">
        <v>153</v>
      </c>
      <c r="D6" s="1194" t="s">
        <v>154</v>
      </c>
      <c r="E6" s="1194" t="s">
        <v>322</v>
      </c>
      <c r="F6" s="1196" t="s">
        <v>155</v>
      </c>
      <c r="G6" s="1183" t="s">
        <v>681</v>
      </c>
    </row>
    <row r="7" spans="1:8" ht="68.25" customHeight="1" thickBot="1">
      <c r="A7" s="1191"/>
      <c r="B7" s="1193"/>
      <c r="C7" s="1195"/>
      <c r="D7" s="1195"/>
      <c r="E7" s="1195"/>
      <c r="F7" s="1197"/>
      <c r="G7" s="1148"/>
    </row>
    <row r="8" spans="1:8" ht="15.75" thickBot="1">
      <c r="A8" s="1081" t="s">
        <v>112</v>
      </c>
      <c r="B8" s="1082"/>
      <c r="C8" s="1082"/>
      <c r="D8" s="1082"/>
      <c r="E8" s="1082"/>
      <c r="F8" s="1082"/>
      <c r="G8" s="516"/>
    </row>
    <row r="9" spans="1:8">
      <c r="A9" s="1187" t="s">
        <v>150</v>
      </c>
      <c r="B9" s="1188"/>
      <c r="C9" s="1188"/>
      <c r="D9" s="1188"/>
      <c r="E9" s="1188"/>
      <c r="F9" s="1188"/>
      <c r="G9" s="316"/>
    </row>
    <row r="10" spans="1:8">
      <c r="A10" s="58" t="s">
        <v>156</v>
      </c>
      <c r="B10" s="59"/>
      <c r="C10" s="60"/>
      <c r="D10" s="60"/>
      <c r="E10" s="60"/>
      <c r="F10" s="509"/>
      <c r="G10" s="672">
        <f>G11+G47</f>
        <v>8380164.7599999998</v>
      </c>
    </row>
    <row r="11" spans="1:8">
      <c r="A11" s="53" t="s">
        <v>216</v>
      </c>
      <c r="B11" s="51"/>
      <c r="C11" s="52"/>
      <c r="D11" s="52"/>
      <c r="E11" s="52"/>
      <c r="F11" s="510"/>
      <c r="G11" s="673">
        <f>SUM(G12:G46)</f>
        <v>1944271.5899999999</v>
      </c>
    </row>
    <row r="12" spans="1:8">
      <c r="A12" s="43" t="s">
        <v>159</v>
      </c>
      <c r="B12" s="275">
        <v>4</v>
      </c>
      <c r="C12" s="293">
        <v>1613</v>
      </c>
      <c r="D12" s="110">
        <v>45.164000000000001</v>
      </c>
      <c r="E12" s="110"/>
      <c r="F12" s="354">
        <v>6632.6559999999999</v>
      </c>
      <c r="G12" s="304">
        <f>ROUND((C12+D12+E12)*('29_01_H_2020'!$O$14)*B12*12*(1+'29_01_H_2020'!$O$17),2)</f>
        <v>24975.53</v>
      </c>
      <c r="H12" s="145"/>
    </row>
    <row r="13" spans="1:8">
      <c r="A13" s="43" t="s">
        <v>158</v>
      </c>
      <c r="B13" s="275">
        <v>4</v>
      </c>
      <c r="C13" s="293">
        <v>1920</v>
      </c>
      <c r="D13" s="110">
        <v>53.76</v>
      </c>
      <c r="E13" s="110"/>
      <c r="F13" s="354">
        <v>9868.7999999999993</v>
      </c>
      <c r="G13" s="304">
        <f>ROUND((C13+D13+E13)*('29_01_H_2020'!$O$14)*B13*12*(1+'29_01_H_2020'!$O$17),2)</f>
        <v>29729.09</v>
      </c>
      <c r="H13" s="145"/>
    </row>
    <row r="14" spans="1:8">
      <c r="A14" s="43" t="s">
        <v>184</v>
      </c>
      <c r="B14" s="275">
        <v>3</v>
      </c>
      <c r="C14" s="293">
        <v>1520</v>
      </c>
      <c r="D14" s="110">
        <v>42.56</v>
      </c>
      <c r="E14" s="110"/>
      <c r="F14" s="354">
        <v>4687.68</v>
      </c>
      <c r="G14" s="304">
        <f>ROUND((C14+D14+E14)*('29_01_H_2020'!$O$14)*B14*12*(1+'29_01_H_2020'!$O$17),2)</f>
        <v>17651.650000000001</v>
      </c>
      <c r="H14" s="145"/>
    </row>
    <row r="15" spans="1:8" ht="25.5">
      <c r="A15" s="43" t="s">
        <v>160</v>
      </c>
      <c r="B15" s="275">
        <v>28.5</v>
      </c>
      <c r="C15" s="293">
        <v>1590</v>
      </c>
      <c r="D15" s="110">
        <v>44.52</v>
      </c>
      <c r="E15" s="110">
        <v>791.02499999999998</v>
      </c>
      <c r="F15" s="354">
        <v>69128.032500000001</v>
      </c>
      <c r="G15" s="304">
        <f>ROUND((C15+D15+E15)*('29_01_H_2020'!$O$14)*B15*12*(1+'29_01_H_2020'!$O$17),2)</f>
        <v>260304.38</v>
      </c>
      <c r="H15" s="145"/>
    </row>
    <row r="16" spans="1:8">
      <c r="A16" s="43" t="s">
        <v>161</v>
      </c>
      <c r="B16" s="275">
        <v>38</v>
      </c>
      <c r="C16" s="293">
        <v>1390</v>
      </c>
      <c r="D16" s="110">
        <v>38.92</v>
      </c>
      <c r="E16" s="110">
        <v>691.52499999999998</v>
      </c>
      <c r="F16" s="354">
        <v>80576.91</v>
      </c>
      <c r="G16" s="304">
        <f>ROUND((C16+D16+E16)*('29_01_H_2020'!$O$14)*B16*12*(1+'29_01_H_2020'!$O$17),2)</f>
        <v>303415.59000000003</v>
      </c>
      <c r="H16" s="145"/>
    </row>
    <row r="17" spans="1:8" ht="25.5">
      <c r="A17" s="43" t="s">
        <v>619</v>
      </c>
      <c r="B17" s="275">
        <v>9.5</v>
      </c>
      <c r="C17" s="293">
        <v>1515</v>
      </c>
      <c r="D17" s="110">
        <v>42.42</v>
      </c>
      <c r="E17" s="110">
        <v>753.71249999999998</v>
      </c>
      <c r="F17" s="354">
        <v>21955.758750000001</v>
      </c>
      <c r="G17" s="304">
        <f>ROUND((C17+D17+E17)*('29_01_H_2020'!$O$14)*B17*12*(1+'29_01_H_2020'!$O$17),2)</f>
        <v>82675.289999999994</v>
      </c>
      <c r="H17" s="145"/>
    </row>
    <row r="18" spans="1:8">
      <c r="A18" s="43" t="s">
        <v>620</v>
      </c>
      <c r="B18" s="275">
        <v>4.75</v>
      </c>
      <c r="C18" s="293">
        <v>1590</v>
      </c>
      <c r="D18" s="110">
        <v>44.52</v>
      </c>
      <c r="E18" s="110">
        <v>791.02499999999998</v>
      </c>
      <c r="F18" s="354">
        <v>11521.338750000001</v>
      </c>
      <c r="G18" s="304">
        <f>ROUND((C18+D18+E18)*('29_01_H_2020'!$O$14)*B18*12*(1+'29_01_H_2020'!$O$17),2)</f>
        <v>43384.06</v>
      </c>
      <c r="H18" s="145"/>
    </row>
    <row r="19" spans="1:8">
      <c r="A19" s="43" t="s">
        <v>163</v>
      </c>
      <c r="B19" s="275">
        <v>9.5</v>
      </c>
      <c r="C19" s="293">
        <v>1590</v>
      </c>
      <c r="D19" s="110">
        <v>44.52</v>
      </c>
      <c r="E19" s="110">
        <v>791.02499999999998</v>
      </c>
      <c r="F19" s="354">
        <v>23042.677500000002</v>
      </c>
      <c r="G19" s="304">
        <f>ROUND((C19+D19+E19)*('29_01_H_2020'!$O$14)*B19*12*(1+'29_01_H_2020'!$O$17),2)</f>
        <v>86768.13</v>
      </c>
      <c r="H19" s="145"/>
    </row>
    <row r="20" spans="1:8">
      <c r="A20" s="43" t="s">
        <v>162</v>
      </c>
      <c r="B20" s="275">
        <v>4.75</v>
      </c>
      <c r="C20" s="293">
        <v>1590</v>
      </c>
      <c r="D20" s="110">
        <v>44.52</v>
      </c>
      <c r="E20" s="110">
        <v>791.02499999999998</v>
      </c>
      <c r="F20" s="354">
        <v>11521.338750000001</v>
      </c>
      <c r="G20" s="304">
        <f>ROUND((C20+D20+E20)*('29_01_H_2020'!$O$14)*B20*12*(1+'29_01_H_2020'!$O$17),2)</f>
        <v>43384.06</v>
      </c>
      <c r="H20" s="145"/>
    </row>
    <row r="21" spans="1:8">
      <c r="A21" s="43" t="s">
        <v>162</v>
      </c>
      <c r="B21" s="275">
        <v>4.75</v>
      </c>
      <c r="C21" s="293">
        <v>2120</v>
      </c>
      <c r="D21" s="110">
        <v>59.36</v>
      </c>
      <c r="E21" s="110"/>
      <c r="F21" s="354">
        <v>10351.960000000001</v>
      </c>
      <c r="G21" s="304">
        <f>ROUND((C21+D21+E21)*('29_01_H_2020'!$O$14)*B21*12*(1+'29_01_H_2020'!$O$17),2)</f>
        <v>38980.720000000001</v>
      </c>
      <c r="H21" s="145"/>
    </row>
    <row r="22" spans="1:8">
      <c r="A22" s="43" t="s">
        <v>164</v>
      </c>
      <c r="B22" s="275">
        <v>4.75</v>
      </c>
      <c r="C22" s="293">
        <v>2120</v>
      </c>
      <c r="D22" s="110">
        <v>59.36</v>
      </c>
      <c r="E22" s="110"/>
      <c r="F22" s="354">
        <v>10351.960000000001</v>
      </c>
      <c r="G22" s="304">
        <f>ROUND((C22+D22+E22)*('29_01_H_2020'!$O$14)*B22*12*(1+'29_01_H_2020'!$O$17),2)</f>
        <v>38980.720000000001</v>
      </c>
      <c r="H22" s="145"/>
    </row>
    <row r="23" spans="1:8">
      <c r="A23" s="43" t="s">
        <v>165</v>
      </c>
      <c r="B23" s="275">
        <v>4.75</v>
      </c>
      <c r="C23" s="293">
        <v>2120</v>
      </c>
      <c r="D23" s="110">
        <v>59.36</v>
      </c>
      <c r="E23" s="110"/>
      <c r="F23" s="354">
        <v>10351.960000000001</v>
      </c>
      <c r="G23" s="304">
        <f>ROUND((C23+D23+E23)*('29_01_H_2020'!$O$14)*B23*12*(1+'29_01_H_2020'!$O$17),2)</f>
        <v>38980.720000000001</v>
      </c>
      <c r="H23" s="145"/>
    </row>
    <row r="24" spans="1:8">
      <c r="A24" s="43" t="s">
        <v>166</v>
      </c>
      <c r="B24" s="275">
        <v>4.75</v>
      </c>
      <c r="C24" s="293">
        <v>2120</v>
      </c>
      <c r="D24" s="110">
        <v>59.36</v>
      </c>
      <c r="E24" s="110"/>
      <c r="F24" s="354">
        <v>10351.960000000001</v>
      </c>
      <c r="G24" s="304">
        <f>ROUND((C24+D24+E24)*('29_01_H_2020'!$O$14)*B24*12*(1+'29_01_H_2020'!$O$17),2)</f>
        <v>38980.720000000001</v>
      </c>
      <c r="H24" s="145"/>
    </row>
    <row r="25" spans="1:8">
      <c r="A25" s="43" t="s">
        <v>167</v>
      </c>
      <c r="B25" s="275">
        <v>4.75</v>
      </c>
      <c r="C25" s="293">
        <v>2120</v>
      </c>
      <c r="D25" s="110">
        <v>59.36</v>
      </c>
      <c r="E25" s="110"/>
      <c r="F25" s="354">
        <v>10351.960000000001</v>
      </c>
      <c r="G25" s="304">
        <f>ROUND((C25+D25+E25)*('29_01_H_2020'!$O$14)*B25*12*(1+'29_01_H_2020'!$O$17),2)</f>
        <v>38980.720000000001</v>
      </c>
      <c r="H25" s="145"/>
    </row>
    <row r="26" spans="1:8">
      <c r="A26" s="43" t="s">
        <v>168</v>
      </c>
      <c r="B26" s="275">
        <v>4.75</v>
      </c>
      <c r="C26" s="293">
        <v>2120</v>
      </c>
      <c r="D26" s="110">
        <v>59.36</v>
      </c>
      <c r="E26" s="110"/>
      <c r="F26" s="354">
        <v>10351.960000000001</v>
      </c>
      <c r="G26" s="304">
        <f>ROUND((C26+D26+E26)*('29_01_H_2020'!$O$14)*B26*12*(1+'29_01_H_2020'!$O$17),2)</f>
        <v>38980.720000000001</v>
      </c>
      <c r="H26" s="145"/>
    </row>
    <row r="27" spans="1:8">
      <c r="A27" s="43" t="s">
        <v>169</v>
      </c>
      <c r="B27" s="275">
        <v>4.75</v>
      </c>
      <c r="C27" s="293">
        <v>2120</v>
      </c>
      <c r="D27" s="110">
        <v>59.36</v>
      </c>
      <c r="E27" s="110"/>
      <c r="F27" s="354">
        <v>10351.960000000001</v>
      </c>
      <c r="G27" s="304">
        <f>ROUND((C27+D27+E27)*('29_01_H_2020'!$O$14)*B27*12*(1+'29_01_H_2020'!$O$17),2)</f>
        <v>38980.720000000001</v>
      </c>
      <c r="H27" s="145"/>
    </row>
    <row r="28" spans="1:8">
      <c r="A28" s="43" t="s">
        <v>170</v>
      </c>
      <c r="B28" s="275">
        <v>4.75</v>
      </c>
      <c r="C28" s="293">
        <v>2120</v>
      </c>
      <c r="D28" s="110">
        <v>59.36</v>
      </c>
      <c r="E28" s="110"/>
      <c r="F28" s="354">
        <v>10351.960000000001</v>
      </c>
      <c r="G28" s="304">
        <f>ROUND((C28+D28+E28)*('29_01_H_2020'!$O$14)*B28*12*(1+'29_01_H_2020'!$O$17),2)</f>
        <v>38980.720000000001</v>
      </c>
      <c r="H28" s="145"/>
    </row>
    <row r="29" spans="1:8">
      <c r="A29" s="43" t="s">
        <v>171</v>
      </c>
      <c r="B29" s="275">
        <v>4.75</v>
      </c>
      <c r="C29" s="293">
        <v>1740</v>
      </c>
      <c r="D29" s="110">
        <v>48.72</v>
      </c>
      <c r="E29" s="110"/>
      <c r="F29" s="354">
        <v>8496.42</v>
      </c>
      <c r="G29" s="304">
        <f>ROUND((C29+D29+E29)*('29_01_H_2020'!$O$14)*B29*12*(1+'29_01_H_2020'!$O$17),2)</f>
        <v>31993.61</v>
      </c>
      <c r="H29" s="145"/>
    </row>
    <row r="30" spans="1:8">
      <c r="A30" s="43" t="s">
        <v>172</v>
      </c>
      <c r="B30" s="275">
        <v>4.75</v>
      </c>
      <c r="C30" s="293">
        <v>1740</v>
      </c>
      <c r="D30" s="110">
        <v>48.72</v>
      </c>
      <c r="E30" s="110"/>
      <c r="F30" s="354">
        <v>8496.42</v>
      </c>
      <c r="G30" s="304">
        <f>ROUND((C30+D30+E30)*('29_01_H_2020'!$O$14)*B30*12*(1+'29_01_H_2020'!$O$17),2)</f>
        <v>31993.61</v>
      </c>
      <c r="H30" s="145"/>
    </row>
    <row r="31" spans="1:8">
      <c r="A31" s="43" t="s">
        <v>173</v>
      </c>
      <c r="B31" s="275">
        <v>1</v>
      </c>
      <c r="C31" s="293">
        <v>1050</v>
      </c>
      <c r="D31" s="110">
        <v>29.400000000000002</v>
      </c>
      <c r="E31" s="110"/>
      <c r="F31" s="354">
        <v>1079.4000000000001</v>
      </c>
      <c r="G31" s="304">
        <f>ROUND((C31+D31+E31)*('29_01_H_2020'!$O$14)*B31*12*(1+'29_01_H_2020'!$O$17),2)</f>
        <v>4064.52</v>
      </c>
      <c r="H31" s="145"/>
    </row>
    <row r="32" spans="1:8">
      <c r="A32" s="43" t="s">
        <v>174</v>
      </c>
      <c r="B32" s="275">
        <v>4.75</v>
      </c>
      <c r="C32" s="293">
        <v>2120</v>
      </c>
      <c r="D32" s="110">
        <v>59.36</v>
      </c>
      <c r="E32" s="110"/>
      <c r="F32" s="354">
        <v>10351.960000000001</v>
      </c>
      <c r="G32" s="304">
        <f>ROUND((C32+D32+E32)*('29_01_H_2020'!$O$14)*B32*12*(1+'29_01_H_2020'!$O$17),2)</f>
        <v>38980.720000000001</v>
      </c>
      <c r="H32" s="145"/>
    </row>
    <row r="33" spans="1:10">
      <c r="A33" s="43" t="s">
        <v>175</v>
      </c>
      <c r="B33" s="275">
        <v>9.5</v>
      </c>
      <c r="C33" s="293">
        <v>2120</v>
      </c>
      <c r="D33" s="110">
        <v>59.36</v>
      </c>
      <c r="E33" s="110"/>
      <c r="F33" s="354">
        <v>20703.920000000002</v>
      </c>
      <c r="G33" s="304">
        <f>ROUND((C33+D33+E33)*('29_01_H_2020'!$O$14)*B33*12*(1+'29_01_H_2020'!$O$17),2)</f>
        <v>77961.440000000002</v>
      </c>
      <c r="H33" s="145"/>
    </row>
    <row r="34" spans="1:10">
      <c r="A34" s="43" t="s">
        <v>176</v>
      </c>
      <c r="B34" s="275">
        <v>4.75</v>
      </c>
      <c r="C34" s="293">
        <v>1740</v>
      </c>
      <c r="D34" s="110">
        <v>48.72</v>
      </c>
      <c r="E34" s="110"/>
      <c r="F34" s="354">
        <v>8496.42</v>
      </c>
      <c r="G34" s="304">
        <f>ROUND((C34+D34+E34)*('29_01_H_2020'!$O$14)*B34*12*(1+'29_01_H_2020'!$O$17),2)</f>
        <v>31993.61</v>
      </c>
      <c r="H34" s="145"/>
    </row>
    <row r="35" spans="1:10">
      <c r="A35" s="43" t="s">
        <v>177</v>
      </c>
      <c r="B35" s="275">
        <v>4.75</v>
      </c>
      <c r="C35" s="293">
        <v>2120</v>
      </c>
      <c r="D35" s="110">
        <v>59.36</v>
      </c>
      <c r="E35" s="110"/>
      <c r="F35" s="354">
        <v>10351.960000000001</v>
      </c>
      <c r="G35" s="304">
        <f>ROUND((C35+D35+E35)*('29_01_H_2020'!$O$14)*B35*12*(1+'29_01_H_2020'!$O$17),2)</f>
        <v>38980.720000000001</v>
      </c>
      <c r="H35" s="145"/>
    </row>
    <row r="36" spans="1:10">
      <c r="A36" s="43" t="s">
        <v>178</v>
      </c>
      <c r="B36" s="275">
        <v>4.75</v>
      </c>
      <c r="C36" s="293">
        <v>2120</v>
      </c>
      <c r="D36" s="110">
        <v>59.36</v>
      </c>
      <c r="E36" s="110"/>
      <c r="F36" s="354">
        <v>10351.960000000001</v>
      </c>
      <c r="G36" s="304">
        <f>ROUND((C36+D36+E36)*('29_01_H_2020'!$O$14)*B36*12*(1+'29_01_H_2020'!$O$17),2)</f>
        <v>38980.720000000001</v>
      </c>
      <c r="H36" s="145"/>
    </row>
    <row r="37" spans="1:10">
      <c r="A37" s="43" t="s">
        <v>179</v>
      </c>
      <c r="B37" s="275">
        <v>4.75</v>
      </c>
      <c r="C37" s="293">
        <v>2120</v>
      </c>
      <c r="D37" s="110">
        <v>59.36</v>
      </c>
      <c r="E37" s="110"/>
      <c r="F37" s="354">
        <v>10351.960000000001</v>
      </c>
      <c r="G37" s="304">
        <f>ROUND((C37+D37+E37)*('29_01_H_2020'!$O$14)*B37*12*(1+'29_01_H_2020'!$O$17),2)</f>
        <v>38980.720000000001</v>
      </c>
      <c r="H37" s="145"/>
    </row>
    <row r="38" spans="1:10">
      <c r="A38" s="43" t="s">
        <v>180</v>
      </c>
      <c r="B38" s="275">
        <v>4.75</v>
      </c>
      <c r="C38" s="293">
        <v>2120</v>
      </c>
      <c r="D38" s="110">
        <v>59.36</v>
      </c>
      <c r="E38" s="110"/>
      <c r="F38" s="354">
        <v>10351.960000000001</v>
      </c>
      <c r="G38" s="304">
        <f>ROUND((C38+D38+E38)*('29_01_H_2020'!$O$14)*B38*12*(1+'29_01_H_2020'!$O$17),2)</f>
        <v>38980.720000000001</v>
      </c>
      <c r="H38" s="145"/>
    </row>
    <row r="39" spans="1:10">
      <c r="A39" s="43" t="s">
        <v>181</v>
      </c>
      <c r="B39" s="275">
        <v>4.75</v>
      </c>
      <c r="C39" s="293">
        <v>2120</v>
      </c>
      <c r="D39" s="110">
        <v>59.36</v>
      </c>
      <c r="E39" s="110"/>
      <c r="F39" s="354">
        <v>10351.960000000001</v>
      </c>
      <c r="G39" s="304">
        <f>ROUND((C39+D39+E39)*('29_01_H_2020'!$O$14)*B39*12*(1+'29_01_H_2020'!$O$17),2)</f>
        <v>38980.720000000001</v>
      </c>
      <c r="H39" s="145"/>
    </row>
    <row r="40" spans="1:10">
      <c r="A40" s="43" t="s">
        <v>182</v>
      </c>
      <c r="B40" s="275">
        <v>4.75</v>
      </c>
      <c r="C40" s="293">
        <v>1830</v>
      </c>
      <c r="D40" s="110">
        <v>51.24</v>
      </c>
      <c r="E40" s="110">
        <v>635.92499999999995</v>
      </c>
      <c r="F40" s="354">
        <v>11956.533750000001</v>
      </c>
      <c r="G40" s="304">
        <f>ROUND((C40+D40+E40)*('29_01_H_2020'!$O$14)*B40*12*(1+'29_01_H_2020'!$O$17),2)</f>
        <v>45022.81</v>
      </c>
      <c r="H40" s="145"/>
    </row>
    <row r="41" spans="1:10">
      <c r="A41" s="43" t="s">
        <v>621</v>
      </c>
      <c r="B41" s="276">
        <v>12.25</v>
      </c>
      <c r="C41" s="293">
        <v>1745</v>
      </c>
      <c r="D41" s="110">
        <v>48.86</v>
      </c>
      <c r="E41" s="110">
        <v>606.38749999999993</v>
      </c>
      <c r="F41" s="354">
        <v>29403.031875000001</v>
      </c>
      <c r="G41" s="304">
        <f>ROUND((C41+D41+E41)*('29_01_H_2020'!$O$14)*B41*12*(1+'29_01_H_2020'!$O$17),2)</f>
        <v>110718.3</v>
      </c>
      <c r="H41" s="145"/>
    </row>
    <row r="42" spans="1:10">
      <c r="A42" s="43" t="s">
        <v>183</v>
      </c>
      <c r="B42" s="276">
        <v>9.5</v>
      </c>
      <c r="C42" s="293">
        <v>1650</v>
      </c>
      <c r="D42" s="110">
        <v>46.2</v>
      </c>
      <c r="E42" s="110">
        <v>573.375</v>
      </c>
      <c r="F42" s="354">
        <v>21560.962499999998</v>
      </c>
      <c r="G42" s="304">
        <f>ROUND((C42+D42+E42)*('29_01_H_2020'!$O$14)*B42*12*(1+'29_01_H_2020'!$O$17),2)</f>
        <v>81188.67</v>
      </c>
      <c r="H42" s="145"/>
      <c r="J42" s="743"/>
    </row>
    <row r="43" spans="1:10">
      <c r="A43" s="43" t="s">
        <v>622</v>
      </c>
      <c r="B43" s="276">
        <v>3</v>
      </c>
      <c r="C43" s="293">
        <v>1450</v>
      </c>
      <c r="D43" s="110">
        <v>40.6</v>
      </c>
      <c r="E43" s="110"/>
      <c r="F43" s="354">
        <v>4471.7999999999993</v>
      </c>
      <c r="G43" s="304">
        <f>ROUND((C43+D43+E43)*('29_01_H_2020'!$O$14)*B43*12*(1+'29_01_H_2020'!$O$17),2)</f>
        <v>16838.740000000002</v>
      </c>
      <c r="H43" s="145"/>
      <c r="J43" s="743"/>
    </row>
    <row r="44" spans="1:10">
      <c r="A44" s="43" t="s">
        <v>318</v>
      </c>
      <c r="B44" s="276">
        <v>1</v>
      </c>
      <c r="C44" s="293">
        <v>1647</v>
      </c>
      <c r="D44" s="110">
        <v>46.116</v>
      </c>
      <c r="E44" s="110"/>
      <c r="F44" s="354">
        <v>1693.116</v>
      </c>
      <c r="G44" s="304">
        <f>ROUND((C44+D44+E44)*('29_01_H_2020'!$O$14)*B44*12*(1+'29_01_H_2020'!$O$17),2)</f>
        <v>6375.5</v>
      </c>
      <c r="H44" s="145"/>
      <c r="J44" s="743"/>
    </row>
    <row r="45" spans="1:10" ht="25.5">
      <c r="A45" s="43" t="s">
        <v>185</v>
      </c>
      <c r="B45" s="275">
        <v>8</v>
      </c>
      <c r="C45" s="293">
        <v>1570</v>
      </c>
      <c r="D45" s="110">
        <v>43.96</v>
      </c>
      <c r="E45" s="110">
        <v>545.57499999999993</v>
      </c>
      <c r="F45" s="354">
        <v>17276.28</v>
      </c>
      <c r="G45" s="304">
        <f>ROUND((C45+D45+E45)*('29_01_H_2020'!$O$14)*B45*12*(1+'29_01_H_2020'!$O$17),2)</f>
        <v>65054.53</v>
      </c>
      <c r="H45" s="145"/>
    </row>
    <row r="46" spans="1:10" s="333" customFormat="1" ht="25.5">
      <c r="A46" s="741" t="s">
        <v>627</v>
      </c>
      <c r="B46" s="641">
        <v>0.75</v>
      </c>
      <c r="C46" s="293">
        <v>1050</v>
      </c>
      <c r="D46" s="110">
        <v>29.400000000000002</v>
      </c>
      <c r="E46" s="110"/>
      <c r="F46" s="354">
        <v>809.55000000000007</v>
      </c>
      <c r="G46" s="304">
        <f>ROUND((C46+D46+E46)*('29_01_H_2020'!$O$14)*B46*12*(1+'29_01_H_2020'!$O$17),2)</f>
        <v>3048.39</v>
      </c>
      <c r="H46" s="145"/>
    </row>
    <row r="47" spans="1:10" ht="38.25">
      <c r="A47" s="50" t="s">
        <v>577</v>
      </c>
      <c r="B47" s="63"/>
      <c r="C47" s="54"/>
      <c r="D47" s="54"/>
      <c r="E47" s="54"/>
      <c r="F47" s="511"/>
      <c r="G47" s="673">
        <f>SUM(G48:G85)</f>
        <v>6435893.1699999999</v>
      </c>
    </row>
    <row r="48" spans="1:10" ht="25.5">
      <c r="A48" s="612" t="s">
        <v>194</v>
      </c>
      <c r="B48" s="275">
        <v>38</v>
      </c>
      <c r="C48" s="293">
        <v>1015</v>
      </c>
      <c r="D48" s="110">
        <v>28.42</v>
      </c>
      <c r="E48" s="110">
        <v>504.96249999999998</v>
      </c>
      <c r="F48" s="354">
        <v>58838.535000000003</v>
      </c>
      <c r="G48" s="555">
        <f>ROUND((C48+D48+E48)*('29_01_H_2020'!$O$10)*B48*12*(1+'29_01_H_2020'!$O$17),2)</f>
        <v>221558.86</v>
      </c>
      <c r="H48" s="145"/>
    </row>
    <row r="49" spans="1:8" ht="25.5">
      <c r="A49" s="612" t="s">
        <v>195</v>
      </c>
      <c r="B49" s="275">
        <v>9.5</v>
      </c>
      <c r="C49" s="293">
        <v>1015</v>
      </c>
      <c r="D49" s="110">
        <v>28.42</v>
      </c>
      <c r="E49" s="110">
        <v>504.96249999999998</v>
      </c>
      <c r="F49" s="354">
        <v>14709.633750000001</v>
      </c>
      <c r="G49" s="555">
        <f>ROUND((C49+D49+E49)*('29_01_H_2020'!$O$10)*B49*12*(1+'29_01_H_2020'!$O$17),2)</f>
        <v>55389.72</v>
      </c>
      <c r="H49" s="145"/>
    </row>
    <row r="50" spans="1:8" ht="25.5">
      <c r="A50" s="612" t="s">
        <v>196</v>
      </c>
      <c r="B50" s="275">
        <v>28.5</v>
      </c>
      <c r="C50" s="293">
        <v>1170</v>
      </c>
      <c r="D50" s="110">
        <v>32.76</v>
      </c>
      <c r="E50" s="110">
        <v>582.07500000000005</v>
      </c>
      <c r="F50" s="354">
        <v>50867.797500000001</v>
      </c>
      <c r="G50" s="555">
        <f>ROUND((C50+D50+E50)*('29_01_H_2020'!$O$10)*B50*12*(1+'29_01_H_2020'!$O$17),2)</f>
        <v>191544.73</v>
      </c>
      <c r="H50" s="145"/>
    </row>
    <row r="51" spans="1:8">
      <c r="A51" s="612" t="s">
        <v>192</v>
      </c>
      <c r="B51" s="275">
        <v>22.4</v>
      </c>
      <c r="C51" s="293">
        <v>1300</v>
      </c>
      <c r="D51" s="110">
        <v>36.4</v>
      </c>
      <c r="E51" s="110">
        <v>776.75</v>
      </c>
      <c r="F51" s="354">
        <v>47334.559999999998</v>
      </c>
      <c r="G51" s="555">
        <f>ROUND((C51+D51+E51)*('29_01_H_2020'!$O$10)*B51*12*(1+'29_01_H_2020'!$O$17),2)</f>
        <v>178240.18</v>
      </c>
      <c r="H51" s="145"/>
    </row>
    <row r="52" spans="1:8">
      <c r="A52" s="612" t="s">
        <v>623</v>
      </c>
      <c r="B52" s="275">
        <v>39.950000000000003</v>
      </c>
      <c r="C52" s="293">
        <v>1015</v>
      </c>
      <c r="D52" s="110">
        <v>28.42</v>
      </c>
      <c r="E52" s="110">
        <v>504.96249999999998</v>
      </c>
      <c r="F52" s="354">
        <v>61857.88087500001</v>
      </c>
      <c r="G52" s="555">
        <f>ROUND((C52+D52+E52)*('29_01_H_2020'!$O$10)*B52*12*(1+'29_01_H_2020'!$O$17),2)</f>
        <v>232928.33</v>
      </c>
      <c r="H52" s="145"/>
    </row>
    <row r="53" spans="1:8">
      <c r="A53" s="612" t="s">
        <v>193</v>
      </c>
      <c r="B53" s="275">
        <v>612.35</v>
      </c>
      <c r="C53" s="293">
        <v>1015</v>
      </c>
      <c r="D53" s="110">
        <v>28.42</v>
      </c>
      <c r="E53" s="110">
        <v>504.96249999999998</v>
      </c>
      <c r="F53" s="354">
        <v>948152.02387500019</v>
      </c>
      <c r="G53" s="555">
        <f>ROUND((C53+D53+E53)*('29_01_H_2020'!$O$10)*B53*12*(1+'29_01_H_2020'!$O$17),2)</f>
        <v>3570304.49</v>
      </c>
      <c r="H53" s="145"/>
    </row>
    <row r="54" spans="1:8">
      <c r="A54" s="612" t="s">
        <v>624</v>
      </c>
      <c r="B54" s="275">
        <v>50</v>
      </c>
      <c r="C54" s="293">
        <v>1075</v>
      </c>
      <c r="D54" s="110">
        <v>30.1</v>
      </c>
      <c r="E54" s="110">
        <v>642.3125</v>
      </c>
      <c r="F54" s="354">
        <v>87370.625</v>
      </c>
      <c r="G54" s="555">
        <f>ROUND((C54+D54+E54)*('29_01_H_2020'!$O$10)*B54*12*(1+'29_01_H_2020'!$O$17),2)</f>
        <v>328997.59000000003</v>
      </c>
      <c r="H54" s="145"/>
    </row>
    <row r="55" spans="1:8">
      <c r="A55" s="612" t="s">
        <v>580</v>
      </c>
      <c r="B55" s="275">
        <v>9.5</v>
      </c>
      <c r="C55" s="293">
        <v>1015</v>
      </c>
      <c r="D55" s="110">
        <v>28.42</v>
      </c>
      <c r="E55" s="110">
        <v>504.96249999999998</v>
      </c>
      <c r="F55" s="354">
        <v>14709.633750000001</v>
      </c>
      <c r="G55" s="555">
        <f>ROUND((C55+D55+E55)*('29_01_H_2020'!$O$10)*B55*12*(1+'29_01_H_2020'!$O$17),2)</f>
        <v>55389.72</v>
      </c>
      <c r="H55" s="145"/>
    </row>
    <row r="56" spans="1:8">
      <c r="A56" s="612" t="s">
        <v>201</v>
      </c>
      <c r="B56" s="275">
        <v>4.75</v>
      </c>
      <c r="C56" s="293">
        <v>1015</v>
      </c>
      <c r="D56" s="110">
        <v>28.42</v>
      </c>
      <c r="E56" s="110">
        <v>504.96249999999998</v>
      </c>
      <c r="F56" s="354">
        <v>7354.8168750000004</v>
      </c>
      <c r="G56" s="555">
        <f>ROUND((C56+D56+E56)*('29_01_H_2020'!$O$10)*B56*12*(1+'29_01_H_2020'!$O$17),2)</f>
        <v>27694.86</v>
      </c>
      <c r="H56" s="145"/>
    </row>
    <row r="57" spans="1:8">
      <c r="A57" s="612" t="s">
        <v>202</v>
      </c>
      <c r="B57" s="275">
        <v>9.5</v>
      </c>
      <c r="C57" s="293">
        <v>1015</v>
      </c>
      <c r="D57" s="110">
        <v>28.42</v>
      </c>
      <c r="E57" s="111">
        <v>504.96249999999998</v>
      </c>
      <c r="F57" s="354">
        <v>14709.633750000001</v>
      </c>
      <c r="G57" s="555">
        <f>ROUND((C57+D57+E57)*('29_01_H_2020'!$O$10)*B57*12*(1+'29_01_H_2020'!$O$17),2)</f>
        <v>55389.72</v>
      </c>
      <c r="H57" s="145"/>
    </row>
    <row r="58" spans="1:8">
      <c r="A58" s="613" t="s">
        <v>203</v>
      </c>
      <c r="B58" s="277">
        <v>2</v>
      </c>
      <c r="C58" s="110">
        <v>1015</v>
      </c>
      <c r="D58" s="110">
        <v>28.42</v>
      </c>
      <c r="E58" s="110">
        <v>504.96249999999998</v>
      </c>
      <c r="F58" s="354">
        <v>3096.7650000000003</v>
      </c>
      <c r="G58" s="555">
        <f>ROUND((C58+D58+E58)*('29_01_H_2020'!$O$10)*B58*12*(1+'29_01_H_2020'!$O$17),2)</f>
        <v>11660.99</v>
      </c>
      <c r="H58" s="145"/>
    </row>
    <row r="59" spans="1:8">
      <c r="A59" s="613" t="s">
        <v>625</v>
      </c>
      <c r="B59" s="277">
        <v>1</v>
      </c>
      <c r="C59" s="110">
        <v>1426</v>
      </c>
      <c r="D59" s="110">
        <v>39.928000000000004</v>
      </c>
      <c r="E59" s="110"/>
      <c r="F59" s="354">
        <v>1465.9280000000001</v>
      </c>
      <c r="G59" s="555">
        <f>ROUND((C59+D59+E59)*('29_01_H_2020'!$O$10)*B59*12*(1+'29_01_H_2020'!$O$17),2)</f>
        <v>5520.01</v>
      </c>
      <c r="H59" s="145"/>
    </row>
    <row r="60" spans="1:8" ht="25.5">
      <c r="A60" s="613" t="s">
        <v>626</v>
      </c>
      <c r="B60" s="277">
        <v>1</v>
      </c>
      <c r="C60" s="110">
        <v>1240</v>
      </c>
      <c r="D60" s="110">
        <v>34.72</v>
      </c>
      <c r="E60" s="110"/>
      <c r="F60" s="354">
        <v>1274.72</v>
      </c>
      <c r="G60" s="555">
        <f>ROUND((C60+D60+E60)*('29_01_H_2020'!$O$10)*B60*12*(1+'29_01_H_2020'!$O$17),2)</f>
        <v>4800.01</v>
      </c>
      <c r="H60" s="145"/>
    </row>
    <row r="61" spans="1:8" ht="25.5">
      <c r="A61" s="613" t="s">
        <v>628</v>
      </c>
      <c r="B61" s="277">
        <v>0.5</v>
      </c>
      <c r="C61" s="110">
        <v>1100</v>
      </c>
      <c r="D61" s="110">
        <v>30.8</v>
      </c>
      <c r="E61" s="110"/>
      <c r="F61" s="354">
        <v>565.4</v>
      </c>
      <c r="G61" s="555">
        <f>ROUND((C61+D61+E61)*('29_01_H_2020'!$O$10)*B61*12*(1+'29_01_H_2020'!$O$17),2)</f>
        <v>2129.04</v>
      </c>
      <c r="H61" s="145"/>
    </row>
    <row r="62" spans="1:8">
      <c r="A62" s="613" t="s">
        <v>200</v>
      </c>
      <c r="B62" s="277">
        <v>9.5</v>
      </c>
      <c r="C62" s="110">
        <v>1280</v>
      </c>
      <c r="D62" s="110">
        <v>35.840000000000003</v>
      </c>
      <c r="E62" s="110">
        <v>444.79999999999995</v>
      </c>
      <c r="F62" s="354">
        <v>16726.079999999998</v>
      </c>
      <c r="G62" s="555">
        <f>ROUND((C62+D62+E62)*('29_01_H_2020'!$O$10)*B62*12*(1+'29_01_H_2020'!$O$17),2)</f>
        <v>62982.73</v>
      </c>
      <c r="H62" s="145"/>
    </row>
    <row r="63" spans="1:8">
      <c r="A63" s="613" t="s">
        <v>197</v>
      </c>
      <c r="B63" s="277">
        <v>4.75</v>
      </c>
      <c r="C63" s="110">
        <v>1410</v>
      </c>
      <c r="D63" s="110">
        <v>39.480000000000004</v>
      </c>
      <c r="E63" s="110">
        <v>489.97499999999997</v>
      </c>
      <c r="F63" s="354">
        <v>9212.4112499999992</v>
      </c>
      <c r="G63" s="555">
        <f>ROUND((C63+D63+E63)*('29_01_H_2020'!$O$10)*B63*12*(1+'29_01_H_2020'!$O$17),2)</f>
        <v>34689.699999999997</v>
      </c>
      <c r="H63" s="145"/>
    </row>
    <row r="64" spans="1:8">
      <c r="A64" s="613" t="s">
        <v>198</v>
      </c>
      <c r="B64" s="277">
        <v>33.25</v>
      </c>
      <c r="C64" s="110">
        <v>1230</v>
      </c>
      <c r="D64" s="110">
        <v>34.44</v>
      </c>
      <c r="E64" s="110">
        <v>427.42499999999995</v>
      </c>
      <c r="F64" s="354">
        <v>56254.511250000003</v>
      </c>
      <c r="G64" s="555">
        <f>ROUND((C64+D64+E64)*('29_01_H_2020'!$O$10)*B64*12*(1+'29_01_H_2020'!$O$17),2)</f>
        <v>211828.62</v>
      </c>
      <c r="H64" s="145"/>
    </row>
    <row r="65" spans="1:8">
      <c r="A65" s="613" t="s">
        <v>199</v>
      </c>
      <c r="B65" s="277">
        <v>9.5</v>
      </c>
      <c r="C65" s="110">
        <v>1180</v>
      </c>
      <c r="D65" s="110">
        <v>33.04</v>
      </c>
      <c r="E65" s="110">
        <v>410.04999999999995</v>
      </c>
      <c r="F65" s="354">
        <v>15419.355</v>
      </c>
      <c r="G65" s="555">
        <f>ROUND((C65+D65+E65)*('29_01_H_2020'!$O$10)*B65*12*(1+'29_01_H_2020'!$O$17),2)</f>
        <v>58062.2</v>
      </c>
      <c r="H65" s="145"/>
    </row>
    <row r="66" spans="1:8" ht="25.5">
      <c r="A66" s="613" t="s">
        <v>629</v>
      </c>
      <c r="B66" s="278">
        <v>48</v>
      </c>
      <c r="C66" s="110">
        <v>1140</v>
      </c>
      <c r="D66" s="110">
        <v>31.92</v>
      </c>
      <c r="E66" s="110">
        <v>396.15</v>
      </c>
      <c r="F66" s="354">
        <v>75267.360000000015</v>
      </c>
      <c r="G66" s="555">
        <f>ROUND((C66+D66+E66)*('29_01_H_2020'!$O$10)*B66*12*(1+'29_01_H_2020'!$O$17),2)</f>
        <v>283422.26</v>
      </c>
      <c r="H66" s="145"/>
    </row>
    <row r="67" spans="1:8">
      <c r="A67" s="668" t="s">
        <v>630</v>
      </c>
      <c r="B67" s="277">
        <v>9</v>
      </c>
      <c r="C67" s="110">
        <v>945</v>
      </c>
      <c r="D67" s="110">
        <v>26.46</v>
      </c>
      <c r="E67" s="110">
        <v>328.38749999999999</v>
      </c>
      <c r="F67" s="354">
        <v>11698.627500000001</v>
      </c>
      <c r="G67" s="555">
        <f>ROUND((C67+D67+E67)*('29_01_H_2020'!$O$10)*B67*12*(1+'29_01_H_2020'!$O$17),2)</f>
        <v>44051.65</v>
      </c>
      <c r="H67" s="145"/>
    </row>
    <row r="68" spans="1:8" ht="25.5">
      <c r="A68" s="613" t="s">
        <v>631</v>
      </c>
      <c r="B68" s="278">
        <v>3.2</v>
      </c>
      <c r="C68" s="110">
        <v>1080</v>
      </c>
      <c r="D68" s="110">
        <v>30.240000000000002</v>
      </c>
      <c r="E68" s="110">
        <v>375.29999999999995</v>
      </c>
      <c r="F68" s="354">
        <v>4753.7280000000001</v>
      </c>
      <c r="G68" s="555">
        <f>ROUND((C68+D68+E68)*('29_01_H_2020'!$O$10)*B68*12*(1+'29_01_H_2020'!$O$17),2)</f>
        <v>17900.349999999999</v>
      </c>
      <c r="H68" s="145"/>
    </row>
    <row r="69" spans="1:8">
      <c r="A69" s="613" t="s">
        <v>158</v>
      </c>
      <c r="B69" s="277">
        <v>1</v>
      </c>
      <c r="C69" s="110">
        <v>1630</v>
      </c>
      <c r="D69" s="110">
        <v>45.64</v>
      </c>
      <c r="E69" s="110"/>
      <c r="F69" s="354">
        <v>1675.64</v>
      </c>
      <c r="G69" s="555">
        <f>ROUND((C69+D69+E69)*('29_01_H_2020'!$O$10)*B69*12*(1+'29_01_H_2020'!$O$17),2)</f>
        <v>6309.69</v>
      </c>
      <c r="H69" s="145"/>
    </row>
    <row r="70" spans="1:8">
      <c r="A70" s="613" t="s">
        <v>632</v>
      </c>
      <c r="B70" s="277">
        <v>36.450000000000003</v>
      </c>
      <c r="C70" s="110">
        <v>1010</v>
      </c>
      <c r="D70" s="110">
        <v>28.28</v>
      </c>
      <c r="E70" s="110">
        <v>350.97499999999997</v>
      </c>
      <c r="F70" s="354">
        <v>50638.344749999997</v>
      </c>
      <c r="G70" s="555">
        <f>ROUND((C70+D70+E70)*('29_01_H_2020'!$O$10)*B70*12*(1+'29_01_H_2020'!$O$17),2)</f>
        <v>190680.72</v>
      </c>
      <c r="H70" s="145"/>
    </row>
    <row r="71" spans="1:8" ht="25.5">
      <c r="A71" s="613" t="s">
        <v>633</v>
      </c>
      <c r="B71" s="277">
        <v>28</v>
      </c>
      <c r="C71" s="110">
        <v>1010</v>
      </c>
      <c r="D71" s="110">
        <v>28.28</v>
      </c>
      <c r="E71" s="110">
        <v>350.97499999999997</v>
      </c>
      <c r="F71" s="354">
        <v>38899.14</v>
      </c>
      <c r="G71" s="555">
        <f>ROUND((C71+D71+E71)*('29_01_H_2020'!$O$10)*B71*12*(1+'29_01_H_2020'!$O$17),2)</f>
        <v>146476.26999999999</v>
      </c>
      <c r="H71" s="145"/>
    </row>
    <row r="72" spans="1:8">
      <c r="A72" s="613" t="s">
        <v>634</v>
      </c>
      <c r="B72" s="277">
        <v>32.25</v>
      </c>
      <c r="C72" s="110">
        <v>880</v>
      </c>
      <c r="D72" s="110">
        <v>24.64</v>
      </c>
      <c r="E72" s="110">
        <v>305.79999999999995</v>
      </c>
      <c r="F72" s="354">
        <v>39036.69</v>
      </c>
      <c r="G72" s="555">
        <f>ROUND((C72+D72+E72)*('29_01_H_2020'!$O$10)*B72*12*(1+'29_01_H_2020'!$O$17),2)</f>
        <v>146994.22</v>
      </c>
      <c r="H72" s="145"/>
    </row>
    <row r="73" spans="1:8">
      <c r="A73" s="613" t="s">
        <v>635</v>
      </c>
      <c r="B73" s="277">
        <v>6.25</v>
      </c>
      <c r="C73" s="110">
        <v>750</v>
      </c>
      <c r="D73" s="110">
        <v>21</v>
      </c>
      <c r="E73" s="110">
        <v>260.625</v>
      </c>
      <c r="F73" s="354">
        <v>6447.65625</v>
      </c>
      <c r="G73" s="555">
        <f>ROUND((C73+D73+E73)*('29_01_H_2020'!$O$10)*B73*12*(1+'29_01_H_2020'!$O$17),2)</f>
        <v>24278.91</v>
      </c>
      <c r="H73" s="145"/>
    </row>
    <row r="74" spans="1:8" ht="25.5">
      <c r="A74" s="613" t="s">
        <v>204</v>
      </c>
      <c r="B74" s="277">
        <v>3</v>
      </c>
      <c r="C74" s="110">
        <v>1225</v>
      </c>
      <c r="D74" s="110">
        <v>34.300000000000004</v>
      </c>
      <c r="E74" s="110"/>
      <c r="F74" s="354">
        <v>3777.8999999999996</v>
      </c>
      <c r="G74" s="555">
        <f>ROUND((C74+D74+E74)*('29_01_H_2020'!$O$10)*B74*12*(1+'29_01_H_2020'!$O$17),2)</f>
        <v>14225.83</v>
      </c>
      <c r="H74" s="145"/>
    </row>
    <row r="75" spans="1:8">
      <c r="A75" s="613" t="s">
        <v>189</v>
      </c>
      <c r="B75" s="277">
        <v>0.25</v>
      </c>
      <c r="C75" s="110">
        <v>1200</v>
      </c>
      <c r="D75" s="110">
        <v>33.6</v>
      </c>
      <c r="E75" s="110"/>
      <c r="F75" s="354">
        <v>308.39999999999998</v>
      </c>
      <c r="G75" s="555">
        <f>ROUND((C75+D75+E75)*('29_01_H_2020'!$O$10)*B75*12*(1+'29_01_H_2020'!$O$17),2)</f>
        <v>1161.29</v>
      </c>
      <c r="H75" s="145"/>
    </row>
    <row r="76" spans="1:8">
      <c r="A76" s="669" t="s">
        <v>189</v>
      </c>
      <c r="B76" s="274">
        <v>10</v>
      </c>
      <c r="C76" s="110">
        <v>1365</v>
      </c>
      <c r="D76" s="110">
        <v>38.22</v>
      </c>
      <c r="E76" s="110"/>
      <c r="F76" s="354">
        <v>14032.2</v>
      </c>
      <c r="G76" s="555">
        <f>ROUND((C76+D76+E76)*('29_01_H_2020'!$O$10)*B76*12*(1+'29_01_H_2020'!$O$17),2)</f>
        <v>52838.81</v>
      </c>
      <c r="H76" s="145"/>
    </row>
    <row r="77" spans="1:8">
      <c r="A77" s="669" t="s">
        <v>189</v>
      </c>
      <c r="B77" s="274">
        <v>4</v>
      </c>
      <c r="C77" s="110">
        <v>1450</v>
      </c>
      <c r="D77" s="110">
        <v>40.6</v>
      </c>
      <c r="E77" s="110"/>
      <c r="F77" s="354">
        <v>5962.4</v>
      </c>
      <c r="G77" s="555">
        <f>ROUND((C77+D77+E77)*('29_01_H_2020'!$O$10)*B77*12*(1+'29_01_H_2020'!$O$17),2)</f>
        <v>22451.66</v>
      </c>
      <c r="H77" s="145"/>
    </row>
    <row r="78" spans="1:8">
      <c r="A78" s="669" t="s">
        <v>188</v>
      </c>
      <c r="B78" s="274">
        <v>1</v>
      </c>
      <c r="C78" s="110">
        <v>1430</v>
      </c>
      <c r="D78" s="110">
        <v>40.04</v>
      </c>
      <c r="E78" s="110"/>
      <c r="F78" s="354">
        <v>1470.04</v>
      </c>
      <c r="G78" s="555">
        <f>ROUND((C78+D78+E78)*('29_01_H_2020'!$O$10)*B78*12*(1+'29_01_H_2020'!$O$17),2)</f>
        <v>5535.49</v>
      </c>
      <c r="H78" s="145"/>
    </row>
    <row r="79" spans="1:8">
      <c r="A79" s="669" t="s">
        <v>188</v>
      </c>
      <c r="B79" s="274">
        <v>10</v>
      </c>
      <c r="C79" s="110">
        <v>1565</v>
      </c>
      <c r="D79" s="110">
        <v>43.82</v>
      </c>
      <c r="E79" s="110"/>
      <c r="F79" s="354">
        <v>16088.199999999999</v>
      </c>
      <c r="G79" s="555">
        <f>ROUND((C79+D79+E79)*('29_01_H_2020'!$O$10)*B79*12*(1+'29_01_H_2020'!$O$17),2)</f>
        <v>60580.76</v>
      </c>
      <c r="H79" s="145"/>
    </row>
    <row r="80" spans="1:8">
      <c r="A80" s="670" t="s">
        <v>188</v>
      </c>
      <c r="B80" s="274">
        <v>4</v>
      </c>
      <c r="C80" s="110">
        <v>1600</v>
      </c>
      <c r="D80" s="110">
        <v>44.800000000000004</v>
      </c>
      <c r="E80" s="294"/>
      <c r="F80" s="354">
        <v>6579.2</v>
      </c>
      <c r="G80" s="555">
        <f>ROUND((C80+D80+E80)*('29_01_H_2020'!$O$10)*B80*12*(1+'29_01_H_2020'!$O$17),2)</f>
        <v>24774.240000000002</v>
      </c>
      <c r="H80" s="145"/>
    </row>
    <row r="81" spans="1:8">
      <c r="A81" s="670" t="s">
        <v>636</v>
      </c>
      <c r="B81" s="274">
        <v>1</v>
      </c>
      <c r="C81" s="110">
        <v>1325</v>
      </c>
      <c r="D81" s="110">
        <v>37.1</v>
      </c>
      <c r="E81" s="294"/>
      <c r="F81" s="354">
        <v>1362.1</v>
      </c>
      <c r="G81" s="555">
        <f>ROUND((C81+D81+E81)*('29_01_H_2020'!$O$10)*B81*12*(1+'29_01_H_2020'!$O$17),2)</f>
        <v>5129.04</v>
      </c>
      <c r="H81" s="145"/>
    </row>
    <row r="82" spans="1:8" ht="25.5">
      <c r="A82" s="613" t="s">
        <v>636</v>
      </c>
      <c r="B82" s="277">
        <v>6.75</v>
      </c>
      <c r="C82" s="110">
        <v>1080</v>
      </c>
      <c r="D82" s="110">
        <v>30.240000000000002</v>
      </c>
      <c r="E82" s="110"/>
      <c r="F82" s="354">
        <v>7494.12</v>
      </c>
      <c r="G82" s="555">
        <f>ROUND((C82+D82+E82)*('29_01_H_2020'!$O$10)*B82*12*(1+'29_01_H_2020'!$O$17),2)</f>
        <v>28219.41</v>
      </c>
      <c r="H82" s="145"/>
    </row>
    <row r="83" spans="1:8">
      <c r="A83" s="613" t="s">
        <v>190</v>
      </c>
      <c r="B83" s="277">
        <v>5</v>
      </c>
      <c r="C83" s="110">
        <v>1695</v>
      </c>
      <c r="D83" s="110">
        <v>47.46</v>
      </c>
      <c r="E83" s="110"/>
      <c r="F83" s="354">
        <v>8712.2999999999993</v>
      </c>
      <c r="G83" s="555">
        <f>ROUND((C83+D83+E83)*('29_01_H_2020'!$O$10)*B83*12*(1+'29_01_H_2020'!$O$17),2)</f>
        <v>32806.519999999997</v>
      </c>
      <c r="H83" s="145"/>
    </row>
    <row r="84" spans="1:8">
      <c r="A84" s="613" t="s">
        <v>191</v>
      </c>
      <c r="B84" s="277">
        <v>1</v>
      </c>
      <c r="C84" s="110">
        <v>1480</v>
      </c>
      <c r="D84" s="110">
        <v>41.44</v>
      </c>
      <c r="E84" s="110"/>
      <c r="F84" s="354">
        <v>1521.44</v>
      </c>
      <c r="G84" s="555">
        <f>ROUND((C84+D84+E84)*('29_01_H_2020'!$O$10)*B84*12*(1+'29_01_H_2020'!$O$17),2)</f>
        <v>5729.04</v>
      </c>
      <c r="H84" s="145"/>
    </row>
    <row r="85" spans="1:8" ht="25.5">
      <c r="A85" s="613" t="s">
        <v>637</v>
      </c>
      <c r="B85" s="277">
        <v>3</v>
      </c>
      <c r="C85" s="110">
        <v>1138</v>
      </c>
      <c r="D85" s="110">
        <v>31.864000000000001</v>
      </c>
      <c r="E85" s="110"/>
      <c r="F85" s="354">
        <v>4679.4560000000001</v>
      </c>
      <c r="G85" s="555">
        <f>ROUND((C85+D85+E85)*('29_01_H_2020'!$O$10)*B85*12*(1+'29_01_H_2020'!$O$17),2)</f>
        <v>13215.51</v>
      </c>
      <c r="H85" s="145"/>
    </row>
    <row r="86" spans="1:8">
      <c r="A86" s="65" t="s">
        <v>206</v>
      </c>
      <c r="B86" s="61"/>
      <c r="C86" s="62"/>
      <c r="D86" s="62"/>
      <c r="E86" s="62"/>
      <c r="F86" s="512"/>
      <c r="G86" s="672">
        <f>G87+G89+G92</f>
        <v>3297863.2899999996</v>
      </c>
    </row>
    <row r="87" spans="1:8">
      <c r="A87" s="57" t="s">
        <v>218</v>
      </c>
      <c r="B87" s="55"/>
      <c r="C87" s="52"/>
      <c r="D87" s="52"/>
      <c r="E87" s="52"/>
      <c r="F87" s="513"/>
      <c r="G87" s="673">
        <f>G88</f>
        <v>17092.349999999999</v>
      </c>
    </row>
    <row r="88" spans="1:8">
      <c r="A88" s="44" t="s">
        <v>207</v>
      </c>
      <c r="B88" s="279">
        <v>2</v>
      </c>
      <c r="C88" s="295">
        <v>1650</v>
      </c>
      <c r="D88" s="295">
        <v>46.2</v>
      </c>
      <c r="E88" s="295">
        <v>573.375</v>
      </c>
      <c r="F88" s="359">
        <v>4539.1499999999996</v>
      </c>
      <c r="G88" s="555">
        <f>ROUND((C88+D88+E88)*('29_01_H_2020'!$O$14)*B88*12*(1+'29_01_H_2020'!$O$17),2)</f>
        <v>17092.349999999999</v>
      </c>
      <c r="H88" s="145"/>
    </row>
    <row r="89" spans="1:8" ht="38.25">
      <c r="A89" s="57" t="s">
        <v>219</v>
      </c>
      <c r="B89" s="55"/>
      <c r="C89" s="52"/>
      <c r="D89" s="52"/>
      <c r="E89" s="52"/>
      <c r="F89" s="56"/>
      <c r="G89" s="673">
        <f>SUM(G90:G91)</f>
        <v>385789.3</v>
      </c>
    </row>
    <row r="90" spans="1:8" ht="25.5">
      <c r="A90" s="613" t="s">
        <v>208</v>
      </c>
      <c r="B90" s="279">
        <v>44</v>
      </c>
      <c r="C90" s="110">
        <v>1015</v>
      </c>
      <c r="D90" s="110">
        <v>28.42</v>
      </c>
      <c r="E90" s="110">
        <v>504.96249999999998</v>
      </c>
      <c r="F90" s="354">
        <v>68128.83</v>
      </c>
      <c r="G90" s="671">
        <f>ROUND((C90+D90+E90)*('29_01_H_2020'!$O$10)*B90*12*(1+'29_01_H_2020'!$O$17),2)</f>
        <v>256541.84</v>
      </c>
      <c r="H90" s="145"/>
    </row>
    <row r="91" spans="1:8" s="333" customFormat="1" ht="63.75">
      <c r="A91" s="623" t="s">
        <v>638</v>
      </c>
      <c r="B91" s="279">
        <v>18</v>
      </c>
      <c r="C91" s="110">
        <v>1250</v>
      </c>
      <c r="D91" s="110">
        <v>35</v>
      </c>
      <c r="E91" s="110">
        <v>621.875</v>
      </c>
      <c r="F91" s="354">
        <v>34323.75</v>
      </c>
      <c r="G91" s="671">
        <f>ROUND((C91+D91+E91)*('29_01_H_2020'!$O$10)*B91*12*(1+'29_01_H_2020'!$O$17),2)</f>
        <v>129247.46</v>
      </c>
      <c r="H91" s="145"/>
    </row>
    <row r="92" spans="1:8" ht="38.25">
      <c r="A92" s="57" t="s">
        <v>220</v>
      </c>
      <c r="B92" s="55"/>
      <c r="C92" s="54"/>
      <c r="D92" s="54"/>
      <c r="E92" s="54"/>
      <c r="F92" s="511"/>
      <c r="G92" s="673">
        <f>SUM(G93:G95)</f>
        <v>2894981.6399999997</v>
      </c>
    </row>
    <row r="93" spans="1:8" ht="25.5">
      <c r="A93" s="613" t="s">
        <v>211</v>
      </c>
      <c r="B93" s="277">
        <v>22.4</v>
      </c>
      <c r="C93" s="110">
        <v>920</v>
      </c>
      <c r="D93" s="110">
        <v>25.76</v>
      </c>
      <c r="E93" s="110">
        <v>549.70000000000005</v>
      </c>
      <c r="F93" s="354">
        <v>33498.303999999996</v>
      </c>
      <c r="G93" s="555">
        <f>ROUND((C93+D93+E93)*('29_01_H_2020'!$O$10)*B93*12*(1+'29_01_H_2020'!$O$17),2)</f>
        <v>126139.21</v>
      </c>
      <c r="H93" s="145"/>
    </row>
    <row r="94" spans="1:8">
      <c r="A94" s="613" t="s">
        <v>209</v>
      </c>
      <c r="B94" s="277">
        <v>620.45000000000005</v>
      </c>
      <c r="C94" s="110">
        <v>740</v>
      </c>
      <c r="D94" s="110">
        <v>20.72</v>
      </c>
      <c r="E94" s="110">
        <v>368.15</v>
      </c>
      <c r="F94" s="354">
        <v>700407.39150000003</v>
      </c>
      <c r="G94" s="555">
        <f>ROUND((C94+D94+E94)*('29_01_H_2020'!$O$10)*B94*12*(1+'29_01_H_2020'!$O$17),2)</f>
        <v>2637412.13</v>
      </c>
      <c r="H94" s="145"/>
    </row>
    <row r="95" spans="1:8" ht="25.5">
      <c r="A95" s="613" t="s">
        <v>210</v>
      </c>
      <c r="B95" s="277">
        <v>32</v>
      </c>
      <c r="C95" s="110">
        <v>715</v>
      </c>
      <c r="D95" s="110">
        <v>20.02</v>
      </c>
      <c r="E95" s="110">
        <v>355.71249999999998</v>
      </c>
      <c r="F95" s="354">
        <v>34903.440000000002</v>
      </c>
      <c r="G95" s="555">
        <f>ROUND((C95+D95+E95)*('29_01_H_2020'!$O$10)*B95*12*(1+'29_01_H_2020'!$O$17),2)</f>
        <v>131430.29999999999</v>
      </c>
      <c r="H95" s="145"/>
    </row>
    <row r="96" spans="1:8">
      <c r="A96" s="65" t="s">
        <v>213</v>
      </c>
      <c r="B96" s="61"/>
      <c r="C96" s="62"/>
      <c r="D96" s="62"/>
      <c r="E96" s="62"/>
      <c r="F96" s="512"/>
      <c r="G96" s="672">
        <f>G97</f>
        <v>3392578.5900000003</v>
      </c>
    </row>
    <row r="97" spans="1:12">
      <c r="A97" s="57" t="s">
        <v>223</v>
      </c>
      <c r="B97" s="55"/>
      <c r="C97" s="56"/>
      <c r="D97" s="52"/>
      <c r="E97" s="52"/>
      <c r="F97" s="514"/>
      <c r="G97" s="673">
        <f>SUM(G98:G100)</f>
        <v>3392578.5900000003</v>
      </c>
    </row>
    <row r="98" spans="1:12">
      <c r="A98" s="45" t="s">
        <v>639</v>
      </c>
      <c r="B98" s="280">
        <v>74.5</v>
      </c>
      <c r="C98" s="111">
        <v>740</v>
      </c>
      <c r="D98" s="110">
        <v>20.72</v>
      </c>
      <c r="E98" s="110">
        <v>442.15000000000003</v>
      </c>
      <c r="F98" s="354">
        <v>89613.815000000002</v>
      </c>
      <c r="G98" s="555">
        <f>ROUND((C98+D98+E98)*('29_01_H_2020'!$O$14)*B98*12*(1+'29_01_H_2020'!$O$17),2)</f>
        <v>337444.42</v>
      </c>
      <c r="H98" s="145"/>
    </row>
    <row r="99" spans="1:12">
      <c r="A99" s="46" t="s">
        <v>640</v>
      </c>
      <c r="B99" s="280">
        <v>737.30000000000041</v>
      </c>
      <c r="C99" s="111">
        <v>690</v>
      </c>
      <c r="D99" s="110">
        <v>19.32</v>
      </c>
      <c r="E99" s="110">
        <v>343.27499999999998</v>
      </c>
      <c r="F99" s="354">
        <v>776078.29350000049</v>
      </c>
      <c r="G99" s="555">
        <f>ROUND((C99+D99+E99)*('29_01_H_2020'!$O$14)*B99*12*(1+'29_01_H_2020'!$O$17),2)</f>
        <v>2922353.95</v>
      </c>
      <c r="H99" s="145"/>
    </row>
    <row r="100" spans="1:12" ht="15.75" thickBot="1">
      <c r="A100" s="46" t="s">
        <v>214</v>
      </c>
      <c r="B100" s="280">
        <v>33.5</v>
      </c>
      <c r="C100" s="111">
        <v>690</v>
      </c>
      <c r="D100" s="110">
        <v>19.32</v>
      </c>
      <c r="E100" s="110">
        <v>343.27499999999998</v>
      </c>
      <c r="F100" s="354">
        <v>35261.932500000003</v>
      </c>
      <c r="G100" s="555">
        <f>ROUND((C100+D100+E100)*('29_01_H_2020'!$O$14)*B100*12*(1+'29_01_H_2020'!$O$17),2)</f>
        <v>132780.22</v>
      </c>
      <c r="H100" s="145"/>
    </row>
    <row r="101" spans="1:12" ht="15.75" thickBot="1">
      <c r="A101" s="281" t="s">
        <v>55</v>
      </c>
      <c r="B101" s="614">
        <f>SUM(B12:B46,B48:B85,B88:B88,B90:B91,B93:B95,B98:B100)</f>
        <v>2919.7500000000009</v>
      </c>
      <c r="C101" s="282" t="s">
        <v>215</v>
      </c>
      <c r="D101" s="282" t="s">
        <v>215</v>
      </c>
      <c r="E101" s="282" t="s">
        <v>215</v>
      </c>
      <c r="F101" s="515"/>
      <c r="G101" s="615">
        <f>G96+G86+G10</f>
        <v>15070606.640000001</v>
      </c>
    </row>
    <row r="102" spans="1:12">
      <c r="A102" s="47"/>
      <c r="B102" s="48"/>
      <c r="C102" s="47"/>
      <c r="D102" s="47"/>
      <c r="E102" s="47"/>
      <c r="F102" s="49"/>
    </row>
    <row r="103" spans="1:12" ht="15" customHeight="1">
      <c r="A103" s="519"/>
      <c r="B103" s="519"/>
      <c r="C103" s="519"/>
      <c r="D103" s="519"/>
      <c r="E103" s="519"/>
      <c r="F103" s="519"/>
      <c r="H103" s="801"/>
      <c r="J103" s="163"/>
      <c r="L103" s="163"/>
    </row>
    <row r="104" spans="1:12">
      <c r="A104" s="519"/>
      <c r="B104" s="742"/>
      <c r="C104" s="519"/>
      <c r="D104" s="519"/>
      <c r="E104" s="519"/>
      <c r="F104" s="519"/>
      <c r="G104" s="145"/>
      <c r="J104" s="146"/>
      <c r="L104" s="146"/>
    </row>
    <row r="105" spans="1:12">
      <c r="A105" s="519"/>
      <c r="B105" s="742"/>
      <c r="C105" s="519"/>
      <c r="D105" s="519"/>
      <c r="E105" s="519"/>
      <c r="F105" s="519"/>
      <c r="G105" s="145"/>
    </row>
    <row r="106" spans="1:12">
      <c r="B106" s="743"/>
    </row>
    <row r="107" spans="1:12">
      <c r="B107" s="743"/>
    </row>
    <row r="108" spans="1:12">
      <c r="B108" s="743"/>
      <c r="G108" s="145"/>
    </row>
    <row r="109" spans="1:12">
      <c r="B109" s="743"/>
    </row>
    <row r="110" spans="1:12">
      <c r="B110" s="743"/>
    </row>
  </sheetData>
  <mergeCells count="12">
    <mergeCell ref="F1:G1"/>
    <mergeCell ref="G6:G7"/>
    <mergeCell ref="A5:G5"/>
    <mergeCell ref="A8:F8"/>
    <mergeCell ref="A9:F9"/>
    <mergeCell ref="A2:F3"/>
    <mergeCell ref="A6:A7"/>
    <mergeCell ref="B6:B7"/>
    <mergeCell ref="C6:C7"/>
    <mergeCell ref="D6:D7"/>
    <mergeCell ref="E6:E7"/>
    <mergeCell ref="F6:F7"/>
  </mergeCells>
  <pageMargins left="0.23622047244094491" right="0.23622047244094491" top="0.74803149606299213" bottom="0.74803149606299213" header="0.31496062992125984" footer="0.31496062992125984"/>
  <pageSetup paperSize="9" scale="65"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69D1D-B80B-4DDF-96AE-849B8C24C208}">
  <dimension ref="A1:R52"/>
  <sheetViews>
    <sheetView workbookViewId="0">
      <selection activeCell="U8" sqref="U8"/>
    </sheetView>
  </sheetViews>
  <sheetFormatPr defaultRowHeight="15"/>
  <cols>
    <col min="1" max="1" width="30.5703125" customWidth="1"/>
    <col min="17" max="17" width="11.28515625" customWidth="1"/>
  </cols>
  <sheetData>
    <row r="1" spans="1:17" ht="18.75">
      <c r="A1" s="167"/>
      <c r="B1" s="168"/>
      <c r="C1" s="168"/>
      <c r="D1" s="1198"/>
      <c r="E1" s="1198"/>
      <c r="F1" s="339"/>
      <c r="H1" s="339"/>
      <c r="P1" s="1200" t="s">
        <v>722</v>
      </c>
      <c r="Q1" s="1200"/>
    </row>
    <row r="2" spans="1:17" ht="42" customHeight="1" thickBot="1">
      <c r="A2" s="1199" t="s">
        <v>491</v>
      </c>
      <c r="B2" s="1199"/>
      <c r="C2" s="1199"/>
      <c r="D2" s="1199"/>
      <c r="E2" s="1199"/>
      <c r="F2" s="1199"/>
      <c r="G2" s="1199"/>
      <c r="H2" s="1199"/>
      <c r="I2" s="1199"/>
      <c r="J2" s="1199"/>
      <c r="K2" s="1199"/>
      <c r="L2" s="1199"/>
      <c r="M2" s="1199"/>
      <c r="N2" s="1199"/>
      <c r="O2" s="1199"/>
      <c r="P2" s="1199"/>
      <c r="Q2" s="1199"/>
    </row>
    <row r="3" spans="1:17" ht="127.5">
      <c r="A3" s="76" t="s">
        <v>1</v>
      </c>
      <c r="B3" s="77" t="s">
        <v>2</v>
      </c>
      <c r="C3" s="77" t="s">
        <v>3</v>
      </c>
      <c r="D3" s="77" t="s">
        <v>4</v>
      </c>
      <c r="E3" s="77" t="s">
        <v>5</v>
      </c>
      <c r="F3" s="78" t="s">
        <v>6</v>
      </c>
      <c r="G3" s="77" t="s">
        <v>7</v>
      </c>
      <c r="H3" s="77" t="s">
        <v>8</v>
      </c>
      <c r="I3" s="311" t="s">
        <v>9</v>
      </c>
      <c r="J3" s="553" t="s">
        <v>517</v>
      </c>
      <c r="K3" s="374" t="s">
        <v>483</v>
      </c>
      <c r="L3" s="554" t="s">
        <v>484</v>
      </c>
      <c r="M3" s="374" t="s">
        <v>485</v>
      </c>
      <c r="N3" s="374" t="s">
        <v>486</v>
      </c>
      <c r="O3" s="375" t="s">
        <v>487</v>
      </c>
      <c r="P3" s="375" t="s">
        <v>680</v>
      </c>
      <c r="Q3" s="376" t="s">
        <v>488</v>
      </c>
    </row>
    <row r="4" spans="1:17">
      <c r="A4" s="1201" t="s">
        <v>597</v>
      </c>
      <c r="B4" s="1202"/>
      <c r="C4" s="1202"/>
      <c r="D4" s="1202"/>
      <c r="E4" s="1202"/>
      <c r="F4" s="1202"/>
      <c r="G4" s="1202"/>
      <c r="H4" s="1202"/>
      <c r="I4" s="1202"/>
      <c r="J4" s="1202"/>
      <c r="K4" s="1202"/>
      <c r="L4" s="1202"/>
      <c r="M4" s="1202"/>
      <c r="N4" s="1202"/>
      <c r="O4" s="1202"/>
      <c r="P4" s="1202"/>
      <c r="Q4" s="1203"/>
    </row>
    <row r="5" spans="1:17">
      <c r="A5" s="1103" t="s">
        <v>598</v>
      </c>
      <c r="B5" s="1104"/>
      <c r="C5" s="1104"/>
      <c r="D5" s="1104"/>
      <c r="E5" s="1104"/>
      <c r="F5" s="1104"/>
      <c r="G5" s="1104"/>
      <c r="H5" s="1104"/>
      <c r="I5" s="1105"/>
      <c r="J5" s="384"/>
      <c r="K5" s="382"/>
      <c r="L5" s="382"/>
      <c r="M5" s="382"/>
      <c r="N5" s="382"/>
      <c r="O5" s="382"/>
      <c r="P5" s="382"/>
      <c r="Q5" s="549">
        <f>Q6+Q26+Q38</f>
        <v>119664.838</v>
      </c>
    </row>
    <row r="6" spans="1:17" s="333" customFormat="1" ht="33" customHeight="1">
      <c r="A6" s="1204" t="s">
        <v>599</v>
      </c>
      <c r="B6" s="1205"/>
      <c r="C6" s="1205"/>
      <c r="D6" s="1205"/>
      <c r="E6" s="1205"/>
      <c r="F6" s="1205"/>
      <c r="G6" s="1205"/>
      <c r="H6" s="1205"/>
      <c r="I6" s="1206"/>
      <c r="J6" s="663"/>
      <c r="K6" s="664"/>
      <c r="L6" s="664"/>
      <c r="M6" s="664"/>
      <c r="N6" s="664"/>
      <c r="O6" s="664"/>
      <c r="P6" s="664"/>
      <c r="Q6" s="665">
        <f>SUM(Q8:Q24)</f>
        <v>70626.838000000003</v>
      </c>
    </row>
    <row r="7" spans="1:17">
      <c r="A7" s="1101" t="s">
        <v>11</v>
      </c>
      <c r="B7" s="1102"/>
      <c r="C7" s="1102"/>
      <c r="D7" s="1102"/>
      <c r="E7" s="1102"/>
      <c r="F7" s="1102"/>
      <c r="G7" s="1102"/>
      <c r="H7" s="1102"/>
      <c r="I7" s="1102"/>
      <c r="J7" s="385"/>
      <c r="K7" s="383"/>
      <c r="L7" s="383"/>
      <c r="M7" s="383"/>
      <c r="N7" s="383"/>
      <c r="O7" s="383"/>
      <c r="P7" s="383"/>
      <c r="Q7" s="386"/>
    </row>
    <row r="8" spans="1:17">
      <c r="A8" s="338" t="s">
        <v>183</v>
      </c>
      <c r="B8" s="2" t="s">
        <v>16</v>
      </c>
      <c r="C8" s="334" t="s">
        <v>600</v>
      </c>
      <c r="D8" s="258">
        <v>12</v>
      </c>
      <c r="E8" s="258">
        <v>3</v>
      </c>
      <c r="F8" s="263">
        <v>1647</v>
      </c>
      <c r="G8" s="90">
        <v>1500</v>
      </c>
      <c r="H8" s="90"/>
      <c r="I8" s="359">
        <v>0.5</v>
      </c>
      <c r="J8" s="379">
        <f>ROUND(G8*(1+'29_01_H_2020'!$O$14),2)</f>
        <v>1880.85</v>
      </c>
      <c r="K8" s="151">
        <f>L8-H8</f>
        <v>0</v>
      </c>
      <c r="L8" s="151">
        <f>ROUND(H8*(1+'29_01_H_2020'!$O$14),2)</f>
        <v>0</v>
      </c>
      <c r="M8" s="151">
        <f>(J8+L8)-(G8+H8)</f>
        <v>380.84999999999991</v>
      </c>
      <c r="N8" s="151">
        <f>M8*I8</f>
        <v>190.42499999999995</v>
      </c>
      <c r="O8" s="151">
        <f t="shared" ref="O8:O24" si="0">N8*12</f>
        <v>2285.0999999999995</v>
      </c>
      <c r="P8" s="151">
        <f>ROUND(O8*'29_01_H_2020'!$O$17,2)</f>
        <v>539.05999999999995</v>
      </c>
      <c r="Q8" s="380">
        <f>SUM(O8:P8)</f>
        <v>2824.1599999999994</v>
      </c>
    </row>
    <row r="9" spans="1:17" s="333" customFormat="1">
      <c r="A9" s="338" t="s">
        <v>335</v>
      </c>
      <c r="B9" s="2" t="s">
        <v>16</v>
      </c>
      <c r="C9" s="334" t="s">
        <v>600</v>
      </c>
      <c r="D9" s="258">
        <v>12</v>
      </c>
      <c r="E9" s="258">
        <v>3</v>
      </c>
      <c r="F9" s="263">
        <v>1647</v>
      </c>
      <c r="G9" s="90">
        <v>1500</v>
      </c>
      <c r="H9" s="90">
        <v>21</v>
      </c>
      <c r="I9" s="359">
        <v>0.7</v>
      </c>
      <c r="J9" s="379">
        <f>ROUND(G9*(1+'29_01_H_2020'!$O$14),2)</f>
        <v>1880.85</v>
      </c>
      <c r="K9" s="151">
        <f t="shared" ref="K9:K23" si="1">L9-H9</f>
        <v>5.3299999999999983</v>
      </c>
      <c r="L9" s="151">
        <f>ROUND(H9*(1+'29_01_H_2020'!$O$14),2)</f>
        <v>26.33</v>
      </c>
      <c r="M9" s="151">
        <f t="shared" ref="M9:M23" si="2">(J9+L9)-(G9+H9)</f>
        <v>386.17999999999984</v>
      </c>
      <c r="N9" s="151">
        <f t="shared" ref="N9:N23" si="3">M9*I9</f>
        <v>270.32599999999985</v>
      </c>
      <c r="O9" s="151">
        <f t="shared" ref="O9:O23" si="4">N9*12</f>
        <v>3243.9119999999984</v>
      </c>
      <c r="P9" s="151">
        <f>ROUND(O9*'29_01_H_2020'!$O$17,2)</f>
        <v>765.24</v>
      </c>
      <c r="Q9" s="380">
        <f t="shared" ref="Q9:Q23" si="5">SUM(O9:P9)</f>
        <v>4009.1519999999982</v>
      </c>
    </row>
    <row r="10" spans="1:17" s="333" customFormat="1">
      <c r="A10" s="338" t="s">
        <v>601</v>
      </c>
      <c r="B10" s="2" t="s">
        <v>16</v>
      </c>
      <c r="C10" s="334" t="s">
        <v>600</v>
      </c>
      <c r="D10" s="258">
        <v>12</v>
      </c>
      <c r="E10" s="258">
        <v>3</v>
      </c>
      <c r="F10" s="263">
        <v>1647</v>
      </c>
      <c r="G10" s="90">
        <v>1382</v>
      </c>
      <c r="H10" s="90">
        <v>96.74</v>
      </c>
      <c r="I10" s="359">
        <v>1</v>
      </c>
      <c r="J10" s="379">
        <f>ROUND(G10*(1+'29_01_H_2020'!$O$14),2)</f>
        <v>1732.89</v>
      </c>
      <c r="K10" s="151">
        <f t="shared" si="1"/>
        <v>24.560000000000002</v>
      </c>
      <c r="L10" s="151">
        <f>ROUND(H10*(1+'29_01_H_2020'!$O$14),2)</f>
        <v>121.3</v>
      </c>
      <c r="M10" s="151">
        <f t="shared" si="2"/>
        <v>375.45000000000005</v>
      </c>
      <c r="N10" s="151">
        <f t="shared" si="3"/>
        <v>375.45000000000005</v>
      </c>
      <c r="O10" s="151">
        <f t="shared" si="4"/>
        <v>4505.4000000000005</v>
      </c>
      <c r="P10" s="151">
        <f>ROUND(O10*'29_01_H_2020'!$O$17,2)</f>
        <v>1062.82</v>
      </c>
      <c r="Q10" s="380">
        <f t="shared" si="5"/>
        <v>5568.22</v>
      </c>
    </row>
    <row r="11" spans="1:17" s="333" customFormat="1">
      <c r="A11" s="338" t="s">
        <v>336</v>
      </c>
      <c r="B11" s="2" t="s">
        <v>16</v>
      </c>
      <c r="C11" s="334" t="s">
        <v>600</v>
      </c>
      <c r="D11" s="258">
        <v>12</v>
      </c>
      <c r="E11" s="258">
        <v>3</v>
      </c>
      <c r="F11" s="263">
        <v>1647</v>
      </c>
      <c r="G11" s="90">
        <v>1237</v>
      </c>
      <c r="H11" s="90">
        <v>61.85</v>
      </c>
      <c r="I11" s="359">
        <v>1</v>
      </c>
      <c r="J11" s="379">
        <f>ROUND(G11*(1+'29_01_H_2020'!$O$14),2)</f>
        <v>1551.07</v>
      </c>
      <c r="K11" s="151">
        <f t="shared" si="1"/>
        <v>15.699999999999996</v>
      </c>
      <c r="L11" s="151">
        <f>ROUND(H11*(1+'29_01_H_2020'!$O$14),2)</f>
        <v>77.55</v>
      </c>
      <c r="M11" s="151">
        <f t="shared" si="2"/>
        <v>329.77</v>
      </c>
      <c r="N11" s="151">
        <f t="shared" si="3"/>
        <v>329.77</v>
      </c>
      <c r="O11" s="151">
        <f t="shared" si="4"/>
        <v>3957.24</v>
      </c>
      <c r="P11" s="151">
        <f>ROUND(O11*'29_01_H_2020'!$O$17,2)</f>
        <v>933.51</v>
      </c>
      <c r="Q11" s="380">
        <f t="shared" si="5"/>
        <v>4890.75</v>
      </c>
    </row>
    <row r="12" spans="1:17" s="333" customFormat="1">
      <c r="A12" s="338" t="s">
        <v>602</v>
      </c>
      <c r="B12" s="2" t="s">
        <v>16</v>
      </c>
      <c r="C12" s="334" t="s">
        <v>603</v>
      </c>
      <c r="D12" s="258">
        <v>9</v>
      </c>
      <c r="E12" s="258">
        <v>3</v>
      </c>
      <c r="F12" s="263">
        <v>1190</v>
      </c>
      <c r="G12" s="90">
        <v>1190</v>
      </c>
      <c r="H12" s="90">
        <v>47.6</v>
      </c>
      <c r="I12" s="359">
        <v>1</v>
      </c>
      <c r="J12" s="379">
        <f>ROUND(G12*(1+'29_01_H_2020'!$O$14),2)</f>
        <v>1492.14</v>
      </c>
      <c r="K12" s="151">
        <f t="shared" si="1"/>
        <v>12.089999999999996</v>
      </c>
      <c r="L12" s="151">
        <f>ROUND(H12*(1+'29_01_H_2020'!$O$14),2)</f>
        <v>59.69</v>
      </c>
      <c r="M12" s="151">
        <f t="shared" si="2"/>
        <v>314.23000000000025</v>
      </c>
      <c r="N12" s="151">
        <f t="shared" si="3"/>
        <v>314.23000000000025</v>
      </c>
      <c r="O12" s="151">
        <f t="shared" si="4"/>
        <v>3770.7600000000029</v>
      </c>
      <c r="P12" s="151">
        <f>ROUND(O12*'29_01_H_2020'!$O$17,2)</f>
        <v>889.52</v>
      </c>
      <c r="Q12" s="380">
        <f t="shared" si="5"/>
        <v>4660.2800000000025</v>
      </c>
    </row>
    <row r="13" spans="1:17" s="333" customFormat="1">
      <c r="A13" s="338" t="s">
        <v>293</v>
      </c>
      <c r="B13" s="2" t="s">
        <v>16</v>
      </c>
      <c r="C13" s="334" t="s">
        <v>603</v>
      </c>
      <c r="D13" s="258">
        <v>9</v>
      </c>
      <c r="E13" s="258">
        <v>3</v>
      </c>
      <c r="F13" s="263">
        <v>1190</v>
      </c>
      <c r="G13" s="90">
        <v>1080</v>
      </c>
      <c r="H13" s="90">
        <v>32.4</v>
      </c>
      <c r="I13" s="359">
        <v>1</v>
      </c>
      <c r="J13" s="379">
        <f>ROUND(G13*(1+'29_01_H_2020'!$O$14),2)</f>
        <v>1354.21</v>
      </c>
      <c r="K13" s="151">
        <f t="shared" si="1"/>
        <v>8.230000000000004</v>
      </c>
      <c r="L13" s="151">
        <f>ROUND(H13*(1+'29_01_H_2020'!$O$14),2)</f>
        <v>40.630000000000003</v>
      </c>
      <c r="M13" s="151">
        <f t="shared" si="2"/>
        <v>282.44000000000005</v>
      </c>
      <c r="N13" s="151">
        <f t="shared" si="3"/>
        <v>282.44000000000005</v>
      </c>
      <c r="O13" s="151">
        <f t="shared" si="4"/>
        <v>3389.2800000000007</v>
      </c>
      <c r="P13" s="151">
        <f>ROUND(O13*'29_01_H_2020'!$O$17,2)</f>
        <v>799.53</v>
      </c>
      <c r="Q13" s="380">
        <f t="shared" si="5"/>
        <v>4188.8100000000004</v>
      </c>
    </row>
    <row r="14" spans="1:17" s="333" customFormat="1">
      <c r="A14" s="338" t="s">
        <v>293</v>
      </c>
      <c r="B14" s="2" t="s">
        <v>16</v>
      </c>
      <c r="C14" s="334" t="s">
        <v>603</v>
      </c>
      <c r="D14" s="258">
        <v>9</v>
      </c>
      <c r="E14" s="258">
        <v>3</v>
      </c>
      <c r="F14" s="263">
        <v>1190</v>
      </c>
      <c r="G14" s="90">
        <v>1080</v>
      </c>
      <c r="H14" s="90"/>
      <c r="I14" s="359">
        <v>1</v>
      </c>
      <c r="J14" s="379">
        <f>ROUND(G14*(1+'29_01_H_2020'!$O$14),2)</f>
        <v>1354.21</v>
      </c>
      <c r="K14" s="151">
        <f t="shared" si="1"/>
        <v>0</v>
      </c>
      <c r="L14" s="151">
        <f>ROUND(H14*(1+'29_01_H_2020'!$O$14),2)</f>
        <v>0</v>
      </c>
      <c r="M14" s="151">
        <f t="shared" si="2"/>
        <v>274.21000000000004</v>
      </c>
      <c r="N14" s="151">
        <f t="shared" si="3"/>
        <v>274.21000000000004</v>
      </c>
      <c r="O14" s="151">
        <f t="shared" si="4"/>
        <v>3290.5200000000004</v>
      </c>
      <c r="P14" s="151">
        <f>ROUND(O14*'29_01_H_2020'!$O$17,2)</f>
        <v>776.23</v>
      </c>
      <c r="Q14" s="380">
        <f t="shared" si="5"/>
        <v>4066.7500000000005</v>
      </c>
    </row>
    <row r="15" spans="1:17" s="333" customFormat="1">
      <c r="A15" s="338" t="s">
        <v>337</v>
      </c>
      <c r="B15" s="2" t="s">
        <v>16</v>
      </c>
      <c r="C15" s="334" t="s">
        <v>600</v>
      </c>
      <c r="D15" s="258">
        <v>12</v>
      </c>
      <c r="E15" s="258">
        <v>3</v>
      </c>
      <c r="F15" s="263">
        <v>1647</v>
      </c>
      <c r="G15" s="90">
        <v>1287</v>
      </c>
      <c r="H15" s="90"/>
      <c r="I15" s="359">
        <v>1</v>
      </c>
      <c r="J15" s="379">
        <f>ROUND(G15*(1+'29_01_H_2020'!$O$14),2)</f>
        <v>1613.77</v>
      </c>
      <c r="K15" s="151">
        <f t="shared" si="1"/>
        <v>0</v>
      </c>
      <c r="L15" s="151">
        <f>ROUND(H15*(1+'29_01_H_2020'!$O$14),2)</f>
        <v>0</v>
      </c>
      <c r="M15" s="151">
        <f t="shared" si="2"/>
        <v>326.77</v>
      </c>
      <c r="N15" s="151">
        <f t="shared" si="3"/>
        <v>326.77</v>
      </c>
      <c r="O15" s="151">
        <f t="shared" si="4"/>
        <v>3921.24</v>
      </c>
      <c r="P15" s="151">
        <f>ROUND(O15*'29_01_H_2020'!$O$17,2)</f>
        <v>925.02</v>
      </c>
      <c r="Q15" s="380">
        <f t="shared" si="5"/>
        <v>4846.26</v>
      </c>
    </row>
    <row r="16" spans="1:17" s="333" customFormat="1">
      <c r="A16" s="338" t="s">
        <v>338</v>
      </c>
      <c r="B16" s="2" t="s">
        <v>16</v>
      </c>
      <c r="C16" s="334" t="s">
        <v>603</v>
      </c>
      <c r="D16" s="258">
        <v>9</v>
      </c>
      <c r="E16" s="258">
        <v>3</v>
      </c>
      <c r="F16" s="263">
        <v>1190</v>
      </c>
      <c r="G16" s="90">
        <v>1190</v>
      </c>
      <c r="H16" s="90">
        <v>23.8</v>
      </c>
      <c r="I16" s="359">
        <v>1</v>
      </c>
      <c r="J16" s="379">
        <f>ROUND(G16*(1+'29_01_H_2020'!$O$14),2)</f>
        <v>1492.14</v>
      </c>
      <c r="K16" s="151">
        <f t="shared" si="1"/>
        <v>6.0399999999999991</v>
      </c>
      <c r="L16" s="151">
        <f>ROUND(H16*(1+'29_01_H_2020'!$O$14),2)</f>
        <v>29.84</v>
      </c>
      <c r="M16" s="151">
        <f t="shared" si="2"/>
        <v>308.18000000000006</v>
      </c>
      <c r="N16" s="151">
        <f t="shared" si="3"/>
        <v>308.18000000000006</v>
      </c>
      <c r="O16" s="151">
        <f t="shared" si="4"/>
        <v>3698.1600000000008</v>
      </c>
      <c r="P16" s="151">
        <f>ROUND(O16*'29_01_H_2020'!$O$17,2)</f>
        <v>872.4</v>
      </c>
      <c r="Q16" s="380">
        <f t="shared" si="5"/>
        <v>4570.5600000000004</v>
      </c>
    </row>
    <row r="17" spans="1:17" s="333" customFormat="1">
      <c r="A17" s="338" t="s">
        <v>338</v>
      </c>
      <c r="B17" s="2" t="s">
        <v>16</v>
      </c>
      <c r="C17" s="334" t="s">
        <v>603</v>
      </c>
      <c r="D17" s="258">
        <v>9</v>
      </c>
      <c r="E17" s="258">
        <v>3</v>
      </c>
      <c r="F17" s="263">
        <v>1190</v>
      </c>
      <c r="G17" s="90">
        <v>1190</v>
      </c>
      <c r="H17" s="90"/>
      <c r="I17" s="359">
        <v>1</v>
      </c>
      <c r="J17" s="379">
        <f>ROUND(G17*(1+'29_01_H_2020'!$O$14),2)</f>
        <v>1492.14</v>
      </c>
      <c r="K17" s="151">
        <f t="shared" si="1"/>
        <v>0</v>
      </c>
      <c r="L17" s="151">
        <f>ROUND(H17*(1+'29_01_H_2020'!$O$14),2)</f>
        <v>0</v>
      </c>
      <c r="M17" s="151">
        <f t="shared" si="2"/>
        <v>302.1400000000001</v>
      </c>
      <c r="N17" s="151">
        <f t="shared" si="3"/>
        <v>302.1400000000001</v>
      </c>
      <c r="O17" s="151">
        <f t="shared" si="4"/>
        <v>3625.6800000000012</v>
      </c>
      <c r="P17" s="151">
        <f>ROUND(O17*'29_01_H_2020'!$O$17,2)</f>
        <v>855.3</v>
      </c>
      <c r="Q17" s="380">
        <f t="shared" si="5"/>
        <v>4480.9800000000014</v>
      </c>
    </row>
    <row r="18" spans="1:17" s="333" customFormat="1">
      <c r="A18" s="338" t="s">
        <v>338</v>
      </c>
      <c r="B18" s="2" t="s">
        <v>16</v>
      </c>
      <c r="C18" s="334" t="s">
        <v>603</v>
      </c>
      <c r="D18" s="258">
        <v>9</v>
      </c>
      <c r="E18" s="258">
        <v>3</v>
      </c>
      <c r="F18" s="263">
        <v>1190</v>
      </c>
      <c r="G18" s="90">
        <v>1190</v>
      </c>
      <c r="H18" s="90"/>
      <c r="I18" s="359">
        <v>0.75</v>
      </c>
      <c r="J18" s="379">
        <f>ROUND(G18*(1+'29_01_H_2020'!$O$14),2)</f>
        <v>1492.14</v>
      </c>
      <c r="K18" s="151">
        <f t="shared" si="1"/>
        <v>0</v>
      </c>
      <c r="L18" s="151">
        <f>ROUND(H18*(1+'29_01_H_2020'!$O$14),2)</f>
        <v>0</v>
      </c>
      <c r="M18" s="151">
        <f t="shared" si="2"/>
        <v>302.1400000000001</v>
      </c>
      <c r="N18" s="151">
        <f t="shared" si="3"/>
        <v>226.60500000000008</v>
      </c>
      <c r="O18" s="151">
        <f t="shared" si="4"/>
        <v>2719.2600000000011</v>
      </c>
      <c r="P18" s="151">
        <f>ROUND(O18*'29_01_H_2020'!$O$17,2)</f>
        <v>641.47</v>
      </c>
      <c r="Q18" s="380">
        <f t="shared" si="5"/>
        <v>3360.7300000000014</v>
      </c>
    </row>
    <row r="19" spans="1:17" s="333" customFormat="1">
      <c r="A19" s="338" t="s">
        <v>604</v>
      </c>
      <c r="B19" s="2" t="s">
        <v>16</v>
      </c>
      <c r="C19" s="334" t="s">
        <v>600</v>
      </c>
      <c r="D19" s="258">
        <v>12</v>
      </c>
      <c r="E19" s="258">
        <v>3</v>
      </c>
      <c r="F19" s="263">
        <v>1647</v>
      </c>
      <c r="G19" s="90">
        <v>1237</v>
      </c>
      <c r="H19" s="90"/>
      <c r="I19" s="359">
        <v>1</v>
      </c>
      <c r="J19" s="379">
        <f>ROUND(G19*(1+'29_01_H_2020'!$O$14),2)</f>
        <v>1551.07</v>
      </c>
      <c r="K19" s="151">
        <f t="shared" si="1"/>
        <v>0</v>
      </c>
      <c r="L19" s="151">
        <f>ROUND(H19*(1+'29_01_H_2020'!$O$14),2)</f>
        <v>0</v>
      </c>
      <c r="M19" s="151">
        <f t="shared" si="2"/>
        <v>314.06999999999994</v>
      </c>
      <c r="N19" s="151">
        <f t="shared" si="3"/>
        <v>314.06999999999994</v>
      </c>
      <c r="O19" s="151">
        <f t="shared" si="4"/>
        <v>3768.8399999999992</v>
      </c>
      <c r="P19" s="151">
        <f>ROUND(O19*'29_01_H_2020'!$O$17,2)</f>
        <v>889.07</v>
      </c>
      <c r="Q19" s="380">
        <f t="shared" si="5"/>
        <v>4657.9099999999989</v>
      </c>
    </row>
    <row r="20" spans="1:17" s="333" customFormat="1">
      <c r="A20" s="338" t="s">
        <v>261</v>
      </c>
      <c r="B20" s="2" t="s">
        <v>16</v>
      </c>
      <c r="C20" s="334" t="s">
        <v>603</v>
      </c>
      <c r="D20" s="258">
        <v>9</v>
      </c>
      <c r="E20" s="258">
        <v>3</v>
      </c>
      <c r="F20" s="263">
        <v>1190</v>
      </c>
      <c r="G20" s="90">
        <v>1080</v>
      </c>
      <c r="H20" s="90"/>
      <c r="I20" s="359">
        <v>1</v>
      </c>
      <c r="J20" s="379">
        <f>ROUND(G20*(1+'29_01_H_2020'!$O$14),2)</f>
        <v>1354.21</v>
      </c>
      <c r="K20" s="151">
        <f t="shared" si="1"/>
        <v>0</v>
      </c>
      <c r="L20" s="151">
        <f>ROUND(H20*(1+'29_01_H_2020'!$O$14),2)</f>
        <v>0</v>
      </c>
      <c r="M20" s="151">
        <f t="shared" si="2"/>
        <v>274.21000000000004</v>
      </c>
      <c r="N20" s="151">
        <f t="shared" si="3"/>
        <v>274.21000000000004</v>
      </c>
      <c r="O20" s="151">
        <f t="shared" si="4"/>
        <v>3290.5200000000004</v>
      </c>
      <c r="P20" s="151">
        <f>ROUND(O20*'29_01_H_2020'!$O$17,2)</f>
        <v>776.23</v>
      </c>
      <c r="Q20" s="380">
        <f t="shared" si="5"/>
        <v>4066.7500000000005</v>
      </c>
    </row>
    <row r="21" spans="1:17" s="333" customFormat="1">
      <c r="A21" s="338" t="s">
        <v>261</v>
      </c>
      <c r="B21" s="2" t="s">
        <v>16</v>
      </c>
      <c r="C21" s="334" t="s">
        <v>603</v>
      </c>
      <c r="D21" s="258">
        <v>9</v>
      </c>
      <c r="E21" s="258">
        <v>3</v>
      </c>
      <c r="F21" s="263">
        <v>1190</v>
      </c>
      <c r="G21" s="90">
        <v>1080</v>
      </c>
      <c r="H21" s="90"/>
      <c r="I21" s="359">
        <v>1</v>
      </c>
      <c r="J21" s="379">
        <f>ROUND(G21*(1+'29_01_H_2020'!$O$14),2)</f>
        <v>1354.21</v>
      </c>
      <c r="K21" s="151">
        <f t="shared" si="1"/>
        <v>0</v>
      </c>
      <c r="L21" s="151">
        <f>ROUND(H21*(1+'29_01_H_2020'!$O$14),2)</f>
        <v>0</v>
      </c>
      <c r="M21" s="151">
        <f t="shared" si="2"/>
        <v>274.21000000000004</v>
      </c>
      <c r="N21" s="151">
        <f t="shared" si="3"/>
        <v>274.21000000000004</v>
      </c>
      <c r="O21" s="151">
        <f t="shared" si="4"/>
        <v>3290.5200000000004</v>
      </c>
      <c r="P21" s="151">
        <f>ROUND(O21*'29_01_H_2020'!$O$17,2)</f>
        <v>776.23</v>
      </c>
      <c r="Q21" s="380">
        <f t="shared" si="5"/>
        <v>4066.7500000000005</v>
      </c>
    </row>
    <row r="22" spans="1:17" s="333" customFormat="1">
      <c r="A22" s="338" t="s">
        <v>339</v>
      </c>
      <c r="B22" s="2" t="s">
        <v>16</v>
      </c>
      <c r="C22" s="334" t="s">
        <v>600</v>
      </c>
      <c r="D22" s="258">
        <v>12</v>
      </c>
      <c r="E22" s="258">
        <v>3</v>
      </c>
      <c r="F22" s="263">
        <v>1647</v>
      </c>
      <c r="G22" s="90">
        <v>1287</v>
      </c>
      <c r="H22" s="90">
        <v>38.61</v>
      </c>
      <c r="I22" s="359">
        <v>1</v>
      </c>
      <c r="J22" s="379">
        <f>ROUND(G22*(1+'29_01_H_2020'!$O$14),2)</f>
        <v>1613.77</v>
      </c>
      <c r="K22" s="151">
        <f t="shared" si="1"/>
        <v>9.7999999999999972</v>
      </c>
      <c r="L22" s="151">
        <f>ROUND(H22*(1+'29_01_H_2020'!$O$14),2)</f>
        <v>48.41</v>
      </c>
      <c r="M22" s="151">
        <f t="shared" si="2"/>
        <v>336.57000000000016</v>
      </c>
      <c r="N22" s="151">
        <f t="shared" si="3"/>
        <v>336.57000000000016</v>
      </c>
      <c r="O22" s="151">
        <f t="shared" si="4"/>
        <v>4038.840000000002</v>
      </c>
      <c r="P22" s="151">
        <f>ROUND(O22*'29_01_H_2020'!$O$17,2)</f>
        <v>952.76</v>
      </c>
      <c r="Q22" s="380">
        <f t="shared" si="5"/>
        <v>4991.6000000000022</v>
      </c>
    </row>
    <row r="23" spans="1:17" s="333" customFormat="1">
      <c r="A23" s="338" t="s">
        <v>340</v>
      </c>
      <c r="B23" s="2" t="s">
        <v>16</v>
      </c>
      <c r="C23" s="334" t="s">
        <v>603</v>
      </c>
      <c r="D23" s="258">
        <v>9</v>
      </c>
      <c r="E23" s="258">
        <v>3</v>
      </c>
      <c r="F23" s="263">
        <v>1190</v>
      </c>
      <c r="G23" s="90">
        <v>1190</v>
      </c>
      <c r="H23" s="90"/>
      <c r="I23" s="359">
        <v>1</v>
      </c>
      <c r="J23" s="379">
        <f>ROUND(G23*(1+'29_01_H_2020'!$O$14),2)</f>
        <v>1492.14</v>
      </c>
      <c r="K23" s="151">
        <f t="shared" si="1"/>
        <v>0</v>
      </c>
      <c r="L23" s="151">
        <f>ROUND(H23*(1+'29_01_H_2020'!$O$14),2)</f>
        <v>0</v>
      </c>
      <c r="M23" s="151">
        <f t="shared" si="2"/>
        <v>302.1400000000001</v>
      </c>
      <c r="N23" s="151">
        <f t="shared" si="3"/>
        <v>302.1400000000001</v>
      </c>
      <c r="O23" s="151">
        <f t="shared" si="4"/>
        <v>3625.6800000000012</v>
      </c>
      <c r="P23" s="151">
        <f>ROUND(O23*'29_01_H_2020'!$O$17,2)</f>
        <v>855.3</v>
      </c>
      <c r="Q23" s="380">
        <f t="shared" si="5"/>
        <v>4480.9800000000014</v>
      </c>
    </row>
    <row r="24" spans="1:17">
      <c r="A24" s="338" t="s">
        <v>605</v>
      </c>
      <c r="B24" s="2" t="s">
        <v>16</v>
      </c>
      <c r="C24" s="334" t="s">
        <v>603</v>
      </c>
      <c r="D24" s="258">
        <v>9</v>
      </c>
      <c r="E24" s="258">
        <v>3</v>
      </c>
      <c r="F24" s="263">
        <v>1190</v>
      </c>
      <c r="G24" s="90">
        <v>1190</v>
      </c>
      <c r="H24" s="90"/>
      <c r="I24" s="359">
        <v>0.2</v>
      </c>
      <c r="J24" s="379">
        <f>ROUND(G24*(1+'29_01_H_2020'!$O$14),2)</f>
        <v>1492.14</v>
      </c>
      <c r="K24" s="151">
        <f>L24-H24</f>
        <v>0</v>
      </c>
      <c r="L24" s="151">
        <f>ROUND(H24*(1+'29_01_H_2020'!$O$14),2)</f>
        <v>0</v>
      </c>
      <c r="M24" s="151">
        <f>(J24+L24)-(G24+H24)</f>
        <v>302.1400000000001</v>
      </c>
      <c r="N24" s="151">
        <f>M24*I24</f>
        <v>60.428000000000026</v>
      </c>
      <c r="O24" s="151">
        <f t="shared" si="0"/>
        <v>725.13600000000031</v>
      </c>
      <c r="P24" s="151">
        <f>ROUND(O24*'29_01_H_2020'!$O$17,2)</f>
        <v>171.06</v>
      </c>
      <c r="Q24" s="380">
        <f t="shared" ref="Q24" si="6">SUM(O24:P24)</f>
        <v>896.19600000000037</v>
      </c>
    </row>
    <row r="25" spans="1:17">
      <c r="A25" s="11" t="s">
        <v>55</v>
      </c>
      <c r="B25" s="8" t="s">
        <v>52</v>
      </c>
      <c r="C25" s="9" t="s">
        <v>52</v>
      </c>
      <c r="D25" s="9" t="s">
        <v>52</v>
      </c>
      <c r="E25" s="9" t="s">
        <v>52</v>
      </c>
      <c r="F25" s="10" t="s">
        <v>52</v>
      </c>
      <c r="G25" s="10" t="s">
        <v>52</v>
      </c>
      <c r="H25" s="10" t="s">
        <v>52</v>
      </c>
      <c r="I25" s="360">
        <f>SUM(I8:I24)</f>
        <v>15.149999999999999</v>
      </c>
      <c r="J25" s="404"/>
      <c r="K25" s="405"/>
      <c r="L25" s="405"/>
      <c r="M25" s="405"/>
      <c r="N25" s="405"/>
      <c r="O25" s="405"/>
      <c r="P25" s="405"/>
      <c r="Q25" s="412"/>
    </row>
    <row r="26" spans="1:17" s="333" customFormat="1" ht="42" customHeight="1">
      <c r="A26" s="1204" t="s">
        <v>606</v>
      </c>
      <c r="B26" s="1205"/>
      <c r="C26" s="1205"/>
      <c r="D26" s="1205"/>
      <c r="E26" s="1205"/>
      <c r="F26" s="1205"/>
      <c r="G26" s="1205"/>
      <c r="H26" s="1205"/>
      <c r="I26" s="1206"/>
      <c r="J26" s="663"/>
      <c r="K26" s="664"/>
      <c r="L26" s="664"/>
      <c r="M26" s="664"/>
      <c r="N26" s="664"/>
      <c r="O26" s="664"/>
      <c r="P26" s="664"/>
      <c r="Q26" s="665">
        <f>SUM(Q28:Q31,Q33:Q36)</f>
        <v>40686.47</v>
      </c>
    </row>
    <row r="27" spans="1:17" ht="15" customHeight="1">
      <c r="A27" s="1101" t="s">
        <v>11</v>
      </c>
      <c r="B27" s="1102"/>
      <c r="C27" s="1102"/>
      <c r="D27" s="1102"/>
      <c r="E27" s="1102"/>
      <c r="F27" s="1102"/>
      <c r="G27" s="1102"/>
      <c r="H27" s="1102"/>
      <c r="I27" s="1102"/>
      <c r="J27" s="385"/>
      <c r="K27" s="383"/>
      <c r="L27" s="383"/>
      <c r="M27" s="383"/>
      <c r="N27" s="383"/>
      <c r="O27" s="383"/>
      <c r="P27" s="383"/>
      <c r="Q27" s="386"/>
    </row>
    <row r="28" spans="1:17">
      <c r="A28" s="338" t="s">
        <v>328</v>
      </c>
      <c r="B28" s="2" t="s">
        <v>16</v>
      </c>
      <c r="C28" s="334" t="s">
        <v>26</v>
      </c>
      <c r="D28" s="258">
        <v>10</v>
      </c>
      <c r="E28" s="258">
        <v>3</v>
      </c>
      <c r="F28" s="263">
        <v>1287</v>
      </c>
      <c r="G28" s="90">
        <v>1200</v>
      </c>
      <c r="H28" s="90"/>
      <c r="I28" s="359">
        <v>1</v>
      </c>
      <c r="J28" s="379">
        <f>ROUND(G28*(1+'29_01_H_2020'!$O$14),2)</f>
        <v>1504.68</v>
      </c>
      <c r="K28" s="151">
        <f>L28-H28</f>
        <v>0</v>
      </c>
      <c r="L28" s="151">
        <f>ROUND(H28*(1+'29_01_H_2020'!$O$14),2)</f>
        <v>0</v>
      </c>
      <c r="M28" s="151">
        <f>(J28+L28)-(G28+H28)</f>
        <v>304.68000000000006</v>
      </c>
      <c r="N28" s="151">
        <f>M28*I28</f>
        <v>304.68000000000006</v>
      </c>
      <c r="O28" s="151">
        <f t="shared" ref="O28:O36" si="7">N28*12</f>
        <v>3656.1600000000008</v>
      </c>
      <c r="P28" s="151">
        <f>ROUND(O28*'29_01_H_2020'!$O$17,2)</f>
        <v>862.49</v>
      </c>
      <c r="Q28" s="380">
        <f t="shared" ref="Q28:Q36" si="8">SUM(O28:P28)</f>
        <v>4518.6500000000005</v>
      </c>
    </row>
    <row r="29" spans="1:17">
      <c r="A29" s="338" t="s">
        <v>272</v>
      </c>
      <c r="B29" s="2" t="s">
        <v>16</v>
      </c>
      <c r="C29" s="334" t="s">
        <v>251</v>
      </c>
      <c r="D29" s="258">
        <v>9</v>
      </c>
      <c r="E29" s="258">
        <v>3</v>
      </c>
      <c r="F29" s="263">
        <v>1190</v>
      </c>
      <c r="G29" s="90">
        <v>950</v>
      </c>
      <c r="H29" s="90"/>
      <c r="I29" s="359">
        <v>0.25</v>
      </c>
      <c r="J29" s="379">
        <f>ROUND(G29*(1+'29_01_H_2020'!$O$14),2)</f>
        <v>1191.21</v>
      </c>
      <c r="K29" s="151">
        <f t="shared" ref="K29:K36" si="9">L29-H29</f>
        <v>0</v>
      </c>
      <c r="L29" s="151">
        <f>ROUND(H29*(1+'29_01_H_2020'!$O$14),2)</f>
        <v>0</v>
      </c>
      <c r="M29" s="151">
        <f t="shared" ref="M29:M36" si="10">(J29+L29)-(G29+H29)</f>
        <v>241.21000000000004</v>
      </c>
      <c r="N29" s="151">
        <f t="shared" ref="N29:N36" si="11">M29*I29</f>
        <v>60.302500000000009</v>
      </c>
      <c r="O29" s="151">
        <f t="shared" si="7"/>
        <v>723.63000000000011</v>
      </c>
      <c r="P29" s="151">
        <f>ROUND(O29*'29_01_H_2020'!$O$17,2)</f>
        <v>170.7</v>
      </c>
      <c r="Q29" s="380">
        <f t="shared" si="8"/>
        <v>894.33000000000015</v>
      </c>
    </row>
    <row r="30" spans="1:17">
      <c r="A30" s="338" t="s">
        <v>247</v>
      </c>
      <c r="B30" s="2" t="s">
        <v>16</v>
      </c>
      <c r="C30" s="334" t="s">
        <v>26</v>
      </c>
      <c r="D30" s="258">
        <v>10</v>
      </c>
      <c r="E30" s="258">
        <v>3</v>
      </c>
      <c r="F30" s="263">
        <v>1287</v>
      </c>
      <c r="G30" s="90">
        <v>1190</v>
      </c>
      <c r="H30" s="90"/>
      <c r="I30" s="359">
        <v>0.25</v>
      </c>
      <c r="J30" s="379">
        <f>ROUND(G30*(1+'29_01_H_2020'!$O$14),2)</f>
        <v>1492.14</v>
      </c>
      <c r="K30" s="151">
        <f t="shared" si="9"/>
        <v>0</v>
      </c>
      <c r="L30" s="151">
        <f>ROUND(H30*(1+'29_01_H_2020'!$O$14),2)</f>
        <v>0</v>
      </c>
      <c r="M30" s="151">
        <f t="shared" si="10"/>
        <v>302.1400000000001</v>
      </c>
      <c r="N30" s="151">
        <f t="shared" si="11"/>
        <v>75.535000000000025</v>
      </c>
      <c r="O30" s="151">
        <f t="shared" si="7"/>
        <v>906.4200000000003</v>
      </c>
      <c r="P30" s="151">
        <f>ROUND(O30*'29_01_H_2020'!$O$17,2)</f>
        <v>213.82</v>
      </c>
      <c r="Q30" s="380">
        <f t="shared" si="8"/>
        <v>1120.2400000000002</v>
      </c>
    </row>
    <row r="31" spans="1:17">
      <c r="A31" s="338" t="s">
        <v>250</v>
      </c>
      <c r="B31" s="2" t="s">
        <v>23</v>
      </c>
      <c r="C31" s="334" t="s">
        <v>251</v>
      </c>
      <c r="D31" s="258">
        <v>9</v>
      </c>
      <c r="E31" s="258">
        <v>3</v>
      </c>
      <c r="F31" s="263">
        <v>1190</v>
      </c>
      <c r="G31" s="90">
        <v>1015</v>
      </c>
      <c r="H31" s="90"/>
      <c r="I31" s="359">
        <v>1</v>
      </c>
      <c r="J31" s="379">
        <f>ROUND(G31*(1+'29_01_H_2020'!$O$14),2)</f>
        <v>1272.71</v>
      </c>
      <c r="K31" s="151">
        <f t="shared" si="9"/>
        <v>0</v>
      </c>
      <c r="L31" s="151">
        <f>ROUND(H31*(1+'29_01_H_2020'!$O$14),2)</f>
        <v>0</v>
      </c>
      <c r="M31" s="151">
        <f t="shared" si="10"/>
        <v>257.71000000000004</v>
      </c>
      <c r="N31" s="151">
        <f t="shared" si="11"/>
        <v>257.71000000000004</v>
      </c>
      <c r="O31" s="151">
        <f t="shared" si="7"/>
        <v>3092.5200000000004</v>
      </c>
      <c r="P31" s="151">
        <f>ROUND(O31*'29_01_H_2020'!$O$17,2)</f>
        <v>729.53</v>
      </c>
      <c r="Q31" s="380">
        <f t="shared" si="8"/>
        <v>3822.05</v>
      </c>
    </row>
    <row r="32" spans="1:17">
      <c r="A32" s="1101" t="s">
        <v>28</v>
      </c>
      <c r="B32" s="1102"/>
      <c r="C32" s="1102"/>
      <c r="D32" s="1102"/>
      <c r="E32" s="1102"/>
      <c r="F32" s="1102"/>
      <c r="G32" s="1102"/>
      <c r="H32" s="1102"/>
      <c r="I32" s="1102"/>
      <c r="J32" s="385"/>
      <c r="K32" s="383"/>
      <c r="L32" s="383"/>
      <c r="M32" s="383"/>
      <c r="N32" s="383"/>
      <c r="O32" s="383"/>
      <c r="P32" s="383"/>
      <c r="Q32" s="386"/>
    </row>
    <row r="33" spans="1:17">
      <c r="A33" s="338" t="s">
        <v>22</v>
      </c>
      <c r="B33" s="2" t="s">
        <v>23</v>
      </c>
      <c r="C33" s="334" t="s">
        <v>13</v>
      </c>
      <c r="D33" s="258">
        <v>11</v>
      </c>
      <c r="E33" s="258">
        <v>3</v>
      </c>
      <c r="F33" s="263">
        <v>1382</v>
      </c>
      <c r="G33" s="90">
        <v>1200</v>
      </c>
      <c r="H33" s="90"/>
      <c r="I33" s="359">
        <v>0.5</v>
      </c>
      <c r="J33" s="379">
        <f>ROUND(G33*(1+'29_01_H_2020'!$O$10),2)</f>
        <v>1504.68</v>
      </c>
      <c r="K33" s="151">
        <f t="shared" si="9"/>
        <v>0</v>
      </c>
      <c r="L33" s="151">
        <f>ROUND(H33*(1+'29_01_H_2020'!$O$14),2)</f>
        <v>0</v>
      </c>
      <c r="M33" s="151">
        <f t="shared" si="10"/>
        <v>304.68000000000006</v>
      </c>
      <c r="N33" s="151">
        <f t="shared" si="11"/>
        <v>152.34000000000003</v>
      </c>
      <c r="O33" s="151">
        <f t="shared" si="7"/>
        <v>1828.0800000000004</v>
      </c>
      <c r="P33" s="151">
        <f>ROUND(O33*'29_01_H_2020'!$O$17,2)</f>
        <v>431.24</v>
      </c>
      <c r="Q33" s="380">
        <f t="shared" si="8"/>
        <v>2259.3200000000006</v>
      </c>
    </row>
    <row r="34" spans="1:17">
      <c r="A34" s="338" t="s">
        <v>266</v>
      </c>
      <c r="B34" s="2" t="s">
        <v>23</v>
      </c>
      <c r="C34" s="334" t="s">
        <v>42</v>
      </c>
      <c r="D34" s="258">
        <v>6</v>
      </c>
      <c r="E34" s="258">
        <v>3</v>
      </c>
      <c r="F34" s="263">
        <v>899</v>
      </c>
      <c r="G34" s="90">
        <v>750</v>
      </c>
      <c r="H34" s="90">
        <v>100</v>
      </c>
      <c r="I34" s="359">
        <v>3.5</v>
      </c>
      <c r="J34" s="379">
        <f>ROUND(G34*(1+'29_01_H_2020'!$O$10),2)</f>
        <v>940.43</v>
      </c>
      <c r="K34" s="151">
        <f t="shared" si="9"/>
        <v>25.39</v>
      </c>
      <c r="L34" s="151">
        <f>ROUND(H34*(1+'29_01_H_2020'!$O$14),2)</f>
        <v>125.39</v>
      </c>
      <c r="M34" s="151">
        <f t="shared" si="10"/>
        <v>215.81999999999994</v>
      </c>
      <c r="N34" s="151">
        <f t="shared" si="11"/>
        <v>755.36999999999978</v>
      </c>
      <c r="O34" s="151">
        <f t="shared" si="7"/>
        <v>9064.4399999999969</v>
      </c>
      <c r="P34" s="151">
        <f>ROUND(O34*'29_01_H_2020'!$O$17,2)</f>
        <v>2138.3000000000002</v>
      </c>
      <c r="Q34" s="380">
        <f t="shared" si="8"/>
        <v>11202.739999999998</v>
      </c>
    </row>
    <row r="35" spans="1:17">
      <c r="A35" s="338" t="s">
        <v>607</v>
      </c>
      <c r="B35" s="2" t="s">
        <v>23</v>
      </c>
      <c r="C35" s="334" t="s">
        <v>26</v>
      </c>
      <c r="D35" s="258">
        <v>7</v>
      </c>
      <c r="E35" s="258">
        <v>3</v>
      </c>
      <c r="F35" s="263">
        <v>996</v>
      </c>
      <c r="G35" s="90">
        <v>800</v>
      </c>
      <c r="H35" s="90">
        <v>30</v>
      </c>
      <c r="I35" s="359">
        <v>1</v>
      </c>
      <c r="J35" s="379">
        <f>ROUND(G35*(1+'29_01_H_2020'!$O$10),2)</f>
        <v>1003.12</v>
      </c>
      <c r="K35" s="151">
        <f t="shared" si="9"/>
        <v>7.6199999999999974</v>
      </c>
      <c r="L35" s="151">
        <f>ROUND(H35*(1+'29_01_H_2020'!$O$14),2)</f>
        <v>37.619999999999997</v>
      </c>
      <c r="M35" s="151">
        <f t="shared" si="10"/>
        <v>210.74</v>
      </c>
      <c r="N35" s="151">
        <f t="shared" si="11"/>
        <v>210.74</v>
      </c>
      <c r="O35" s="151">
        <f t="shared" si="7"/>
        <v>2528.88</v>
      </c>
      <c r="P35" s="151">
        <f>ROUND(O35*'29_01_H_2020'!$O$17,2)</f>
        <v>596.55999999999995</v>
      </c>
      <c r="Q35" s="380">
        <f t="shared" si="8"/>
        <v>3125.44</v>
      </c>
    </row>
    <row r="36" spans="1:17">
      <c r="A36" s="338" t="s">
        <v>608</v>
      </c>
      <c r="B36" s="2" t="s">
        <v>23</v>
      </c>
      <c r="C36" s="334" t="s">
        <v>609</v>
      </c>
      <c r="D36" s="258">
        <v>5</v>
      </c>
      <c r="E36" s="258">
        <v>3</v>
      </c>
      <c r="F36" s="263">
        <v>802</v>
      </c>
      <c r="G36" s="90">
        <v>575</v>
      </c>
      <c r="H36" s="90">
        <v>155</v>
      </c>
      <c r="I36" s="359">
        <v>5</v>
      </c>
      <c r="J36" s="379">
        <f>ROUND(G36*(1+'29_01_H_2020'!$O$10),2)</f>
        <v>720.99</v>
      </c>
      <c r="K36" s="151">
        <f t="shared" si="9"/>
        <v>39.349999999999994</v>
      </c>
      <c r="L36" s="151">
        <f>ROUND(H36*(1+'29_01_H_2020'!$O$14),2)</f>
        <v>194.35</v>
      </c>
      <c r="M36" s="151">
        <f t="shared" si="10"/>
        <v>185.34000000000003</v>
      </c>
      <c r="N36" s="151">
        <f t="shared" si="11"/>
        <v>926.70000000000016</v>
      </c>
      <c r="O36" s="151">
        <f t="shared" si="7"/>
        <v>11120.400000000001</v>
      </c>
      <c r="P36" s="151">
        <f>ROUND(O36*'29_01_H_2020'!$O$17,2)</f>
        <v>2623.3</v>
      </c>
      <c r="Q36" s="380">
        <f t="shared" si="8"/>
        <v>13743.7</v>
      </c>
    </row>
    <row r="37" spans="1:17">
      <c r="A37" s="11" t="s">
        <v>55</v>
      </c>
      <c r="B37" s="8" t="s">
        <v>52</v>
      </c>
      <c r="C37" s="9" t="s">
        <v>52</v>
      </c>
      <c r="D37" s="9" t="s">
        <v>52</v>
      </c>
      <c r="E37" s="9" t="s">
        <v>52</v>
      </c>
      <c r="F37" s="10" t="s">
        <v>52</v>
      </c>
      <c r="G37" s="10" t="s">
        <v>52</v>
      </c>
      <c r="H37" s="10" t="s">
        <v>52</v>
      </c>
      <c r="I37" s="360">
        <f>SUM(I28:I36)</f>
        <v>12.5</v>
      </c>
      <c r="J37" s="404"/>
      <c r="K37" s="405"/>
      <c r="L37" s="405"/>
      <c r="M37" s="405"/>
      <c r="N37" s="405"/>
      <c r="O37" s="405"/>
      <c r="P37" s="405"/>
      <c r="Q37" s="412"/>
    </row>
    <row r="38" spans="1:17" ht="45" customHeight="1">
      <c r="A38" s="1204" t="s">
        <v>325</v>
      </c>
      <c r="B38" s="1205"/>
      <c r="C38" s="1205"/>
      <c r="D38" s="1205"/>
      <c r="E38" s="1205"/>
      <c r="F38" s="1205"/>
      <c r="G38" s="1205"/>
      <c r="H38" s="1205"/>
      <c r="I38" s="1206"/>
      <c r="J38" s="663"/>
      <c r="K38" s="664"/>
      <c r="L38" s="664"/>
      <c r="M38" s="664"/>
      <c r="N38" s="664"/>
      <c r="O38" s="664"/>
      <c r="P38" s="664"/>
      <c r="Q38" s="665">
        <f>SUM(Q40:Q40,Q42:Q44)</f>
        <v>8351.5300000000007</v>
      </c>
    </row>
    <row r="39" spans="1:17">
      <c r="A39" s="1101" t="s">
        <v>11</v>
      </c>
      <c r="B39" s="1102"/>
      <c r="C39" s="1102"/>
      <c r="D39" s="1102"/>
      <c r="E39" s="1102"/>
      <c r="F39" s="1102"/>
      <c r="G39" s="1102"/>
      <c r="H39" s="1102"/>
      <c r="I39" s="1102"/>
      <c r="J39" s="385"/>
      <c r="K39" s="383"/>
      <c r="L39" s="383"/>
      <c r="M39" s="383"/>
      <c r="N39" s="383"/>
      <c r="O39" s="383"/>
      <c r="P39" s="383"/>
      <c r="Q39" s="386"/>
    </row>
    <row r="40" spans="1:17">
      <c r="A40" s="338" t="s">
        <v>247</v>
      </c>
      <c r="B40" s="2" t="s">
        <v>118</v>
      </c>
      <c r="C40" s="334" t="s">
        <v>26</v>
      </c>
      <c r="D40" s="258" t="s">
        <v>75</v>
      </c>
      <c r="E40" s="258" t="s">
        <v>69</v>
      </c>
      <c r="F40" s="263">
        <v>1287</v>
      </c>
      <c r="G40" s="90" t="s">
        <v>610</v>
      </c>
      <c r="H40" s="90">
        <v>20.5</v>
      </c>
      <c r="I40" s="359">
        <v>0.5</v>
      </c>
      <c r="J40" s="379">
        <f>ROUND(G40*(1+'29_01_H_2020'!$O$14),2)</f>
        <v>1028.2</v>
      </c>
      <c r="K40" s="151">
        <f>L40-H40</f>
        <v>5.1999999999999993</v>
      </c>
      <c r="L40" s="151">
        <f>ROUND(H40*(1+'29_01_H_2020'!$O$14),2)</f>
        <v>25.7</v>
      </c>
      <c r="M40" s="151">
        <f>(J40+L40)-(G40+H40)</f>
        <v>213.40000000000009</v>
      </c>
      <c r="N40" s="151">
        <f>M40*I40</f>
        <v>106.70000000000005</v>
      </c>
      <c r="O40" s="151">
        <f t="shared" ref="O40" si="12">N40*12</f>
        <v>1280.4000000000005</v>
      </c>
      <c r="P40" s="151">
        <f>ROUND(O40*'29_01_H_2020'!$O$17,2)</f>
        <v>302.05</v>
      </c>
      <c r="Q40" s="380">
        <f t="shared" ref="Q40" si="13">SUM(O40:P40)</f>
        <v>1582.4500000000005</v>
      </c>
    </row>
    <row r="41" spans="1:17">
      <c r="A41" s="1101" t="s">
        <v>28</v>
      </c>
      <c r="B41" s="1102"/>
      <c r="C41" s="1102"/>
      <c r="D41" s="1102"/>
      <c r="E41" s="1102"/>
      <c r="F41" s="1102"/>
      <c r="G41" s="1102"/>
      <c r="H41" s="1102"/>
      <c r="I41" s="1102"/>
      <c r="J41" s="385"/>
      <c r="K41" s="383"/>
      <c r="L41" s="383"/>
      <c r="M41" s="383"/>
      <c r="N41" s="383"/>
      <c r="O41" s="383"/>
      <c r="P41" s="383"/>
      <c r="Q41" s="386"/>
    </row>
    <row r="42" spans="1:17">
      <c r="A42" s="338" t="s">
        <v>225</v>
      </c>
      <c r="B42" s="2" t="s">
        <v>16</v>
      </c>
      <c r="C42" s="334" t="s">
        <v>37</v>
      </c>
      <c r="D42" s="258" t="s">
        <v>252</v>
      </c>
      <c r="E42" s="258" t="s">
        <v>149</v>
      </c>
      <c r="F42" s="263">
        <v>920</v>
      </c>
      <c r="G42" s="90">
        <v>600</v>
      </c>
      <c r="H42" s="90">
        <v>42</v>
      </c>
      <c r="I42" s="359">
        <v>1</v>
      </c>
      <c r="J42" s="379">
        <f>ROUND(G42*(1+'29_01_H_2020'!$O$10),2)</f>
        <v>752.34</v>
      </c>
      <c r="K42" s="151">
        <f t="shared" ref="K42:K44" si="14">L42-H42</f>
        <v>10.659999999999997</v>
      </c>
      <c r="L42" s="151">
        <f>ROUND(H42*(1+'29_01_H_2020'!$O$14),2)</f>
        <v>52.66</v>
      </c>
      <c r="M42" s="151">
        <f t="shared" ref="M42:M44" si="15">(J42+L42)-(G42+H42)</f>
        <v>163</v>
      </c>
      <c r="N42" s="151">
        <f t="shared" ref="N42:N44" si="16">M42*I42</f>
        <v>163</v>
      </c>
      <c r="O42" s="151">
        <f t="shared" ref="O42:O44" si="17">N42*12</f>
        <v>1956</v>
      </c>
      <c r="P42" s="151">
        <f>ROUND(O42*'29_01_H_2020'!$O$17,2)</f>
        <v>461.42</v>
      </c>
      <c r="Q42" s="380">
        <f t="shared" ref="Q42:Q44" si="18">SUM(O42:P42)</f>
        <v>2417.42</v>
      </c>
    </row>
    <row r="43" spans="1:17">
      <c r="A43" s="338" t="s">
        <v>225</v>
      </c>
      <c r="B43" s="2" t="s">
        <v>16</v>
      </c>
      <c r="C43" s="334" t="s">
        <v>37</v>
      </c>
      <c r="D43" s="258" t="s">
        <v>252</v>
      </c>
      <c r="E43" s="258" t="s">
        <v>149</v>
      </c>
      <c r="F43" s="263">
        <v>920</v>
      </c>
      <c r="G43" s="90">
        <v>540</v>
      </c>
      <c r="H43" s="90">
        <v>37.799999999999997</v>
      </c>
      <c r="I43" s="359">
        <v>1</v>
      </c>
      <c r="J43" s="379">
        <f>ROUND(G43*(1+'29_01_H_2020'!$O$10),2)</f>
        <v>677.11</v>
      </c>
      <c r="K43" s="151">
        <f t="shared" si="14"/>
        <v>9.6000000000000014</v>
      </c>
      <c r="L43" s="151">
        <f>ROUND(H43*(1+'29_01_H_2020'!$O$14),2)</f>
        <v>47.4</v>
      </c>
      <c r="M43" s="151">
        <f t="shared" si="15"/>
        <v>146.71000000000004</v>
      </c>
      <c r="N43" s="151">
        <f t="shared" si="16"/>
        <v>146.71000000000004</v>
      </c>
      <c r="O43" s="151">
        <f t="shared" si="17"/>
        <v>1760.5200000000004</v>
      </c>
      <c r="P43" s="151">
        <f>ROUND(O43*'29_01_H_2020'!$O$17,2)</f>
        <v>415.31</v>
      </c>
      <c r="Q43" s="380">
        <f t="shared" si="18"/>
        <v>2175.8300000000004</v>
      </c>
    </row>
    <row r="44" spans="1:17">
      <c r="A44" s="338" t="s">
        <v>570</v>
      </c>
      <c r="B44" s="2" t="s">
        <v>16</v>
      </c>
      <c r="C44" s="334" t="s">
        <v>26</v>
      </c>
      <c r="D44" s="258" t="s">
        <v>254</v>
      </c>
      <c r="E44" s="258" t="s">
        <v>149</v>
      </c>
      <c r="F44" s="263">
        <v>835</v>
      </c>
      <c r="G44" s="90">
        <v>540</v>
      </c>
      <c r="H44" s="90">
        <v>37.799999999999997</v>
      </c>
      <c r="I44" s="359">
        <v>1</v>
      </c>
      <c r="J44" s="379">
        <f>ROUND(G44*(1+'29_01_H_2020'!$O$10),2)</f>
        <v>677.11</v>
      </c>
      <c r="K44" s="151">
        <f t="shared" si="14"/>
        <v>9.6000000000000014</v>
      </c>
      <c r="L44" s="151">
        <f>ROUND(H44*(1+'29_01_H_2020'!$O$14),2)</f>
        <v>47.4</v>
      </c>
      <c r="M44" s="151">
        <f t="shared" si="15"/>
        <v>146.71000000000004</v>
      </c>
      <c r="N44" s="151">
        <f t="shared" si="16"/>
        <v>146.71000000000004</v>
      </c>
      <c r="O44" s="151">
        <f t="shared" si="17"/>
        <v>1760.5200000000004</v>
      </c>
      <c r="P44" s="151">
        <f>ROUND(O44*'29_01_H_2020'!$O$17,2)</f>
        <v>415.31</v>
      </c>
      <c r="Q44" s="380">
        <f t="shared" si="18"/>
        <v>2175.8300000000004</v>
      </c>
    </row>
    <row r="45" spans="1:17">
      <c r="A45" s="11" t="s">
        <v>55</v>
      </c>
      <c r="B45" s="8" t="s">
        <v>52</v>
      </c>
      <c r="C45" s="9" t="s">
        <v>52</v>
      </c>
      <c r="D45" s="9" t="s">
        <v>52</v>
      </c>
      <c r="E45" s="9" t="s">
        <v>52</v>
      </c>
      <c r="F45" s="10" t="s">
        <v>52</v>
      </c>
      <c r="G45" s="10" t="s">
        <v>52</v>
      </c>
      <c r="H45" s="10" t="s">
        <v>52</v>
      </c>
      <c r="I45" s="360">
        <f>SUM(I40:I44)</f>
        <v>3.5</v>
      </c>
      <c r="J45" s="404"/>
      <c r="K45" s="405"/>
      <c r="L45" s="405"/>
      <c r="M45" s="405"/>
      <c r="N45" s="405"/>
      <c r="O45" s="405"/>
      <c r="P45" s="405"/>
      <c r="Q45" s="412"/>
    </row>
    <row r="46" spans="1:17">
      <c r="A46" s="11"/>
      <c r="B46" s="8"/>
      <c r="C46" s="9"/>
      <c r="D46" s="9"/>
      <c r="E46" s="9"/>
      <c r="F46" s="10"/>
      <c r="G46" s="10"/>
      <c r="H46" s="10"/>
      <c r="I46" s="360"/>
      <c r="J46" s="404"/>
      <c r="K46" s="405"/>
      <c r="L46" s="405"/>
      <c r="M46" s="405"/>
      <c r="N46" s="405"/>
      <c r="O46" s="405"/>
      <c r="P46" s="405"/>
      <c r="Q46" s="412"/>
    </row>
    <row r="47" spans="1:17">
      <c r="A47" s="144" t="s">
        <v>611</v>
      </c>
      <c r="B47" s="143"/>
      <c r="C47" s="143"/>
      <c r="D47" s="143"/>
      <c r="E47" s="143"/>
      <c r="F47" s="99"/>
      <c r="G47" s="99"/>
      <c r="H47" s="99"/>
      <c r="I47" s="361">
        <f>I45+I37+I25</f>
        <v>31.15</v>
      </c>
      <c r="J47" s="413"/>
      <c r="K47" s="414"/>
      <c r="L47" s="414"/>
      <c r="M47" s="414"/>
      <c r="N47" s="414"/>
      <c r="O47" s="414"/>
      <c r="P47" s="414"/>
      <c r="Q47" s="415"/>
    </row>
    <row r="49" spans="17:18">
      <c r="R49" s="800"/>
    </row>
    <row r="52" spans="17:18">
      <c r="Q52" s="145"/>
    </row>
  </sheetData>
  <mergeCells count="13">
    <mergeCell ref="A41:I41"/>
    <mergeCell ref="D1:E1"/>
    <mergeCell ref="A5:I5"/>
    <mergeCell ref="A7:I7"/>
    <mergeCell ref="A2:Q2"/>
    <mergeCell ref="P1:Q1"/>
    <mergeCell ref="A4:Q4"/>
    <mergeCell ref="A6:I6"/>
    <mergeCell ref="A26:I26"/>
    <mergeCell ref="A27:I27"/>
    <mergeCell ref="A32:I32"/>
    <mergeCell ref="A38:I38"/>
    <mergeCell ref="A39:I39"/>
  </mergeCells>
  <pageMargins left="0.23622047244094491" right="0.23622047244094491" top="0.74803149606299213" bottom="0.74803149606299213" header="0.31496062992125984" footer="0.31496062992125984"/>
  <pageSetup paperSize="9" scale="65"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F4A98-D5AE-419A-ADFD-E7B2AA10BACD}">
  <sheetPr>
    <tabColor theme="6" tint="0.79998168889431442"/>
  </sheetPr>
  <dimension ref="A1:N487"/>
  <sheetViews>
    <sheetView zoomScale="85" zoomScaleNormal="85" workbookViewId="0">
      <selection activeCell="Q8" sqref="Q8"/>
    </sheetView>
  </sheetViews>
  <sheetFormatPr defaultRowHeight="15"/>
  <cols>
    <col min="1" max="1" width="7.85546875" style="169" customWidth="1"/>
    <col min="2" max="2" width="29.7109375" style="169" customWidth="1"/>
    <col min="3" max="3" width="11.5703125" style="169" customWidth="1"/>
    <col min="4" max="4" width="10.28515625" style="169" customWidth="1"/>
    <col min="5" max="5" width="11.85546875" style="175" customWidth="1"/>
    <col min="6" max="6" width="10" style="169" customWidth="1"/>
    <col min="7" max="7" width="13.42578125" style="169" bestFit="1" customWidth="1"/>
    <col min="8" max="8" width="15.28515625" style="169" customWidth="1"/>
    <col min="9" max="9" width="0" style="169" hidden="1" customWidth="1"/>
    <col min="10" max="10" width="9.140625" style="169"/>
    <col min="11" max="11" width="9.5703125" style="169" bestFit="1" customWidth="1"/>
    <col min="12" max="12" width="9.140625" style="169"/>
    <col min="13" max="13" width="28.5703125" style="169" customWidth="1"/>
    <col min="14" max="14" width="15.42578125" style="169" customWidth="1"/>
    <col min="15" max="15" width="14.5703125" style="169" customWidth="1"/>
    <col min="16" max="16" width="11.5703125" style="169" customWidth="1"/>
    <col min="17" max="18" width="9.140625" style="169"/>
    <col min="19" max="19" width="14.85546875" style="169" customWidth="1"/>
    <col min="20" max="16384" width="9.140625" style="169"/>
  </cols>
  <sheetData>
    <row r="1" spans="1:11" ht="21" customHeight="1">
      <c r="A1" s="167"/>
      <c r="B1" s="168"/>
      <c r="C1" s="168"/>
      <c r="D1" s="1198"/>
      <c r="E1" s="1198"/>
      <c r="G1" s="1231" t="s">
        <v>723</v>
      </c>
      <c r="H1" s="1231"/>
      <c r="I1" s="167"/>
      <c r="J1" s="167"/>
      <c r="K1" s="167"/>
    </row>
    <row r="2" spans="1:11" s="170" customFormat="1" ht="53.25" customHeight="1">
      <c r="A2" s="1199" t="s">
        <v>491</v>
      </c>
      <c r="B2" s="1199"/>
      <c r="C2" s="1199"/>
      <c r="D2" s="1199"/>
      <c r="E2" s="1199"/>
      <c r="F2" s="1199"/>
      <c r="G2" s="1199"/>
      <c r="H2" s="1199"/>
    </row>
    <row r="3" spans="1:11" s="170" customFormat="1" ht="16.5" thickBot="1">
      <c r="B3" s="333"/>
      <c r="C3" s="333"/>
      <c r="D3" s="333"/>
      <c r="E3" s="333"/>
      <c r="F3" s="333"/>
      <c r="G3" s="333"/>
      <c r="H3" s="507" t="s">
        <v>489</v>
      </c>
    </row>
    <row r="4" spans="1:11" s="171" customFormat="1" ht="16.5" customHeight="1">
      <c r="B4" s="1184" t="s">
        <v>0</v>
      </c>
      <c r="C4" s="1185"/>
      <c r="D4" s="1185"/>
      <c r="E4" s="1185"/>
      <c r="F4" s="1185"/>
      <c r="G4" s="1185"/>
      <c r="H4" s="1186"/>
    </row>
    <row r="5" spans="1:11" s="172" customFormat="1" ht="36.75" customHeight="1">
      <c r="B5" s="1190" t="s">
        <v>151</v>
      </c>
      <c r="C5" s="1192" t="s">
        <v>152</v>
      </c>
      <c r="D5" s="1194" t="s">
        <v>153</v>
      </c>
      <c r="E5" s="1194" t="s">
        <v>154</v>
      </c>
      <c r="F5" s="1194" t="s">
        <v>322</v>
      </c>
      <c r="G5" s="1196" t="s">
        <v>155</v>
      </c>
      <c r="H5" s="1183" t="s">
        <v>682</v>
      </c>
    </row>
    <row r="6" spans="1:11" s="172" customFormat="1" ht="36" customHeight="1" thickBot="1">
      <c r="B6" s="1191"/>
      <c r="C6" s="1193"/>
      <c r="D6" s="1195"/>
      <c r="E6" s="1195"/>
      <c r="F6" s="1195"/>
      <c r="G6" s="1197"/>
      <c r="H6" s="1148"/>
    </row>
    <row r="7" spans="1:11" s="172" customFormat="1" ht="12" customHeight="1" thickBot="1">
      <c r="B7" s="1081" t="s">
        <v>324</v>
      </c>
      <c r="C7" s="1082"/>
      <c r="D7" s="1082"/>
      <c r="E7" s="1082"/>
      <c r="F7" s="1082"/>
      <c r="G7" s="1082"/>
      <c r="H7" s="516"/>
    </row>
    <row r="8" spans="1:11" s="173" customFormat="1" ht="53.25" customHeight="1">
      <c r="B8" s="1223" t="s">
        <v>327</v>
      </c>
      <c r="C8" s="1224"/>
      <c r="D8" s="1224"/>
      <c r="E8" s="1224"/>
      <c r="F8" s="1224"/>
      <c r="G8" s="1224"/>
      <c r="H8" s="1225"/>
    </row>
    <row r="9" spans="1:11">
      <c r="B9" s="1226" t="s">
        <v>156</v>
      </c>
      <c r="C9" s="1227"/>
      <c r="D9" s="1227"/>
      <c r="E9" s="1227"/>
      <c r="F9" s="1227"/>
      <c r="G9" s="1227"/>
      <c r="H9" s="1228"/>
    </row>
    <row r="10" spans="1:11">
      <c r="B10" s="53" t="s">
        <v>216</v>
      </c>
      <c r="C10" s="51"/>
      <c r="D10" s="52"/>
      <c r="E10" s="52"/>
      <c r="F10" s="52"/>
      <c r="G10" s="510"/>
      <c r="H10" s="518"/>
    </row>
    <row r="11" spans="1:11">
      <c r="A11" s="339"/>
      <c r="B11" s="617" t="s">
        <v>247</v>
      </c>
      <c r="C11" s="275">
        <v>0.625</v>
      </c>
      <c r="D11" s="293">
        <v>1530</v>
      </c>
      <c r="E11" s="110">
        <v>61.2</v>
      </c>
      <c r="F11" s="110">
        <v>106.5</v>
      </c>
      <c r="G11" s="354">
        <v>1697.7</v>
      </c>
      <c r="H11" s="304">
        <f>ROUND((D11+E11+F11)*('29_01_H_2020'!$O$14)*C11*12*(1+'29_01_H_2020'!$O$17),2)</f>
        <v>3995.47</v>
      </c>
    </row>
    <row r="12" spans="1:11" ht="51" customHeight="1">
      <c r="B12" s="50" t="s">
        <v>577</v>
      </c>
      <c r="C12" s="63"/>
      <c r="D12" s="54"/>
      <c r="E12" s="54"/>
      <c r="F12" s="54"/>
      <c r="G12" s="511"/>
      <c r="H12" s="518"/>
    </row>
    <row r="13" spans="1:11" s="339" customFormat="1">
      <c r="B13" s="619" t="s">
        <v>226</v>
      </c>
      <c r="C13" s="620">
        <v>1</v>
      </c>
      <c r="D13" s="621">
        <v>1040</v>
      </c>
      <c r="E13" s="621">
        <v>41.6</v>
      </c>
      <c r="F13" s="621">
        <v>52</v>
      </c>
      <c r="G13" s="622">
        <v>1133.5999999999999</v>
      </c>
      <c r="H13" s="304">
        <f>ROUND((D13+E13+F13)*('29_01_H_2020'!$O$10)*C13*12*(1+'29_01_H_2020'!$O$17),2)</f>
        <v>4268.62</v>
      </c>
    </row>
    <row r="14" spans="1:11" s="339" customFormat="1">
      <c r="B14" s="619" t="s">
        <v>575</v>
      </c>
      <c r="C14" s="620">
        <v>2</v>
      </c>
      <c r="D14" s="621">
        <v>902</v>
      </c>
      <c r="E14" s="621">
        <v>36.08</v>
      </c>
      <c r="F14" s="621">
        <v>186.02</v>
      </c>
      <c r="G14" s="622">
        <v>1124.1000000000001</v>
      </c>
      <c r="H14" s="304">
        <f>ROUND((D14+E14+F14)*('29_01_H_2020'!$O$10)*C14*12*(1+'29_01_H_2020'!$O$17),2)</f>
        <v>8465.69</v>
      </c>
    </row>
    <row r="15" spans="1:11" s="339" customFormat="1">
      <c r="B15" s="619" t="s">
        <v>575</v>
      </c>
      <c r="C15" s="620">
        <v>1</v>
      </c>
      <c r="D15" s="621">
        <v>866</v>
      </c>
      <c r="E15" s="621">
        <v>34.64</v>
      </c>
      <c r="F15" s="621">
        <v>155.09</v>
      </c>
      <c r="G15" s="622">
        <v>1055.73</v>
      </c>
      <c r="H15" s="304">
        <f>ROUND((D15+E15+F15)*('29_01_H_2020'!$O$10)*C15*12*(1+'29_01_H_2020'!$O$17),2)</f>
        <v>3975.39</v>
      </c>
    </row>
    <row r="16" spans="1:11">
      <c r="A16" s="339"/>
      <c r="B16" s="1220" t="s">
        <v>206</v>
      </c>
      <c r="C16" s="1221"/>
      <c r="D16" s="1221"/>
      <c r="E16" s="1221"/>
      <c r="F16" s="1221"/>
      <c r="G16" s="1221"/>
      <c r="H16" s="1229"/>
    </row>
    <row r="17" spans="1:8" ht="51">
      <c r="B17" s="57" t="s">
        <v>220</v>
      </c>
      <c r="C17" s="55"/>
      <c r="D17" s="54"/>
      <c r="E17" s="54"/>
      <c r="F17" s="54"/>
      <c r="G17" s="511"/>
      <c r="H17" s="518"/>
    </row>
    <row r="18" spans="1:8">
      <c r="B18" s="613" t="s">
        <v>575</v>
      </c>
      <c r="C18" s="277">
        <v>1.5</v>
      </c>
      <c r="D18" s="110">
        <v>890</v>
      </c>
      <c r="E18" s="110">
        <v>35.6</v>
      </c>
      <c r="F18" s="110">
        <v>202.08</v>
      </c>
      <c r="G18" s="354">
        <v>1127.68</v>
      </c>
      <c r="H18" s="555">
        <f>ROUND((D18+E18+F18)*('29_01_H_2020'!$O$10)*C18*12*(1+'29_01_H_2020'!$O$17),2)</f>
        <v>6369.49</v>
      </c>
    </row>
    <row r="19" spans="1:8" ht="15.75" thickBot="1">
      <c r="A19" s="339"/>
      <c r="B19" s="613" t="s">
        <v>40</v>
      </c>
      <c r="C19" s="277">
        <v>1</v>
      </c>
      <c r="D19" s="110">
        <v>854</v>
      </c>
      <c r="E19" s="110">
        <v>0</v>
      </c>
      <c r="F19" s="110">
        <v>184.89</v>
      </c>
      <c r="G19" s="354">
        <v>1038.8899999999999</v>
      </c>
      <c r="H19" s="555">
        <f>ROUND((D19+E19+F19)*('29_01_H_2020'!$O$10)*C19*12*(1+'29_01_H_2020'!$O$17),2)</f>
        <v>3911.98</v>
      </c>
    </row>
    <row r="20" spans="1:8" s="339" customFormat="1" ht="15.75" thickBot="1">
      <c r="B20" s="624" t="s">
        <v>326</v>
      </c>
      <c r="C20" s="625">
        <f>SUM(C18:C19,C13:C15,C11)</f>
        <v>7.125</v>
      </c>
      <c r="D20" s="626" t="s">
        <v>52</v>
      </c>
      <c r="E20" s="626" t="s">
        <v>52</v>
      </c>
      <c r="F20" s="626" t="s">
        <v>52</v>
      </c>
      <c r="G20" s="627" t="s">
        <v>52</v>
      </c>
      <c r="H20" s="651">
        <f>SUM(H18:H19,H13:H15,H11)</f>
        <v>30986.639999999999</v>
      </c>
    </row>
    <row r="21" spans="1:8" ht="53.25" customHeight="1" thickBot="1">
      <c r="A21" s="339"/>
      <c r="B21" s="1207" t="s">
        <v>331</v>
      </c>
      <c r="C21" s="1208"/>
      <c r="D21" s="1208"/>
      <c r="E21" s="1208"/>
      <c r="F21" s="1208"/>
      <c r="G21" s="1208"/>
      <c r="H21" s="1209"/>
    </row>
    <row r="22" spans="1:8" ht="15.75" thickBot="1">
      <c r="A22" s="339"/>
      <c r="B22" s="1216" t="s">
        <v>156</v>
      </c>
      <c r="C22" s="1217"/>
      <c r="D22" s="1217"/>
      <c r="E22" s="1217"/>
      <c r="F22" s="1217"/>
      <c r="G22" s="1217"/>
      <c r="H22" s="1219"/>
    </row>
    <row r="23" spans="1:8">
      <c r="A23" s="339"/>
      <c r="B23" s="53" t="s">
        <v>216</v>
      </c>
      <c r="C23" s="51"/>
      <c r="D23" s="52"/>
      <c r="E23" s="52"/>
      <c r="F23" s="52"/>
      <c r="G23" s="510"/>
      <c r="H23" s="679"/>
    </row>
    <row r="24" spans="1:8">
      <c r="B24" s="617" t="s">
        <v>247</v>
      </c>
      <c r="C24" s="275">
        <v>0</v>
      </c>
      <c r="D24" s="293">
        <v>0</v>
      </c>
      <c r="E24" s="110">
        <v>0</v>
      </c>
      <c r="F24" s="110">
        <v>103</v>
      </c>
      <c r="G24" s="354">
        <v>103</v>
      </c>
      <c r="H24" s="304">
        <f>ROUND((D24+E24+F24)*('29_01_H_2020'!$O$14)*C24*12*(1+'29_01_H_2020'!$O$17),2)</f>
        <v>0</v>
      </c>
    </row>
    <row r="25" spans="1:8" ht="54" customHeight="1">
      <c r="B25" s="50" t="s">
        <v>576</v>
      </c>
      <c r="C25" s="63"/>
      <c r="D25" s="54"/>
      <c r="E25" s="54"/>
      <c r="F25" s="54"/>
      <c r="G25" s="511"/>
      <c r="H25" s="518"/>
    </row>
    <row r="26" spans="1:8">
      <c r="B26" s="617" t="s">
        <v>250</v>
      </c>
      <c r="C26" s="620">
        <v>0.5</v>
      </c>
      <c r="D26" s="621">
        <v>1400</v>
      </c>
      <c r="E26" s="621">
        <v>140</v>
      </c>
      <c r="F26" s="621">
        <v>70</v>
      </c>
      <c r="G26" s="622">
        <v>1610</v>
      </c>
      <c r="H26" s="304">
        <f>ROUND((D26+E26+F26)*('29_01_H_2020'!$O$14)*C26*12*(1+'29_01_H_2020'!$O$17),2)</f>
        <v>3031.26</v>
      </c>
    </row>
    <row r="27" spans="1:8">
      <c r="A27" s="339"/>
      <c r="B27" s="617" t="s">
        <v>265</v>
      </c>
      <c r="C27" s="620">
        <v>0.25</v>
      </c>
      <c r="D27" s="621">
        <v>1400</v>
      </c>
      <c r="E27" s="621">
        <v>140</v>
      </c>
      <c r="F27" s="621">
        <v>70</v>
      </c>
      <c r="G27" s="622">
        <v>1610</v>
      </c>
      <c r="H27" s="304">
        <f>ROUND((D27+E27+F27)*('29_01_H_2020'!$O$14)*C27*12*(1+'29_01_H_2020'!$O$17),2)</f>
        <v>1515.63</v>
      </c>
    </row>
    <row r="28" spans="1:8">
      <c r="A28" s="339"/>
      <c r="B28" s="617" t="s">
        <v>272</v>
      </c>
      <c r="C28" s="620">
        <v>0.25</v>
      </c>
      <c r="D28" s="621">
        <v>1400</v>
      </c>
      <c r="E28" s="621">
        <v>140</v>
      </c>
      <c r="F28" s="621">
        <v>70</v>
      </c>
      <c r="G28" s="622">
        <v>1610</v>
      </c>
      <c r="H28" s="304">
        <f>ROUND((D28+E28+F28)*('29_01_H_2020'!$O$14)*C28*12*(1+'29_01_H_2020'!$O$17),2)</f>
        <v>1515.63</v>
      </c>
    </row>
    <row r="29" spans="1:8" ht="51">
      <c r="B29" s="50" t="s">
        <v>577</v>
      </c>
      <c r="C29" s="64"/>
      <c r="D29" s="54"/>
      <c r="E29" s="54"/>
      <c r="F29" s="54"/>
      <c r="G29" s="511"/>
      <c r="H29" s="680"/>
    </row>
    <row r="30" spans="1:8">
      <c r="A30" s="339"/>
      <c r="B30" s="338" t="s">
        <v>226</v>
      </c>
      <c r="C30" s="620">
        <v>1</v>
      </c>
      <c r="D30" s="621">
        <v>1280</v>
      </c>
      <c r="E30" s="621">
        <v>128</v>
      </c>
      <c r="F30" s="621">
        <v>64</v>
      </c>
      <c r="G30" s="622">
        <v>1472</v>
      </c>
      <c r="H30" s="304">
        <f>ROUND((D30+E30+F30)*('29_01_H_2020'!$O$10)*C30*12*(1+'29_01_H_2020'!$O$17),2)</f>
        <v>5542.88</v>
      </c>
    </row>
    <row r="31" spans="1:8">
      <c r="A31" s="339"/>
      <c r="B31" s="617" t="s">
        <v>253</v>
      </c>
      <c r="C31" s="620">
        <v>3</v>
      </c>
      <c r="D31" s="621">
        <v>990</v>
      </c>
      <c r="E31" s="621">
        <v>99</v>
      </c>
      <c r="F31" s="621">
        <v>49.5</v>
      </c>
      <c r="G31" s="622">
        <v>1138.5</v>
      </c>
      <c r="H31" s="304">
        <f>ROUND((D31+E31+F31)*('29_01_H_2020'!$O$10)*C31*12*(1+'29_01_H_2020'!$O$17),2)</f>
        <v>12861.2</v>
      </c>
    </row>
    <row r="32" spans="1:8">
      <c r="B32" s="1220" t="s">
        <v>206</v>
      </c>
      <c r="C32" s="1221"/>
      <c r="D32" s="1221"/>
      <c r="E32" s="1221"/>
      <c r="F32" s="1221"/>
      <c r="G32" s="1221"/>
      <c r="H32" s="1230"/>
    </row>
    <row r="33" spans="1:8" ht="50.25" customHeight="1">
      <c r="B33" s="57" t="s">
        <v>220</v>
      </c>
      <c r="C33" s="55"/>
      <c r="D33" s="54"/>
      <c r="E33" s="54"/>
      <c r="F33" s="54"/>
      <c r="G33" s="511"/>
      <c r="H33" s="518"/>
    </row>
    <row r="34" spans="1:8" ht="15.75" thickBot="1">
      <c r="B34" s="613" t="s">
        <v>575</v>
      </c>
      <c r="C34" s="277">
        <v>2.2999999999999998</v>
      </c>
      <c r="D34" s="110">
        <v>895</v>
      </c>
      <c r="E34" s="110">
        <v>89.5</v>
      </c>
      <c r="F34" s="110">
        <v>44.75</v>
      </c>
      <c r="G34" s="354">
        <v>1029.25</v>
      </c>
      <c r="H34" s="650">
        <f>ROUND((D34+E34+F34)*('29_01_H_2020'!$O$10)*C34*12*(1+'29_01_H_2020'!$O$17),2)</f>
        <v>8914.07</v>
      </c>
    </row>
    <row r="35" spans="1:8" ht="15.75" thickBot="1">
      <c r="A35" s="339"/>
      <c r="B35" s="624" t="s">
        <v>326</v>
      </c>
      <c r="C35" s="625">
        <f>SUM(C24,C26:C28,C30:C31,C34)</f>
        <v>7.3</v>
      </c>
      <c r="D35" s="626" t="s">
        <v>52</v>
      </c>
      <c r="E35" s="626" t="s">
        <v>52</v>
      </c>
      <c r="F35" s="626" t="s">
        <v>52</v>
      </c>
      <c r="G35" s="627" t="s">
        <v>52</v>
      </c>
      <c r="H35" s="651">
        <f>SUM(H24,H26:H28,H30:H31,H34)</f>
        <v>33380.67</v>
      </c>
    </row>
    <row r="36" spans="1:8" ht="48.75" customHeight="1" thickBot="1">
      <c r="A36" s="339"/>
      <c r="B36" s="1207" t="s">
        <v>578</v>
      </c>
      <c r="C36" s="1208"/>
      <c r="D36" s="1208"/>
      <c r="E36" s="1208"/>
      <c r="F36" s="1208"/>
      <c r="G36" s="1208"/>
      <c r="H36" s="1209"/>
    </row>
    <row r="37" spans="1:8" ht="15.75" thickBot="1">
      <c r="A37" s="339"/>
      <c r="B37" s="1216" t="s">
        <v>156</v>
      </c>
      <c r="C37" s="1217"/>
      <c r="D37" s="1217"/>
      <c r="E37" s="1217"/>
      <c r="F37" s="1217"/>
      <c r="G37" s="1217"/>
      <c r="H37" s="1219"/>
    </row>
    <row r="38" spans="1:8" ht="51">
      <c r="B38" s="50" t="s">
        <v>576</v>
      </c>
      <c r="C38" s="63"/>
      <c r="D38" s="54"/>
      <c r="E38" s="54"/>
      <c r="F38" s="54"/>
      <c r="G38" s="511"/>
      <c r="H38" s="679"/>
    </row>
    <row r="39" spans="1:8">
      <c r="A39" s="339"/>
      <c r="B39" s="617" t="s">
        <v>272</v>
      </c>
      <c r="C39" s="620">
        <v>1</v>
      </c>
      <c r="D39" s="621">
        <v>1135</v>
      </c>
      <c r="E39" s="639">
        <v>0</v>
      </c>
      <c r="F39" s="621">
        <v>20</v>
      </c>
      <c r="G39" s="622">
        <v>1155</v>
      </c>
      <c r="H39" s="304">
        <f>ROUND((D39+E39+F39)*('29_01_H_2020'!$O$14)*C39*12*(1+'29_01_H_2020'!$O$17),2)</f>
        <v>4349.2</v>
      </c>
    </row>
    <row r="40" spans="1:8">
      <c r="A40" s="339"/>
      <c r="B40" s="617" t="s">
        <v>579</v>
      </c>
      <c r="C40" s="620">
        <v>0.75</v>
      </c>
      <c r="D40" s="621">
        <v>1135</v>
      </c>
      <c r="E40" s="621">
        <v>22.7</v>
      </c>
      <c r="F40" s="621">
        <v>20</v>
      </c>
      <c r="G40" s="622">
        <v>1177.7</v>
      </c>
      <c r="H40" s="304">
        <f>ROUND((D40+E40+F40)*('29_01_H_2020'!$O$14)*C40*12*(1+'29_01_H_2020'!$O$17),2)</f>
        <v>3326.01</v>
      </c>
    </row>
    <row r="41" spans="1:8" ht="51">
      <c r="A41" s="339"/>
      <c r="B41" s="50" t="s">
        <v>577</v>
      </c>
      <c r="C41" s="64"/>
      <c r="D41" s="54"/>
      <c r="E41" s="54"/>
      <c r="F41" s="54"/>
      <c r="G41" s="511"/>
      <c r="H41" s="680"/>
    </row>
    <row r="42" spans="1:8">
      <c r="A42" s="339"/>
      <c r="B42" s="618" t="s">
        <v>580</v>
      </c>
      <c r="C42" s="620">
        <v>1</v>
      </c>
      <c r="D42" s="621">
        <v>1000</v>
      </c>
      <c r="E42" s="621">
        <v>20</v>
      </c>
      <c r="F42" s="621">
        <v>20</v>
      </c>
      <c r="G42" s="622">
        <v>1040</v>
      </c>
      <c r="H42" s="304">
        <f>ROUND((D42+E42+F42)*('29_01_H_2020'!$O$10)*C42*12*(1+'29_01_H_2020'!$O$17),2)</f>
        <v>3916.16</v>
      </c>
    </row>
    <row r="43" spans="1:8" ht="25.5">
      <c r="A43" s="339"/>
      <c r="B43" s="629" t="s">
        <v>581</v>
      </c>
      <c r="C43" s="620">
        <v>1</v>
      </c>
      <c r="D43" s="621">
        <v>1330</v>
      </c>
      <c r="E43" s="621">
        <v>106.4</v>
      </c>
      <c r="F43" s="621">
        <v>20</v>
      </c>
      <c r="G43" s="622">
        <v>1456.4</v>
      </c>
      <c r="H43" s="304">
        <f>ROUND((D43+E43+F43)*('29_01_H_2020'!$O$10)*C43*12*(1+'29_01_H_2020'!$O$17),2)</f>
        <v>5484.13</v>
      </c>
    </row>
    <row r="44" spans="1:8">
      <c r="A44" s="339"/>
      <c r="B44" s="683" t="s">
        <v>253</v>
      </c>
      <c r="C44" s="630">
        <v>5</v>
      </c>
      <c r="D44" s="630">
        <v>906</v>
      </c>
      <c r="E44" s="630">
        <v>72.48</v>
      </c>
      <c r="F44" s="630">
        <v>166.9</v>
      </c>
      <c r="G44" s="678">
        <v>1145.3800000000001</v>
      </c>
      <c r="H44" s="304">
        <f>ROUND((D44+E44+F44)*('29_01_H_2020'!$O$10)*C44*12*(1+'29_01_H_2020'!$O$17),2)</f>
        <v>21564.87</v>
      </c>
    </row>
    <row r="45" spans="1:8">
      <c r="A45" s="339"/>
      <c r="B45" s="683" t="s">
        <v>253</v>
      </c>
      <c r="C45" s="630">
        <v>4</v>
      </c>
      <c r="D45" s="630">
        <v>931</v>
      </c>
      <c r="E45" s="630">
        <v>18.62</v>
      </c>
      <c r="F45" s="630">
        <v>170.73</v>
      </c>
      <c r="G45" s="678">
        <v>1120.3499999999999</v>
      </c>
      <c r="H45" s="304">
        <f>ROUND((D45+E45+F45)*('29_01_H_2020'!$O$10)*C45*12*(1+'29_01_H_2020'!$O$17),2)</f>
        <v>16874.89</v>
      </c>
    </row>
    <row r="46" spans="1:8">
      <c r="A46" s="339"/>
      <c r="B46" s="683" t="s">
        <v>253</v>
      </c>
      <c r="C46" s="630">
        <v>2</v>
      </c>
      <c r="D46" s="630">
        <v>931</v>
      </c>
      <c r="E46" s="630">
        <v>74.48</v>
      </c>
      <c r="F46" s="630">
        <v>152.18</v>
      </c>
      <c r="G46" s="678">
        <v>1157.6600000000001</v>
      </c>
      <c r="H46" s="304">
        <f>ROUND((D46+E46+F46)*('29_01_H_2020'!$O$10)*C46*12*(1+'29_01_H_2020'!$O$17),2)</f>
        <v>8718.43</v>
      </c>
    </row>
    <row r="47" spans="1:8">
      <c r="B47" s="683" t="s">
        <v>253</v>
      </c>
      <c r="C47" s="630">
        <v>0.5</v>
      </c>
      <c r="D47" s="630">
        <v>906</v>
      </c>
      <c r="E47" s="630">
        <v>72.48</v>
      </c>
      <c r="F47" s="630">
        <v>74.03</v>
      </c>
      <c r="G47" s="678">
        <v>1052.51</v>
      </c>
      <c r="H47" s="304">
        <f>ROUND((D47+E47+F47)*('29_01_H_2020'!$O$10)*C47*12*(1+'29_01_H_2020'!$O$17),2)</f>
        <v>1981.63</v>
      </c>
    </row>
    <row r="48" spans="1:8" ht="63.75">
      <c r="A48" s="339"/>
      <c r="B48" s="57" t="s">
        <v>217</v>
      </c>
      <c r="C48" s="64"/>
      <c r="D48" s="54"/>
      <c r="E48" s="54"/>
      <c r="F48" s="54"/>
      <c r="G48" s="511"/>
      <c r="H48" s="682"/>
    </row>
    <row r="49" spans="1:8" ht="15.75" thickBot="1">
      <c r="A49" s="339"/>
      <c r="B49" s="618" t="s">
        <v>582</v>
      </c>
      <c r="C49" s="620">
        <v>1</v>
      </c>
      <c r="D49" s="621">
        <v>925</v>
      </c>
      <c r="E49" s="621">
        <v>74</v>
      </c>
      <c r="F49" s="621">
        <v>20</v>
      </c>
      <c r="G49" s="622">
        <v>1019</v>
      </c>
      <c r="H49" s="681">
        <f>ROUND((D49+E49+F49)*('29_01_H_2020'!$O$10)*C49*12*(1+'29_01_H_2020'!$O$17),2)</f>
        <v>3837.09</v>
      </c>
    </row>
    <row r="50" spans="1:8" ht="15.75" thickBot="1">
      <c r="A50" s="339"/>
      <c r="B50" s="1220" t="s">
        <v>206</v>
      </c>
      <c r="C50" s="1221"/>
      <c r="D50" s="1221"/>
      <c r="E50" s="1221"/>
      <c r="F50" s="1221"/>
      <c r="G50" s="1221"/>
      <c r="H50" s="1222"/>
    </row>
    <row r="51" spans="1:8" s="339" customFormat="1" ht="51">
      <c r="B51" s="57" t="s">
        <v>219</v>
      </c>
      <c r="C51" s="64"/>
      <c r="D51" s="54"/>
      <c r="E51" s="54"/>
      <c r="F51" s="54"/>
      <c r="G51" s="511"/>
      <c r="H51" s="676"/>
    </row>
    <row r="52" spans="1:8" s="339" customFormat="1">
      <c r="B52" s="631" t="s">
        <v>250</v>
      </c>
      <c r="C52" s="632">
        <v>0.75</v>
      </c>
      <c r="D52" s="633">
        <v>1044</v>
      </c>
      <c r="E52" s="633">
        <v>20.88</v>
      </c>
      <c r="F52" s="633">
        <v>20</v>
      </c>
      <c r="G52" s="634">
        <v>1084.8800000000001</v>
      </c>
      <c r="H52" s="304">
        <f>ROUND((D52+E52+F52)*('29_01_H_2020'!$O$10)*C52*12*(1+'29_01_H_2020'!$O$17),2)</f>
        <v>3063.87</v>
      </c>
    </row>
    <row r="53" spans="1:8" s="339" customFormat="1">
      <c r="B53" s="631" t="s">
        <v>583</v>
      </c>
      <c r="C53" s="632">
        <v>0.5</v>
      </c>
      <c r="D53" s="633">
        <v>845</v>
      </c>
      <c r="E53" s="111">
        <v>0</v>
      </c>
      <c r="F53" s="633">
        <v>20</v>
      </c>
      <c r="G53" s="634">
        <v>865</v>
      </c>
      <c r="H53" s="304">
        <f>ROUND((D53+E53+F53)*('29_01_H_2020'!$O$10)*C53*12*(1+'29_01_H_2020'!$O$17),2)</f>
        <v>1628.6</v>
      </c>
    </row>
    <row r="54" spans="1:8" ht="51">
      <c r="A54" s="339"/>
      <c r="B54" s="57" t="s">
        <v>220</v>
      </c>
      <c r="C54" s="55"/>
      <c r="D54" s="54"/>
      <c r="E54" s="54"/>
      <c r="F54" s="54"/>
      <c r="G54" s="511"/>
      <c r="H54" s="518"/>
    </row>
    <row r="55" spans="1:8">
      <c r="B55" s="618" t="s">
        <v>575</v>
      </c>
      <c r="C55" s="635">
        <v>3</v>
      </c>
      <c r="D55" s="636">
        <v>845</v>
      </c>
      <c r="E55" s="636">
        <v>67.599999999999994</v>
      </c>
      <c r="F55" s="636">
        <v>161.12</v>
      </c>
      <c r="G55" s="637">
        <v>1073.72</v>
      </c>
      <c r="H55" s="555">
        <f>ROUND((D55+E55+F55)*('29_01_H_2020'!$O$10)*C55*12*(1+'29_01_H_2020'!$O$17),2)</f>
        <v>12129.41</v>
      </c>
    </row>
    <row r="56" spans="1:8">
      <c r="B56" s="618" t="s">
        <v>575</v>
      </c>
      <c r="C56" s="638">
        <v>0.5</v>
      </c>
      <c r="D56" s="638">
        <v>845</v>
      </c>
      <c r="E56" s="638">
        <v>67.599999999999994</v>
      </c>
      <c r="F56" s="638">
        <v>70.260000000000005</v>
      </c>
      <c r="G56" s="675">
        <v>982.86</v>
      </c>
      <c r="H56" s="555">
        <f>ROUND((D56+E56+F56)*('29_01_H_2020'!$O$10)*C56*12*(1+'29_01_H_2020'!$O$17),2)</f>
        <v>1850.5</v>
      </c>
    </row>
    <row r="57" spans="1:8" ht="38.25">
      <c r="B57" s="57" t="s">
        <v>222</v>
      </c>
      <c r="C57" s="64"/>
      <c r="D57" s="54"/>
      <c r="E57" s="54"/>
      <c r="F57" s="54"/>
      <c r="G57" s="511"/>
      <c r="H57" s="518"/>
    </row>
    <row r="58" spans="1:8">
      <c r="A58" s="339"/>
      <c r="B58" s="618" t="s">
        <v>48</v>
      </c>
      <c r="C58" s="638">
        <v>7</v>
      </c>
      <c r="D58" s="638">
        <v>598</v>
      </c>
      <c r="E58" s="638">
        <v>11.96</v>
      </c>
      <c r="F58" s="638">
        <v>132.47</v>
      </c>
      <c r="G58" s="675">
        <v>742.43000000000006</v>
      </c>
      <c r="H58" s="671">
        <f>ROUND((D58+E58+F58)*('29_01_H_2020'!$O$14)*C58*12*(1+'29_01_H_2020'!$O$17),2)</f>
        <v>19569.55</v>
      </c>
    </row>
    <row r="59" spans="1:8">
      <c r="B59" s="618" t="s">
        <v>48</v>
      </c>
      <c r="C59" s="638">
        <v>5</v>
      </c>
      <c r="D59" s="638">
        <v>598</v>
      </c>
      <c r="E59" s="638">
        <v>23.92</v>
      </c>
      <c r="F59" s="638">
        <v>129.97</v>
      </c>
      <c r="G59" s="675">
        <v>751.89</v>
      </c>
      <c r="H59" s="671">
        <f>ROUND((D59+E59+F59)*('29_01_H_2020'!$O$14)*C59*12*(1+'29_01_H_2020'!$O$17),2)</f>
        <v>14156.36</v>
      </c>
    </row>
    <row r="60" spans="1:8">
      <c r="B60" s="618" t="s">
        <v>48</v>
      </c>
      <c r="C60" s="638">
        <v>1</v>
      </c>
      <c r="D60" s="638">
        <v>598</v>
      </c>
      <c r="E60" s="640">
        <v>0</v>
      </c>
      <c r="F60" s="638">
        <v>111.93</v>
      </c>
      <c r="G60" s="675">
        <v>709.93000000000006</v>
      </c>
      <c r="H60" s="671">
        <f>ROUND((D60+E60+F60)*('29_01_H_2020'!$O$14)*C60*12*(1+'29_01_H_2020'!$O$17),2)</f>
        <v>2673.27</v>
      </c>
    </row>
    <row r="61" spans="1:8" ht="15.75" thickBot="1">
      <c r="B61" s="618" t="s">
        <v>48</v>
      </c>
      <c r="C61" s="638">
        <v>1</v>
      </c>
      <c r="D61" s="638">
        <v>598</v>
      </c>
      <c r="E61" s="638">
        <v>47.84</v>
      </c>
      <c r="F61" s="638">
        <v>97.98</v>
      </c>
      <c r="G61" s="675">
        <v>743.82</v>
      </c>
      <c r="H61" s="671">
        <f>ROUND((D61+E61+F61)*('29_01_H_2020'!$O$14)*C61*12*(1+'29_01_H_2020'!$O$17),2)</f>
        <v>2800.88</v>
      </c>
    </row>
    <row r="62" spans="1:8" ht="15.75" thickBot="1">
      <c r="B62" s="624" t="s">
        <v>326</v>
      </c>
      <c r="C62" s="625">
        <f>SUM(C39:C40,C42:C47,C49,C52:C53,C55:C56,C58:C61)</f>
        <v>35</v>
      </c>
      <c r="D62" s="626" t="s">
        <v>52</v>
      </c>
      <c r="E62" s="626" t="s">
        <v>52</v>
      </c>
      <c r="F62" s="626" t="s">
        <v>52</v>
      </c>
      <c r="G62" s="627" t="s">
        <v>52</v>
      </c>
      <c r="H62" s="651">
        <f>SUM(H39:H40,H42:H47,H49,H52:H53,H55:H56,H58:H61,)</f>
        <v>127924.85</v>
      </c>
    </row>
    <row r="63" spans="1:8" ht="46.5" customHeight="1" thickBot="1">
      <c r="B63" s="1207" t="s">
        <v>584</v>
      </c>
      <c r="C63" s="1208"/>
      <c r="D63" s="1208"/>
      <c r="E63" s="1208"/>
      <c r="F63" s="1208"/>
      <c r="G63" s="1208"/>
      <c r="H63" s="1209"/>
    </row>
    <row r="64" spans="1:8" ht="15.75" thickBot="1">
      <c r="B64" s="1216" t="s">
        <v>156</v>
      </c>
      <c r="C64" s="1217"/>
      <c r="D64" s="1217"/>
      <c r="E64" s="1217"/>
      <c r="F64" s="1217"/>
      <c r="G64" s="1217"/>
      <c r="H64" s="1219"/>
    </row>
    <row r="65" spans="1:8">
      <c r="B65" s="53" t="s">
        <v>216</v>
      </c>
      <c r="C65" s="51"/>
      <c r="D65" s="52"/>
      <c r="E65" s="52"/>
      <c r="F65" s="52"/>
      <c r="G65" s="510"/>
      <c r="H65" s="679"/>
    </row>
    <row r="66" spans="1:8">
      <c r="B66" s="617" t="s">
        <v>247</v>
      </c>
      <c r="C66" s="275">
        <v>1</v>
      </c>
      <c r="D66" s="293">
        <v>1187</v>
      </c>
      <c r="E66" s="110">
        <v>0</v>
      </c>
      <c r="F66" s="110">
        <v>0</v>
      </c>
      <c r="G66" s="354">
        <v>1187</v>
      </c>
      <c r="H66" s="304">
        <f>ROUND((D66+E66+F66)*('29_01_H_2020'!$O$14)*C66*12*(1+'29_01_H_2020'!$O$17),2)</f>
        <v>4469.7</v>
      </c>
    </row>
    <row r="67" spans="1:8" ht="51">
      <c r="A67" s="339"/>
      <c r="B67" s="50" t="s">
        <v>576</v>
      </c>
      <c r="C67" s="63"/>
      <c r="D67" s="54"/>
      <c r="E67" s="54"/>
      <c r="F67" s="54"/>
      <c r="G67" s="511"/>
      <c r="H67" s="518"/>
    </row>
    <row r="68" spans="1:8">
      <c r="B68" s="617" t="s">
        <v>272</v>
      </c>
      <c r="C68" s="620">
        <v>1</v>
      </c>
      <c r="D68" s="621">
        <v>1135</v>
      </c>
      <c r="E68" s="621">
        <v>0</v>
      </c>
      <c r="F68" s="621">
        <v>20</v>
      </c>
      <c r="G68" s="622">
        <v>1155</v>
      </c>
      <c r="H68" s="304">
        <f>ROUND((D68+E68+F68)*('29_01_H_2020'!$O$14)*C68*12*(1+'29_01_H_2020'!$O$17),2)</f>
        <v>4349.2</v>
      </c>
    </row>
    <row r="69" spans="1:8">
      <c r="B69" s="617" t="s">
        <v>250</v>
      </c>
      <c r="C69" s="620">
        <v>0.75</v>
      </c>
      <c r="D69" s="621">
        <v>1045</v>
      </c>
      <c r="E69" s="639">
        <v>0</v>
      </c>
      <c r="F69" s="639">
        <v>0</v>
      </c>
      <c r="G69" s="622">
        <v>1045</v>
      </c>
      <c r="H69" s="304">
        <f>ROUND((D69+E69+F69)*('29_01_H_2020'!$O$14)*C69*12*(1+'29_01_H_2020'!$O$17),2)</f>
        <v>2951.24</v>
      </c>
    </row>
    <row r="70" spans="1:8" ht="51" customHeight="1">
      <c r="B70" s="50" t="s">
        <v>577</v>
      </c>
      <c r="C70" s="64"/>
      <c r="D70" s="54"/>
      <c r="E70" s="54"/>
      <c r="F70" s="54"/>
      <c r="G70" s="511"/>
      <c r="H70" s="680"/>
    </row>
    <row r="71" spans="1:8">
      <c r="B71" s="338" t="s">
        <v>226</v>
      </c>
      <c r="C71" s="620">
        <v>0.5</v>
      </c>
      <c r="D71" s="621">
        <v>1000</v>
      </c>
      <c r="E71" s="639">
        <v>0</v>
      </c>
      <c r="F71" s="639">
        <v>0</v>
      </c>
      <c r="G71" s="622">
        <v>1000</v>
      </c>
      <c r="H71" s="304">
        <f>ROUND((D71+E71+F71)*('29_01_H_2020'!$O$10)*C71*12*(1+'29_01_H_2020'!$O$17),2)</f>
        <v>1882.77</v>
      </c>
    </row>
    <row r="72" spans="1:8">
      <c r="A72" s="339"/>
      <c r="B72" s="618" t="s">
        <v>40</v>
      </c>
      <c r="C72" s="620">
        <v>3</v>
      </c>
      <c r="D72" s="621">
        <v>785</v>
      </c>
      <c r="E72" s="639">
        <v>0</v>
      </c>
      <c r="F72" s="639">
        <v>0</v>
      </c>
      <c r="G72" s="622">
        <v>785</v>
      </c>
      <c r="H72" s="304">
        <f>ROUND((D72+E72+F72)*('29_01_H_2020'!$O$10)*C72*12*(1+'29_01_H_2020'!$O$17),2)</f>
        <v>8867.85</v>
      </c>
    </row>
    <row r="73" spans="1:8">
      <c r="A73" s="339"/>
      <c r="B73" s="618" t="s">
        <v>225</v>
      </c>
      <c r="C73" s="630">
        <v>0.5</v>
      </c>
      <c r="D73" s="630">
        <v>1000</v>
      </c>
      <c r="E73" s="639">
        <v>0</v>
      </c>
      <c r="F73" s="639">
        <v>0</v>
      </c>
      <c r="G73" s="678">
        <v>1000</v>
      </c>
      <c r="H73" s="304">
        <f>ROUND((D73+E73+F73)*('29_01_H_2020'!$O$10)*C73*12*(1+'29_01_H_2020'!$O$17),2)</f>
        <v>1882.77</v>
      </c>
    </row>
    <row r="74" spans="1:8" ht="15.75" thickBot="1">
      <c r="A74" s="339"/>
      <c r="B74" s="1220" t="s">
        <v>206</v>
      </c>
      <c r="C74" s="1221"/>
      <c r="D74" s="1221"/>
      <c r="E74" s="1221"/>
      <c r="F74" s="1221"/>
      <c r="G74" s="1221"/>
      <c r="H74" s="1222"/>
    </row>
    <row r="75" spans="1:8" ht="51">
      <c r="B75" s="57" t="s">
        <v>219</v>
      </c>
      <c r="C75" s="64"/>
      <c r="D75" s="54"/>
      <c r="E75" s="54"/>
      <c r="F75" s="54"/>
      <c r="G75" s="511"/>
      <c r="H75" s="676"/>
    </row>
    <row r="76" spans="1:8" ht="15" customHeight="1">
      <c r="B76" s="631" t="s">
        <v>250</v>
      </c>
      <c r="C76" s="632">
        <v>0.5</v>
      </c>
      <c r="D76" s="633">
        <v>785</v>
      </c>
      <c r="E76" s="111">
        <v>0</v>
      </c>
      <c r="F76" s="111">
        <v>0</v>
      </c>
      <c r="G76" s="634">
        <v>785</v>
      </c>
      <c r="H76" s="304">
        <f>ROUND((D76+E76+F76)*('29_01_H_2020'!$O$10)*C76*12*(1+'29_01_H_2020'!$O$17),2)</f>
        <v>1477.97</v>
      </c>
    </row>
    <row r="77" spans="1:8" ht="51">
      <c r="B77" s="57" t="s">
        <v>220</v>
      </c>
      <c r="C77" s="55"/>
      <c r="D77" s="54"/>
      <c r="E77" s="54"/>
      <c r="F77" s="54"/>
      <c r="G77" s="511"/>
      <c r="H77" s="518"/>
    </row>
    <row r="78" spans="1:8">
      <c r="B78" s="618" t="s">
        <v>575</v>
      </c>
      <c r="C78" s="635">
        <v>1</v>
      </c>
      <c r="D78" s="636">
        <v>692</v>
      </c>
      <c r="E78" s="636">
        <v>0</v>
      </c>
      <c r="F78" s="636">
        <v>0</v>
      </c>
      <c r="G78" s="637">
        <v>692</v>
      </c>
      <c r="H78" s="555">
        <f>ROUND((D78+E78+F78)*('29_01_H_2020'!$O$10)*C78*12*(1+'29_01_H_2020'!$O$17),2)</f>
        <v>2605.75</v>
      </c>
    </row>
    <row r="79" spans="1:8" ht="63.75">
      <c r="B79" s="57" t="s">
        <v>221</v>
      </c>
      <c r="C79" s="64"/>
      <c r="D79" s="54"/>
      <c r="E79" s="54"/>
      <c r="F79" s="54"/>
      <c r="G79" s="511"/>
      <c r="H79" s="518"/>
    </row>
    <row r="80" spans="1:8" ht="15.75" thickBot="1">
      <c r="B80" s="618" t="s">
        <v>269</v>
      </c>
      <c r="C80" s="638">
        <v>0.25</v>
      </c>
      <c r="D80" s="638">
        <v>692</v>
      </c>
      <c r="E80" s="640">
        <v>0</v>
      </c>
      <c r="F80" s="640">
        <v>0</v>
      </c>
      <c r="G80" s="675">
        <v>692</v>
      </c>
      <c r="H80" s="677">
        <f>ROUND((D80+E80+F80)*('29_01_H_2020'!$O$10)*C80*12*(1+'29_01_H_2020'!$O$17),2)</f>
        <v>651.44000000000005</v>
      </c>
    </row>
    <row r="81" spans="1:8" ht="15.75" thickBot="1">
      <c r="A81" s="339"/>
      <c r="B81" s="624" t="s">
        <v>326</v>
      </c>
      <c r="C81" s="625">
        <f>SUM(C66,C69,C71:C73,C76,C78,C80)</f>
        <v>7.5</v>
      </c>
      <c r="D81" s="626" t="s">
        <v>52</v>
      </c>
      <c r="E81" s="626" t="s">
        <v>52</v>
      </c>
      <c r="F81" s="626" t="s">
        <v>52</v>
      </c>
      <c r="G81" s="627" t="s">
        <v>52</v>
      </c>
      <c r="H81" s="651">
        <f>SUM(H66,H69,H71:H73,H76,H78,H80)</f>
        <v>24789.489999999998</v>
      </c>
    </row>
    <row r="82" spans="1:8" ht="48.75" customHeight="1" thickBot="1">
      <c r="B82" s="1207" t="s">
        <v>585</v>
      </c>
      <c r="C82" s="1208"/>
      <c r="D82" s="1208"/>
      <c r="E82" s="1208"/>
      <c r="F82" s="1208"/>
      <c r="G82" s="1208"/>
      <c r="H82" s="1209"/>
    </row>
    <row r="83" spans="1:8" ht="15.75" thickBot="1">
      <c r="B83" s="1216" t="s">
        <v>156</v>
      </c>
      <c r="C83" s="1217"/>
      <c r="D83" s="1217"/>
      <c r="E83" s="1217"/>
      <c r="F83" s="1217"/>
      <c r="G83" s="1217"/>
      <c r="H83" s="1219"/>
    </row>
    <row r="84" spans="1:8">
      <c r="B84" s="53" t="s">
        <v>216</v>
      </c>
      <c r="C84" s="51"/>
      <c r="D84" s="52"/>
      <c r="E84" s="52"/>
      <c r="F84" s="52"/>
      <c r="G84" s="510"/>
      <c r="H84" s="679"/>
    </row>
    <row r="85" spans="1:8">
      <c r="A85" s="339"/>
      <c r="B85" s="617" t="s">
        <v>330</v>
      </c>
      <c r="C85" s="275">
        <v>0</v>
      </c>
      <c r="D85" s="275">
        <v>0</v>
      </c>
      <c r="E85" s="275">
        <v>0</v>
      </c>
      <c r="F85" s="110">
        <v>100</v>
      </c>
      <c r="G85" s="354">
        <v>100</v>
      </c>
      <c r="H85" s="304">
        <f>ROUND((D85+E85+F85)*('29_01_H_2020'!$O$14)*C85*12*(1+'29_01_H_2020'!$O$17),2)</f>
        <v>0</v>
      </c>
    </row>
    <row r="86" spans="1:8" s="339" customFormat="1">
      <c r="B86" s="617" t="s">
        <v>247</v>
      </c>
      <c r="C86" s="275">
        <v>0</v>
      </c>
      <c r="D86" s="275">
        <v>0</v>
      </c>
      <c r="E86" s="275">
        <v>0</v>
      </c>
      <c r="F86" s="110">
        <v>80</v>
      </c>
      <c r="G86" s="354">
        <v>80</v>
      </c>
      <c r="H86" s="304">
        <f>ROUND((D86+E86+F86)*('29_01_H_2020'!$O$14)*C86*12*(1+'29_01_H_2020'!$O$17),2)</f>
        <v>0</v>
      </c>
    </row>
    <row r="87" spans="1:8" ht="51">
      <c r="A87" s="339"/>
      <c r="B87" s="50" t="s">
        <v>577</v>
      </c>
      <c r="C87" s="64"/>
      <c r="D87" s="54"/>
      <c r="E87" s="54"/>
      <c r="F87" s="54"/>
      <c r="G87" s="511"/>
      <c r="H87" s="680"/>
    </row>
    <row r="88" spans="1:8" ht="15.75" thickBot="1">
      <c r="A88" s="339"/>
      <c r="B88" s="617" t="s">
        <v>253</v>
      </c>
      <c r="C88" s="620">
        <v>0.2</v>
      </c>
      <c r="D88" s="621">
        <v>990</v>
      </c>
      <c r="E88" s="621">
        <v>99</v>
      </c>
      <c r="F88" s="621">
        <v>39.6</v>
      </c>
      <c r="G88" s="622">
        <v>1128.5999999999999</v>
      </c>
      <c r="H88" s="681">
        <f>ROUND((D88+E88+F88)*('29_01_H_2020'!$O$10)*C88*12*(1+'29_01_H_2020'!$O$17),2)</f>
        <v>849.96</v>
      </c>
    </row>
    <row r="89" spans="1:8" ht="15.75" thickBot="1">
      <c r="B89" s="624" t="s">
        <v>326</v>
      </c>
      <c r="C89" s="625">
        <f>SUM(C85:C86,C88)</f>
        <v>0.2</v>
      </c>
      <c r="D89" s="626" t="s">
        <v>52</v>
      </c>
      <c r="E89" s="626" t="s">
        <v>52</v>
      </c>
      <c r="F89" s="626" t="s">
        <v>52</v>
      </c>
      <c r="G89" s="627" t="s">
        <v>52</v>
      </c>
      <c r="H89" s="651">
        <f>SUM(H85:H86,H88)</f>
        <v>849.96</v>
      </c>
    </row>
    <row r="90" spans="1:8" ht="33" customHeight="1" thickBot="1">
      <c r="B90" s="1207" t="s">
        <v>586</v>
      </c>
      <c r="C90" s="1208"/>
      <c r="D90" s="1208"/>
      <c r="E90" s="1208"/>
      <c r="F90" s="1208"/>
      <c r="G90" s="1208"/>
      <c r="H90" s="1209"/>
    </row>
    <row r="91" spans="1:8" ht="15" customHeight="1">
      <c r="A91" s="339"/>
      <c r="B91" s="1216" t="s">
        <v>156</v>
      </c>
      <c r="C91" s="1217"/>
      <c r="D91" s="1217"/>
      <c r="E91" s="1217"/>
      <c r="F91" s="1217"/>
      <c r="G91" s="1217"/>
      <c r="H91" s="1218"/>
    </row>
    <row r="92" spans="1:8">
      <c r="A92" s="339"/>
      <c r="B92" s="53" t="s">
        <v>216</v>
      </c>
      <c r="C92" s="51"/>
      <c r="D92" s="52"/>
      <c r="E92" s="52"/>
      <c r="F92" s="52"/>
      <c r="G92" s="510"/>
      <c r="H92" s="518"/>
    </row>
    <row r="93" spans="1:8">
      <c r="B93" s="617" t="s">
        <v>330</v>
      </c>
      <c r="C93" s="275">
        <v>0</v>
      </c>
      <c r="D93" s="275">
        <v>0</v>
      </c>
      <c r="E93" s="275">
        <v>0</v>
      </c>
      <c r="F93" s="110">
        <v>100</v>
      </c>
      <c r="G93" s="354">
        <v>100</v>
      </c>
      <c r="H93" s="304">
        <f>ROUND((D93+E93+F93)*('29_01_H_2020'!$O$14)*C93*12*(1+'29_01_H_2020'!$O$17),2)</f>
        <v>0</v>
      </c>
    </row>
    <row r="94" spans="1:8" ht="51">
      <c r="B94" s="50" t="s">
        <v>576</v>
      </c>
      <c r="C94" s="63"/>
      <c r="D94" s="54"/>
      <c r="E94" s="54"/>
      <c r="F94" s="54"/>
      <c r="G94" s="511"/>
      <c r="H94" s="518"/>
    </row>
    <row r="95" spans="1:8" ht="15.75" thickBot="1">
      <c r="A95" s="339"/>
      <c r="B95" s="617" t="s">
        <v>265</v>
      </c>
      <c r="C95" s="620">
        <v>0.5</v>
      </c>
      <c r="D95" s="621">
        <v>1400</v>
      </c>
      <c r="E95" s="621">
        <v>140</v>
      </c>
      <c r="F95" s="621">
        <v>56</v>
      </c>
      <c r="G95" s="622">
        <v>1596</v>
      </c>
      <c r="H95" s="652">
        <f>ROUND((D95+E95+F95)*('29_01_H_2020'!$O$10)*C95*12*(1+'29_01_H_2020'!$O$17),2)</f>
        <v>3004.9</v>
      </c>
    </row>
    <row r="96" spans="1:8" ht="15.75" thickBot="1">
      <c r="B96" s="624" t="s">
        <v>326</v>
      </c>
      <c r="C96" s="625">
        <f>SUM(C93,C95)</f>
        <v>0.5</v>
      </c>
      <c r="D96" s="626" t="s">
        <v>52</v>
      </c>
      <c r="E96" s="626" t="s">
        <v>52</v>
      </c>
      <c r="F96" s="626" t="s">
        <v>52</v>
      </c>
      <c r="G96" s="627" t="s">
        <v>52</v>
      </c>
      <c r="H96" s="651">
        <f>SUM(H93,H95)</f>
        <v>3004.9</v>
      </c>
    </row>
    <row r="97" spans="1:10" ht="45" customHeight="1" thickBot="1">
      <c r="A97" s="339"/>
      <c r="B97" s="1207" t="s">
        <v>587</v>
      </c>
      <c r="C97" s="1208"/>
      <c r="D97" s="1208"/>
      <c r="E97" s="1208"/>
      <c r="F97" s="1208"/>
      <c r="G97" s="1208"/>
      <c r="H97" s="1209"/>
    </row>
    <row r="98" spans="1:10">
      <c r="B98" s="1210" t="s">
        <v>11</v>
      </c>
      <c r="C98" s="1211"/>
      <c r="D98" s="1211"/>
      <c r="E98" s="1211"/>
      <c r="F98" s="1211"/>
      <c r="G98" s="1211"/>
      <c r="H98" s="1212"/>
    </row>
    <row r="99" spans="1:10">
      <c r="B99" s="617" t="s">
        <v>247</v>
      </c>
      <c r="C99" s="275">
        <v>0</v>
      </c>
      <c r="D99" s="275">
        <v>0</v>
      </c>
      <c r="E99" s="275">
        <v>0</v>
      </c>
      <c r="F99" s="110">
        <v>406.56</v>
      </c>
      <c r="G99" s="354">
        <v>406.56</v>
      </c>
      <c r="H99" s="304">
        <f>ROUND((D99+E99+F99)*('29_01_H_2020'!$O$14)*C99*12*(1+'29_01_H_2020'!$O$17),2)</f>
        <v>0</v>
      </c>
    </row>
    <row r="100" spans="1:10" s="339" customFormat="1">
      <c r="B100" s="617" t="s">
        <v>250</v>
      </c>
      <c r="C100" s="275">
        <v>0</v>
      </c>
      <c r="D100" s="275">
        <v>0</v>
      </c>
      <c r="E100" s="275">
        <v>0</v>
      </c>
      <c r="F100" s="110">
        <v>200</v>
      </c>
      <c r="G100" s="354">
        <v>200</v>
      </c>
      <c r="H100" s="304">
        <f>ROUND((D100+E100+F100)*('29_01_H_2020'!$O$14)*C100*12*(1+'29_01_H_2020'!$O$17),2)</f>
        <v>0</v>
      </c>
    </row>
    <row r="101" spans="1:10">
      <c r="B101" s="1213" t="s">
        <v>28</v>
      </c>
      <c r="C101" s="1214"/>
      <c r="D101" s="1214"/>
      <c r="E101" s="1214"/>
      <c r="F101" s="1214"/>
      <c r="G101" s="1214"/>
      <c r="H101" s="1215"/>
    </row>
    <row r="102" spans="1:10">
      <c r="B102" s="617" t="s">
        <v>226</v>
      </c>
      <c r="C102" s="620">
        <v>1</v>
      </c>
      <c r="D102" s="621">
        <v>1100</v>
      </c>
      <c r="E102" s="275">
        <v>0</v>
      </c>
      <c r="F102" s="275">
        <v>0</v>
      </c>
      <c r="G102" s="622">
        <v>1100</v>
      </c>
      <c r="H102" s="304">
        <f>ROUND((D102+E102+F102)*('29_01_H_2020'!$O$10)*C102*12*(1+'29_01_H_2020'!$O$17),2)</f>
        <v>4142.09</v>
      </c>
    </row>
    <row r="103" spans="1:10" s="339" customFormat="1" ht="15.75" thickBot="1">
      <c r="B103" s="642" t="s">
        <v>40</v>
      </c>
      <c r="C103" s="643">
        <v>2</v>
      </c>
      <c r="D103" s="644">
        <v>789.6</v>
      </c>
      <c r="E103" s="275">
        <v>0</v>
      </c>
      <c r="F103" s="275">
        <v>0</v>
      </c>
      <c r="G103" s="645">
        <v>789.6</v>
      </c>
      <c r="H103" s="304">
        <f>ROUND((D103+E103+F103)*('29_01_H_2020'!$O$10)*C103*12*(1+'29_01_H_2020'!$O$17),2)</f>
        <v>5946.54</v>
      </c>
    </row>
    <row r="104" spans="1:10" ht="15.75" thickBot="1">
      <c r="B104" s="624" t="s">
        <v>326</v>
      </c>
      <c r="C104" s="625">
        <f>SUM(C99:C100,C102:C103)</f>
        <v>3</v>
      </c>
      <c r="D104" s="626" t="s">
        <v>52</v>
      </c>
      <c r="E104" s="626" t="s">
        <v>52</v>
      </c>
      <c r="F104" s="626" t="s">
        <v>52</v>
      </c>
      <c r="G104" s="627" t="s">
        <v>52</v>
      </c>
      <c r="H104" s="651">
        <f>SUM(H99:H100,H102:H103)</f>
        <v>10088.630000000001</v>
      </c>
    </row>
    <row r="105" spans="1:10" ht="43.5" customHeight="1" thickBot="1">
      <c r="B105" s="1207" t="s">
        <v>588</v>
      </c>
      <c r="C105" s="1208"/>
      <c r="D105" s="1208"/>
      <c r="E105" s="1208"/>
      <c r="F105" s="1208"/>
      <c r="G105" s="1208"/>
      <c r="H105" s="1209"/>
      <c r="I105" s="174"/>
      <c r="J105" s="174"/>
    </row>
    <row r="106" spans="1:10">
      <c r="B106" s="1210" t="s">
        <v>11</v>
      </c>
      <c r="C106" s="1211"/>
      <c r="D106" s="1211"/>
      <c r="E106" s="1211"/>
      <c r="F106" s="1211"/>
      <c r="G106" s="1211"/>
      <c r="H106" s="1212"/>
      <c r="I106" s="174"/>
      <c r="J106" s="174"/>
    </row>
    <row r="107" spans="1:10">
      <c r="B107" s="617" t="s">
        <v>247</v>
      </c>
      <c r="C107" s="275">
        <v>1.25</v>
      </c>
      <c r="D107" s="275">
        <v>1290</v>
      </c>
      <c r="E107" s="275">
        <v>13</v>
      </c>
      <c r="F107" s="110"/>
      <c r="G107" s="354">
        <v>1303</v>
      </c>
      <c r="H107" s="304">
        <f>ROUND((D107+E107+F107)*('29_01_H_2020'!$O$14)*C107*12*(1+'29_01_H_2020'!$O$17),2)</f>
        <v>6133.12</v>
      </c>
      <c r="I107" s="174"/>
      <c r="J107" s="174"/>
    </row>
    <row r="108" spans="1:10">
      <c r="B108" s="1213" t="s">
        <v>28</v>
      </c>
      <c r="C108" s="1214"/>
      <c r="D108" s="1214"/>
      <c r="E108" s="1214"/>
      <c r="F108" s="1214"/>
      <c r="G108" s="1214"/>
      <c r="H108" s="1215"/>
      <c r="I108" s="174"/>
      <c r="J108" s="174"/>
    </row>
    <row r="109" spans="1:10">
      <c r="B109" s="617" t="s">
        <v>226</v>
      </c>
      <c r="C109" s="620">
        <v>1</v>
      </c>
      <c r="D109" s="621">
        <v>1200</v>
      </c>
      <c r="E109" s="275">
        <v>12</v>
      </c>
      <c r="F109" s="275">
        <v>0</v>
      </c>
      <c r="G109" s="622">
        <v>1212</v>
      </c>
      <c r="H109" s="304">
        <f>ROUND((D109+E109+F109)*('29_01_H_2020'!$O$10)*C109*12*(1+'29_01_H_2020'!$O$17),2)</f>
        <v>4563.83</v>
      </c>
      <c r="I109" s="174"/>
      <c r="J109" s="174"/>
    </row>
    <row r="110" spans="1:10" ht="15.75" thickBot="1">
      <c r="B110" s="642" t="s">
        <v>40</v>
      </c>
      <c r="C110" s="643">
        <v>13</v>
      </c>
      <c r="D110" s="644">
        <v>825</v>
      </c>
      <c r="E110" s="275">
        <v>12</v>
      </c>
      <c r="F110" s="275">
        <v>123</v>
      </c>
      <c r="G110" s="645">
        <v>960</v>
      </c>
      <c r="H110" s="304">
        <f>ROUND((D110+E110+F110)*('29_01_H_2020'!$O$10)*C110*12*(1+'29_01_H_2020'!$O$17),2)</f>
        <v>46993.94</v>
      </c>
      <c r="I110" s="174"/>
      <c r="J110" s="174"/>
    </row>
    <row r="111" spans="1:10" ht="15.75" thickBot="1">
      <c r="B111" s="624" t="s">
        <v>326</v>
      </c>
      <c r="C111" s="625">
        <f>SUM(C107:C107,C109:C110)</f>
        <v>15.25</v>
      </c>
      <c r="D111" s="626" t="s">
        <v>52</v>
      </c>
      <c r="E111" s="626" t="s">
        <v>52</v>
      </c>
      <c r="F111" s="626" t="s">
        <v>52</v>
      </c>
      <c r="G111" s="627" t="s">
        <v>52</v>
      </c>
      <c r="H111" s="651">
        <f>SUM(H107:H107,H109:H110)</f>
        <v>57690.89</v>
      </c>
      <c r="I111" s="174"/>
      <c r="J111" s="174"/>
    </row>
    <row r="112" spans="1:10" ht="30.75" customHeight="1" thickBot="1">
      <c r="B112" s="1207" t="s">
        <v>589</v>
      </c>
      <c r="C112" s="1208"/>
      <c r="D112" s="1208"/>
      <c r="E112" s="1208"/>
      <c r="F112" s="1208"/>
      <c r="G112" s="1208"/>
      <c r="H112" s="1209"/>
      <c r="I112" s="174"/>
      <c r="J112" s="174"/>
    </row>
    <row r="113" spans="2:10">
      <c r="B113" s="1210" t="s">
        <v>11</v>
      </c>
      <c r="C113" s="1211"/>
      <c r="D113" s="1211"/>
      <c r="E113" s="1211"/>
      <c r="F113" s="1211"/>
      <c r="G113" s="1211"/>
      <c r="H113" s="1212"/>
      <c r="I113" s="174"/>
      <c r="J113" s="174"/>
    </row>
    <row r="114" spans="2:10">
      <c r="B114" s="338" t="s">
        <v>333</v>
      </c>
      <c r="C114" s="275">
        <v>3.05</v>
      </c>
      <c r="D114" s="275">
        <v>1260</v>
      </c>
      <c r="E114" s="275">
        <v>0</v>
      </c>
      <c r="F114" s="110">
        <v>126</v>
      </c>
      <c r="G114" s="354">
        <v>1386</v>
      </c>
      <c r="H114" s="304">
        <f>ROUND((D114+E114+F114)*('29_01_H_2020'!$O$14)*C114*12*(1+'29_01_H_2020'!$O$17),2)</f>
        <v>15918.07</v>
      </c>
      <c r="I114" s="174"/>
      <c r="J114" s="174"/>
    </row>
    <row r="115" spans="2:10" s="339" customFormat="1" ht="15.75" thickBot="1">
      <c r="B115" s="338" t="s">
        <v>334</v>
      </c>
      <c r="C115" s="641">
        <v>1</v>
      </c>
      <c r="D115" s="641">
        <v>1220</v>
      </c>
      <c r="E115" s="641">
        <v>0</v>
      </c>
      <c r="F115" s="110">
        <v>122</v>
      </c>
      <c r="G115" s="354">
        <v>1342</v>
      </c>
      <c r="H115" s="304">
        <f>ROUND((D115+E115+F115)*('29_01_H_2020'!$O$14)*C115*12*(1+'29_01_H_2020'!$O$17),2)</f>
        <v>5053.3500000000004</v>
      </c>
      <c r="I115" s="174"/>
      <c r="J115" s="174"/>
    </row>
    <row r="116" spans="2:10" ht="15.75" thickBot="1">
      <c r="B116" s="624" t="s">
        <v>326</v>
      </c>
      <c r="C116" s="625">
        <f>SUM(C114:C115)</f>
        <v>4.05</v>
      </c>
      <c r="D116" s="626" t="s">
        <v>52</v>
      </c>
      <c r="E116" s="626" t="s">
        <v>52</v>
      </c>
      <c r="F116" s="626" t="s">
        <v>52</v>
      </c>
      <c r="G116" s="627" t="s">
        <v>52</v>
      </c>
      <c r="H116" s="651">
        <f>SUM(H114:H115)</f>
        <v>20971.419999999998</v>
      </c>
      <c r="I116" s="174"/>
      <c r="J116" s="174"/>
    </row>
    <row r="117" spans="2:10" ht="29.25" customHeight="1" thickBot="1">
      <c r="B117" s="1207" t="s">
        <v>590</v>
      </c>
      <c r="C117" s="1208"/>
      <c r="D117" s="1208"/>
      <c r="E117" s="1208"/>
      <c r="F117" s="1208"/>
      <c r="G117" s="1208"/>
      <c r="H117" s="1209"/>
      <c r="I117" s="174"/>
      <c r="J117" s="174"/>
    </row>
    <row r="118" spans="2:10" ht="15.75" thickBot="1">
      <c r="B118" s="1210" t="s">
        <v>11</v>
      </c>
      <c r="C118" s="1211"/>
      <c r="D118" s="1211"/>
      <c r="E118" s="1211"/>
      <c r="F118" s="1211"/>
      <c r="G118" s="1211"/>
      <c r="H118" s="1212"/>
      <c r="I118" s="174"/>
      <c r="J118" s="174"/>
    </row>
    <row r="119" spans="2:10" ht="15.75" thickBot="1">
      <c r="B119" s="338" t="s">
        <v>25</v>
      </c>
      <c r="C119" s="646">
        <v>0</v>
      </c>
      <c r="D119" s="646">
        <v>0</v>
      </c>
      <c r="E119" s="646">
        <v>0</v>
      </c>
      <c r="F119" s="110">
        <v>360</v>
      </c>
      <c r="G119" s="354">
        <v>360</v>
      </c>
      <c r="H119" s="684">
        <f>ROUND((D119+E119+F119)*('29_01_H_2020'!$O$14)*C119*12*(1+'29_01_H_2020'!$O$17),2)</f>
        <v>0</v>
      </c>
      <c r="I119" s="174"/>
      <c r="J119" s="174"/>
    </row>
    <row r="120" spans="2:10" s="339" customFormat="1" ht="15.75" thickBot="1">
      <c r="B120" s="338" t="s">
        <v>25</v>
      </c>
      <c r="C120" s="646">
        <v>0</v>
      </c>
      <c r="D120" s="646">
        <v>0</v>
      </c>
      <c r="E120" s="646">
        <v>0</v>
      </c>
      <c r="F120" s="110">
        <v>200</v>
      </c>
      <c r="G120" s="354">
        <v>200</v>
      </c>
      <c r="H120" s="684">
        <f>ROUND((D120+E120+F120)*('29_01_H_2020'!$O$14)*C120*12*(1+'29_01_H_2020'!$O$17),2)</f>
        <v>0</v>
      </c>
      <c r="I120" s="174"/>
      <c r="J120" s="174"/>
    </row>
    <row r="121" spans="2:10" s="339" customFormat="1" ht="27" thickBot="1">
      <c r="B121" s="1" t="s">
        <v>332</v>
      </c>
      <c r="C121" s="646">
        <v>0</v>
      </c>
      <c r="D121" s="646">
        <v>0</v>
      </c>
      <c r="E121" s="646">
        <v>0</v>
      </c>
      <c r="F121" s="110">
        <v>434</v>
      </c>
      <c r="G121" s="354">
        <v>434</v>
      </c>
      <c r="H121" s="684">
        <f>ROUND((D121+E121+F121)*('29_01_H_2020'!$O$14)*C121*12*(1+'29_01_H_2020'!$O$17),2)</f>
        <v>0</v>
      </c>
      <c r="I121" s="174"/>
      <c r="J121" s="174"/>
    </row>
    <row r="122" spans="2:10" s="339" customFormat="1">
      <c r="B122" s="1" t="s">
        <v>250</v>
      </c>
      <c r="C122" s="646">
        <v>0.5</v>
      </c>
      <c r="D122" s="646">
        <v>718</v>
      </c>
      <c r="E122" s="646">
        <v>0</v>
      </c>
      <c r="F122" s="110">
        <v>215.4</v>
      </c>
      <c r="G122" s="354">
        <v>933.4</v>
      </c>
      <c r="H122" s="684">
        <f>ROUND((D122+E122+F122)*('29_01_H_2020'!$O$14)*C122*12*(1+'29_01_H_2020'!$O$17),2)</f>
        <v>1757.38</v>
      </c>
      <c r="I122" s="174"/>
      <c r="J122" s="174"/>
    </row>
    <row r="123" spans="2:10" ht="15.75" thickBot="1">
      <c r="B123" s="1213" t="s">
        <v>28</v>
      </c>
      <c r="C123" s="1214"/>
      <c r="D123" s="1214"/>
      <c r="E123" s="1214"/>
      <c r="F123" s="1214"/>
      <c r="G123" s="1214"/>
      <c r="H123" s="1215"/>
      <c r="I123" s="174"/>
      <c r="J123" s="174"/>
    </row>
    <row r="124" spans="2:10" ht="15.75" thickBot="1">
      <c r="B124" s="338" t="s">
        <v>38</v>
      </c>
      <c r="C124" s="620">
        <v>0</v>
      </c>
      <c r="D124" s="620">
        <v>0</v>
      </c>
      <c r="E124" s="620">
        <v>0</v>
      </c>
      <c r="F124" s="275">
        <v>120</v>
      </c>
      <c r="G124" s="622">
        <v>120</v>
      </c>
      <c r="H124" s="684">
        <f>ROUND((D124+E124+F124)*('29_01_H_2020'!$O$10)*C124*12*(1+'29_01_H_2020'!$O$17),2)</f>
        <v>0</v>
      </c>
      <c r="I124" s="174"/>
      <c r="J124" s="174"/>
    </row>
    <row r="125" spans="2:10" s="339" customFormat="1" ht="15.75" thickBot="1">
      <c r="B125" s="338" t="s">
        <v>40</v>
      </c>
      <c r="C125" s="620">
        <v>1</v>
      </c>
      <c r="D125" s="621">
        <v>714</v>
      </c>
      <c r="E125" s="620">
        <v>0</v>
      </c>
      <c r="F125" s="275">
        <v>214.2</v>
      </c>
      <c r="G125" s="622">
        <v>928.2</v>
      </c>
      <c r="H125" s="684">
        <f>ROUND((D125+E125+F125)*('29_01_H_2020'!$O$10)*C125*12*(1+'29_01_H_2020'!$O$17),2)</f>
        <v>3495.17</v>
      </c>
      <c r="I125" s="174"/>
      <c r="J125" s="174"/>
    </row>
    <row r="126" spans="2:10" s="339" customFormat="1" ht="15.75" thickBot="1">
      <c r="B126" s="338" t="s">
        <v>40</v>
      </c>
      <c r="C126" s="620">
        <v>0.4</v>
      </c>
      <c r="D126" s="621">
        <v>645</v>
      </c>
      <c r="E126" s="620">
        <v>0</v>
      </c>
      <c r="F126" s="620">
        <v>0</v>
      </c>
      <c r="G126" s="622">
        <v>645</v>
      </c>
      <c r="H126" s="684">
        <f>ROUND((D126+E126+F126)*('29_01_H_2020'!$O$10)*C126*12*(1+'29_01_H_2020'!$O$17),2)</f>
        <v>971.51</v>
      </c>
      <c r="I126" s="174"/>
      <c r="J126" s="174"/>
    </row>
    <row r="127" spans="2:10" s="339" customFormat="1" ht="15.75" thickBot="1">
      <c r="B127" s="338" t="s">
        <v>40</v>
      </c>
      <c r="C127" s="620">
        <v>0.6</v>
      </c>
      <c r="D127" s="621">
        <v>840</v>
      </c>
      <c r="E127" s="620">
        <v>0</v>
      </c>
      <c r="F127" s="620">
        <v>0</v>
      </c>
      <c r="G127" s="622">
        <v>840</v>
      </c>
      <c r="H127" s="684">
        <f>ROUND((D127+E127+F127)*('29_01_H_2020'!$O$10)*C127*12*(1+'29_01_H_2020'!$O$17),2)</f>
        <v>1897.83</v>
      </c>
      <c r="I127" s="174"/>
      <c r="J127" s="174"/>
    </row>
    <row r="128" spans="2:10" s="339" customFormat="1" ht="15.75" thickBot="1">
      <c r="B128" s="338" t="s">
        <v>40</v>
      </c>
      <c r="C128" s="620">
        <v>0</v>
      </c>
      <c r="D128" s="620">
        <v>0</v>
      </c>
      <c r="E128" s="620">
        <v>0</v>
      </c>
      <c r="F128" s="275">
        <v>338.1</v>
      </c>
      <c r="G128" s="622">
        <v>338.1</v>
      </c>
      <c r="H128" s="684">
        <f>ROUND((D128+E128+F128)*('29_01_H_2020'!$O$10)*C128*12*(1+'29_01_H_2020'!$O$17),2)</f>
        <v>0</v>
      </c>
      <c r="I128" s="174"/>
      <c r="J128" s="174"/>
    </row>
    <row r="129" spans="2:14" ht="15.75" thickBot="1">
      <c r="B129" s="647" t="s">
        <v>40</v>
      </c>
      <c r="C129" s="620">
        <v>0</v>
      </c>
      <c r="D129" s="620">
        <v>0</v>
      </c>
      <c r="E129" s="620">
        <v>0</v>
      </c>
      <c r="F129" s="275">
        <v>223</v>
      </c>
      <c r="G129" s="622">
        <v>223</v>
      </c>
      <c r="H129" s="684">
        <f>ROUND((D129+E129+F129)*('29_01_H_2020'!$O$10)*C129*12*(1+'29_01_H_2020'!$O$17),2)</f>
        <v>0</v>
      </c>
      <c r="I129" s="174"/>
      <c r="J129" s="174"/>
    </row>
    <row r="130" spans="2:14" ht="15.75" thickBot="1">
      <c r="B130" s="624" t="s">
        <v>326</v>
      </c>
      <c r="C130" s="625">
        <f>SUM(C119:C122,C124:C129)</f>
        <v>2.5</v>
      </c>
      <c r="D130" s="626" t="s">
        <v>52</v>
      </c>
      <c r="E130" s="626" t="s">
        <v>52</v>
      </c>
      <c r="F130" s="626" t="s">
        <v>52</v>
      </c>
      <c r="G130" s="648" t="s">
        <v>52</v>
      </c>
      <c r="H130" s="651">
        <f>SUM(H119:H122,H124:H129)</f>
        <v>8121.89</v>
      </c>
      <c r="I130" s="174"/>
      <c r="J130" s="174"/>
    </row>
    <row r="131" spans="2:14" ht="36.75" customHeight="1" thickBot="1">
      <c r="B131" s="1207" t="s">
        <v>591</v>
      </c>
      <c r="C131" s="1208"/>
      <c r="D131" s="1208"/>
      <c r="E131" s="1208"/>
      <c r="F131" s="1208"/>
      <c r="G131" s="1208"/>
      <c r="H131" s="1209"/>
      <c r="I131" s="174"/>
      <c r="J131" s="174"/>
    </row>
    <row r="132" spans="2:14" ht="15.75" thickBot="1">
      <c r="B132" s="1210" t="s">
        <v>11</v>
      </c>
      <c r="C132" s="1211"/>
      <c r="D132" s="1211"/>
      <c r="E132" s="1211"/>
      <c r="F132" s="1211"/>
      <c r="G132" s="1211"/>
      <c r="H132" s="1212"/>
      <c r="I132" s="174"/>
      <c r="J132" s="174"/>
    </row>
    <row r="133" spans="2:14" ht="15.75" thickBot="1">
      <c r="B133" s="649" t="s">
        <v>592</v>
      </c>
      <c r="C133" s="646">
        <v>1</v>
      </c>
      <c r="D133" s="646">
        <v>1027.8699999999999</v>
      </c>
      <c r="E133" s="646">
        <v>0</v>
      </c>
      <c r="F133" s="646">
        <v>0</v>
      </c>
      <c r="G133" s="354">
        <v>1027.8699999999999</v>
      </c>
      <c r="H133" s="684">
        <f>ROUND((D133+E133+F133)*('29_01_H_2020'!$O$14)*C133*12*(1+'29_01_H_2020'!$O$17),2)</f>
        <v>3870.49</v>
      </c>
      <c r="I133" s="174"/>
      <c r="J133" s="174"/>
    </row>
    <row r="134" spans="2:14" ht="15.75" thickBot="1">
      <c r="B134" s="649" t="s">
        <v>593</v>
      </c>
      <c r="C134" s="646">
        <v>0</v>
      </c>
      <c r="D134" s="646">
        <v>0</v>
      </c>
      <c r="E134" s="646">
        <v>0</v>
      </c>
      <c r="F134" s="110">
        <v>164</v>
      </c>
      <c r="G134" s="354">
        <v>164</v>
      </c>
      <c r="H134" s="684">
        <f>ROUND((D134+E134+F134)*('29_01_H_2020'!$O$14)*C134*12*(1+'29_01_H_2020'!$O$17),2)</f>
        <v>0</v>
      </c>
      <c r="I134" s="174"/>
      <c r="J134" s="174"/>
    </row>
    <row r="135" spans="2:14" ht="15.75" thickBot="1">
      <c r="B135" s="649" t="s">
        <v>593</v>
      </c>
      <c r="C135" s="646">
        <v>0</v>
      </c>
      <c r="D135" s="646">
        <v>0</v>
      </c>
      <c r="E135" s="646">
        <v>0</v>
      </c>
      <c r="F135" s="110">
        <v>200</v>
      </c>
      <c r="G135" s="354">
        <v>200</v>
      </c>
      <c r="H135" s="684">
        <f>ROUND((D135+E135+F135)*('29_01_H_2020'!$O$14)*C135*12*(1+'29_01_H_2020'!$O$17),2)</f>
        <v>0</v>
      </c>
      <c r="I135" s="174"/>
      <c r="J135" s="174"/>
    </row>
    <row r="136" spans="2:14" ht="15.75" thickBot="1">
      <c r="B136" s="649" t="s">
        <v>594</v>
      </c>
      <c r="C136" s="646">
        <v>0</v>
      </c>
      <c r="D136" s="646">
        <v>0</v>
      </c>
      <c r="E136" s="646">
        <v>0</v>
      </c>
      <c r="F136" s="110">
        <v>74</v>
      </c>
      <c r="G136" s="354">
        <v>74</v>
      </c>
      <c r="H136" s="684">
        <f>ROUND((D136+E136+F136)*('29_01_H_2020'!$O$14)*C136*12*(1+'29_01_H_2020'!$O$17),2)</f>
        <v>0</v>
      </c>
      <c r="I136" s="174"/>
      <c r="J136" s="174"/>
    </row>
    <row r="137" spans="2:14" s="339" customFormat="1" ht="15.75" thickBot="1">
      <c r="B137" s="649" t="s">
        <v>595</v>
      </c>
      <c r="C137" s="646">
        <v>0</v>
      </c>
      <c r="D137" s="646">
        <v>0</v>
      </c>
      <c r="E137" s="646">
        <v>0</v>
      </c>
      <c r="F137" s="628">
        <v>585.59999999999991</v>
      </c>
      <c r="G137" s="628">
        <v>585.59999999999991</v>
      </c>
      <c r="H137" s="684">
        <f>ROUND((D137+E137+F137)*('29_01_H_2020'!$O$14)*C137*12*(1+'29_01_H_2020'!$O$17),2)</f>
        <v>0</v>
      </c>
      <c r="I137" s="174"/>
      <c r="J137" s="174"/>
    </row>
    <row r="138" spans="2:14" ht="16.5" thickTop="1" thickBot="1">
      <c r="B138" s="653" t="s">
        <v>326</v>
      </c>
      <c r="C138" s="654">
        <f>SUM(C133:C137)</f>
        <v>1</v>
      </c>
      <c r="D138" s="655" t="s">
        <v>52</v>
      </c>
      <c r="E138" s="655" t="s">
        <v>52</v>
      </c>
      <c r="F138" s="655" t="s">
        <v>52</v>
      </c>
      <c r="G138" s="656" t="s">
        <v>52</v>
      </c>
      <c r="H138" s="657">
        <f>SUM(H133:H137)</f>
        <v>3870.49</v>
      </c>
      <c r="I138" s="174"/>
      <c r="J138" s="174"/>
    </row>
    <row r="139" spans="2:14" ht="20.25" thickTop="1" thickBot="1">
      <c r="B139" s="658" t="s">
        <v>596</v>
      </c>
      <c r="C139" s="661">
        <f>C138+C130+C116+C111+C104+C96+C89+C81+C62+C35+C20</f>
        <v>83.424999999999997</v>
      </c>
      <c r="D139" s="659" t="s">
        <v>52</v>
      </c>
      <c r="E139" s="659" t="s">
        <v>52</v>
      </c>
      <c r="F139" s="660" t="s">
        <v>52</v>
      </c>
      <c r="G139" s="660" t="s">
        <v>52</v>
      </c>
      <c r="H139" s="662">
        <f>H138+H130+H116+H111+H104+H96+H89+H81+H62+H35+H20</f>
        <v>321679.83</v>
      </c>
      <c r="I139" s="174"/>
      <c r="J139" s="174"/>
    </row>
    <row r="140" spans="2:14" ht="15.75" thickTop="1">
      <c r="F140" s="174"/>
      <c r="G140" s="174"/>
      <c r="H140" s="174"/>
      <c r="I140" s="174"/>
      <c r="J140" s="174"/>
      <c r="K140" s="802"/>
    </row>
    <row r="141" spans="2:14">
      <c r="F141" s="174"/>
      <c r="G141" s="174"/>
      <c r="H141" s="174"/>
      <c r="I141" s="174"/>
      <c r="J141" s="174"/>
      <c r="M141" s="296"/>
      <c r="N141" s="296"/>
    </row>
    <row r="142" spans="2:14">
      <c r="F142" s="174"/>
      <c r="G142" s="174"/>
      <c r="H142" s="174"/>
      <c r="I142" s="174"/>
      <c r="J142" s="174"/>
    </row>
    <row r="143" spans="2:14">
      <c r="F143" s="174"/>
      <c r="G143" s="174"/>
      <c r="H143" s="174"/>
      <c r="I143" s="174"/>
      <c r="J143" s="174"/>
    </row>
    <row r="144" spans="2:14">
      <c r="F144" s="174"/>
      <c r="G144" s="174"/>
      <c r="H144" s="174"/>
      <c r="I144" s="174"/>
      <c r="J144" s="174"/>
    </row>
    <row r="145" spans="6:10">
      <c r="F145" s="174"/>
      <c r="G145" s="174"/>
      <c r="H145" s="174"/>
      <c r="I145" s="174"/>
      <c r="J145" s="174"/>
    </row>
    <row r="146" spans="6:10">
      <c r="F146" s="174"/>
      <c r="G146" s="174"/>
      <c r="H146" s="174"/>
      <c r="I146" s="174"/>
      <c r="J146" s="174"/>
    </row>
    <row r="147" spans="6:10">
      <c r="F147" s="174"/>
      <c r="G147" s="174"/>
      <c r="H147" s="174"/>
      <c r="I147" s="174"/>
      <c r="J147" s="174"/>
    </row>
    <row r="148" spans="6:10">
      <c r="F148" s="174"/>
      <c r="G148" s="174"/>
      <c r="H148" s="174"/>
      <c r="I148" s="174"/>
      <c r="J148" s="174"/>
    </row>
    <row r="149" spans="6:10">
      <c r="F149" s="174"/>
      <c r="G149" s="174"/>
      <c r="H149" s="174"/>
      <c r="I149" s="174"/>
      <c r="J149" s="174"/>
    </row>
    <row r="150" spans="6:10">
      <c r="F150" s="174"/>
      <c r="G150" s="174"/>
      <c r="H150" s="174"/>
      <c r="I150" s="174"/>
      <c r="J150" s="174"/>
    </row>
    <row r="151" spans="6:10">
      <c r="F151" s="174"/>
      <c r="G151" s="174"/>
      <c r="H151" s="174"/>
      <c r="I151" s="174"/>
      <c r="J151" s="174"/>
    </row>
    <row r="152" spans="6:10">
      <c r="F152" s="174"/>
      <c r="G152" s="174"/>
      <c r="H152" s="174"/>
      <c r="I152" s="174"/>
      <c r="J152" s="174"/>
    </row>
    <row r="153" spans="6:10">
      <c r="F153" s="174"/>
      <c r="G153" s="174"/>
      <c r="H153" s="174"/>
      <c r="I153" s="174"/>
      <c r="J153" s="174"/>
    </row>
    <row r="154" spans="6:10">
      <c r="F154" s="174"/>
      <c r="G154" s="174"/>
      <c r="H154" s="174"/>
      <c r="I154" s="174"/>
      <c r="J154" s="174"/>
    </row>
    <row r="155" spans="6:10">
      <c r="F155" s="174"/>
      <c r="G155" s="174"/>
      <c r="H155" s="174"/>
      <c r="I155" s="174"/>
      <c r="J155" s="174"/>
    </row>
    <row r="156" spans="6:10">
      <c r="F156" s="174"/>
      <c r="G156" s="174"/>
      <c r="H156" s="174"/>
      <c r="I156" s="174"/>
      <c r="J156" s="174"/>
    </row>
    <row r="157" spans="6:10">
      <c r="F157" s="174"/>
      <c r="G157" s="174"/>
      <c r="H157" s="174"/>
      <c r="I157" s="174"/>
      <c r="J157" s="174"/>
    </row>
    <row r="158" spans="6:10">
      <c r="F158" s="174"/>
      <c r="G158" s="174"/>
      <c r="H158" s="174"/>
      <c r="I158" s="174"/>
      <c r="J158" s="174"/>
    </row>
    <row r="159" spans="6:10">
      <c r="F159" s="174"/>
      <c r="G159" s="174"/>
      <c r="H159" s="174"/>
      <c r="I159" s="174"/>
      <c r="J159" s="174"/>
    </row>
    <row r="160" spans="6:10">
      <c r="F160" s="174"/>
      <c r="G160" s="174"/>
      <c r="H160" s="174"/>
      <c r="I160" s="174"/>
      <c r="J160" s="174"/>
    </row>
    <row r="161" spans="6:10">
      <c r="F161" s="174"/>
      <c r="G161" s="174"/>
      <c r="H161" s="174"/>
      <c r="I161" s="174"/>
      <c r="J161" s="174"/>
    </row>
    <row r="162" spans="6:10">
      <c r="F162" s="174"/>
      <c r="G162" s="174"/>
      <c r="H162" s="174"/>
      <c r="I162" s="174"/>
      <c r="J162" s="174"/>
    </row>
    <row r="163" spans="6:10">
      <c r="F163" s="174"/>
      <c r="G163" s="174"/>
      <c r="H163" s="174"/>
      <c r="I163" s="174"/>
      <c r="J163" s="174"/>
    </row>
    <row r="164" spans="6:10">
      <c r="F164" s="174"/>
      <c r="G164" s="174"/>
      <c r="H164" s="174"/>
      <c r="I164" s="174"/>
      <c r="J164" s="174"/>
    </row>
    <row r="165" spans="6:10">
      <c r="F165" s="174"/>
      <c r="G165" s="174"/>
      <c r="H165" s="174"/>
      <c r="I165" s="174"/>
      <c r="J165" s="174"/>
    </row>
    <row r="166" spans="6:10">
      <c r="F166" s="174"/>
      <c r="G166" s="174"/>
      <c r="H166" s="174"/>
      <c r="I166" s="174"/>
      <c r="J166" s="174"/>
    </row>
    <row r="167" spans="6:10">
      <c r="F167" s="174"/>
      <c r="G167" s="174"/>
      <c r="H167" s="174"/>
      <c r="I167" s="174"/>
      <c r="J167" s="174"/>
    </row>
    <row r="168" spans="6:10">
      <c r="F168" s="174"/>
      <c r="G168" s="174"/>
      <c r="H168" s="174"/>
      <c r="I168" s="174"/>
      <c r="J168" s="174"/>
    </row>
    <row r="169" spans="6:10">
      <c r="F169" s="174"/>
      <c r="G169" s="174"/>
      <c r="H169" s="174"/>
      <c r="I169" s="174"/>
      <c r="J169" s="174"/>
    </row>
    <row r="170" spans="6:10">
      <c r="F170" s="174"/>
      <c r="G170" s="174"/>
      <c r="H170" s="174"/>
      <c r="I170" s="174"/>
      <c r="J170" s="174"/>
    </row>
    <row r="171" spans="6:10">
      <c r="F171" s="174"/>
      <c r="G171" s="174"/>
      <c r="H171" s="174"/>
      <c r="I171" s="174"/>
      <c r="J171" s="174"/>
    </row>
    <row r="172" spans="6:10">
      <c r="F172" s="174"/>
      <c r="G172" s="174"/>
      <c r="H172" s="174"/>
      <c r="I172" s="174"/>
      <c r="J172" s="174"/>
    </row>
    <row r="173" spans="6:10">
      <c r="F173" s="174"/>
      <c r="G173" s="174"/>
      <c r="H173" s="174"/>
      <c r="I173" s="174"/>
      <c r="J173" s="174"/>
    </row>
    <row r="174" spans="6:10">
      <c r="F174" s="174"/>
      <c r="G174" s="174"/>
      <c r="H174" s="174"/>
      <c r="I174" s="174"/>
      <c r="J174" s="174"/>
    </row>
    <row r="175" spans="6:10">
      <c r="F175" s="174"/>
      <c r="G175" s="174"/>
      <c r="H175" s="174"/>
      <c r="I175" s="174"/>
      <c r="J175" s="174"/>
    </row>
    <row r="176" spans="6:10">
      <c r="F176" s="174"/>
      <c r="G176" s="174"/>
      <c r="H176" s="174"/>
      <c r="I176" s="174"/>
      <c r="J176" s="174"/>
    </row>
    <row r="177" spans="6:10">
      <c r="F177" s="174"/>
      <c r="G177" s="174"/>
      <c r="H177" s="174"/>
      <c r="I177" s="174"/>
      <c r="J177" s="174"/>
    </row>
    <row r="178" spans="6:10">
      <c r="F178" s="174"/>
      <c r="G178" s="174"/>
      <c r="H178" s="174"/>
      <c r="I178" s="174"/>
      <c r="J178" s="174"/>
    </row>
    <row r="179" spans="6:10">
      <c r="F179" s="174"/>
      <c r="G179" s="174"/>
      <c r="H179" s="174"/>
      <c r="I179" s="174"/>
      <c r="J179" s="174"/>
    </row>
    <row r="180" spans="6:10">
      <c r="F180" s="174"/>
      <c r="G180" s="174"/>
      <c r="H180" s="174"/>
      <c r="I180" s="174"/>
      <c r="J180" s="174"/>
    </row>
    <row r="181" spans="6:10">
      <c r="F181" s="174"/>
      <c r="G181" s="174"/>
      <c r="H181" s="174"/>
      <c r="I181" s="174"/>
      <c r="J181" s="174"/>
    </row>
    <row r="182" spans="6:10">
      <c r="F182" s="174"/>
      <c r="G182" s="174"/>
      <c r="H182" s="174"/>
      <c r="I182" s="174"/>
      <c r="J182" s="174"/>
    </row>
    <row r="183" spans="6:10">
      <c r="F183" s="174"/>
      <c r="G183" s="174"/>
      <c r="H183" s="174"/>
      <c r="I183" s="174"/>
      <c r="J183" s="174"/>
    </row>
    <row r="184" spans="6:10">
      <c r="F184" s="174"/>
      <c r="G184" s="174"/>
      <c r="H184" s="174"/>
      <c r="I184" s="174"/>
      <c r="J184" s="174"/>
    </row>
    <row r="185" spans="6:10">
      <c r="F185" s="174"/>
      <c r="G185" s="174"/>
      <c r="H185" s="174"/>
      <c r="I185" s="174"/>
      <c r="J185" s="174"/>
    </row>
    <row r="186" spans="6:10">
      <c r="F186" s="174"/>
      <c r="G186" s="174"/>
      <c r="H186" s="174"/>
      <c r="I186" s="174"/>
      <c r="J186" s="174"/>
    </row>
    <row r="187" spans="6:10">
      <c r="F187" s="174"/>
      <c r="G187" s="174"/>
      <c r="H187" s="174"/>
      <c r="I187" s="174"/>
      <c r="J187" s="174"/>
    </row>
    <row r="188" spans="6:10">
      <c r="F188" s="174"/>
      <c r="G188" s="174"/>
      <c r="H188" s="174"/>
      <c r="I188" s="174"/>
      <c r="J188" s="174"/>
    </row>
    <row r="189" spans="6:10">
      <c r="F189" s="174"/>
      <c r="G189" s="174"/>
      <c r="H189" s="174"/>
      <c r="I189" s="174"/>
      <c r="J189" s="174"/>
    </row>
    <row r="190" spans="6:10">
      <c r="F190" s="174"/>
      <c r="G190" s="174"/>
      <c r="H190" s="174"/>
      <c r="I190" s="174"/>
      <c r="J190" s="174"/>
    </row>
    <row r="191" spans="6:10">
      <c r="F191" s="174"/>
      <c r="G191" s="174"/>
      <c r="H191" s="174"/>
      <c r="I191" s="174"/>
      <c r="J191" s="174"/>
    </row>
    <row r="192" spans="6:10">
      <c r="F192" s="174"/>
      <c r="G192" s="174"/>
      <c r="H192" s="174"/>
      <c r="I192" s="174"/>
      <c r="J192" s="174"/>
    </row>
    <row r="193" spans="6:10">
      <c r="F193" s="174"/>
      <c r="G193" s="174"/>
      <c r="H193" s="174"/>
      <c r="I193" s="174"/>
      <c r="J193" s="174"/>
    </row>
    <row r="194" spans="6:10">
      <c r="F194" s="174"/>
      <c r="G194" s="174"/>
      <c r="H194" s="174"/>
      <c r="I194" s="174"/>
      <c r="J194" s="174"/>
    </row>
    <row r="195" spans="6:10">
      <c r="F195" s="174"/>
      <c r="G195" s="174"/>
      <c r="H195" s="174"/>
      <c r="I195" s="174"/>
      <c r="J195" s="174"/>
    </row>
    <row r="196" spans="6:10">
      <c r="F196" s="174"/>
      <c r="G196" s="174"/>
      <c r="H196" s="174"/>
      <c r="I196" s="174"/>
      <c r="J196" s="174"/>
    </row>
    <row r="197" spans="6:10">
      <c r="F197" s="174"/>
      <c r="G197" s="174"/>
      <c r="H197" s="174"/>
      <c r="I197" s="174"/>
      <c r="J197" s="174"/>
    </row>
    <row r="198" spans="6:10">
      <c r="F198" s="174"/>
      <c r="G198" s="174"/>
      <c r="H198" s="174"/>
      <c r="I198" s="174"/>
      <c r="J198" s="174"/>
    </row>
    <row r="199" spans="6:10">
      <c r="F199" s="174"/>
      <c r="G199" s="174"/>
      <c r="H199" s="174"/>
      <c r="I199" s="174"/>
      <c r="J199" s="174"/>
    </row>
    <row r="200" spans="6:10">
      <c r="F200" s="174"/>
      <c r="G200" s="174"/>
      <c r="H200" s="174"/>
      <c r="I200" s="174"/>
      <c r="J200" s="174"/>
    </row>
    <row r="201" spans="6:10">
      <c r="F201" s="174"/>
      <c r="G201" s="174"/>
      <c r="H201" s="174"/>
      <c r="I201" s="174"/>
      <c r="J201" s="174"/>
    </row>
    <row r="202" spans="6:10">
      <c r="F202" s="174"/>
      <c r="G202" s="174"/>
      <c r="H202" s="174"/>
      <c r="I202" s="174"/>
      <c r="J202" s="174"/>
    </row>
    <row r="203" spans="6:10">
      <c r="F203" s="174"/>
      <c r="G203" s="174"/>
      <c r="H203" s="174"/>
      <c r="I203" s="174"/>
      <c r="J203" s="174"/>
    </row>
    <row r="204" spans="6:10">
      <c r="F204" s="174"/>
      <c r="G204" s="174"/>
      <c r="H204" s="174"/>
      <c r="I204" s="174"/>
      <c r="J204" s="174"/>
    </row>
    <row r="205" spans="6:10">
      <c r="F205" s="174"/>
      <c r="G205" s="174"/>
      <c r="H205" s="174"/>
      <c r="I205" s="174"/>
      <c r="J205" s="174"/>
    </row>
    <row r="206" spans="6:10">
      <c r="F206" s="174"/>
      <c r="G206" s="174"/>
      <c r="H206" s="174"/>
      <c r="I206" s="174"/>
      <c r="J206" s="174"/>
    </row>
    <row r="207" spans="6:10">
      <c r="F207" s="174"/>
      <c r="G207" s="174"/>
      <c r="H207" s="174"/>
      <c r="I207" s="174"/>
      <c r="J207" s="174"/>
    </row>
    <row r="208" spans="6:10">
      <c r="F208" s="174"/>
      <c r="G208" s="174"/>
      <c r="H208" s="174"/>
      <c r="I208" s="174"/>
      <c r="J208" s="174"/>
    </row>
    <row r="209" spans="6:10">
      <c r="F209" s="174"/>
      <c r="G209" s="174"/>
      <c r="H209" s="174"/>
      <c r="I209" s="174"/>
      <c r="J209" s="174"/>
    </row>
    <row r="210" spans="6:10">
      <c r="F210" s="174"/>
      <c r="G210" s="174"/>
      <c r="H210" s="174"/>
      <c r="I210" s="174"/>
      <c r="J210" s="174"/>
    </row>
    <row r="211" spans="6:10">
      <c r="F211" s="174"/>
      <c r="G211" s="174"/>
      <c r="H211" s="174"/>
      <c r="I211" s="174"/>
      <c r="J211" s="174"/>
    </row>
    <row r="212" spans="6:10">
      <c r="F212" s="174"/>
      <c r="G212" s="174"/>
      <c r="H212" s="174"/>
      <c r="I212" s="174"/>
      <c r="J212" s="174"/>
    </row>
    <row r="213" spans="6:10">
      <c r="F213" s="174"/>
      <c r="G213" s="174"/>
      <c r="H213" s="174"/>
      <c r="I213" s="174"/>
      <c r="J213" s="174"/>
    </row>
    <row r="214" spans="6:10">
      <c r="F214" s="174"/>
      <c r="G214" s="174"/>
      <c r="H214" s="174"/>
      <c r="I214" s="174"/>
      <c r="J214" s="174"/>
    </row>
    <row r="215" spans="6:10">
      <c r="F215" s="174"/>
      <c r="G215" s="174"/>
      <c r="H215" s="174"/>
      <c r="I215" s="174"/>
      <c r="J215" s="174"/>
    </row>
    <row r="216" spans="6:10">
      <c r="F216" s="174"/>
      <c r="G216" s="174"/>
      <c r="H216" s="174"/>
      <c r="I216" s="174"/>
      <c r="J216" s="174"/>
    </row>
    <row r="217" spans="6:10">
      <c r="F217" s="174"/>
      <c r="G217" s="174"/>
      <c r="H217" s="174"/>
      <c r="I217" s="174"/>
      <c r="J217" s="174"/>
    </row>
    <row r="218" spans="6:10">
      <c r="F218" s="174"/>
      <c r="G218" s="174"/>
      <c r="H218" s="174"/>
      <c r="I218" s="174"/>
      <c r="J218" s="174"/>
    </row>
    <row r="219" spans="6:10">
      <c r="F219" s="174"/>
      <c r="G219" s="174"/>
      <c r="H219" s="174"/>
      <c r="I219" s="174"/>
      <c r="J219" s="174"/>
    </row>
    <row r="220" spans="6:10">
      <c r="F220" s="174"/>
      <c r="G220" s="174"/>
      <c r="H220" s="174"/>
      <c r="I220" s="174"/>
      <c r="J220" s="174"/>
    </row>
    <row r="221" spans="6:10">
      <c r="F221" s="174"/>
      <c r="G221" s="174"/>
      <c r="H221" s="174"/>
      <c r="I221" s="174"/>
      <c r="J221" s="174"/>
    </row>
    <row r="222" spans="6:10">
      <c r="F222" s="174"/>
      <c r="G222" s="174"/>
      <c r="H222" s="174"/>
      <c r="I222" s="174"/>
      <c r="J222" s="174"/>
    </row>
    <row r="223" spans="6:10">
      <c r="F223" s="174"/>
      <c r="G223" s="174"/>
      <c r="H223" s="174"/>
      <c r="I223" s="174"/>
      <c r="J223" s="174"/>
    </row>
    <row r="224" spans="6:10">
      <c r="F224" s="174"/>
      <c r="G224" s="174"/>
      <c r="H224" s="174"/>
      <c r="I224" s="174"/>
      <c r="J224" s="174"/>
    </row>
    <row r="225" spans="6:10">
      <c r="F225" s="174"/>
      <c r="G225" s="174"/>
      <c r="H225" s="174"/>
      <c r="I225" s="174"/>
      <c r="J225" s="174"/>
    </row>
    <row r="226" spans="6:10">
      <c r="F226" s="174"/>
      <c r="G226" s="174"/>
      <c r="H226" s="174"/>
      <c r="I226" s="174"/>
      <c r="J226" s="174"/>
    </row>
    <row r="227" spans="6:10">
      <c r="F227" s="174"/>
      <c r="G227" s="174"/>
      <c r="H227" s="174"/>
      <c r="I227" s="174"/>
      <c r="J227" s="174"/>
    </row>
    <row r="228" spans="6:10">
      <c r="F228" s="174"/>
      <c r="G228" s="174"/>
      <c r="H228" s="174"/>
      <c r="I228" s="174"/>
      <c r="J228" s="174"/>
    </row>
    <row r="229" spans="6:10">
      <c r="F229" s="174"/>
      <c r="G229" s="174"/>
      <c r="H229" s="174"/>
      <c r="I229" s="174"/>
      <c r="J229" s="174"/>
    </row>
    <row r="230" spans="6:10">
      <c r="F230" s="174"/>
      <c r="G230" s="174"/>
      <c r="H230" s="174"/>
      <c r="I230" s="174"/>
      <c r="J230" s="174"/>
    </row>
    <row r="231" spans="6:10">
      <c r="F231" s="174"/>
      <c r="G231" s="174"/>
      <c r="H231" s="174"/>
      <c r="I231" s="174"/>
      <c r="J231" s="174"/>
    </row>
    <row r="232" spans="6:10">
      <c r="F232" s="174"/>
      <c r="G232" s="174"/>
      <c r="H232" s="174"/>
      <c r="I232" s="174"/>
      <c r="J232" s="174"/>
    </row>
    <row r="233" spans="6:10">
      <c r="F233" s="174"/>
      <c r="G233" s="174"/>
      <c r="H233" s="174"/>
      <c r="I233" s="174"/>
      <c r="J233" s="174"/>
    </row>
    <row r="234" spans="6:10">
      <c r="F234" s="174"/>
      <c r="G234" s="174"/>
      <c r="H234" s="174"/>
      <c r="I234" s="174"/>
      <c r="J234" s="174"/>
    </row>
    <row r="235" spans="6:10">
      <c r="F235" s="174"/>
      <c r="G235" s="174"/>
      <c r="H235" s="174"/>
      <c r="I235" s="174"/>
      <c r="J235" s="174"/>
    </row>
    <row r="236" spans="6:10">
      <c r="F236" s="174"/>
      <c r="G236" s="174"/>
      <c r="H236" s="174"/>
      <c r="I236" s="174"/>
      <c r="J236" s="174"/>
    </row>
    <row r="237" spans="6:10">
      <c r="F237" s="174"/>
      <c r="G237" s="174"/>
      <c r="H237" s="174"/>
      <c r="I237" s="174"/>
      <c r="J237" s="174"/>
    </row>
    <row r="238" spans="6:10">
      <c r="F238" s="174"/>
      <c r="G238" s="174"/>
      <c r="H238" s="174"/>
      <c r="I238" s="174"/>
      <c r="J238" s="174"/>
    </row>
    <row r="239" spans="6:10">
      <c r="F239" s="174"/>
      <c r="G239" s="174"/>
      <c r="H239" s="174"/>
      <c r="I239" s="174"/>
      <c r="J239" s="174"/>
    </row>
    <row r="240" spans="6:10">
      <c r="F240" s="174"/>
      <c r="G240" s="174"/>
      <c r="H240" s="174"/>
      <c r="I240" s="174"/>
      <c r="J240" s="174"/>
    </row>
    <row r="241" spans="6:10">
      <c r="F241" s="174"/>
      <c r="G241" s="174"/>
      <c r="H241" s="174"/>
      <c r="I241" s="174"/>
      <c r="J241" s="174"/>
    </row>
    <row r="242" spans="6:10">
      <c r="F242" s="174"/>
      <c r="G242" s="174"/>
      <c r="H242" s="174"/>
      <c r="I242" s="174"/>
      <c r="J242" s="174"/>
    </row>
    <row r="243" spans="6:10">
      <c r="F243" s="174"/>
      <c r="G243" s="174"/>
      <c r="H243" s="174"/>
      <c r="I243" s="174"/>
      <c r="J243" s="174"/>
    </row>
    <row r="244" spans="6:10">
      <c r="F244" s="174"/>
      <c r="G244" s="174"/>
      <c r="H244" s="174"/>
      <c r="I244" s="174"/>
      <c r="J244" s="174"/>
    </row>
    <row r="245" spans="6:10">
      <c r="F245" s="174"/>
      <c r="G245" s="174"/>
      <c r="H245" s="174"/>
      <c r="I245" s="174"/>
      <c r="J245" s="174"/>
    </row>
    <row r="246" spans="6:10">
      <c r="F246" s="174"/>
      <c r="G246" s="174"/>
      <c r="H246" s="174"/>
      <c r="I246" s="174"/>
      <c r="J246" s="174"/>
    </row>
    <row r="247" spans="6:10">
      <c r="F247" s="174"/>
      <c r="G247" s="174"/>
      <c r="H247" s="174"/>
      <c r="I247" s="174"/>
      <c r="J247" s="174"/>
    </row>
    <row r="248" spans="6:10">
      <c r="F248" s="174"/>
      <c r="G248" s="174"/>
      <c r="H248" s="174"/>
      <c r="I248" s="174"/>
      <c r="J248" s="174"/>
    </row>
    <row r="249" spans="6:10">
      <c r="F249" s="174"/>
      <c r="G249" s="174"/>
      <c r="H249" s="174"/>
      <c r="I249" s="174"/>
      <c r="J249" s="174"/>
    </row>
    <row r="250" spans="6:10">
      <c r="F250" s="174"/>
      <c r="G250" s="174"/>
      <c r="H250" s="174"/>
      <c r="I250" s="174"/>
      <c r="J250" s="174"/>
    </row>
    <row r="251" spans="6:10">
      <c r="F251" s="174"/>
      <c r="G251" s="174"/>
      <c r="H251" s="174"/>
      <c r="I251" s="174"/>
      <c r="J251" s="174"/>
    </row>
    <row r="252" spans="6:10">
      <c r="F252" s="174"/>
      <c r="G252" s="174"/>
      <c r="H252" s="174"/>
      <c r="I252" s="174"/>
      <c r="J252" s="174"/>
    </row>
    <row r="253" spans="6:10">
      <c r="F253" s="174"/>
      <c r="G253" s="174"/>
      <c r="H253" s="174"/>
      <c r="I253" s="174"/>
      <c r="J253" s="174"/>
    </row>
    <row r="254" spans="6:10">
      <c r="F254" s="174"/>
      <c r="G254" s="174"/>
      <c r="H254" s="174"/>
      <c r="I254" s="174"/>
      <c r="J254" s="174"/>
    </row>
    <row r="255" spans="6:10">
      <c r="F255" s="174"/>
      <c r="G255" s="174"/>
      <c r="H255" s="174"/>
      <c r="I255" s="174"/>
      <c r="J255" s="174"/>
    </row>
    <row r="256" spans="6:10">
      <c r="F256" s="174"/>
      <c r="G256" s="174"/>
      <c r="H256" s="174"/>
      <c r="I256" s="174"/>
      <c r="J256" s="174"/>
    </row>
    <row r="257" spans="6:10">
      <c r="F257" s="174"/>
      <c r="G257" s="174"/>
      <c r="H257" s="174"/>
      <c r="I257" s="174"/>
      <c r="J257" s="174"/>
    </row>
    <row r="258" spans="6:10">
      <c r="F258" s="174"/>
      <c r="G258" s="174"/>
      <c r="H258" s="174"/>
      <c r="I258" s="174"/>
      <c r="J258" s="174"/>
    </row>
    <row r="259" spans="6:10">
      <c r="F259" s="174"/>
      <c r="G259" s="174"/>
      <c r="H259" s="174"/>
      <c r="I259" s="174"/>
      <c r="J259" s="174"/>
    </row>
    <row r="260" spans="6:10">
      <c r="F260" s="174"/>
      <c r="G260" s="174"/>
      <c r="H260" s="174"/>
      <c r="I260" s="174"/>
      <c r="J260" s="174"/>
    </row>
    <row r="261" spans="6:10">
      <c r="F261" s="174"/>
      <c r="G261" s="174"/>
      <c r="H261" s="174"/>
      <c r="I261" s="174"/>
      <c r="J261" s="174"/>
    </row>
    <row r="262" spans="6:10">
      <c r="F262" s="174"/>
      <c r="G262" s="174"/>
      <c r="H262" s="174"/>
      <c r="I262" s="174"/>
      <c r="J262" s="174"/>
    </row>
    <row r="263" spans="6:10">
      <c r="F263" s="174"/>
      <c r="G263" s="174"/>
      <c r="H263" s="174"/>
      <c r="I263" s="174"/>
      <c r="J263" s="174"/>
    </row>
    <row r="264" spans="6:10">
      <c r="F264" s="174"/>
      <c r="G264" s="174"/>
      <c r="H264" s="174"/>
      <c r="I264" s="174"/>
      <c r="J264" s="174"/>
    </row>
    <row r="265" spans="6:10">
      <c r="F265" s="174"/>
      <c r="G265" s="174"/>
      <c r="H265" s="174"/>
      <c r="I265" s="174"/>
      <c r="J265" s="174"/>
    </row>
    <row r="266" spans="6:10">
      <c r="F266" s="174"/>
      <c r="G266" s="174"/>
      <c r="H266" s="174"/>
      <c r="I266" s="174"/>
      <c r="J266" s="174"/>
    </row>
    <row r="267" spans="6:10">
      <c r="F267" s="174"/>
      <c r="G267" s="174"/>
      <c r="H267" s="174"/>
      <c r="I267" s="174"/>
      <c r="J267" s="174"/>
    </row>
    <row r="268" spans="6:10">
      <c r="F268" s="174"/>
      <c r="G268" s="174"/>
      <c r="H268" s="174"/>
      <c r="I268" s="174"/>
      <c r="J268" s="174"/>
    </row>
    <row r="269" spans="6:10">
      <c r="F269" s="174"/>
      <c r="G269" s="174"/>
      <c r="H269" s="174"/>
      <c r="I269" s="174"/>
      <c r="J269" s="174"/>
    </row>
    <row r="270" spans="6:10">
      <c r="F270" s="174"/>
      <c r="G270" s="174"/>
      <c r="H270" s="174"/>
      <c r="I270" s="174"/>
      <c r="J270" s="174"/>
    </row>
    <row r="271" spans="6:10">
      <c r="F271" s="174"/>
      <c r="G271" s="174"/>
      <c r="H271" s="174"/>
      <c r="I271" s="174"/>
      <c r="J271" s="174"/>
    </row>
    <row r="272" spans="6:10">
      <c r="F272" s="174"/>
      <c r="G272" s="174"/>
      <c r="H272" s="174"/>
      <c r="I272" s="174"/>
      <c r="J272" s="174"/>
    </row>
    <row r="273" spans="6:10">
      <c r="F273" s="174"/>
      <c r="G273" s="174"/>
      <c r="H273" s="174"/>
      <c r="I273" s="174"/>
      <c r="J273" s="174"/>
    </row>
    <row r="274" spans="6:10">
      <c r="F274" s="174"/>
      <c r="G274" s="174"/>
      <c r="H274" s="174"/>
      <c r="I274" s="174"/>
      <c r="J274" s="174"/>
    </row>
    <row r="275" spans="6:10">
      <c r="F275" s="174"/>
      <c r="G275" s="174"/>
      <c r="H275" s="174"/>
      <c r="I275" s="174"/>
      <c r="J275" s="174"/>
    </row>
    <row r="276" spans="6:10">
      <c r="F276" s="174"/>
      <c r="G276" s="174"/>
      <c r="H276" s="174"/>
      <c r="I276" s="174"/>
      <c r="J276" s="174"/>
    </row>
    <row r="277" spans="6:10">
      <c r="F277" s="174"/>
      <c r="G277" s="174"/>
      <c r="H277" s="174"/>
      <c r="I277" s="174"/>
      <c r="J277" s="174"/>
    </row>
    <row r="278" spans="6:10">
      <c r="F278" s="174"/>
      <c r="G278" s="174"/>
      <c r="H278" s="174"/>
      <c r="I278" s="174"/>
      <c r="J278" s="174"/>
    </row>
    <row r="279" spans="6:10">
      <c r="F279" s="174"/>
      <c r="G279" s="174"/>
      <c r="H279" s="174"/>
      <c r="I279" s="174"/>
      <c r="J279" s="174"/>
    </row>
    <row r="280" spans="6:10">
      <c r="F280" s="174"/>
      <c r="G280" s="174"/>
      <c r="H280" s="174"/>
      <c r="I280" s="174"/>
      <c r="J280" s="174"/>
    </row>
    <row r="281" spans="6:10">
      <c r="F281" s="174"/>
      <c r="G281" s="174"/>
      <c r="H281" s="174"/>
      <c r="I281" s="174"/>
      <c r="J281" s="174"/>
    </row>
    <row r="282" spans="6:10">
      <c r="F282" s="174"/>
      <c r="G282" s="174"/>
      <c r="H282" s="174"/>
      <c r="I282" s="174"/>
      <c r="J282" s="174"/>
    </row>
    <row r="283" spans="6:10">
      <c r="F283" s="174"/>
      <c r="G283" s="174"/>
      <c r="H283" s="174"/>
      <c r="I283" s="174"/>
      <c r="J283" s="174"/>
    </row>
    <row r="284" spans="6:10">
      <c r="F284" s="174"/>
      <c r="G284" s="174"/>
      <c r="H284" s="174"/>
      <c r="I284" s="174"/>
      <c r="J284" s="174"/>
    </row>
    <row r="285" spans="6:10">
      <c r="F285" s="174"/>
      <c r="G285" s="174"/>
      <c r="H285" s="174"/>
      <c r="I285" s="174"/>
      <c r="J285" s="174"/>
    </row>
    <row r="286" spans="6:10">
      <c r="F286" s="174"/>
      <c r="G286" s="174"/>
      <c r="H286" s="174"/>
      <c r="I286" s="174"/>
      <c r="J286" s="174"/>
    </row>
    <row r="287" spans="6:10">
      <c r="F287" s="174"/>
      <c r="G287" s="174"/>
      <c r="H287" s="174"/>
      <c r="I287" s="174"/>
      <c r="J287" s="174"/>
    </row>
    <row r="288" spans="6:10">
      <c r="F288" s="174"/>
      <c r="G288" s="174"/>
      <c r="H288" s="174"/>
      <c r="I288" s="174"/>
      <c r="J288" s="174"/>
    </row>
    <row r="289" spans="6:10">
      <c r="F289" s="174"/>
      <c r="G289" s="174"/>
      <c r="H289" s="174"/>
      <c r="I289" s="174"/>
      <c r="J289" s="174"/>
    </row>
    <row r="290" spans="6:10">
      <c r="F290" s="174"/>
      <c r="G290" s="174"/>
      <c r="H290" s="174"/>
      <c r="I290" s="174"/>
      <c r="J290" s="174"/>
    </row>
    <row r="291" spans="6:10">
      <c r="F291" s="174"/>
      <c r="G291" s="174"/>
      <c r="H291" s="174"/>
      <c r="I291" s="174"/>
      <c r="J291" s="174"/>
    </row>
    <row r="292" spans="6:10">
      <c r="F292" s="174"/>
      <c r="G292" s="174"/>
      <c r="H292" s="174"/>
      <c r="I292" s="174"/>
      <c r="J292" s="174"/>
    </row>
    <row r="293" spans="6:10">
      <c r="F293" s="174"/>
      <c r="G293" s="174"/>
      <c r="H293" s="174"/>
      <c r="I293" s="174"/>
      <c r="J293" s="174"/>
    </row>
    <row r="294" spans="6:10">
      <c r="F294" s="174"/>
      <c r="G294" s="174"/>
      <c r="H294" s="174"/>
      <c r="I294" s="174"/>
      <c r="J294" s="174"/>
    </row>
    <row r="295" spans="6:10">
      <c r="F295" s="174"/>
      <c r="G295" s="174"/>
      <c r="H295" s="174"/>
      <c r="I295" s="174"/>
      <c r="J295" s="174"/>
    </row>
    <row r="296" spans="6:10">
      <c r="F296" s="174"/>
      <c r="G296" s="174"/>
      <c r="H296" s="174"/>
      <c r="I296" s="174"/>
      <c r="J296" s="174"/>
    </row>
    <row r="297" spans="6:10">
      <c r="F297" s="174"/>
      <c r="G297" s="174"/>
      <c r="H297" s="174"/>
      <c r="I297" s="174"/>
      <c r="J297" s="174"/>
    </row>
    <row r="298" spans="6:10">
      <c r="F298" s="174"/>
      <c r="G298" s="174"/>
      <c r="H298" s="174"/>
      <c r="I298" s="174"/>
      <c r="J298" s="174"/>
    </row>
    <row r="299" spans="6:10">
      <c r="F299" s="174"/>
      <c r="G299" s="174"/>
      <c r="H299" s="174"/>
      <c r="I299" s="174"/>
      <c r="J299" s="174"/>
    </row>
    <row r="300" spans="6:10">
      <c r="F300" s="174"/>
      <c r="G300" s="174"/>
      <c r="H300" s="174"/>
      <c r="I300" s="174"/>
      <c r="J300" s="174"/>
    </row>
    <row r="301" spans="6:10">
      <c r="F301" s="174"/>
      <c r="G301" s="174"/>
      <c r="H301" s="174"/>
      <c r="I301" s="174"/>
      <c r="J301" s="174"/>
    </row>
    <row r="302" spans="6:10">
      <c r="F302" s="174"/>
      <c r="G302" s="174"/>
      <c r="H302" s="174"/>
      <c r="I302" s="174"/>
      <c r="J302" s="174"/>
    </row>
    <row r="303" spans="6:10">
      <c r="F303" s="174"/>
      <c r="G303" s="174"/>
      <c r="H303" s="174"/>
      <c r="I303" s="174"/>
      <c r="J303" s="174"/>
    </row>
    <row r="304" spans="6:10">
      <c r="F304" s="174"/>
      <c r="G304" s="174"/>
      <c r="H304" s="174"/>
      <c r="I304" s="174"/>
      <c r="J304" s="174"/>
    </row>
    <row r="305" spans="6:10">
      <c r="F305" s="174"/>
      <c r="G305" s="174"/>
      <c r="H305" s="174"/>
      <c r="I305" s="174"/>
      <c r="J305" s="174"/>
    </row>
    <row r="306" spans="6:10">
      <c r="F306" s="174"/>
      <c r="G306" s="174"/>
      <c r="H306" s="174"/>
      <c r="I306" s="174"/>
      <c r="J306" s="174"/>
    </row>
    <row r="307" spans="6:10">
      <c r="F307" s="174"/>
      <c r="G307" s="174"/>
      <c r="H307" s="174"/>
      <c r="I307" s="174"/>
      <c r="J307" s="174"/>
    </row>
    <row r="308" spans="6:10">
      <c r="F308" s="174"/>
      <c r="G308" s="174"/>
      <c r="H308" s="174"/>
      <c r="I308" s="174"/>
      <c r="J308" s="174"/>
    </row>
    <row r="309" spans="6:10">
      <c r="F309" s="174"/>
      <c r="G309" s="174"/>
      <c r="H309" s="174"/>
      <c r="I309" s="174"/>
      <c r="J309" s="174"/>
    </row>
    <row r="310" spans="6:10">
      <c r="F310" s="174"/>
      <c r="G310" s="174"/>
      <c r="H310" s="174"/>
      <c r="I310" s="174"/>
      <c r="J310" s="174"/>
    </row>
    <row r="311" spans="6:10">
      <c r="F311" s="174"/>
      <c r="G311" s="174"/>
      <c r="H311" s="174"/>
      <c r="I311" s="174"/>
      <c r="J311" s="174"/>
    </row>
    <row r="312" spans="6:10">
      <c r="F312" s="174"/>
      <c r="G312" s="174"/>
      <c r="H312" s="174"/>
      <c r="I312" s="174"/>
      <c r="J312" s="174"/>
    </row>
    <row r="313" spans="6:10">
      <c r="F313" s="174"/>
      <c r="G313" s="174"/>
      <c r="H313" s="174"/>
      <c r="I313" s="174"/>
      <c r="J313" s="174"/>
    </row>
    <row r="314" spans="6:10">
      <c r="F314" s="174"/>
      <c r="G314" s="174"/>
      <c r="H314" s="174"/>
      <c r="I314" s="174"/>
      <c r="J314" s="174"/>
    </row>
    <row r="315" spans="6:10">
      <c r="F315" s="174"/>
      <c r="G315" s="174"/>
      <c r="H315" s="174"/>
      <c r="I315" s="174"/>
      <c r="J315" s="174"/>
    </row>
    <row r="316" spans="6:10">
      <c r="F316" s="174"/>
      <c r="G316" s="174"/>
      <c r="H316" s="174"/>
      <c r="I316" s="174"/>
      <c r="J316" s="174"/>
    </row>
    <row r="317" spans="6:10">
      <c r="F317" s="174"/>
      <c r="G317" s="174"/>
      <c r="H317" s="174"/>
      <c r="I317" s="174"/>
      <c r="J317" s="174"/>
    </row>
    <row r="318" spans="6:10">
      <c r="F318" s="174"/>
      <c r="G318" s="174"/>
      <c r="H318" s="174"/>
      <c r="I318" s="174"/>
      <c r="J318" s="174"/>
    </row>
    <row r="319" spans="6:10">
      <c r="F319" s="174"/>
      <c r="G319" s="174"/>
      <c r="H319" s="174"/>
      <c r="I319" s="174"/>
      <c r="J319" s="174"/>
    </row>
    <row r="320" spans="6:10">
      <c r="F320" s="174"/>
      <c r="G320" s="174"/>
      <c r="H320" s="174"/>
      <c r="I320" s="174"/>
      <c r="J320" s="174"/>
    </row>
    <row r="321" spans="6:10">
      <c r="F321" s="174"/>
      <c r="G321" s="174"/>
      <c r="H321" s="174"/>
      <c r="I321" s="174"/>
      <c r="J321" s="174"/>
    </row>
    <row r="322" spans="6:10">
      <c r="F322" s="174"/>
      <c r="G322" s="174"/>
      <c r="H322" s="174"/>
      <c r="I322" s="174"/>
      <c r="J322" s="174"/>
    </row>
    <row r="323" spans="6:10">
      <c r="F323" s="174"/>
      <c r="G323" s="174"/>
      <c r="H323" s="174"/>
      <c r="I323" s="174"/>
      <c r="J323" s="174"/>
    </row>
    <row r="324" spans="6:10">
      <c r="F324" s="174"/>
      <c r="G324" s="174"/>
      <c r="H324" s="174"/>
      <c r="I324" s="174"/>
      <c r="J324" s="174"/>
    </row>
    <row r="325" spans="6:10">
      <c r="F325" s="174"/>
      <c r="G325" s="174"/>
      <c r="H325" s="174"/>
      <c r="I325" s="174"/>
      <c r="J325" s="174"/>
    </row>
    <row r="326" spans="6:10">
      <c r="F326" s="174"/>
      <c r="G326" s="174"/>
      <c r="H326" s="174"/>
      <c r="I326" s="174"/>
      <c r="J326" s="174"/>
    </row>
    <row r="327" spans="6:10">
      <c r="F327" s="174"/>
      <c r="G327" s="174"/>
      <c r="H327" s="174"/>
      <c r="I327" s="174"/>
      <c r="J327" s="174"/>
    </row>
    <row r="328" spans="6:10">
      <c r="F328" s="174"/>
      <c r="G328" s="174"/>
      <c r="H328" s="174"/>
      <c r="I328" s="174"/>
      <c r="J328" s="174"/>
    </row>
    <row r="329" spans="6:10">
      <c r="F329" s="174"/>
      <c r="G329" s="174"/>
      <c r="H329" s="174"/>
      <c r="I329" s="174"/>
      <c r="J329" s="174"/>
    </row>
    <row r="330" spans="6:10">
      <c r="F330" s="174"/>
      <c r="G330" s="174"/>
      <c r="H330" s="174"/>
      <c r="I330" s="174"/>
      <c r="J330" s="174"/>
    </row>
    <row r="331" spans="6:10">
      <c r="F331" s="174"/>
      <c r="G331" s="174"/>
      <c r="H331" s="174"/>
      <c r="I331" s="174"/>
      <c r="J331" s="174"/>
    </row>
    <row r="332" spans="6:10">
      <c r="F332" s="174"/>
      <c r="G332" s="174"/>
      <c r="H332" s="174"/>
      <c r="I332" s="174"/>
      <c r="J332" s="174"/>
    </row>
    <row r="333" spans="6:10">
      <c r="F333" s="174"/>
      <c r="G333" s="174"/>
      <c r="H333" s="174"/>
      <c r="I333" s="174"/>
      <c r="J333" s="174"/>
    </row>
    <row r="334" spans="6:10">
      <c r="F334" s="174"/>
      <c r="G334" s="174"/>
      <c r="H334" s="174"/>
      <c r="I334" s="174"/>
      <c r="J334" s="174"/>
    </row>
    <row r="335" spans="6:10">
      <c r="F335" s="174"/>
      <c r="G335" s="174"/>
      <c r="H335" s="174"/>
      <c r="I335" s="174"/>
      <c r="J335" s="174"/>
    </row>
    <row r="336" spans="6:10">
      <c r="F336" s="174"/>
      <c r="G336" s="174"/>
      <c r="H336" s="174"/>
      <c r="I336" s="174"/>
      <c r="J336" s="174"/>
    </row>
    <row r="337" spans="6:10">
      <c r="F337" s="174"/>
      <c r="G337" s="174"/>
      <c r="H337" s="174"/>
      <c r="I337" s="174"/>
      <c r="J337" s="174"/>
    </row>
    <row r="338" spans="6:10">
      <c r="F338" s="174"/>
      <c r="G338" s="174"/>
      <c r="H338" s="174"/>
      <c r="I338" s="174"/>
      <c r="J338" s="174"/>
    </row>
    <row r="339" spans="6:10">
      <c r="F339" s="174"/>
      <c r="G339" s="174"/>
      <c r="H339" s="174"/>
      <c r="I339" s="174"/>
      <c r="J339" s="174"/>
    </row>
    <row r="340" spans="6:10">
      <c r="F340" s="174"/>
      <c r="G340" s="174"/>
      <c r="H340" s="174"/>
      <c r="I340" s="174"/>
      <c r="J340" s="174"/>
    </row>
    <row r="341" spans="6:10">
      <c r="F341" s="174"/>
      <c r="G341" s="174"/>
      <c r="H341" s="174"/>
      <c r="I341" s="174"/>
      <c r="J341" s="174"/>
    </row>
    <row r="342" spans="6:10">
      <c r="F342" s="174"/>
      <c r="G342" s="174"/>
      <c r="H342" s="174"/>
      <c r="I342" s="174"/>
      <c r="J342" s="174"/>
    </row>
    <row r="343" spans="6:10">
      <c r="F343" s="174"/>
      <c r="G343" s="174"/>
      <c r="H343" s="174"/>
      <c r="I343" s="174"/>
      <c r="J343" s="174"/>
    </row>
    <row r="344" spans="6:10">
      <c r="F344" s="174"/>
      <c r="G344" s="174"/>
      <c r="H344" s="174"/>
      <c r="I344" s="174"/>
      <c r="J344" s="174"/>
    </row>
    <row r="345" spans="6:10">
      <c r="F345" s="174"/>
      <c r="G345" s="174"/>
      <c r="H345" s="174"/>
      <c r="I345" s="174"/>
      <c r="J345" s="174"/>
    </row>
    <row r="346" spans="6:10">
      <c r="F346" s="174"/>
      <c r="G346" s="174"/>
      <c r="H346" s="174"/>
      <c r="I346" s="174"/>
      <c r="J346" s="174"/>
    </row>
    <row r="347" spans="6:10">
      <c r="F347" s="174"/>
      <c r="G347" s="174"/>
      <c r="H347" s="174"/>
      <c r="I347" s="174"/>
      <c r="J347" s="174"/>
    </row>
    <row r="348" spans="6:10">
      <c r="F348" s="174"/>
      <c r="G348" s="174"/>
      <c r="H348" s="174"/>
      <c r="I348" s="174"/>
      <c r="J348" s="174"/>
    </row>
    <row r="349" spans="6:10">
      <c r="F349" s="174"/>
      <c r="G349" s="174"/>
      <c r="H349" s="174"/>
      <c r="I349" s="174"/>
      <c r="J349" s="174"/>
    </row>
    <row r="350" spans="6:10">
      <c r="F350" s="174"/>
      <c r="G350" s="174"/>
      <c r="H350" s="174"/>
      <c r="I350" s="174"/>
      <c r="J350" s="174"/>
    </row>
    <row r="351" spans="6:10">
      <c r="F351" s="174"/>
      <c r="G351" s="174"/>
      <c r="H351" s="174"/>
      <c r="I351" s="174"/>
      <c r="J351" s="174"/>
    </row>
    <row r="352" spans="6:10">
      <c r="F352" s="174"/>
      <c r="G352" s="174"/>
      <c r="H352" s="174"/>
      <c r="I352" s="174"/>
      <c r="J352" s="174"/>
    </row>
    <row r="353" spans="6:10">
      <c r="F353" s="174"/>
      <c r="G353" s="174"/>
      <c r="H353" s="174"/>
      <c r="I353" s="174"/>
      <c r="J353" s="174"/>
    </row>
    <row r="354" spans="6:10">
      <c r="F354" s="174"/>
      <c r="G354" s="174"/>
      <c r="H354" s="174"/>
      <c r="I354" s="174"/>
      <c r="J354" s="174"/>
    </row>
    <row r="355" spans="6:10">
      <c r="F355" s="174"/>
      <c r="G355" s="174"/>
      <c r="H355" s="174"/>
      <c r="I355" s="174"/>
      <c r="J355" s="174"/>
    </row>
    <row r="356" spans="6:10">
      <c r="F356" s="174"/>
      <c r="G356" s="174"/>
      <c r="H356" s="174"/>
      <c r="I356" s="174"/>
      <c r="J356" s="174"/>
    </row>
    <row r="357" spans="6:10">
      <c r="F357" s="174"/>
      <c r="G357" s="174"/>
      <c r="H357" s="174"/>
      <c r="I357" s="174"/>
      <c r="J357" s="174"/>
    </row>
    <row r="358" spans="6:10">
      <c r="F358" s="174"/>
      <c r="G358" s="174"/>
      <c r="H358" s="174"/>
      <c r="I358" s="174"/>
      <c r="J358" s="174"/>
    </row>
    <row r="359" spans="6:10">
      <c r="F359" s="174"/>
      <c r="G359" s="174"/>
      <c r="H359" s="174"/>
      <c r="I359" s="174"/>
      <c r="J359" s="174"/>
    </row>
    <row r="360" spans="6:10">
      <c r="F360" s="174"/>
      <c r="G360" s="174"/>
      <c r="H360" s="174"/>
      <c r="I360" s="174"/>
      <c r="J360" s="174"/>
    </row>
    <row r="361" spans="6:10">
      <c r="F361" s="174"/>
      <c r="G361" s="174"/>
      <c r="H361" s="174"/>
      <c r="I361" s="174"/>
      <c r="J361" s="174"/>
    </row>
    <row r="362" spans="6:10">
      <c r="F362" s="174"/>
      <c r="G362" s="174"/>
      <c r="H362" s="174"/>
      <c r="I362" s="174"/>
      <c r="J362" s="174"/>
    </row>
    <row r="363" spans="6:10">
      <c r="F363" s="174"/>
      <c r="G363" s="174"/>
      <c r="H363" s="174"/>
      <c r="I363" s="174"/>
      <c r="J363" s="174"/>
    </row>
    <row r="364" spans="6:10">
      <c r="F364" s="174"/>
      <c r="G364" s="174"/>
      <c r="H364" s="174"/>
      <c r="I364" s="174"/>
      <c r="J364" s="174"/>
    </row>
    <row r="365" spans="6:10">
      <c r="F365" s="174"/>
      <c r="G365" s="174"/>
      <c r="H365" s="174"/>
      <c r="I365" s="174"/>
      <c r="J365" s="174"/>
    </row>
    <row r="366" spans="6:10">
      <c r="F366" s="174"/>
      <c r="G366" s="174"/>
      <c r="H366" s="174"/>
      <c r="I366" s="174"/>
      <c r="J366" s="174"/>
    </row>
    <row r="367" spans="6:10">
      <c r="F367" s="174"/>
      <c r="G367" s="174"/>
      <c r="H367" s="174"/>
      <c r="I367" s="174"/>
      <c r="J367" s="174"/>
    </row>
    <row r="368" spans="6:10">
      <c r="F368" s="174"/>
      <c r="G368" s="174"/>
      <c r="H368" s="174"/>
      <c r="I368" s="174"/>
      <c r="J368" s="174"/>
    </row>
    <row r="369" spans="6:10">
      <c r="F369" s="174"/>
      <c r="G369" s="174"/>
      <c r="H369" s="174"/>
      <c r="I369" s="174"/>
      <c r="J369" s="174"/>
    </row>
    <row r="370" spans="6:10">
      <c r="F370" s="174"/>
      <c r="G370" s="174"/>
      <c r="H370" s="174"/>
      <c r="I370" s="174"/>
      <c r="J370" s="174"/>
    </row>
    <row r="371" spans="6:10">
      <c r="F371" s="174"/>
      <c r="G371" s="174"/>
      <c r="H371" s="174"/>
      <c r="I371" s="174"/>
      <c r="J371" s="174"/>
    </row>
    <row r="372" spans="6:10">
      <c r="F372" s="174"/>
      <c r="G372" s="174"/>
      <c r="H372" s="174"/>
      <c r="I372" s="174"/>
      <c r="J372" s="174"/>
    </row>
    <row r="373" spans="6:10">
      <c r="F373" s="174"/>
      <c r="G373" s="174"/>
      <c r="H373" s="174"/>
      <c r="I373" s="174"/>
      <c r="J373" s="174"/>
    </row>
    <row r="374" spans="6:10">
      <c r="F374" s="174"/>
      <c r="G374" s="174"/>
      <c r="H374" s="174"/>
      <c r="I374" s="174"/>
      <c r="J374" s="174"/>
    </row>
    <row r="375" spans="6:10">
      <c r="F375" s="174"/>
      <c r="G375" s="174"/>
      <c r="H375" s="174"/>
      <c r="I375" s="174"/>
      <c r="J375" s="174"/>
    </row>
    <row r="376" spans="6:10">
      <c r="F376" s="174"/>
      <c r="G376" s="174"/>
      <c r="H376" s="174"/>
      <c r="I376" s="174"/>
      <c r="J376" s="174"/>
    </row>
    <row r="377" spans="6:10">
      <c r="F377" s="174"/>
      <c r="G377" s="174"/>
      <c r="H377" s="174"/>
      <c r="I377" s="174"/>
      <c r="J377" s="174"/>
    </row>
    <row r="378" spans="6:10">
      <c r="F378" s="174"/>
      <c r="G378" s="174"/>
      <c r="H378" s="174"/>
      <c r="I378" s="174"/>
      <c r="J378" s="174"/>
    </row>
    <row r="379" spans="6:10">
      <c r="F379" s="174"/>
      <c r="G379" s="174"/>
      <c r="H379" s="174"/>
      <c r="I379" s="174"/>
      <c r="J379" s="174"/>
    </row>
    <row r="380" spans="6:10">
      <c r="F380" s="174"/>
      <c r="G380" s="174"/>
      <c r="H380" s="174"/>
      <c r="I380" s="174"/>
      <c r="J380" s="174"/>
    </row>
    <row r="381" spans="6:10">
      <c r="F381" s="174"/>
      <c r="G381" s="174"/>
      <c r="H381" s="174"/>
      <c r="I381" s="174"/>
      <c r="J381" s="174"/>
    </row>
    <row r="382" spans="6:10">
      <c r="F382" s="174"/>
      <c r="G382" s="174"/>
      <c r="H382" s="174"/>
      <c r="I382" s="174"/>
      <c r="J382" s="174"/>
    </row>
    <row r="383" spans="6:10">
      <c r="F383" s="174"/>
      <c r="G383" s="174"/>
      <c r="H383" s="174"/>
      <c r="I383" s="174"/>
      <c r="J383" s="174"/>
    </row>
    <row r="384" spans="6:10">
      <c r="F384" s="174"/>
      <c r="G384" s="174"/>
      <c r="H384" s="174"/>
      <c r="I384" s="174"/>
      <c r="J384" s="174"/>
    </row>
    <row r="385" spans="6:10">
      <c r="F385" s="174"/>
      <c r="G385" s="174"/>
      <c r="H385" s="174"/>
      <c r="I385" s="174"/>
      <c r="J385" s="174"/>
    </row>
    <row r="386" spans="6:10">
      <c r="F386" s="174"/>
      <c r="G386" s="174"/>
      <c r="H386" s="174"/>
      <c r="I386" s="174"/>
      <c r="J386" s="174"/>
    </row>
    <row r="387" spans="6:10">
      <c r="F387" s="174"/>
      <c r="G387" s="174"/>
      <c r="H387" s="174"/>
      <c r="I387" s="174"/>
      <c r="J387" s="174"/>
    </row>
    <row r="388" spans="6:10">
      <c r="F388" s="174"/>
      <c r="G388" s="174"/>
      <c r="H388" s="174"/>
      <c r="I388" s="174"/>
      <c r="J388" s="174"/>
    </row>
    <row r="389" spans="6:10">
      <c r="F389" s="174"/>
      <c r="G389" s="174"/>
      <c r="H389" s="174"/>
      <c r="I389" s="174"/>
      <c r="J389" s="174"/>
    </row>
    <row r="390" spans="6:10">
      <c r="F390" s="174"/>
      <c r="G390" s="174"/>
      <c r="H390" s="174"/>
      <c r="I390" s="174"/>
      <c r="J390" s="174"/>
    </row>
    <row r="391" spans="6:10">
      <c r="F391" s="174"/>
      <c r="G391" s="174"/>
      <c r="H391" s="174"/>
      <c r="I391" s="174"/>
      <c r="J391" s="174"/>
    </row>
    <row r="392" spans="6:10">
      <c r="F392" s="174"/>
      <c r="G392" s="174"/>
      <c r="H392" s="174"/>
      <c r="I392" s="174"/>
      <c r="J392" s="174"/>
    </row>
    <row r="393" spans="6:10">
      <c r="F393" s="174"/>
      <c r="G393" s="174"/>
      <c r="H393" s="174"/>
      <c r="I393" s="174"/>
      <c r="J393" s="174"/>
    </row>
    <row r="394" spans="6:10">
      <c r="F394" s="174"/>
      <c r="G394" s="174"/>
      <c r="H394" s="174"/>
      <c r="I394" s="174"/>
      <c r="J394" s="174"/>
    </row>
    <row r="395" spans="6:10">
      <c r="F395" s="174"/>
      <c r="G395" s="174"/>
      <c r="H395" s="174"/>
      <c r="I395" s="174"/>
      <c r="J395" s="174"/>
    </row>
    <row r="396" spans="6:10">
      <c r="F396" s="174"/>
      <c r="G396" s="174"/>
      <c r="H396" s="174"/>
      <c r="I396" s="174"/>
      <c r="J396" s="174"/>
    </row>
    <row r="397" spans="6:10">
      <c r="F397" s="174"/>
      <c r="G397" s="174"/>
      <c r="H397" s="174"/>
      <c r="I397" s="174"/>
      <c r="J397" s="174"/>
    </row>
    <row r="398" spans="6:10">
      <c r="F398" s="174"/>
      <c r="G398" s="174"/>
      <c r="H398" s="174"/>
      <c r="I398" s="174"/>
      <c r="J398" s="174"/>
    </row>
    <row r="399" spans="6:10">
      <c r="F399" s="174"/>
      <c r="G399" s="174"/>
      <c r="H399" s="174"/>
      <c r="I399" s="174"/>
      <c r="J399" s="174"/>
    </row>
    <row r="400" spans="6:10">
      <c r="F400" s="174"/>
      <c r="G400" s="174"/>
      <c r="H400" s="174"/>
      <c r="I400" s="174"/>
      <c r="J400" s="174"/>
    </row>
    <row r="401" spans="6:10">
      <c r="F401" s="174"/>
      <c r="G401" s="174"/>
      <c r="H401" s="174"/>
      <c r="I401" s="174"/>
      <c r="J401" s="174"/>
    </row>
    <row r="402" spans="6:10">
      <c r="F402" s="174"/>
      <c r="G402" s="174"/>
      <c r="H402" s="174"/>
      <c r="I402" s="174"/>
      <c r="J402" s="174"/>
    </row>
    <row r="403" spans="6:10">
      <c r="F403" s="174"/>
      <c r="G403" s="174"/>
      <c r="H403" s="174"/>
      <c r="I403" s="174"/>
      <c r="J403" s="174"/>
    </row>
    <row r="404" spans="6:10">
      <c r="F404" s="174"/>
      <c r="G404" s="174"/>
      <c r="H404" s="174"/>
      <c r="I404" s="174"/>
      <c r="J404" s="174"/>
    </row>
    <row r="405" spans="6:10">
      <c r="F405" s="174"/>
      <c r="G405" s="174"/>
      <c r="H405" s="174"/>
      <c r="I405" s="174"/>
      <c r="J405" s="174"/>
    </row>
    <row r="406" spans="6:10">
      <c r="F406" s="174"/>
      <c r="G406" s="174"/>
      <c r="H406" s="174"/>
      <c r="I406" s="174"/>
      <c r="J406" s="174"/>
    </row>
    <row r="407" spans="6:10">
      <c r="F407" s="174"/>
      <c r="G407" s="174"/>
      <c r="H407" s="174"/>
      <c r="I407" s="174"/>
      <c r="J407" s="174"/>
    </row>
    <row r="408" spans="6:10">
      <c r="F408" s="174"/>
      <c r="G408" s="174"/>
      <c r="H408" s="174"/>
      <c r="I408" s="174"/>
      <c r="J408" s="174"/>
    </row>
    <row r="409" spans="6:10">
      <c r="F409" s="174"/>
      <c r="G409" s="174"/>
      <c r="H409" s="174"/>
      <c r="I409" s="174"/>
      <c r="J409" s="174"/>
    </row>
    <row r="410" spans="6:10">
      <c r="F410" s="174"/>
      <c r="G410" s="174"/>
      <c r="H410" s="174"/>
      <c r="I410" s="174"/>
      <c r="J410" s="174"/>
    </row>
    <row r="411" spans="6:10">
      <c r="F411" s="174"/>
      <c r="G411" s="174"/>
      <c r="H411" s="174"/>
      <c r="I411" s="174"/>
      <c r="J411" s="174"/>
    </row>
    <row r="412" spans="6:10">
      <c r="F412" s="174"/>
      <c r="G412" s="174"/>
      <c r="H412" s="174"/>
      <c r="I412" s="174"/>
      <c r="J412" s="174"/>
    </row>
    <row r="413" spans="6:10">
      <c r="F413" s="174"/>
      <c r="G413" s="174"/>
      <c r="H413" s="174"/>
      <c r="I413" s="174"/>
      <c r="J413" s="174"/>
    </row>
    <row r="414" spans="6:10">
      <c r="F414" s="174"/>
      <c r="G414" s="174"/>
      <c r="H414" s="174"/>
      <c r="I414" s="174"/>
      <c r="J414" s="174"/>
    </row>
    <row r="415" spans="6:10">
      <c r="F415" s="174"/>
      <c r="G415" s="174"/>
      <c r="H415" s="174"/>
      <c r="I415" s="174"/>
      <c r="J415" s="174"/>
    </row>
    <row r="416" spans="6:10">
      <c r="F416" s="174"/>
      <c r="G416" s="174"/>
      <c r="H416" s="174"/>
      <c r="I416" s="174"/>
      <c r="J416" s="174"/>
    </row>
    <row r="417" spans="6:10">
      <c r="F417" s="174"/>
      <c r="G417" s="174"/>
      <c r="H417" s="174"/>
      <c r="I417" s="174"/>
      <c r="J417" s="174"/>
    </row>
    <row r="418" spans="6:10">
      <c r="F418" s="174"/>
      <c r="G418" s="174"/>
      <c r="H418" s="174"/>
      <c r="I418" s="174"/>
      <c r="J418" s="174"/>
    </row>
    <row r="419" spans="6:10">
      <c r="F419" s="174"/>
      <c r="G419" s="174"/>
      <c r="H419" s="174"/>
      <c r="I419" s="174"/>
      <c r="J419" s="174"/>
    </row>
    <row r="420" spans="6:10">
      <c r="F420" s="174"/>
      <c r="G420" s="174"/>
      <c r="H420" s="174"/>
      <c r="I420" s="174"/>
      <c r="J420" s="174"/>
    </row>
    <row r="421" spans="6:10">
      <c r="F421" s="174"/>
      <c r="G421" s="174"/>
      <c r="H421" s="174"/>
      <c r="I421" s="174"/>
      <c r="J421" s="174"/>
    </row>
    <row r="422" spans="6:10">
      <c r="F422" s="174"/>
      <c r="G422" s="174"/>
      <c r="H422" s="174"/>
      <c r="I422" s="174"/>
      <c r="J422" s="174"/>
    </row>
    <row r="423" spans="6:10">
      <c r="F423" s="174"/>
      <c r="G423" s="174"/>
      <c r="H423" s="174"/>
      <c r="I423" s="174"/>
      <c r="J423" s="174"/>
    </row>
    <row r="424" spans="6:10">
      <c r="F424" s="174"/>
      <c r="G424" s="174"/>
      <c r="H424" s="174"/>
      <c r="I424" s="174"/>
      <c r="J424" s="174"/>
    </row>
    <row r="425" spans="6:10">
      <c r="F425" s="174"/>
      <c r="G425" s="174"/>
      <c r="H425" s="174"/>
      <c r="I425" s="174"/>
      <c r="J425" s="174"/>
    </row>
    <row r="426" spans="6:10">
      <c r="F426" s="174"/>
      <c r="G426" s="174"/>
      <c r="H426" s="174"/>
      <c r="I426" s="174"/>
      <c r="J426" s="174"/>
    </row>
    <row r="427" spans="6:10">
      <c r="F427" s="174"/>
      <c r="G427" s="174"/>
      <c r="H427" s="174"/>
      <c r="I427" s="174"/>
      <c r="J427" s="174"/>
    </row>
    <row r="428" spans="6:10">
      <c r="F428" s="174"/>
      <c r="G428" s="174"/>
      <c r="H428" s="174"/>
      <c r="I428" s="174"/>
      <c r="J428" s="174"/>
    </row>
    <row r="429" spans="6:10">
      <c r="F429" s="174"/>
      <c r="G429" s="174"/>
      <c r="H429" s="174"/>
      <c r="I429" s="174"/>
      <c r="J429" s="174"/>
    </row>
    <row r="430" spans="6:10">
      <c r="F430" s="174"/>
      <c r="G430" s="174"/>
      <c r="H430" s="174"/>
      <c r="I430" s="174"/>
      <c r="J430" s="174"/>
    </row>
    <row r="431" spans="6:10">
      <c r="F431" s="174"/>
      <c r="G431" s="174"/>
      <c r="H431" s="174"/>
      <c r="I431" s="174"/>
      <c r="J431" s="174"/>
    </row>
    <row r="432" spans="6:10">
      <c r="F432" s="174"/>
      <c r="G432" s="174"/>
      <c r="H432" s="174"/>
      <c r="I432" s="174"/>
      <c r="J432" s="174"/>
    </row>
    <row r="433" spans="6:10">
      <c r="F433" s="174"/>
      <c r="G433" s="174"/>
      <c r="H433" s="174"/>
      <c r="I433" s="174"/>
      <c r="J433" s="174"/>
    </row>
    <row r="434" spans="6:10">
      <c r="F434" s="174"/>
      <c r="G434" s="174"/>
      <c r="H434" s="174"/>
      <c r="I434" s="174"/>
      <c r="J434" s="174"/>
    </row>
    <row r="435" spans="6:10">
      <c r="F435" s="174"/>
      <c r="G435" s="174"/>
      <c r="H435" s="174"/>
      <c r="I435" s="174"/>
      <c r="J435" s="174"/>
    </row>
    <row r="436" spans="6:10">
      <c r="F436" s="174"/>
      <c r="G436" s="174"/>
      <c r="H436" s="174"/>
      <c r="I436" s="174"/>
      <c r="J436" s="174"/>
    </row>
    <row r="437" spans="6:10">
      <c r="F437" s="174"/>
      <c r="G437" s="174"/>
      <c r="H437" s="174"/>
      <c r="I437" s="174"/>
      <c r="J437" s="174"/>
    </row>
    <row r="438" spans="6:10">
      <c r="F438" s="174"/>
      <c r="G438" s="174"/>
      <c r="H438" s="174"/>
      <c r="I438" s="174"/>
      <c r="J438" s="174"/>
    </row>
    <row r="439" spans="6:10">
      <c r="F439" s="174"/>
      <c r="G439" s="174"/>
      <c r="H439" s="174"/>
      <c r="I439" s="174"/>
      <c r="J439" s="174"/>
    </row>
    <row r="440" spans="6:10">
      <c r="F440" s="174"/>
      <c r="G440" s="174"/>
      <c r="H440" s="174"/>
      <c r="I440" s="174"/>
      <c r="J440" s="174"/>
    </row>
    <row r="441" spans="6:10">
      <c r="F441" s="174"/>
      <c r="G441" s="174"/>
      <c r="H441" s="174"/>
      <c r="I441" s="174"/>
      <c r="J441" s="174"/>
    </row>
    <row r="442" spans="6:10">
      <c r="F442" s="174"/>
      <c r="G442" s="174"/>
      <c r="H442" s="174"/>
      <c r="I442" s="174"/>
      <c r="J442" s="174"/>
    </row>
    <row r="443" spans="6:10">
      <c r="F443" s="174"/>
      <c r="G443" s="174"/>
      <c r="H443" s="174"/>
      <c r="I443" s="174"/>
      <c r="J443" s="174"/>
    </row>
    <row r="444" spans="6:10">
      <c r="F444" s="174"/>
      <c r="G444" s="174"/>
      <c r="H444" s="174"/>
      <c r="I444" s="174"/>
      <c r="J444" s="174"/>
    </row>
    <row r="445" spans="6:10">
      <c r="F445" s="174"/>
      <c r="G445" s="174"/>
      <c r="H445" s="174"/>
      <c r="I445" s="174"/>
      <c r="J445" s="174"/>
    </row>
    <row r="446" spans="6:10">
      <c r="F446" s="174"/>
      <c r="G446" s="174"/>
      <c r="H446" s="174"/>
      <c r="I446" s="174"/>
      <c r="J446" s="174"/>
    </row>
    <row r="447" spans="6:10">
      <c r="F447" s="174"/>
      <c r="G447" s="174"/>
      <c r="H447" s="174"/>
      <c r="I447" s="174"/>
      <c r="J447" s="174"/>
    </row>
    <row r="448" spans="6:10">
      <c r="F448" s="174"/>
      <c r="G448" s="174"/>
      <c r="H448" s="174"/>
      <c r="I448" s="174"/>
      <c r="J448" s="174"/>
    </row>
    <row r="449" spans="6:10">
      <c r="F449" s="174"/>
      <c r="G449" s="174"/>
      <c r="H449" s="174"/>
      <c r="I449" s="174"/>
      <c r="J449" s="174"/>
    </row>
    <row r="450" spans="6:10">
      <c r="F450" s="174"/>
      <c r="G450" s="174"/>
      <c r="H450" s="174"/>
      <c r="I450" s="174"/>
      <c r="J450" s="174"/>
    </row>
    <row r="451" spans="6:10">
      <c r="F451" s="174"/>
      <c r="G451" s="174"/>
      <c r="H451" s="174"/>
      <c r="I451" s="174"/>
      <c r="J451" s="174"/>
    </row>
    <row r="452" spans="6:10">
      <c r="F452" s="174"/>
      <c r="G452" s="174"/>
      <c r="H452" s="174"/>
      <c r="I452" s="174"/>
      <c r="J452" s="174"/>
    </row>
    <row r="453" spans="6:10">
      <c r="F453" s="174"/>
      <c r="G453" s="174"/>
      <c r="H453" s="174"/>
      <c r="I453" s="174"/>
      <c r="J453" s="174"/>
    </row>
    <row r="454" spans="6:10">
      <c r="F454" s="174"/>
      <c r="G454" s="174"/>
      <c r="H454" s="174"/>
      <c r="I454" s="174"/>
      <c r="J454" s="174"/>
    </row>
    <row r="455" spans="6:10">
      <c r="F455" s="174"/>
      <c r="G455" s="174"/>
      <c r="H455" s="174"/>
      <c r="I455" s="174"/>
      <c r="J455" s="174"/>
    </row>
    <row r="456" spans="6:10">
      <c r="F456" s="174"/>
      <c r="G456" s="174"/>
      <c r="H456" s="174"/>
      <c r="I456" s="174"/>
      <c r="J456" s="174"/>
    </row>
    <row r="457" spans="6:10">
      <c r="F457" s="174"/>
      <c r="G457" s="174"/>
      <c r="H457" s="174"/>
      <c r="I457" s="174"/>
      <c r="J457" s="174"/>
    </row>
    <row r="458" spans="6:10">
      <c r="F458" s="174"/>
      <c r="G458" s="174"/>
      <c r="H458" s="174"/>
      <c r="I458" s="174"/>
      <c r="J458" s="174"/>
    </row>
    <row r="459" spans="6:10">
      <c r="F459" s="174"/>
      <c r="G459" s="174"/>
      <c r="H459" s="174"/>
      <c r="I459" s="174"/>
      <c r="J459" s="174"/>
    </row>
    <row r="460" spans="6:10">
      <c r="F460" s="174"/>
      <c r="G460" s="174"/>
      <c r="H460" s="174"/>
      <c r="I460" s="174"/>
      <c r="J460" s="174"/>
    </row>
    <row r="461" spans="6:10">
      <c r="F461" s="174"/>
      <c r="G461" s="174"/>
      <c r="H461" s="174"/>
      <c r="I461" s="174"/>
      <c r="J461" s="174"/>
    </row>
    <row r="462" spans="6:10">
      <c r="F462" s="174"/>
      <c r="G462" s="174"/>
      <c r="H462" s="174"/>
      <c r="I462" s="174"/>
      <c r="J462" s="174"/>
    </row>
    <row r="463" spans="6:10">
      <c r="F463" s="174"/>
      <c r="G463" s="174"/>
      <c r="H463" s="174"/>
      <c r="I463" s="174"/>
      <c r="J463" s="174"/>
    </row>
    <row r="464" spans="6:10">
      <c r="F464" s="174"/>
      <c r="G464" s="174"/>
      <c r="H464" s="174"/>
      <c r="I464" s="174"/>
      <c r="J464" s="174"/>
    </row>
    <row r="465" spans="6:10">
      <c r="F465" s="174"/>
      <c r="G465" s="174"/>
      <c r="H465" s="174"/>
      <c r="I465" s="174"/>
      <c r="J465" s="174"/>
    </row>
    <row r="466" spans="6:10">
      <c r="F466" s="174"/>
      <c r="G466" s="174"/>
      <c r="H466" s="174"/>
      <c r="I466" s="174"/>
      <c r="J466" s="174"/>
    </row>
    <row r="467" spans="6:10">
      <c r="F467" s="174"/>
      <c r="G467" s="174"/>
      <c r="H467" s="174"/>
      <c r="I467" s="174"/>
      <c r="J467" s="174"/>
    </row>
    <row r="468" spans="6:10">
      <c r="F468" s="174"/>
      <c r="G468" s="174"/>
      <c r="H468" s="174"/>
      <c r="I468" s="174"/>
      <c r="J468" s="174"/>
    </row>
    <row r="469" spans="6:10">
      <c r="F469" s="174"/>
      <c r="G469" s="174"/>
      <c r="H469" s="174"/>
      <c r="I469" s="174"/>
      <c r="J469" s="174"/>
    </row>
    <row r="470" spans="6:10">
      <c r="F470" s="174"/>
      <c r="G470" s="174"/>
      <c r="H470" s="174"/>
      <c r="I470" s="174"/>
      <c r="J470" s="174"/>
    </row>
    <row r="471" spans="6:10">
      <c r="F471" s="174"/>
      <c r="G471" s="174"/>
      <c r="H471" s="174"/>
      <c r="I471" s="174"/>
      <c r="J471" s="174"/>
    </row>
    <row r="472" spans="6:10">
      <c r="F472" s="174"/>
      <c r="G472" s="174"/>
      <c r="H472" s="174"/>
      <c r="I472" s="174"/>
      <c r="J472" s="174"/>
    </row>
    <row r="473" spans="6:10">
      <c r="F473" s="174"/>
      <c r="G473" s="174"/>
      <c r="H473" s="174"/>
      <c r="I473" s="174"/>
      <c r="J473" s="174"/>
    </row>
    <row r="474" spans="6:10">
      <c r="F474" s="174"/>
      <c r="G474" s="174"/>
      <c r="H474" s="174"/>
      <c r="I474" s="174"/>
      <c r="J474" s="174"/>
    </row>
    <row r="475" spans="6:10">
      <c r="F475" s="174"/>
      <c r="G475" s="174"/>
      <c r="H475" s="174"/>
      <c r="I475" s="174"/>
      <c r="J475" s="174"/>
    </row>
    <row r="476" spans="6:10">
      <c r="F476" s="174"/>
      <c r="G476" s="174"/>
      <c r="H476" s="174"/>
      <c r="I476" s="174"/>
      <c r="J476" s="174"/>
    </row>
    <row r="477" spans="6:10">
      <c r="F477" s="174"/>
      <c r="G477" s="174"/>
      <c r="H477" s="174"/>
      <c r="I477" s="174"/>
      <c r="J477" s="174"/>
    </row>
    <row r="478" spans="6:10">
      <c r="F478" s="174"/>
      <c r="G478" s="174"/>
      <c r="H478" s="174"/>
      <c r="I478" s="174"/>
      <c r="J478" s="174"/>
    </row>
    <row r="479" spans="6:10">
      <c r="F479" s="174"/>
      <c r="G479" s="174"/>
      <c r="H479" s="174"/>
      <c r="I479" s="174"/>
      <c r="J479" s="174"/>
    </row>
    <row r="480" spans="6:10">
      <c r="F480" s="174"/>
      <c r="G480" s="174"/>
      <c r="H480" s="174"/>
      <c r="I480" s="174"/>
      <c r="J480" s="174"/>
    </row>
    <row r="481" spans="6:10">
      <c r="F481" s="174"/>
      <c r="G481" s="174"/>
      <c r="H481" s="174"/>
      <c r="I481" s="174"/>
      <c r="J481" s="174"/>
    </row>
    <row r="482" spans="6:10">
      <c r="F482" s="174"/>
      <c r="G482" s="174"/>
      <c r="H482" s="174"/>
      <c r="I482" s="174"/>
      <c r="J482" s="174"/>
    </row>
    <row r="483" spans="6:10">
      <c r="F483" s="174"/>
      <c r="G483" s="174"/>
      <c r="H483" s="174"/>
      <c r="I483" s="174"/>
      <c r="J483" s="174"/>
    </row>
    <row r="484" spans="6:10">
      <c r="F484" s="174"/>
      <c r="G484" s="174"/>
      <c r="H484" s="174"/>
      <c r="I484" s="174"/>
      <c r="J484" s="174"/>
    </row>
    <row r="485" spans="6:10">
      <c r="F485" s="174"/>
      <c r="G485" s="174"/>
      <c r="H485" s="174"/>
      <c r="I485" s="174"/>
      <c r="J485" s="174"/>
    </row>
    <row r="486" spans="6:10">
      <c r="F486" s="174"/>
      <c r="G486" s="174"/>
      <c r="H486" s="174"/>
      <c r="I486" s="174"/>
      <c r="J486" s="174"/>
    </row>
    <row r="487" spans="6:10">
      <c r="F487" s="174"/>
      <c r="G487" s="174"/>
      <c r="H487" s="174"/>
      <c r="I487" s="174"/>
      <c r="J487" s="174"/>
    </row>
  </sheetData>
  <mergeCells count="41">
    <mergeCell ref="D1:E1"/>
    <mergeCell ref="A2:H2"/>
    <mergeCell ref="B4:H4"/>
    <mergeCell ref="B5:B6"/>
    <mergeCell ref="C5:C6"/>
    <mergeCell ref="D5:D6"/>
    <mergeCell ref="E5:E6"/>
    <mergeCell ref="F5:F6"/>
    <mergeCell ref="G5:G6"/>
    <mergeCell ref="H5:H6"/>
    <mergeCell ref="G1:H1"/>
    <mergeCell ref="B50:H50"/>
    <mergeCell ref="B7:G7"/>
    <mergeCell ref="B8:H8"/>
    <mergeCell ref="B21:H21"/>
    <mergeCell ref="B36:H36"/>
    <mergeCell ref="B9:H9"/>
    <mergeCell ref="B16:H16"/>
    <mergeCell ref="B22:H22"/>
    <mergeCell ref="B32:H32"/>
    <mergeCell ref="B37:H37"/>
    <mergeCell ref="B64:H64"/>
    <mergeCell ref="B74:H74"/>
    <mergeCell ref="B82:H82"/>
    <mergeCell ref="B83:H83"/>
    <mergeCell ref="B63:H63"/>
    <mergeCell ref="B106:H106"/>
    <mergeCell ref="B108:H108"/>
    <mergeCell ref="B113:H113"/>
    <mergeCell ref="B123:H123"/>
    <mergeCell ref="B90:H90"/>
    <mergeCell ref="B91:H91"/>
    <mergeCell ref="B97:H97"/>
    <mergeCell ref="B105:H105"/>
    <mergeCell ref="B98:H98"/>
    <mergeCell ref="B101:H101"/>
    <mergeCell ref="B131:H131"/>
    <mergeCell ref="B132:H132"/>
    <mergeCell ref="B112:H112"/>
    <mergeCell ref="B117:H117"/>
    <mergeCell ref="B118:H118"/>
  </mergeCells>
  <pageMargins left="0.23622047244094491" right="0.23622047244094491" top="0.74803149606299213" bottom="0.74803149606299213" header="0.31496062992125984" footer="0.31496062992125984"/>
  <pageSetup paperSize="9" scale="65" orientation="landscape"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6</vt:i4>
      </vt:variant>
    </vt:vector>
  </HeadingPairs>
  <TitlesOfParts>
    <vt:vector size="19" baseType="lpstr">
      <vt:lpstr>KOPSAVILKUMS</vt:lpstr>
      <vt:lpstr>29_01_H_2020</vt:lpstr>
      <vt:lpstr>Pārējās ministrijas MK66</vt:lpstr>
      <vt:lpstr>Pārējās ministrijas MK851</vt:lpstr>
      <vt:lpstr>Pārējās ministrijas MK509</vt:lpstr>
      <vt:lpstr>VM padotibas iest MK66</vt:lpstr>
      <vt:lpstr>VM NMPD MK851</vt:lpstr>
      <vt:lpstr>LM_līgumorg_66</vt:lpstr>
      <vt:lpstr>LM_līgumorg_851</vt:lpstr>
      <vt:lpstr>IEM_kapitsab_851</vt:lpstr>
      <vt:lpstr>IZM_pašv</vt:lpstr>
      <vt:lpstr>rezidenti</vt:lpstr>
      <vt:lpstr>caur tarifiem - MK not 851</vt:lpstr>
      <vt:lpstr>'29_01_H_2020'!Print_Area</vt:lpstr>
      <vt:lpstr>'caur tarifiem - MK not 851'!Print_Area</vt:lpstr>
      <vt:lpstr>KOPSAVILKUMS!Print_Area</vt:lpstr>
      <vt:lpstr>rezidenti!Print_Area</vt:lpstr>
      <vt:lpstr>IZM_pašv!Print_Titles</vt:lpstr>
      <vt:lpstr>LM_līgumorg_851!Print_Titles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liene.abola@vm.gov.lv</dc:creator>
  <cp:lastModifiedBy>Liene Ābola</cp:lastModifiedBy>
  <cp:lastPrinted>2020-09-30T08:19:13Z</cp:lastPrinted>
  <dcterms:created xsi:type="dcterms:W3CDTF">2019-05-13T06:29:17Z</dcterms:created>
  <dcterms:modified xsi:type="dcterms:W3CDTF">2020-11-17T11:37:42Z</dcterms:modified>
</cp:coreProperties>
</file>