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vnozare.pri\vm\Redirect_profiles\VM_Svetlana_Batare\My Documents\DARBA_faili_no majam\"/>
    </mc:Choice>
  </mc:AlternateContent>
  <xr:revisionPtr revIDLastSave="0" documentId="13_ncr:1_{52D1B386-28B9-4C0E-92DA-2460262B9C5E}" xr6:coauthVersionLast="46" xr6:coauthVersionMax="46" xr10:uidLastSave="{00000000-0000-0000-0000-000000000000}"/>
  <bookViews>
    <workbookView xWindow="-120" yWindow="-120" windowWidth="29040" windowHeight="15840" tabRatio="777" xr2:uid="{00000000-000D-0000-FFFF-FFFF00000000}"/>
  </bookViews>
  <sheets>
    <sheet name="KOPSAVILKUMS" sheetId="16" r:id="rId1"/>
    <sheet name="1.1." sheetId="1" r:id="rId2"/>
    <sheet name="1.2." sheetId="2" r:id="rId3"/>
    <sheet name="1.3." sheetId="3" r:id="rId4"/>
    <sheet name="1.4." sheetId="4" r:id="rId5"/>
    <sheet name="1.5.1" sheetId="18" r:id="rId6"/>
    <sheet name="1.5.2." sheetId="19" r:id="rId7"/>
    <sheet name="2." sheetId="6" r:id="rId8"/>
    <sheet name="3.1.2." sheetId="9" r:id="rId9"/>
    <sheet name="3.1.3." sheetId="17" r:id="rId10"/>
    <sheet name="3.2." sheetId="15" r:id="rId11"/>
  </sheets>
  <externalReferences>
    <externalReference r:id="rId12"/>
    <externalReference r:id="rId13"/>
    <externalReference r:id="rId14"/>
    <externalReference r:id="rId15"/>
    <externalReference r:id="rId16"/>
    <externalReference r:id="rId17"/>
    <externalReference r:id="rId18"/>
  </externalReferences>
  <definedNames>
    <definedName name="_1_2_d_NMP_lim" localSheetId="5">#REF!</definedName>
    <definedName name="_1_2_d_NMP_lim" localSheetId="6">#REF!</definedName>
    <definedName name="_1_2_d_NMP_lim">#REF!</definedName>
    <definedName name="aa" localSheetId="6">#REF!</definedName>
    <definedName name="aa">#REF!</definedName>
    <definedName name="_xlnm.Auto_Open" localSheetId="5">#REF!</definedName>
    <definedName name="_xlnm.Auto_Open">#REF!</definedName>
    <definedName name="b" localSheetId="5">#REF!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 localSheetId="6">#REF!</definedName>
    <definedName name="bt">#REF!</definedName>
    <definedName name="BX" localSheetId="6">#REF!</definedName>
    <definedName name="BX">#REF!</definedName>
    <definedName name="CalendarYear" localSheetId="6">#REF!</definedName>
    <definedName name="CalendarYear">#REF!</definedName>
    <definedName name="ccc">#REF!</definedName>
    <definedName name="d">#REF!</definedName>
    <definedName name="D_Evija3">#REF!</definedName>
    <definedName name="DaysAndWeeks" localSheetId="5">{0,1,2,3,4,5,6} + {0;1;2;3;4;5}*7</definedName>
    <definedName name="DaysAndWeeks" localSheetId="6">{0,1,2,3,4,5,6} + {0;1;2;3;4;5}*7</definedName>
    <definedName name="DaysAndWeeks">{0,1,2,3,4,5,6} + {0;1;2;3;4;5}*7</definedName>
    <definedName name="de" localSheetId="5">#REF!</definedName>
    <definedName name="de" localSheetId="6">#REF!</definedName>
    <definedName name="de">#REF!</definedName>
    <definedName name="dff">#NAME?</definedName>
    <definedName name="DRGNAMES" localSheetId="5">#REF!</definedName>
    <definedName name="DRGNAMES" localSheetId="6">#REF!</definedName>
    <definedName name="DRGNAMES">#REF!</definedName>
    <definedName name="e" localSheetId="5">#REF!</definedName>
    <definedName name="e">#REF!</definedName>
    <definedName name="ee" localSheetId="5">#REF!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 localSheetId="5">#REF!</definedName>
    <definedName name="izm.nos" localSheetId="6">#REF!</definedName>
    <definedName name="izm.nos">#REF!</definedName>
    <definedName name="izm.nos_1">[2]izm.posteni!$B$2:$B$216</definedName>
    <definedName name="jhg" localSheetId="5">#REF!</definedName>
    <definedName name="jhg" localSheetId="6">#REF!</definedName>
    <definedName name="jhg">#REF!</definedName>
    <definedName name="kk" localSheetId="5">#REF!</definedName>
    <definedName name="kk">#REF!</definedName>
    <definedName name="l" localSheetId="5">#REF!</definedName>
    <definedName name="l">#REF!</definedName>
    <definedName name="Limeni_7_9group">#REF!</definedName>
    <definedName name="mmm" hidden="1">[1]ZQZBC_PLN__04_03_10!#REF!</definedName>
    <definedName name="n" localSheetId="6">#REF!</definedName>
    <definedName name="n">#REF!</definedName>
    <definedName name="P_Dati_rikojums" localSheetId="6">#REF!</definedName>
    <definedName name="P_Dati_rikojums">#REF!</definedName>
    <definedName name="pp" localSheetId="6">#REF!</definedName>
    <definedName name="pp">#REF!</definedName>
    <definedName name="_xlnm.Print_Area" localSheetId="3">'1.3.'!$A$1:$I$44</definedName>
    <definedName name="_xlnm.Print_Area" localSheetId="6">'1.5.2.'!$A$1:$I$19</definedName>
    <definedName name="_xlnm.Print_Area" localSheetId="8">'3.1.2.'!$A$1:$I$55</definedName>
    <definedName name="_xlnm.Print_Area" localSheetId="9">'3.1.3.'!$A$1:$M$57</definedName>
    <definedName name="Recover">[3]Macro1!$A$80</definedName>
    <definedName name="Rikojums2222">[4]Macro1!$A$106</definedName>
    <definedName name="rr" localSheetId="5">#REF!</definedName>
    <definedName name="rr" localSheetId="6">#REF!</definedName>
    <definedName name="rr">#REF!</definedName>
    <definedName name="rt" localSheetId="5">#REF!</definedName>
    <definedName name="rt">#REF!</definedName>
    <definedName name="rty" localSheetId="5">#REF!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 localSheetId="5">#REF!</definedName>
    <definedName name="Struktūrvien.kods" localSheetId="6">#REF!</definedName>
    <definedName name="Struktūrvien.kods">#REF!</definedName>
    <definedName name="Struktūrvien.kods_1">[2]strukturkodi!$A$2:$A$232</definedName>
    <definedName name="T13l6">[5]ATSKAITE_2v!#REF!</definedName>
    <definedName name="TableName">"Dummy"</definedName>
    <definedName name="TWO_LINKS">'[6]8.1.'!$C$5</definedName>
    <definedName name="ty" localSheetId="5">#REF!</definedName>
    <definedName name="ty" localSheetId="6">#REF!</definedName>
    <definedName name="ty">#REF!</definedName>
    <definedName name="tyuj" localSheetId="5">#REF!</definedName>
    <definedName name="tyuj">#REF!</definedName>
    <definedName name="u" localSheetId="5">#REF!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 localSheetId="5">#REF!</definedName>
    <definedName name="xxxx" localSheetId="6">#REF!</definedName>
    <definedName name="xxxx">#REF!</definedName>
    <definedName name="yuh" localSheetId="5">#REF!</definedName>
    <definedName name="yuh">#REF!</definedName>
    <definedName name="yyyy" localSheetId="5">#REF!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6" l="1"/>
  <c r="G25" i="16"/>
  <c r="C54" i="9"/>
  <c r="J6" i="16" l="1"/>
  <c r="J5" i="16" s="1"/>
  <c r="F6" i="16"/>
  <c r="F5" i="16" s="1"/>
  <c r="E6" i="16"/>
  <c r="E5" i="16" s="1"/>
  <c r="D6" i="16"/>
  <c r="J24" i="16"/>
  <c r="J23" i="16" s="1"/>
  <c r="E24" i="16"/>
  <c r="E23" i="16" s="1"/>
  <c r="F24" i="16"/>
  <c r="F23" i="16" s="1"/>
  <c r="D24" i="16"/>
  <c r="F11" i="15"/>
  <c r="F30" i="4" l="1"/>
  <c r="G30" i="4" s="1"/>
  <c r="G31" i="4"/>
  <c r="F31" i="4" s="1"/>
  <c r="F29" i="4"/>
  <c r="F28" i="4"/>
  <c r="O28" i="4" s="1"/>
  <c r="E36" i="3" l="1"/>
  <c r="D35" i="3"/>
  <c r="D34" i="3"/>
  <c r="D33" i="3"/>
  <c r="E33" i="3" s="1"/>
  <c r="E28" i="3" l="1"/>
  <c r="C21" i="3" l="1"/>
  <c r="E35" i="3" l="1"/>
  <c r="E34" i="3"/>
  <c r="E37" i="3" l="1"/>
  <c r="J9" i="16"/>
  <c r="J8" i="16"/>
  <c r="J7" i="16"/>
  <c r="D27" i="3"/>
  <c r="F27" i="3" s="1"/>
  <c r="D29" i="3"/>
  <c r="D28" i="3"/>
  <c r="D26" i="3"/>
  <c r="D25" i="3"/>
  <c r="D24" i="3"/>
  <c r="E29" i="3"/>
  <c r="E26" i="3"/>
  <c r="E25" i="3"/>
  <c r="E24" i="3"/>
  <c r="E20" i="3"/>
  <c r="E19" i="3"/>
  <c r="E18" i="3"/>
  <c r="F18" i="3" s="1"/>
  <c r="E17" i="3"/>
  <c r="G17" i="3" l="1"/>
  <c r="F19" i="3"/>
  <c r="G19" i="3"/>
  <c r="F20" i="3"/>
  <c r="G20" i="3"/>
  <c r="F25" i="3"/>
  <c r="F28" i="3"/>
  <c r="F17" i="3"/>
  <c r="F29" i="3"/>
  <c r="F26" i="3"/>
  <c r="D30" i="3"/>
  <c r="E30" i="3"/>
  <c r="F24" i="3"/>
  <c r="G18" i="3"/>
  <c r="E21" i="3"/>
  <c r="F30" i="3" l="1"/>
  <c r="H18" i="3"/>
  <c r="H19" i="3"/>
  <c r="H20" i="3"/>
  <c r="F21" i="3"/>
  <c r="H17" i="3"/>
  <c r="G21" i="3"/>
  <c r="H21" i="3" l="1"/>
  <c r="B13" i="3" s="1"/>
  <c r="G14" i="16" s="1"/>
  <c r="E7" i="16" l="1"/>
  <c r="F7" i="16"/>
  <c r="D7" i="16"/>
  <c r="F20" i="1" l="1"/>
  <c r="E20" i="1"/>
  <c r="D12" i="16" l="1"/>
  <c r="E12" i="16" s="1"/>
  <c r="F12" i="16" s="1"/>
  <c r="J16" i="16"/>
  <c r="J11" i="16" s="1"/>
  <c r="B19" i="18" l="1"/>
  <c r="D18" i="18"/>
  <c r="E18" i="18" s="1"/>
  <c r="C11" i="15" l="1"/>
  <c r="C10" i="15"/>
  <c r="D8" i="9"/>
  <c r="D10" i="15" l="1"/>
  <c r="F10" i="15"/>
  <c r="D11" i="15"/>
  <c r="F12" i="15" l="1"/>
  <c r="D27" i="16" s="1"/>
  <c r="E27" i="16" s="1"/>
  <c r="F27" i="16" s="1"/>
  <c r="E10" i="4"/>
  <c r="E12" i="4" s="1"/>
  <c r="G18" i="16" l="1"/>
  <c r="B11" i="6" l="1"/>
  <c r="D11" i="6" s="1"/>
  <c r="D15" i="18"/>
  <c r="E15" i="18" s="1"/>
  <c r="D16" i="18"/>
  <c r="E16" i="18" s="1"/>
  <c r="D17" i="18"/>
  <c r="E17" i="18" s="1"/>
  <c r="D14" i="18"/>
  <c r="E14" i="18" l="1"/>
  <c r="D19" i="18"/>
  <c r="C46" i="4"/>
  <c r="C45" i="4"/>
  <c r="C44" i="4"/>
  <c r="J32" i="4"/>
  <c r="K32" i="4" s="1"/>
  <c r="N32" i="4" s="1"/>
  <c r="F32" i="4"/>
  <c r="G32" i="4" s="1"/>
  <c r="K31" i="4"/>
  <c r="N31" i="4" s="1"/>
  <c r="K30" i="4"/>
  <c r="N30" i="4" s="1"/>
  <c r="E19" i="18" l="1"/>
  <c r="C47" i="4"/>
  <c r="N35" i="4" l="1"/>
  <c r="K35" i="4"/>
  <c r="G35" i="4"/>
  <c r="F24" i="4"/>
  <c r="G24" i="4" s="1"/>
  <c r="F12" i="2" l="1"/>
  <c r="K15" i="1"/>
  <c r="I11" i="1"/>
  <c r="I19" i="1"/>
  <c r="H10" i="1"/>
  <c r="E9" i="16" l="1"/>
  <c r="F9" i="16"/>
  <c r="D9" i="16"/>
  <c r="G19" i="19" l="1"/>
  <c r="E11" i="19"/>
  <c r="G11" i="19" l="1"/>
  <c r="E19" i="16"/>
  <c r="F19" i="16"/>
  <c r="D19" i="16"/>
  <c r="D27" i="18" l="1"/>
  <c r="E27" i="18" s="1"/>
  <c r="G27" i="18" s="1"/>
  <c r="D26" i="18"/>
  <c r="E26" i="18" s="1"/>
  <c r="G26" i="18" s="1"/>
  <c r="C18" i="18" s="1"/>
  <c r="G18" i="18" s="1"/>
  <c r="D25" i="18"/>
  <c r="E25" i="18" s="1"/>
  <c r="G25" i="18" s="1"/>
  <c r="D24" i="18"/>
  <c r="E24" i="18" s="1"/>
  <c r="G24" i="18" s="1"/>
  <c r="F18" i="18" l="1"/>
  <c r="C17" i="18"/>
  <c r="G17" i="18" s="1"/>
  <c r="C15" i="18"/>
  <c r="G15" i="18" s="1"/>
  <c r="C16" i="18"/>
  <c r="G16" i="18" s="1"/>
  <c r="C14" i="18"/>
  <c r="G14" i="18" s="1"/>
  <c r="F16" i="18" l="1"/>
  <c r="C19" i="18"/>
  <c r="F14" i="18"/>
  <c r="F15" i="18"/>
  <c r="F17" i="18"/>
  <c r="F19" i="18" l="1"/>
  <c r="D17" i="16" s="1"/>
  <c r="G19" i="18"/>
  <c r="G17" i="16" s="1"/>
  <c r="G16" i="16" s="1"/>
  <c r="F29" i="2"/>
  <c r="F28" i="2"/>
  <c r="F19" i="2"/>
  <c r="F18" i="2"/>
  <c r="E17" i="16" l="1"/>
  <c r="D8" i="16"/>
  <c r="D16" i="16"/>
  <c r="D11" i="16" s="1"/>
  <c r="F17" i="16" l="1"/>
  <c r="E8" i="16"/>
  <c r="E16" i="16"/>
  <c r="E11" i="16" s="1"/>
  <c r="E50" i="17"/>
  <c r="G50" i="17" s="1"/>
  <c r="H50" i="17" s="1"/>
  <c r="I50" i="17" s="1"/>
  <c r="E49" i="17"/>
  <c r="G49" i="17" s="1"/>
  <c r="E48" i="17"/>
  <c r="G48" i="17" s="1"/>
  <c r="E47" i="17"/>
  <c r="G47" i="17" s="1"/>
  <c r="E46" i="17"/>
  <c r="G46" i="17" s="1"/>
  <c r="E45" i="17"/>
  <c r="G45" i="17" s="1"/>
  <c r="E44" i="17"/>
  <c r="G44" i="17" s="1"/>
  <c r="H44" i="17" s="1"/>
  <c r="I44" i="17" s="1"/>
  <c r="E43" i="17"/>
  <c r="G43" i="17" s="1"/>
  <c r="E42" i="17"/>
  <c r="G42" i="17" s="1"/>
  <c r="H42" i="17" s="1"/>
  <c r="E41" i="17"/>
  <c r="G41" i="17" s="1"/>
  <c r="E40" i="17"/>
  <c r="G40" i="17" s="1"/>
  <c r="E39" i="17"/>
  <c r="G39" i="17" s="1"/>
  <c r="E38" i="17"/>
  <c r="G38" i="17" s="1"/>
  <c r="E37" i="17"/>
  <c r="G37" i="17" s="1"/>
  <c r="H37" i="17" s="1"/>
  <c r="E36" i="17"/>
  <c r="G36" i="17" s="1"/>
  <c r="H36" i="17" s="1"/>
  <c r="E35" i="17"/>
  <c r="G35" i="17" s="1"/>
  <c r="E34" i="17"/>
  <c r="G34" i="17" s="1"/>
  <c r="E33" i="17"/>
  <c r="G33" i="17" s="1"/>
  <c r="E32" i="17"/>
  <c r="G32" i="17" s="1"/>
  <c r="E31" i="17"/>
  <c r="G31" i="17" s="1"/>
  <c r="E30" i="17"/>
  <c r="G30" i="17" s="1"/>
  <c r="E29" i="17"/>
  <c r="G29" i="17" s="1"/>
  <c r="H29" i="17" s="1"/>
  <c r="E28" i="17"/>
  <c r="G28" i="17" s="1"/>
  <c r="H28" i="17" s="1"/>
  <c r="E27" i="17"/>
  <c r="G27" i="17" s="1"/>
  <c r="E26" i="17"/>
  <c r="G26" i="17" s="1"/>
  <c r="H26" i="17" s="1"/>
  <c r="E25" i="17"/>
  <c r="G25" i="17" s="1"/>
  <c r="E24" i="17"/>
  <c r="G24" i="17" s="1"/>
  <c r="E23" i="17"/>
  <c r="G23" i="17" s="1"/>
  <c r="E22" i="17"/>
  <c r="G22" i="17" s="1"/>
  <c r="E21" i="17"/>
  <c r="G21" i="17" s="1"/>
  <c r="H21" i="17" s="1"/>
  <c r="E20" i="17"/>
  <c r="G20" i="17" s="1"/>
  <c r="E19" i="17"/>
  <c r="G19" i="17" s="1"/>
  <c r="E18" i="17"/>
  <c r="G18" i="17" s="1"/>
  <c r="H18" i="17" s="1"/>
  <c r="E17" i="17"/>
  <c r="G17" i="17" s="1"/>
  <c r="E16" i="17"/>
  <c r="G16" i="17" s="1"/>
  <c r="E15" i="17"/>
  <c r="G15" i="17" s="1"/>
  <c r="E14" i="17"/>
  <c r="G14" i="17" s="1"/>
  <c r="E13" i="17"/>
  <c r="G13" i="17" s="1"/>
  <c r="H13" i="17" s="1"/>
  <c r="E12" i="17"/>
  <c r="G12" i="17" s="1"/>
  <c r="H12" i="17" s="1"/>
  <c r="D10" i="17"/>
  <c r="D16" i="17" s="1"/>
  <c r="F8" i="16" l="1"/>
  <c r="F16" i="16"/>
  <c r="F11" i="16" s="1"/>
  <c r="D49" i="17"/>
  <c r="D30" i="17"/>
  <c r="D39" i="17"/>
  <c r="D45" i="17"/>
  <c r="D25" i="17"/>
  <c r="H43" i="17"/>
  <c r="I43" i="17" s="1"/>
  <c r="D46" i="17"/>
  <c r="D17" i="17"/>
  <c r="D14" i="17"/>
  <c r="D23" i="17"/>
  <c r="D32" i="17"/>
  <c r="D41" i="17"/>
  <c r="D47" i="17"/>
  <c r="D22" i="17"/>
  <c r="D31" i="17"/>
  <c r="D40" i="17"/>
  <c r="D15" i="17"/>
  <c r="D24" i="17"/>
  <c r="D33" i="17"/>
  <c r="D38" i="17"/>
  <c r="D48" i="17"/>
  <c r="H24" i="17"/>
  <c r="I24" i="17" s="1"/>
  <c r="H33" i="17"/>
  <c r="I33" i="17" s="1"/>
  <c r="H48" i="17"/>
  <c r="I48" i="17" s="1"/>
  <c r="H16" i="17"/>
  <c r="I16" i="17" s="1"/>
  <c r="J16" i="17" s="1"/>
  <c r="K16" i="17" s="1"/>
  <c r="L16" i="17" s="1"/>
  <c r="H25" i="17"/>
  <c r="I25" i="17" s="1"/>
  <c r="H17" i="17"/>
  <c r="I17" i="17" s="1"/>
  <c r="H40" i="17"/>
  <c r="I40" i="17" s="1"/>
  <c r="H32" i="17"/>
  <c r="I32" i="17" s="1"/>
  <c r="H41" i="17"/>
  <c r="I41" i="17" s="1"/>
  <c r="J41" i="17" s="1"/>
  <c r="K41" i="17" s="1"/>
  <c r="L41" i="17" s="1"/>
  <c r="H46" i="17"/>
  <c r="I46" i="17" s="1"/>
  <c r="J46" i="17" s="1"/>
  <c r="K46" i="17" s="1"/>
  <c r="L46" i="17" s="1"/>
  <c r="H19" i="17"/>
  <c r="I19" i="17" s="1"/>
  <c r="H27" i="17"/>
  <c r="I27" i="17" s="1"/>
  <c r="H35" i="17"/>
  <c r="I35" i="17" s="1"/>
  <c r="H49" i="17"/>
  <c r="I49" i="17" s="1"/>
  <c r="J49" i="17" s="1"/>
  <c r="K49" i="17" s="1"/>
  <c r="L49" i="17" s="1"/>
  <c r="I13" i="17"/>
  <c r="H15" i="17"/>
  <c r="I15" i="17" s="1"/>
  <c r="I21" i="17"/>
  <c r="H23" i="17"/>
  <c r="I23" i="17" s="1"/>
  <c r="I29" i="17"/>
  <c r="H31" i="17"/>
  <c r="I31" i="17" s="1"/>
  <c r="I37" i="17"/>
  <c r="H39" i="17"/>
  <c r="I39" i="17" s="1"/>
  <c r="H47" i="17"/>
  <c r="I47" i="17" s="1"/>
  <c r="H20" i="17"/>
  <c r="I20" i="17" s="1"/>
  <c r="H34" i="17"/>
  <c r="I34" i="17" s="1"/>
  <c r="I12" i="17"/>
  <c r="H14" i="17"/>
  <c r="I14" i="17" s="1"/>
  <c r="I18" i="17"/>
  <c r="H22" i="17"/>
  <c r="I22" i="17" s="1"/>
  <c r="I26" i="17"/>
  <c r="I28" i="17"/>
  <c r="H30" i="17"/>
  <c r="I30" i="17" s="1"/>
  <c r="J30" i="17" s="1"/>
  <c r="K30" i="17" s="1"/>
  <c r="L30" i="17" s="1"/>
  <c r="I36" i="17"/>
  <c r="H38" i="17"/>
  <c r="I38" i="17" s="1"/>
  <c r="I42" i="17"/>
  <c r="H45" i="17"/>
  <c r="I45" i="17" s="1"/>
  <c r="D20" i="17"/>
  <c r="D44" i="17"/>
  <c r="J44" i="17" s="1"/>
  <c r="K44" i="17" s="1"/>
  <c r="L44" i="17" s="1"/>
  <c r="D19" i="17"/>
  <c r="D27" i="17"/>
  <c r="D35" i="17"/>
  <c r="D43" i="17"/>
  <c r="D50" i="17"/>
  <c r="J50" i="17" s="1"/>
  <c r="K50" i="17" s="1"/>
  <c r="L50" i="17" s="1"/>
  <c r="D13" i="17"/>
  <c r="J13" i="17" s="1"/>
  <c r="K13" i="17" s="1"/>
  <c r="L13" i="17" s="1"/>
  <c r="D21" i="17"/>
  <c r="D29" i="17"/>
  <c r="D37" i="17"/>
  <c r="D12" i="17"/>
  <c r="D28" i="17"/>
  <c r="D36" i="17"/>
  <c r="D18" i="17"/>
  <c r="D26" i="17"/>
  <c r="D34" i="17"/>
  <c r="D42" i="17"/>
  <c r="J17" i="17" l="1"/>
  <c r="K17" i="17" s="1"/>
  <c r="L17" i="17" s="1"/>
  <c r="J45" i="17"/>
  <c r="K45" i="17" s="1"/>
  <c r="L45" i="17" s="1"/>
  <c r="J15" i="17"/>
  <c r="K15" i="17" s="1"/>
  <c r="L15" i="17" s="1"/>
  <c r="J39" i="17"/>
  <c r="K39" i="17" s="1"/>
  <c r="L39" i="17" s="1"/>
  <c r="J14" i="17"/>
  <c r="K14" i="17" s="1"/>
  <c r="L14" i="17" s="1"/>
  <c r="J23" i="17"/>
  <c r="K23" i="17" s="1"/>
  <c r="L23" i="17" s="1"/>
  <c r="J33" i="17"/>
  <c r="K33" i="17" s="1"/>
  <c r="L33" i="17" s="1"/>
  <c r="J37" i="17"/>
  <c r="K37" i="17" s="1"/>
  <c r="L37" i="17" s="1"/>
  <c r="J32" i="17"/>
  <c r="K32" i="17" s="1"/>
  <c r="L32" i="17" s="1"/>
  <c r="J31" i="17"/>
  <c r="K31" i="17" s="1"/>
  <c r="L31" i="17" s="1"/>
  <c r="J25" i="17"/>
  <c r="K25" i="17" s="1"/>
  <c r="L25" i="17" s="1"/>
  <c r="J24" i="17"/>
  <c r="K24" i="17" s="1"/>
  <c r="L24" i="17" s="1"/>
  <c r="J36" i="17"/>
  <c r="K36" i="17" s="1"/>
  <c r="L36" i="17" s="1"/>
  <c r="J22" i="17"/>
  <c r="K22" i="17" s="1"/>
  <c r="L22" i="17" s="1"/>
  <c r="J43" i="17"/>
  <c r="K43" i="17" s="1"/>
  <c r="L43" i="17" s="1"/>
  <c r="J47" i="17"/>
  <c r="J35" i="17"/>
  <c r="K35" i="17" s="1"/>
  <c r="L35" i="17" s="1"/>
  <c r="J42" i="17"/>
  <c r="K42" i="17" s="1"/>
  <c r="L42" i="17" s="1"/>
  <c r="J38" i="17"/>
  <c r="K38" i="17" s="1"/>
  <c r="L38" i="17" s="1"/>
  <c r="J48" i="17"/>
  <c r="K48" i="17" s="1"/>
  <c r="L48" i="17" s="1"/>
  <c r="J40" i="17"/>
  <c r="K40" i="17" s="1"/>
  <c r="L40" i="17" s="1"/>
  <c r="J28" i="17"/>
  <c r="K28" i="17" s="1"/>
  <c r="L28" i="17" s="1"/>
  <c r="J12" i="17"/>
  <c r="J26" i="17"/>
  <c r="K26" i="17" s="1"/>
  <c r="L26" i="17" s="1"/>
  <c r="J29" i="17"/>
  <c r="K29" i="17" s="1"/>
  <c r="L29" i="17" s="1"/>
  <c r="J27" i="17"/>
  <c r="K27" i="17" s="1"/>
  <c r="L27" i="17" s="1"/>
  <c r="J34" i="17"/>
  <c r="K34" i="17" s="1"/>
  <c r="L34" i="17" s="1"/>
  <c r="J19" i="17"/>
  <c r="K19" i="17" s="1"/>
  <c r="L19" i="17" s="1"/>
  <c r="J18" i="17"/>
  <c r="K18" i="17" s="1"/>
  <c r="L18" i="17" s="1"/>
  <c r="J21" i="17"/>
  <c r="K21" i="17" s="1"/>
  <c r="L21" i="17" s="1"/>
  <c r="J20" i="17"/>
  <c r="K20" i="17" s="1"/>
  <c r="L20" i="17" s="1"/>
  <c r="K47" i="17" l="1"/>
  <c r="L47" i="17" s="1"/>
  <c r="C56" i="17"/>
  <c r="J51" i="17"/>
  <c r="K12" i="17"/>
  <c r="R19" i="1"/>
  <c r="S19" i="1" s="1"/>
  <c r="I14" i="1"/>
  <c r="H14" i="1"/>
  <c r="H19" i="1"/>
  <c r="K51" i="17" l="1"/>
  <c r="L12" i="17"/>
  <c r="L51" i="17" s="1"/>
  <c r="M19" i="1"/>
  <c r="N19" i="1" l="1"/>
  <c r="P19" i="1" s="1"/>
  <c r="O19" i="1"/>
  <c r="T19" i="1" l="1"/>
  <c r="D23" i="16" l="1"/>
  <c r="D5" i="16" s="1"/>
  <c r="D12" i="6" l="1"/>
  <c r="R31" i="6" s="1"/>
  <c r="F35" i="2" l="1"/>
  <c r="F25" i="2"/>
  <c r="P35" i="2" l="1"/>
  <c r="I35" i="2"/>
  <c r="O35" i="2"/>
  <c r="N35" i="2"/>
  <c r="P25" i="2"/>
  <c r="O25" i="2"/>
  <c r="I25" i="2"/>
  <c r="N25" i="2"/>
  <c r="Q35" i="2" l="1"/>
  <c r="Q25" i="2"/>
  <c r="F13" i="2"/>
  <c r="R18" i="1" l="1"/>
  <c r="S18" i="1" s="1"/>
  <c r="I18" i="1"/>
  <c r="H18" i="1"/>
  <c r="R17" i="1"/>
  <c r="S17" i="1" s="1"/>
  <c r="I17" i="1"/>
  <c r="H17" i="1"/>
  <c r="R16" i="1"/>
  <c r="S16" i="1" s="1"/>
  <c r="I16" i="1"/>
  <c r="H16" i="1"/>
  <c r="R15" i="1"/>
  <c r="S15" i="1" s="1"/>
  <c r="L15" i="1"/>
  <c r="R14" i="1"/>
  <c r="S14" i="1" s="1"/>
  <c r="R13" i="1"/>
  <c r="S13" i="1" s="1"/>
  <c r="I13" i="1"/>
  <c r="H13" i="1"/>
  <c r="R12" i="1"/>
  <c r="S12" i="1" s="1"/>
  <c r="I12" i="1"/>
  <c r="H12" i="1"/>
  <c r="R11" i="1"/>
  <c r="S11" i="1" s="1"/>
  <c r="H11" i="1"/>
  <c r="R10" i="1"/>
  <c r="S10" i="1" s="1"/>
  <c r="J10" i="1"/>
  <c r="M10" i="1" l="1"/>
  <c r="O10" i="1" s="1"/>
  <c r="M11" i="1"/>
  <c r="M12" i="1"/>
  <c r="M13" i="1"/>
  <c r="M14" i="1"/>
  <c r="M15" i="1"/>
  <c r="M16" i="1"/>
  <c r="M17" i="1"/>
  <c r="M18" i="1"/>
  <c r="N17" i="1" l="1"/>
  <c r="P17" i="1" s="1"/>
  <c r="N14" i="1"/>
  <c r="P14" i="1" s="1"/>
  <c r="N15" i="1"/>
  <c r="P15" i="1" s="1"/>
  <c r="N12" i="1"/>
  <c r="P12" i="1" s="1"/>
  <c r="N11" i="1"/>
  <c r="P11" i="1" s="1"/>
  <c r="N16" i="1"/>
  <c r="P16" i="1" s="1"/>
  <c r="N13" i="1"/>
  <c r="P13" i="1" s="1"/>
  <c r="N18" i="1"/>
  <c r="P18" i="1" s="1"/>
  <c r="N10" i="1"/>
  <c r="P10" i="1" s="1"/>
  <c r="T10" i="1"/>
  <c r="O13" i="1"/>
  <c r="T13" i="1" s="1"/>
  <c r="O12" i="1"/>
  <c r="O17" i="1"/>
  <c r="O15" i="1"/>
  <c r="T15" i="1" s="1"/>
  <c r="O11" i="1"/>
  <c r="T11" i="1" s="1"/>
  <c r="O16" i="1"/>
  <c r="T16" i="1" s="1"/>
  <c r="O18" i="1"/>
  <c r="T18" i="1" s="1"/>
  <c r="O14" i="1"/>
  <c r="T14" i="1" s="1"/>
  <c r="E11" i="15"/>
  <c r="E10" i="15"/>
  <c r="T12" i="1" l="1"/>
  <c r="T17" i="1"/>
  <c r="G10" i="15"/>
  <c r="G11" i="15"/>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T20" i="1" l="1"/>
  <c r="G12" i="16" s="1"/>
  <c r="G12" i="15"/>
  <c r="G27" i="16"/>
  <c r="E10" i="9"/>
  <c r="F10" i="9" s="1"/>
  <c r="E11" i="9"/>
  <c r="F11" i="9" s="1"/>
  <c r="E12" i="9"/>
  <c r="F12" i="9" s="1"/>
  <c r="E13" i="9"/>
  <c r="F13" i="9" s="1"/>
  <c r="E14" i="9"/>
  <c r="F14" i="9" s="1"/>
  <c r="E15" i="9"/>
  <c r="F15" i="9" s="1"/>
  <c r="E16" i="9"/>
  <c r="F16" i="9" s="1"/>
  <c r="E17" i="9"/>
  <c r="F17" i="9" s="1"/>
  <c r="E18" i="9"/>
  <c r="F18" i="9" s="1"/>
  <c r="E19" i="9"/>
  <c r="F19" i="9" s="1"/>
  <c r="E20" i="9"/>
  <c r="F20" i="9" s="1"/>
  <c r="E21" i="9"/>
  <c r="F21" i="9" s="1"/>
  <c r="E22" i="9"/>
  <c r="F22" i="9" s="1"/>
  <c r="E23" i="9"/>
  <c r="F23" i="9" s="1"/>
  <c r="E24" i="9"/>
  <c r="F24" i="9" s="1"/>
  <c r="E25" i="9"/>
  <c r="F25" i="9" s="1"/>
  <c r="E26" i="9"/>
  <c r="F26" i="9" s="1"/>
  <c r="E27" i="9"/>
  <c r="F27" i="9" s="1"/>
  <c r="E28" i="9"/>
  <c r="F28" i="9" s="1"/>
  <c r="E29" i="9"/>
  <c r="F29" i="9" s="1"/>
  <c r="E30" i="9"/>
  <c r="F30" i="9" s="1"/>
  <c r="E31" i="9"/>
  <c r="F31" i="9" s="1"/>
  <c r="E32" i="9"/>
  <c r="F32" i="9" s="1"/>
  <c r="E33" i="9"/>
  <c r="F33" i="9" s="1"/>
  <c r="E34" i="9"/>
  <c r="F34" i="9" s="1"/>
  <c r="E35" i="9"/>
  <c r="F35" i="9" s="1"/>
  <c r="E36" i="9"/>
  <c r="F36" i="9" s="1"/>
  <c r="E37" i="9"/>
  <c r="F37" i="9" s="1"/>
  <c r="E38" i="9"/>
  <c r="F38" i="9" s="1"/>
  <c r="E39" i="9"/>
  <c r="F39" i="9" s="1"/>
  <c r="E40" i="9"/>
  <c r="F40" i="9" s="1"/>
  <c r="E41" i="9"/>
  <c r="F41" i="9" s="1"/>
  <c r="E42" i="9"/>
  <c r="F42" i="9" s="1"/>
  <c r="E43" i="9"/>
  <c r="F43" i="9" s="1"/>
  <c r="E44" i="9"/>
  <c r="F44" i="9" s="1"/>
  <c r="E45" i="9"/>
  <c r="F45" i="9" s="1"/>
  <c r="E46" i="9"/>
  <c r="F46" i="9" s="1"/>
  <c r="E47" i="9"/>
  <c r="F47" i="9" s="1"/>
  <c r="E48" i="9"/>
  <c r="F48" i="9" s="1"/>
  <c r="G40" i="9" l="1"/>
  <c r="H40" i="9"/>
  <c r="G32" i="9"/>
  <c r="H32" i="9"/>
  <c r="G24" i="9"/>
  <c r="H24" i="9"/>
  <c r="G16" i="9"/>
  <c r="H16" i="9"/>
  <c r="G39" i="9"/>
  <c r="H39" i="9"/>
  <c r="G31" i="9"/>
  <c r="H31" i="9"/>
  <c r="G23" i="9"/>
  <c r="H23" i="9"/>
  <c r="G15" i="9"/>
  <c r="H15" i="9"/>
  <c r="G38" i="9"/>
  <c r="H38" i="9"/>
  <c r="G30" i="9"/>
  <c r="H30" i="9"/>
  <c r="G22" i="9"/>
  <c r="H22" i="9"/>
  <c r="G14" i="9"/>
  <c r="H14" i="9"/>
  <c r="G46" i="9"/>
  <c r="H46" i="9"/>
  <c r="G37" i="9"/>
  <c r="H37" i="9"/>
  <c r="G29" i="9"/>
  <c r="H29" i="9"/>
  <c r="G21" i="9"/>
  <c r="H21" i="9"/>
  <c r="G13" i="9"/>
  <c r="H13" i="9"/>
  <c r="G44" i="9"/>
  <c r="H44" i="9"/>
  <c r="G36" i="9"/>
  <c r="H36" i="9"/>
  <c r="G28" i="9"/>
  <c r="H28" i="9"/>
  <c r="G20" i="9"/>
  <c r="H20" i="9"/>
  <c r="G12" i="9"/>
  <c r="H12" i="9"/>
  <c r="G47" i="9"/>
  <c r="H47" i="9"/>
  <c r="G35" i="9"/>
  <c r="H35" i="9"/>
  <c r="G27" i="9"/>
  <c r="H27" i="9"/>
  <c r="G19" i="9"/>
  <c r="H19" i="9"/>
  <c r="G11" i="9"/>
  <c r="H11" i="9"/>
  <c r="G43" i="9"/>
  <c r="H43" i="9"/>
  <c r="G34" i="9"/>
  <c r="H34" i="9"/>
  <c r="G26" i="9"/>
  <c r="H26" i="9"/>
  <c r="G18" i="9"/>
  <c r="H18" i="9"/>
  <c r="G10" i="9"/>
  <c r="H10" i="9"/>
  <c r="G45" i="9"/>
  <c r="H45" i="9"/>
  <c r="G42" i="9"/>
  <c r="H42" i="9"/>
  <c r="G48" i="9"/>
  <c r="H48" i="9"/>
  <c r="G41" i="9"/>
  <c r="H41" i="9"/>
  <c r="G33" i="9"/>
  <c r="H33" i="9"/>
  <c r="G25" i="9"/>
  <c r="H25" i="9"/>
  <c r="G17" i="9"/>
  <c r="H17" i="9"/>
  <c r="G49" i="9" l="1"/>
  <c r="G24" i="16" s="1"/>
  <c r="G23" i="16" s="1"/>
  <c r="H49" i="9"/>
  <c r="J31" i="6"/>
  <c r="H25" i="6"/>
  <c r="G25" i="6"/>
  <c r="F25" i="6"/>
  <c r="H31" i="6" s="1"/>
  <c r="F31" i="6" l="1"/>
  <c r="G31" i="6"/>
  <c r="P31" i="6" l="1"/>
  <c r="O31" i="6"/>
  <c r="N31" i="6"/>
  <c r="I31" i="6"/>
  <c r="Q31" i="6" l="1"/>
  <c r="S31" i="6" l="1"/>
  <c r="G22" i="16" s="1"/>
  <c r="T31" i="6"/>
  <c r="B47" i="4"/>
  <c r="M36" i="4"/>
  <c r="N36" i="4" s="1"/>
  <c r="J36" i="4"/>
  <c r="K36" i="4" s="1"/>
  <c r="F36" i="4"/>
  <c r="L32" i="4"/>
  <c r="M32" i="4" s="1"/>
  <c r="I32" i="4"/>
  <c r="D32" i="4"/>
  <c r="L29" i="4"/>
  <c r="M29" i="4" s="1"/>
  <c r="I29" i="4"/>
  <c r="J29" i="4" s="1"/>
  <c r="D29" i="4"/>
  <c r="L28" i="4"/>
  <c r="M28" i="4" s="1"/>
  <c r="I28" i="4"/>
  <c r="J28" i="4" s="1"/>
  <c r="D28" i="4"/>
  <c r="G28" i="4" s="1"/>
  <c r="F26" i="4"/>
  <c r="G26" i="4" s="1"/>
  <c r="M25" i="4"/>
  <c r="N25" i="4" s="1"/>
  <c r="J25" i="4"/>
  <c r="K25" i="4" s="1"/>
  <c r="F25" i="4"/>
  <c r="G25" i="4" s="1"/>
  <c r="M24" i="4"/>
  <c r="N24" i="4" s="1"/>
  <c r="J24" i="4"/>
  <c r="K24" i="4" s="1"/>
  <c r="B10" i="4"/>
  <c r="K28" i="4" l="1"/>
  <c r="N28" i="4" s="1"/>
  <c r="K29" i="4"/>
  <c r="G29" i="4"/>
  <c r="D10" i="4"/>
  <c r="D12" i="4" s="1"/>
  <c r="F34" i="4"/>
  <c r="G36" i="4"/>
  <c r="M34" i="4"/>
  <c r="K34" i="4"/>
  <c r="J34" i="4"/>
  <c r="N34" i="4"/>
  <c r="M27" i="4"/>
  <c r="J27" i="4"/>
  <c r="F23" i="4"/>
  <c r="M26" i="4"/>
  <c r="N26" i="4" s="1"/>
  <c r="J26" i="4"/>
  <c r="K26" i="4" s="1"/>
  <c r="F27" i="4" l="1"/>
  <c r="F37" i="4" s="1"/>
  <c r="F38" i="4" s="1"/>
  <c r="F39" i="4" s="1"/>
  <c r="N29" i="4"/>
  <c r="N27" i="4" s="1"/>
  <c r="N23" i="4"/>
  <c r="G34" i="4"/>
  <c r="G23" i="4"/>
  <c r="G27" i="4"/>
  <c r="M23" i="4"/>
  <c r="M37" i="4" s="1"/>
  <c r="M38" i="4" s="1"/>
  <c r="M39" i="4" s="1"/>
  <c r="K27" i="4"/>
  <c r="J23" i="4"/>
  <c r="J37" i="4" s="1"/>
  <c r="G37" i="4" l="1"/>
  <c r="N37" i="4"/>
  <c r="N38" i="4" s="1"/>
  <c r="K23" i="4"/>
  <c r="J38" i="4"/>
  <c r="J39" i="4" s="1"/>
  <c r="G38" i="4" l="1"/>
  <c r="K37" i="4"/>
  <c r="N39" i="4"/>
  <c r="C13" i="2"/>
  <c r="C12" i="2"/>
  <c r="G12" i="2" l="1"/>
  <c r="G13" i="2"/>
  <c r="G39" i="4"/>
  <c r="D44" i="4" s="1"/>
  <c r="D46" i="4"/>
  <c r="K38" i="4"/>
  <c r="G14" i="2"/>
  <c r="G13" i="16" s="1"/>
  <c r="K39" i="4" l="1"/>
  <c r="A17" i="6"/>
  <c r="F17" i="6"/>
  <c r="B17" i="6" l="1"/>
  <c r="D17" i="6" s="1"/>
  <c r="G20" i="16" s="1"/>
  <c r="G17" i="6"/>
  <c r="I17" i="6" s="1"/>
  <c r="G21" i="16" s="1"/>
  <c r="D5" i="6"/>
  <c r="D45" i="4"/>
  <c r="N40" i="4"/>
  <c r="D6" i="6" l="1"/>
  <c r="G19" i="16"/>
  <c r="D47" i="4"/>
  <c r="A52" i="4" s="1"/>
  <c r="G15" i="16" l="1"/>
  <c r="G11" i="16" l="1"/>
  <c r="G6" i="16" s="1"/>
  <c r="G5" i="16" s="1"/>
  <c r="G1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1" authorId="0" shapeId="0" xr:uid="{00000000-0006-0000-0A00-000001000000}">
      <text>
        <r>
          <rPr>
            <b/>
            <sz val="9"/>
            <color indexed="81"/>
            <rFont val="Tahoma"/>
            <family val="2"/>
            <charset val="204"/>
          </rPr>
          <t>Administrator:</t>
        </r>
        <r>
          <rPr>
            <sz val="9"/>
            <color indexed="81"/>
            <rFont val="Tahoma"/>
            <family val="2"/>
            <charset val="204"/>
          </rPr>
          <t xml:space="preserve">
ielikts psihiatra kabineta fiksētais maksājums.
</t>
        </r>
      </text>
    </comment>
  </commentList>
</comments>
</file>

<file path=xl/sharedStrings.xml><?xml version="1.0" encoding="utf-8"?>
<sst xmlns="http://schemas.openxmlformats.org/spreadsheetml/2006/main" count="742" uniqueCount="447">
  <si>
    <t>Iestādes nosaukums</t>
  </si>
  <si>
    <t>Kabineta veids</t>
  </si>
  <si>
    <t>Daugavpils psihoneiroloģiskā slimnīca, VSIA</t>
  </si>
  <si>
    <t>Bērnu klīniskā universitātes slimnīca, VSIA</t>
  </si>
  <si>
    <t>Rīgas psihiatrijas un narkoloģijas centrs, VSIA</t>
  </si>
  <si>
    <t>Strenču psihoneiroloģiskā slimnīca, SIA</t>
  </si>
  <si>
    <t>Slimnīca Ģintermuiža, VSIA</t>
  </si>
  <si>
    <t>Ārstniecības iestādes kods</t>
  </si>
  <si>
    <t>Plānotais pacientu skaits 2021.gadā</t>
  </si>
  <si>
    <t>Finansējums 2021.gadam, EUR</t>
  </si>
  <si>
    <t>KOPĀ</t>
  </si>
  <si>
    <t>Liepājas (esošā) filiāle</t>
  </si>
  <si>
    <t>ATTĪSTĪBA - Daugavpils filiāle</t>
  </si>
  <si>
    <t>ATTĪSTĪBA - Valmieras filiāle</t>
  </si>
  <si>
    <t>Izmaksu pozīcija</t>
  </si>
  <si>
    <t>mērvienība</t>
  </si>
  <si>
    <t xml:space="preserve"> Vienību skaits mēnesī </t>
  </si>
  <si>
    <t xml:space="preserve"> Vienību skaits SR kursā</t>
  </si>
  <si>
    <t>Komentārs</t>
  </si>
  <si>
    <t xml:space="preserve"> Vienas vienības izmaksas</t>
  </si>
  <si>
    <t>mēnesī</t>
  </si>
  <si>
    <t>EUR</t>
  </si>
  <si>
    <t>vienību skaits</t>
  </si>
  <si>
    <t>1.Tiešās  pakalpojuma nodrošināšanas izmaksas</t>
  </si>
  <si>
    <t>x</t>
  </si>
  <si>
    <t xml:space="preserve">Centra vadītājs </t>
  </si>
  <si>
    <t>slodzes</t>
  </si>
  <si>
    <t>Klientu lietu vadītājs (psihologs)</t>
  </si>
  <si>
    <t>Konsultāciju kabinetu noma/uzturēšana</t>
  </si>
  <si>
    <t>kabineti</t>
  </si>
  <si>
    <t xml:space="preserve">1 kabinets aptuveni 420 eur (īre, komunālie, uzkopšana). 1 kabinets uz maksimums 25 klientiem. (5 klienti dienā x 5 dienas).  </t>
  </si>
  <si>
    <t>Speciālistu konsultācijas Kategorija 1 (psihologs, atbalsta speciālists)</t>
  </si>
  <si>
    <t>skaits</t>
  </si>
  <si>
    <t>Speciālistu konsultācijas Kategorija 2 (psihoterapeits, psihiatrs, narkologs)</t>
  </si>
  <si>
    <t>Grupu nodarbības vecākiem</t>
  </si>
  <si>
    <t>Konsultācijas vecākiem</t>
  </si>
  <si>
    <t>Psihodiagnostika</t>
  </si>
  <si>
    <t xml:space="preserve">Vidēji vienam no 4 klientiem nepieciešama psihodiagnostika. </t>
  </si>
  <si>
    <t xml:space="preserve">2. Ar pilotprojekta pakalpojuma nodrošināšanu saistītās izmaksas </t>
  </si>
  <si>
    <t xml:space="preserve">2.1.Ar pakalpojuma nodrošināšanu saistītās izmaksas </t>
  </si>
  <si>
    <t>Izglītojošu info materiālu izstrāde/druka klientiem un viņu vecākiem</t>
  </si>
  <si>
    <t>reģions</t>
  </si>
  <si>
    <t xml:space="preserve">Atbalsta un informatīvie materiāli klientiem un viņu vecākiem, jaunu klientu uzrunāšanai, informēšanai </t>
  </si>
  <si>
    <t>Darbinieku kvalifikācijas celšana (mācības), grupu un individuālā supervīzija, mācību materiālu iegāde</t>
  </si>
  <si>
    <t>nodarbība</t>
  </si>
  <si>
    <t>3. Pakalpojuma izmaksas (1.+2.)****</t>
  </si>
  <si>
    <t xml:space="preserve">4. Administrēšanas izmaksas </t>
  </si>
  <si>
    <t>5. Izmaksas KOPĀ (3.+4.)</t>
  </si>
  <si>
    <t>Kopējais nepieciešamais finansējums trīs filiāļu atvēršanai</t>
  </si>
  <si>
    <t>2.tabula "Pakalpojumu apjoma palielināšana jauniešiem ar garastāvokļa un uzvedības traucējumiem un to seku mazināšanai reģionos"</t>
  </si>
  <si>
    <t>Liepāja</t>
  </si>
  <si>
    <t>Daugavpils</t>
  </si>
  <si>
    <t>Valmiera</t>
  </si>
  <si>
    <t>Gan individuālās, gan grupu supervīzijas, gan mācības u.c. kvalifikācijas celšanai nepieciešamās darbības un materiāli. Aprēķinā pieņemts, ka 1 darbiniekam nepieciešams vidēji 2 šāda tipa kvalifikācijas celšanas aktivitātes mēnesī. Aprēķinā pieņemts, ka kvalifikācijas celšanā piedalīsies 3.5 darbinieki - klienta lietas vadītāji un pakalpojumu vadītājs. 
Projekta izmaksu aprēķins: Vienas vienības izmaksas * 6 nodarbības*12 mēneši</t>
  </si>
  <si>
    <t>Budžeta programmas (apakšprogrammas) kods un nosaukums:</t>
  </si>
  <si>
    <t>33.14.00. "Primārās ambulatorās veselības aprūpes nodrošināšana"</t>
  </si>
  <si>
    <t>Primārā veselības aprūpe ar pamatadiagnozi pēc SSK-10 diagnozes kodi F00–F09, F10–F19, F20–F62, F63.0, F63.1–F99</t>
  </si>
  <si>
    <t xml:space="preserve">Apmeklējumu skaits </t>
  </si>
  <si>
    <t xml:space="preserve">Pacientu skaits </t>
  </si>
  <si>
    <t>Stiprināt esošajās slimnīcās strādājošo ārstniecības personu psihisko veselību</t>
  </si>
  <si>
    <t>Papildus slodzes apjoms 2021. gadā</t>
  </si>
  <si>
    <t>1.1.</t>
  </si>
  <si>
    <t>1.2.</t>
  </si>
  <si>
    <t xml:space="preserve">1. </t>
  </si>
  <si>
    <t>1.3.</t>
  </si>
  <si>
    <t>1.4.</t>
  </si>
  <si>
    <t>2.</t>
  </si>
  <si>
    <t>2.1.</t>
  </si>
  <si>
    <t>3.</t>
  </si>
  <si>
    <t>3.1.</t>
  </si>
  <si>
    <t>3.1.2.</t>
  </si>
  <si>
    <t>3.1.3.</t>
  </si>
  <si>
    <t>3.2.</t>
  </si>
  <si>
    <t>Organizēt atbildīgos darbiniekus ārstniecības iestādē par ārstniecības personu psihiskās veselības stāvokļa monitorēšanu un procesa uzraudzību COVID-19 pandēmijas laikā</t>
  </si>
  <si>
    <t>Slimnīcu līmenis</t>
  </si>
  <si>
    <t>Ārstniecības iestādes nosaukums</t>
  </si>
  <si>
    <t>Slodzes</t>
  </si>
  <si>
    <t>Alga</t>
  </si>
  <si>
    <t>VSAI</t>
  </si>
  <si>
    <t>Kopā alga mēnesī</t>
  </si>
  <si>
    <t xml:space="preserve">V </t>
  </si>
  <si>
    <t>VSIA "Paula Stradiņa klīniskā universitātes slimnīca"</t>
  </si>
  <si>
    <t>SIA "Rīgas Austrumu klīniskā universitātes slimnīca"</t>
  </si>
  <si>
    <t>VSIA "Bērnu klīniskā universitātes slimnīca"</t>
  </si>
  <si>
    <t>IV</t>
  </si>
  <si>
    <t>SIA "Liepājas reģionālā slimnīca"</t>
  </si>
  <si>
    <t>SIA "Daugavpils reģionālā slimnīca"</t>
  </si>
  <si>
    <t>SIA "Ziemeļkurzemes reģionālā slimnīca"</t>
  </si>
  <si>
    <t>SIA "Jelgavas pilsētas slimnīca"</t>
  </si>
  <si>
    <t>SIA "Vidzemes slimnīca"</t>
  </si>
  <si>
    <t>SIA "Jēkabpils reģionālā slimnīca"</t>
  </si>
  <si>
    <t>SIA "Rēzeknes slimnīca"</t>
  </si>
  <si>
    <t>III</t>
  </si>
  <si>
    <t>Madonas novada pašvaldības SIA "Madonas slimnīca"</t>
  </si>
  <si>
    <t>SIA "Cēsu klīnika"</t>
  </si>
  <si>
    <t>SIA "Dobeles un apkārtnes slimnīca"</t>
  </si>
  <si>
    <t>SIA "Jūrmalas slimnīca"</t>
  </si>
  <si>
    <t>SIA "Ogres rajona slimnīca"</t>
  </si>
  <si>
    <t>SIA "Balvu un Gulbenes slimnīcu apvienība"</t>
  </si>
  <si>
    <t>SIA "Kuldīgas slimnīca"</t>
  </si>
  <si>
    <t>II</t>
  </si>
  <si>
    <t>SIA "Alūksnes slimnīca"</t>
  </si>
  <si>
    <t>Spec</t>
  </si>
  <si>
    <t>VSIA "Rīgas psihiatrijas un narkoloģijas centrs"</t>
  </si>
  <si>
    <t>VSIA "Bērnu psihoneiroloģiskā slimnīca "Ainaži""</t>
  </si>
  <si>
    <t>VSIA "Piejūras slimnīca"</t>
  </si>
  <si>
    <t>VSIA "Slimnīca "Ģintermuiža""</t>
  </si>
  <si>
    <t>VSIA "Strenču psihoneiroloģiskā slimnīca"</t>
  </si>
  <si>
    <t>Bērnu psihiatrs</t>
  </si>
  <si>
    <t>Psihiatrs</t>
  </si>
  <si>
    <t>Vidēji mēnesī</t>
  </si>
  <si>
    <t>Manipulācijas aprēķins</t>
  </si>
  <si>
    <t>Manipulācijas nosaukums</t>
  </si>
  <si>
    <t>Medikamenti</t>
  </si>
  <si>
    <t>Materiāli</t>
  </si>
  <si>
    <t>Tarifs, euro</t>
  </si>
  <si>
    <t>(piemaksājamā manipulācija par darbu ar psihiskiem uzvedības traucējumiem, līdzīgi kā SCORE)</t>
  </si>
  <si>
    <t>SIA "Preiļu slminīca"</t>
  </si>
  <si>
    <t>SIA "Tukuma slimnīca"</t>
  </si>
  <si>
    <t>SIA "Krāslavas slimnīca"</t>
  </si>
  <si>
    <t>I</t>
  </si>
  <si>
    <t>Līvānu novada domes pašvaldības SIA "Līvānu slimnīca"</t>
  </si>
  <si>
    <t>SIA "Aizkraukles slimnīca"</t>
  </si>
  <si>
    <t>SIA "Bauskas slimnīca"</t>
  </si>
  <si>
    <t>SIA "Limbažu slimnīca"</t>
  </si>
  <si>
    <t>SIA "Ludzas medicīnas centrs"</t>
  </si>
  <si>
    <t>V Spec</t>
  </si>
  <si>
    <t>VSIA "Traumatoloģijas un ortopēdijas slimnīca"</t>
  </si>
  <si>
    <t>SIA "Rīgas Dzemdību nams"</t>
  </si>
  <si>
    <t>VSIA "Nacionālais rehabilitācijas centrs "Vaivari""</t>
  </si>
  <si>
    <t>SIA "Rīgas 2. slimnīca"</t>
  </si>
  <si>
    <t>SIA "Siguldas slimnīca"</t>
  </si>
  <si>
    <t xml:space="preserve">Pārējās </t>
  </si>
  <si>
    <t>SIA "Saldus medicīnas centrs"</t>
  </si>
  <si>
    <t>SIA "Priekules slimnīca"</t>
  </si>
  <si>
    <t>Kabinetu skaits papildus</t>
  </si>
  <si>
    <t>-</t>
  </si>
  <si>
    <t>Psihologa kabinets</t>
  </si>
  <si>
    <t>Psihiatra kabinets</t>
  </si>
  <si>
    <t>psihologa/ psihoterapeita kabinets</t>
  </si>
  <si>
    <t>māsas kabinets psihiatrijā</t>
  </si>
  <si>
    <t>Psihiatrijas kabinets</t>
  </si>
  <si>
    <t>Funkcinālā speciālista kabinets</t>
  </si>
  <si>
    <t>Darba samaksa ārstam, euro</t>
  </si>
  <si>
    <t>Darba samaksa māsai, euro</t>
  </si>
  <si>
    <t>Darba samaksa jaunākajam personālam, euro</t>
  </si>
  <si>
    <t>Valsts sociālās apdrošināšanas obligātās iemaksas, %</t>
  </si>
  <si>
    <t xml:space="preserve">Pieskaitāmās un netiešās ražošanas izmaksas </t>
  </si>
  <si>
    <t xml:space="preserve">Administratīvās izmaksas </t>
  </si>
  <si>
    <t xml:space="preserve">Pārējo pamatlīdzekļu amortizācija </t>
  </si>
  <si>
    <t>Mēneša darba samaksa</t>
  </si>
  <si>
    <t>1 minūtes vērtība darba samaksai</t>
  </si>
  <si>
    <t>Koeficienti</t>
  </si>
  <si>
    <t>Manipulācijas kods</t>
  </si>
  <si>
    <t>Mainīgās izmaksas</t>
  </si>
  <si>
    <t>Darba laiks (minūtes)</t>
  </si>
  <si>
    <t>Darba samaksa D, euro</t>
  </si>
  <si>
    <t>Valsts sociālās adrošināšanas obligātās iemaksas S, euro</t>
  </si>
  <si>
    <t>Ārstniecības līdzekļi M, euro</t>
  </si>
  <si>
    <t>Iekārtu amortizācija N, euro</t>
  </si>
  <si>
    <t>Pieskaitāmās un netiešās ražošanas izmaksas U, euro</t>
  </si>
  <si>
    <t>Administratīvās izmaksas A, euro</t>
  </si>
  <si>
    <t>Pārējo pamatlīdzekļu amortizācija n, euro</t>
  </si>
  <si>
    <t>ārstam</t>
  </si>
  <si>
    <t>māsai</t>
  </si>
  <si>
    <t>jaunākajam personālām</t>
  </si>
  <si>
    <t>jaunākajam personālam</t>
  </si>
  <si>
    <t>ārstam, māsai un jaunākajam personālām kopā</t>
  </si>
  <si>
    <t>M kopā</t>
  </si>
  <si>
    <t>10 = 11 + 12</t>
  </si>
  <si>
    <t xml:space="preserve">JAUNS </t>
  </si>
  <si>
    <t>Vienas konsutlācijas izmaksas, EUR</t>
  </si>
  <si>
    <t>Kopā</t>
  </si>
  <si>
    <t>KOPĀ:</t>
  </si>
  <si>
    <t>1.1. Fiksētās izmaksas kopā</t>
  </si>
  <si>
    <t>1.2. Mainīgās izmaksas kopā</t>
  </si>
  <si>
    <t>2021.g. alga, EUR</t>
  </si>
  <si>
    <t>Ģimenes ārsta darbs ar pacientu ar psihiskiem un uzvedības traucējumiem</t>
  </si>
  <si>
    <t>Specialitāte (pakalpojuma sniedzēja)</t>
  </si>
  <si>
    <t>Kopā 2020. gada 10 mēnešos</t>
  </si>
  <si>
    <t>Plānotais attālināto konsultāciju skaits (20% no apmeklējumu skaita)</t>
  </si>
  <si>
    <t xml:space="preserve">Papildus slodze </t>
  </si>
  <si>
    <t>Kabineta plānotais darbības periods mēnešos 2021. gadā</t>
  </si>
  <si>
    <t>Ārsta darba samaksa, EUR</t>
  </si>
  <si>
    <t>Funkcionālā speciālista piemaksa (psihiatrija), EUR</t>
  </si>
  <si>
    <t>Māsas darba samaksa, EUR</t>
  </si>
  <si>
    <t>Māsas darba piemaksa (psihiatrija), EUR</t>
  </si>
  <si>
    <t>Kabineta nodrošinājuma maksājums gadā, EUR</t>
  </si>
  <si>
    <t>Stiprināt emocionālo, psiholoģisko, kosultatīvo atbalstu pa tālruni vai tiešaitē, arī attālinātu konsultāciju veidā (t.sk. arī ārstniecības personu psihoemocionālo atbalstu)</t>
  </si>
  <si>
    <t>Speciālistu skaits</t>
  </si>
  <si>
    <t>Sniedzamo konsultāciju skaits</t>
  </si>
  <si>
    <t>Konsultāciju skaits darba dienā</t>
  </si>
  <si>
    <t>Finansējuma aprēķins ģimenes ārsta konsultācijai ar psihiatru (samaksa ģimenes ārstam)</t>
  </si>
  <si>
    <t>Finansējuma aprēķins ģimenes ārsta konsultācijai ar psihiatru (samaksa psihiatram)</t>
  </si>
  <si>
    <t>1.2.2. Psihologu un psihoterapeitu konsultāciju apmaksai nepieciešamais finansējums 2021. gada 9 mēnešiem</t>
  </si>
  <si>
    <t>VSIA "Daugavpils psihoneiroloģiskā slimnīca" (t.sk. VSIA "Aknīstes psihoneiroloģiskā slimnīca")</t>
  </si>
  <si>
    <t>33.16.00. "Pārējo ambulatoro veselības aprūpes pakalpojumu nodrošināšana"</t>
  </si>
  <si>
    <t>(darba dienu skaits 2021. gada 9 mēnešos (no aprīļa))</t>
  </si>
  <si>
    <t>Nr.</t>
  </si>
  <si>
    <t>Pasākums</t>
  </si>
  <si>
    <t>Apakšprogramma</t>
  </si>
  <si>
    <t xml:space="preserve">tai skaitā, valsts pamatbudžeta finansējums </t>
  </si>
  <si>
    <t>33.16.00.</t>
  </si>
  <si>
    <t xml:space="preserve">33.14.00.  </t>
  </si>
  <si>
    <t>Psihologa/psihoterapetita kabineti</t>
  </si>
  <si>
    <t>1.1.pasākums "Palielināt specializētajos psihiskās veselības aprūpes ambulatorajos centros multiprofesionalajā komandā (psihiatrs, bērnu psihiatrs, māsa funkcionālais speciālists, klīniskais un veselības psihologs u.c.) strādājošo ārstniecības personas skaitu" </t>
  </si>
  <si>
    <t>Kabineta fiksētais maksājums, 1 slodzei gadā, EUR</t>
  </si>
  <si>
    <t xml:space="preserve">Pasākums iekļauts informatīvajā ziņojumā “Veselības nozares 
kapacitātes celšana un noturības stiprināšana 
Covid-19 apstākļos Latvijā” </t>
  </si>
  <si>
    <t>3.1.pasākums "Stiprināt esošajās slimnīcās strādājošo ārstniecības personu psihisko veselību"</t>
  </si>
  <si>
    <t>3.2.pasākums "Attālinātu konsultāciju pacientu līdzmaksājumu kompensēšana psihiatrijas jomā"</t>
  </si>
  <si>
    <t>12 mēnešiem</t>
  </si>
  <si>
    <t>ĀRSTA</t>
  </si>
  <si>
    <t>1 mēnesī</t>
  </si>
  <si>
    <t>Fiks.kab.maks. mēnesī</t>
  </si>
  <si>
    <t>Darba samaksa mēnesī</t>
  </si>
  <si>
    <t>Kopā izmaksas mēnesī</t>
  </si>
  <si>
    <t>VSIA "Daugavpils psihoneiroloģiskā slimnīca" (t.sk. VSIA "Aknīstes psihoneiroloģiskā slimnīca)"</t>
  </si>
  <si>
    <t>Vidēja termiņa budžeta ietvara likumā plānotais finansējums</t>
  </si>
  <si>
    <t>Nepieciešamais finansējums 2021.gada 9 mēnešiem, EUR</t>
  </si>
  <si>
    <t>Nepieciešamais finansējums gadam, EUR</t>
  </si>
  <si>
    <t>Nepieciešamais finansējums 2021.gada 6 mēnešiem, EUR</t>
  </si>
  <si>
    <t>Kabineta nosaukums</t>
  </si>
  <si>
    <t>Bērnu psihiatra kabinets</t>
  </si>
  <si>
    <t>Māsas kabinets</t>
  </si>
  <si>
    <t>Psihologa/psihoterapeita kabinets</t>
  </si>
  <si>
    <t>Funkcionālā speciālista kabinets</t>
  </si>
  <si>
    <t>Alga mēnesī, EUR</t>
  </si>
  <si>
    <t>Darba samaksa gadam, EUR</t>
  </si>
  <si>
    <t>Fiksētais maksājums gadā, EUR</t>
  </si>
  <si>
    <t>Kopējās izmaksas gadā, EUR</t>
  </si>
  <si>
    <t>4=(2+3)* 0,2359</t>
  </si>
  <si>
    <t>5= (2+3+4)*12</t>
  </si>
  <si>
    <t>Psihiatra/bērnu psihiatra kabinets</t>
  </si>
  <si>
    <t>Funkc.spec.kabinets</t>
  </si>
  <si>
    <t>VSAI (0,2359) mēnesī, EUR</t>
  </si>
  <si>
    <t>Vidējā izmaksa uz pacientu 2021.gadā, EUR</t>
  </si>
  <si>
    <t>1.5.</t>
  </si>
  <si>
    <t xml:space="preserve">Kopējais moduļu skaits </t>
  </si>
  <si>
    <t>Attīstības izmaksas, EUR ar PVN</t>
  </si>
  <si>
    <t xml:space="preserve">Plānotais attīstības projekta īstenošanas periods </t>
  </si>
  <si>
    <t>33.17.00. "Neatliekamās medicīniskās palīdzības nodrošināšana stacionārās ārstniecības iestādēs"</t>
  </si>
  <si>
    <t>1 Moduļu platība / m2</t>
  </si>
  <si>
    <t>Platība  uz gultu diennakts stacionārā / m2</t>
  </si>
  <si>
    <t xml:space="preserve"> Nepieciešamā attīstāmā platība  / m2 </t>
  </si>
  <si>
    <t>Attīstības izmaksas uz 1 m2 / EUR</t>
  </si>
  <si>
    <t>1. Moduļu mājas ar iekšējie apdari (griesti; sienas; grīdas), kā arī iekšējie inženiertīkli (elektrība; aukstais/karstais ūdens; kanalizācija), t.sk.,</t>
  </si>
  <si>
    <t>1.1. Moduļu mājas ar iekšējie apdari (griesti; sienas; grīdas), kā arī iekšējie inženiertīkli (elektrība; aukstais/karstais ūdens; kanalizācija)</t>
  </si>
  <si>
    <t>1.2. apliecinājuma kartas izstrāde (projektēšana bez iekšējiem inženierīkliem)</t>
  </si>
  <si>
    <t>1.3. būvuzraudzība</t>
  </si>
  <si>
    <t>1.4. autoruzraudzība</t>
  </si>
  <si>
    <t>1.5. ventilācija; zibensaidzsardzība</t>
  </si>
  <si>
    <t>1.6. būvdarbi (kanalizācijas pievilkšana, elektrības pievilkšana, vājstrāvas pievilkšana; karstais/aukstais ūdens)</t>
  </si>
  <si>
    <t>1.7. moduļu piegāde, uzstādīšana</t>
  </si>
  <si>
    <t>1.8. moduļu aprīkojums (gulta; skapītis)</t>
  </si>
  <si>
    <t>1.5.1.</t>
  </si>
  <si>
    <t>1.5.2.</t>
  </si>
  <si>
    <t>Uzlabot bērnu un pusaudžu psihiskās veselības pakalpojumu pieejamību, attīstot pakalpojumu reģionos</t>
  </si>
  <si>
    <t>Speciālistu savstarpējās sadarbības uzlabošana psihiskās veselības nozarē, t.sk. ģimenes ārstu prakšu  motivēšana iesaistīties savu pacientu psihiskās veselības novērtēšanā un uzraudzīšanā</t>
  </si>
  <si>
    <t>Esošā medicīniskā personāla resursa psihoemocionāls atbalsts un tā monitorings</t>
  </si>
  <si>
    <t xml:space="preserve">Nodrošināta līdzmaksājuma kompensēšana no valsts budžeta līdzekļiem psihiatriem par pacientu attālinātu konsultāciju sniegšanu </t>
  </si>
  <si>
    <t>33.17.00</t>
  </si>
  <si>
    <t>33.16.00</t>
  </si>
  <si>
    <t>1.2. pasākums "Palielināt psihiskās veselības aprūpes speciālistu klātienes un attālinātu konsultāciju saņemšanas iespējas iedzīvotājiem"</t>
  </si>
  <si>
    <t>1.3.pasākums: "Stiprināt emocionālo, psiholoģisko, kosultatīvo atbalstu pa tālruni vai tiešaitē, arī attālinātu konsultāciju veidā (t.sk. arī ārstniecības personu psihoemocionālo atbalstu)"</t>
  </si>
  <si>
    <t>1.4.pasākums "Uzlabot bērnu un pusaudžu psihiskās veselības pakalpojumu pieejamību, attīstot pakalpojumu reģionos"</t>
  </si>
  <si>
    <t>Nepieciešamais finansējums 2021.gadam, EUR</t>
  </si>
  <si>
    <t>2021*</t>
  </si>
  <si>
    <t>Nepieciešamais finansējums 2022. gadam un turpmāk ik gadu, EUR</t>
  </si>
  <si>
    <t>Par nepieciešamajiem pasākumiem 2021. gadam un turpmāk, lai samazinātu ilglaicīgu negatīvo ietekmi uz sabiedrības psihisko veselību, ko rada COVID-19 pandēmija</t>
  </si>
  <si>
    <t>Palielināt psiholoģiskās palīdzības un psihiskās veselības aprūpes pakalpojumu pieejamību</t>
  </si>
  <si>
    <t>Klīniskā un veselības psihologa konsultācija*</t>
  </si>
  <si>
    <t>60037: Ārsta-speciālista sniegta attālināta konsultācija ģimenes ārstam vai citas specialitātes ārstam-speciālistam (manipulāciju norāda ārsts-speciālists)**</t>
  </si>
  <si>
    <t>Koeficients*</t>
  </si>
  <si>
    <t>Ārsta piemaksa (psihiatrija), EUR</t>
  </si>
  <si>
    <t>Nepieciešamais finansējums 2021.gada 6 mēnešiem (no jūlija), EUR</t>
  </si>
  <si>
    <t>Finansējums 2021. gada 11 mēnešiem, EUR</t>
  </si>
  <si>
    <t>1.4.1.pasākums "Pakalpojumu pieejamības uzlabošana jauniešiem ar garastāvokļa un uzvedības traucējumiem un to seku mazināšana Rīgā nepieciešamais finansējums" (2021. gada 11 mēneši)</t>
  </si>
  <si>
    <t>1.tabula "Izmaksu aprēķins/finansējuma grozs 2021. gada 11 mēnešiem"</t>
  </si>
  <si>
    <t>11 mēn</t>
  </si>
  <si>
    <t>Aprēķins gadam veikts ņemot vērā, ka pakalpojuma nodrošināšanas laiks ir 11 mēneši un pakalpojums tiks sniegts vairākos reģionos, viena centra aprēķins līdz 37-55 bērniem.</t>
  </si>
  <si>
    <t>Vidēji uz vienu klientu no šīs kategorijas nepieciešams 5 konsultācijas mēnesī 3 mēnešu garumā. Projekta izmaksu aprēķins: Vienas vienības izmaksas * 37-55 klienti projekta laikā * 15 konsultācijas.</t>
  </si>
  <si>
    <t>Vidēji uz vienu klientu no šīs kategorijas nepiecišama 1 konsultācija mēnesī 3 mēnešu garumā.  Projekta izmaksu aprēķins: Vienas vienības izmaksas * 37-55 klienti projekta laikā * 3 konsultācijas.</t>
  </si>
  <si>
    <t>Projekta izmaksu aprēķins: Vienas vienības izmaksas *4 nodarbības*11 mēneši</t>
  </si>
  <si>
    <t>Projekta izmaksu aprēķins: Vienas vienības izmaksas * 15 nodarbības* 10-15  klienti projekta laikā</t>
  </si>
  <si>
    <t>Pakalpojuma izmaksas jauna centra atvēršana (līdz 37 klienti)</t>
  </si>
  <si>
    <t>Finansējums 2021.gada 11 mēnešiem, EUR</t>
  </si>
  <si>
    <t>Koeficients pieaugumam = 13/11 =</t>
  </si>
  <si>
    <t>Nepieciešamais papildus slodžu skaits (uz epidem.pasākumu nodrošināšanas rēķina)</t>
  </si>
  <si>
    <t>2021. gada 11 mēneši</t>
  </si>
  <si>
    <t>Investīciju vajadzības</t>
  </si>
  <si>
    <t>** Manipulāciju tarifs no 2021. gada</t>
  </si>
  <si>
    <t>Apmeklējumu skaits, mēnesī</t>
  </si>
  <si>
    <t>Pacientu skaits mēnesī</t>
  </si>
  <si>
    <t>Pacientu skaits 11 mēnešos</t>
  </si>
  <si>
    <t>Papildus nepieciešamais finansējums 2021.gada 11 mēnešiem, EUR</t>
  </si>
  <si>
    <t>Apmeklējumu skaits mēnesī</t>
  </si>
  <si>
    <t>Nepieciešamais finansējums 2021. gada 6 mēnešiem, EUR</t>
  </si>
  <si>
    <t>Pacienta līdzmaksājuma kompensācija 2021. gada 11 mēnešiem, EUR</t>
  </si>
  <si>
    <t xml:space="preserve">Apmeklējumu skaits psihiatram un bērnu psihiatram ambulatori un kabinetos, izņemot dienas stacionāra pakalpojumus </t>
  </si>
  <si>
    <t>Darba samaksa kopā mēnesī, EUR</t>
  </si>
  <si>
    <t>VSAOI mēnesī, EUR</t>
  </si>
  <si>
    <t>Pakalpojums*</t>
  </si>
  <si>
    <t>* Lai palielinātu psihiskās veselības aprūpes speciālistu klātienes un attālinātu konsultāciju saņemšanas iespējas iedzīvotājiem 2021. gadā ar ģimenes ārsta nosūtījumu plānots apmaksāt 5-10 divu veidu psihologu sniegtas konsultācijas. Plānotas apmaksāt divu veidu konsultācijas - pirmās sniedz klīniskais un veselības psihologs, savukārt otrās arī klīniskais un veselības psihologs, bet ar papildus apgūtu psihoterapijas metodi, tādēļ arī manipulāciju tarifs paredzēts lielāks, jo šīs speciālists ir ieguvis vairāk praktiskās iemaņas un zināšanas.</t>
  </si>
  <si>
    <t>Klīniskā un veselības psihologa konsultācija</t>
  </si>
  <si>
    <t>Klīniskā un veselības psihologa ar psihoterapeita izglītību konsultācija*</t>
  </si>
  <si>
    <t>Klīniskā un veselības psihologa ar psihoterapeita izglītību konsultācija</t>
  </si>
  <si>
    <t>Paredzēto telefonlīniju skaits no 2021. gada februāra līdz jūnijam</t>
  </si>
  <si>
    <t>Paredzeto telefonlīniju skaits no 2021. gada jūlija*</t>
  </si>
  <si>
    <t>Nepieciešamais finansējums 2021.gada 5 mēnešiem (no februāra līdz jūnijam), EUR</t>
  </si>
  <si>
    <t>* Igaunijā un Lietuvā ir ieviestas vienotas psihoemocionālā atbalsta līnijas, kur palīdzību nodrošina cilvēki, kas ir kompetenti izvērtēt zvanītāja psihoemocionālo stāvokli un sniegt viņam nepieciešamo atbalstu. 2020. gadā šāds pakalpojums tika nodrošināts krīzes un konsultāciju centrā “Skalbes”, ko apmaksāja Rīgas pašvaldība. No 2021. gadā šo pakalpojumu ir gatava nodrošināt VSIA “Rīgas psihiatrijas un narkoloģijas centrs”, sadarbībā ar krīzes un konsultāciju centru “Skalbes”, nodrošinot arī papildus specializētu personālu un psihologus, jo kā pierādījusi COVID-19 pandēmijas ārkārtas situācijas pasludināšana vai esošie uzliesmojumi, tiem ir ļoti liela nozīme psihiskās veselības traucējumu attīstībā vai esošo traucējumu potencēšanā, kas var izpausties kā “atsitiena” efekts – gan uzliesmojuma laikā, gan pēc uzliesmojuma t.i. novēloti. Ņemot vērā šogad saņemto zvanu skaitu un sniegtu palīdzību, pieprasījumam ir tendence palielināties, tāpēc ar 2021. gada jūliju plānots atvērt papildus psihoemocionālā atbalsta līniju.</t>
  </si>
  <si>
    <t>Plānotais pacientu skaits 2021. gada 11 mēnešos, EUR</t>
  </si>
  <si>
    <t>KOPSAVILKUMS - papildus nepieciešamais finansējums kopā</t>
  </si>
  <si>
    <r>
      <t>Piemaksa par intensitāti</t>
    </r>
    <r>
      <rPr>
        <vertAlign val="superscript"/>
        <sz val="10"/>
        <rFont val="Times New Roman"/>
        <family val="1"/>
      </rPr>
      <t>1</t>
    </r>
    <r>
      <rPr>
        <sz val="10"/>
        <rFont val="Times New Roman"/>
        <family val="1"/>
      </rPr>
      <t> mēnesī, EUR </t>
    </r>
  </si>
  <si>
    <r>
      <t>1</t>
    </r>
    <r>
      <rPr>
        <sz val="10"/>
        <rFont val="Times New Roman"/>
        <family val="1"/>
      </rPr>
      <t>2018. gada 28. augusta Ministru kabineta noteikumos Nr. 555 10.pielikuma 22. punkts -  aprēķinot ikmēneša fiksēto maksājumu psihiatra kabinetam, psihologa/psihoterapeita kabinetam, māsas un funkcionālo speciālistu kabinetiem, darba samaksas aprēķinā papildus iekļauj maksu par sarežģītību (darbu ar pacientiem ar garīgiem un psihiskiem traucējumiem) 30 % apmērā un psihiatram, psihologam un psihoterapeitam papildu maksu 40 % apmērā par pieejamības nodrošināšanu un darbu paaugstinātas intensitātes apstākļos. Abi koeficienti tiek piemēroti bāzes atalgojumam, kas noteikts šo noteikumu 153. punktā.</t>
    </r>
    <r>
      <rPr>
        <vertAlign val="superscript"/>
        <sz val="10"/>
        <rFont val="Times New Roman"/>
        <family val="1"/>
      </rPr>
      <t xml:space="preserve">
</t>
    </r>
    <r>
      <rPr>
        <sz val="10"/>
        <rFont val="Times New Roman"/>
        <family val="1"/>
      </rPr>
      <t>Šo noteikumu 10. pielikuma 2. piezīmē minētos darba samaksas aprēķinā iekļaujamos koeficientus no 2020. gada piemēro vidējai darba samaksai, kas bija spēkā līdz 2019. gada 31. decembrim (ārstiem un funkcionālajiem speciālistiem – 1 350,00 euro, ārstniecības un pacientu aprūpes personām un funkcionālo speciālistu asistentiem – 810,00 euro).</t>
    </r>
  </si>
  <si>
    <t>Alga*</t>
  </si>
  <si>
    <t>* Saskaņā ar MK noteikumu Nr.555 10.pielikuma “Steidzamās medicīniskās palīdzības punkti un fiksētā ikmēneša maksājuma (piemaksas) aprēķins ārstu speciālistu kabinetiem un struktūrvienībām” 2.13. apakšpunktu psihologa/psihoterapeita kabinetam, darba samaksas aprēķinā papildus iekļauj maksu par sarežģītību (darbu ar pacientiem ar garīgiem un psihiskiem traucējumiem) 30% apmērā, kuru piemēro atalgojumam, kas noteikts šo Noteikumu 153. punktā. Tādējādi klīniskā un veselības psihologa konsultācijām tiek piemērots papildus 30% darba samaksas pieaugums, lai izkonkurētu psihologu atalgojumu privātajā sektorā.</t>
  </si>
  <si>
    <t>Pacienta līdzmaksājuma* kompensācija mēnesī, EUR</t>
  </si>
  <si>
    <t>*Atbilstoši MK noteikumiem Nr.555 pacienta līdzmaksājums ir 4 euro.</t>
  </si>
  <si>
    <t>Palielināt psihiskās veselības aprūpes speciālistu klātienes un attālinātu konsultāciju saņemšanas iespējas iedzīvotājiem (1.2.2. pasākums - nodrošināt, ka pacients var saņemt 5-10 psihologa vai psihoterapeita konsultācijas ar ģimenes ārsta nosūtījumu)</t>
  </si>
  <si>
    <t>Viens apmeklējums aizņem 360/13=27,7 minūtes</t>
  </si>
  <si>
    <t>Viena psihiatra slodze ir 13 apmeklējumi dienā un divas stundas medicīnisko dokumentu aizpildīšanai, kas kopā aizņem astoņas stundas darba laika</t>
  </si>
  <si>
    <t xml:space="preserve">Pieliekot klāt 5 min pacientu apmeklējumu laikam, lai veiktu epidemioloģiskās drošības pasākumus 6 stundās var pieņemt 11 pacientus (360 minūtes/32,7 (27,7+5) minūtēm = 11 apmeklējumi dienā) </t>
  </si>
  <si>
    <t>Viena kabineta (1 slodzes) kopējās izmaksas 2021.gadā, EUR</t>
  </si>
  <si>
    <t>Nepieciešamais papildus finansējums papildus slodzēm 2021.gada 11 mēnešiem</t>
  </si>
  <si>
    <t>2021.gadā plānotais slodžu skaits</t>
  </si>
  <si>
    <t>Kopā mēnesī</t>
  </si>
  <si>
    <t>VSAOI</t>
  </si>
  <si>
    <t>1.8.3.</t>
  </si>
  <si>
    <t>1.8.2.</t>
  </si>
  <si>
    <t>1.7.5.</t>
  </si>
  <si>
    <t>1.12.18.</t>
  </si>
  <si>
    <t>1.8.1.</t>
  </si>
  <si>
    <t>1.7.6.</t>
  </si>
  <si>
    <t>2021.gadam pieejamais finansējums</t>
  </si>
  <si>
    <t>Ambulatorās psihiatrijas kapacitātes uzlabošanai (uz epidemioloģisko pasākumu ievērošanas rēķina)</t>
  </si>
  <si>
    <t>COVID-19 pacientu aprūpē iesaistīto ārstniecības personu nepieciešamā psiholoģiskā atbalsta nodrošinājums</t>
  </si>
  <si>
    <t>"Skalbes" krīzes telefona darbības nodrošinājums</t>
  </si>
  <si>
    <t>Moduļu mājas ar iekšējie apdari (griesti; sienas; grīdas), kā arī iekšējie inženiertīkli (elektrība; aukstais/karstais ūdens; kanalizācija)</t>
  </si>
  <si>
    <t>Attālinātu konsultāciju pacientu līdzmaksājumu kompensēšanai psihiatrijas jomā</t>
  </si>
  <si>
    <t>Mēneša darba samaksa * 1.3**</t>
  </si>
  <si>
    <t>Mēneša darba samaksa * 1.5**</t>
  </si>
  <si>
    <t>** tiek plānoti grozījumi Ministru kabineta 28.08.2018. noteikumos Nr.555 "Veselības aprūpes pakalpojumu organizēšanas un samaksas kārtība"</t>
  </si>
  <si>
    <t>Nepieciešamais slodžu skaits COVID-19 pandēmijas</t>
  </si>
  <si>
    <t>2021.gadam pieejamais finansējums ir aprēķināts pie 1.5.1.pasākuma</t>
  </si>
  <si>
    <t>Palielināt specializētajos psihiskās veselības aprūpes ambulatorajos centros multiprofesionalajā komandā (psihiatrs, bērnu psihiatrs, māsa funkcionālais speciālists, klīniskais un veselības psihologs u.c.) strādājošo ārstniecības personas skaitu (Vidēja termiņa budžeta ietvara likumā plānotais finansējums 2021.-2023.gadiem ir iekļauts 1.5.1.pasākumā)</t>
  </si>
  <si>
    <r>
      <t xml:space="preserve">Informatīvajā ziņojumā  iekļauto pasākumu īstenošanai </t>
    </r>
    <r>
      <rPr>
        <b/>
        <sz val="10"/>
        <rFont val="Times New Roman"/>
        <family val="1"/>
      </rPr>
      <t>nepieciešamais papildus finansējums</t>
    </r>
  </si>
  <si>
    <t xml:space="preserve">Veicināt psihoemocionālās komandas izveidi ārstniecības iestādēs, kurās personas, strādā COVID-19 pandēmijas apstākļos  (ārstniecības personas, psihiskās veselības aprūpes speciālisti): kur saņemt psiholoģisku konsultāciju (attālināti vai tiešsaitē) vai atbalsta grupu/krīzes intervenci un/vai citus garīgās veselības aprūpes pakalpojumus atbilstoši veiktajam psiholoģiskajam vērtējumam </t>
  </si>
  <si>
    <t>3.1.2.pasākums "Organizēt atbildīgos darbiniekus ārstniecības iestādē par ārstniecības personu psihiskās veselības stāvokļa monitorēšanu un procesa uzraudzību COVID-19 pandēmijas laikā"</t>
  </si>
  <si>
    <t xml:space="preserve">3.1.3.pasākums "Veicināt psihoemocionālās komandas izveidi ārstniecības iestādēs, kurās personas, strādā COVID-19 pandēmijas apstākļos (ārstniecības personas, psihiskās veselības aprūpes speciālisti): kur saņemt psiholoģisku konsultāciju (attālināti vai tiešsaitē) vai atbalsta grupu/krīzes intervenci un/vai citus garīgās veselības aprūpes pakalpojumus atbilstoši veiktajam psiholoģiskajam izvērtējumam" </t>
  </si>
  <si>
    <t>2.2.</t>
  </si>
  <si>
    <t xml:space="preserve">2.pasākums "Psihiskās veselības aprūpes speciālistu un ģimenes ārstu komandas savstarpējās sadarbības uzlabošana" </t>
  </si>
  <si>
    <t>2.2.pasākums "Izstrādāt apmaksas nosacījumus ģimenes ārsta komandas darbam pacientiem ar psihiskiem un uzvedības traucējumiem" (2021. gada 6 mēneši)</t>
  </si>
  <si>
    <t>Izstrādāt apmaksas nosacījumus ģimenes ārsta komandas darbam pacientiem ar psihiskiem un uzvedības traucējumiem</t>
  </si>
  <si>
    <t>1.2.2. pasākums "Nodrošināt, ka pacients var saņemt 5-10 psihologa vai psihoterapeita konsultācijas ar ģimenes ārsta nosūtijumu"</t>
  </si>
  <si>
    <t>Darbības uzsākšana 2021.gada februārī</t>
  </si>
  <si>
    <t>Darbības uzsākšana 2021.gada martā</t>
  </si>
  <si>
    <t>Darbības uzsākšanas laiks</t>
  </si>
  <si>
    <t>Darba samaksa kopā 2021.gadā, EUR</t>
  </si>
  <si>
    <t>VSAOI kopā 2021.gadā, EUR</t>
  </si>
  <si>
    <t>Kabineta nodrošinājuma maksājums 2021. gadā, EUR</t>
  </si>
  <si>
    <t>Papildus nepieciešamais finansējums 2021. gadam, EUR</t>
  </si>
  <si>
    <t>1.5. pasākums "Nodrošināt psihiskās veselības aprūpes pakalpojumu apjoma saglabāšanos, kas samazinājusies uz epidemioloģisko pasākumu ievērošanas rēķina"</t>
  </si>
  <si>
    <t>1.5.1.pasākums "Saglabāt esošo ambulatoro psihiskās veselības aprūpes pakalpojumu apjomu"</t>
  </si>
  <si>
    <t>1.5.2. pasākums "Saglabāt esošo stacionāro psihiskās veselības aprūpes pakalpojumu apjomu"</t>
  </si>
  <si>
    <t>Nodrošināt psihiskās veselības aprūpes pakalpojumu apjoma saglabāšanos, kas samazinājusies uz epidemioloģisko pasākumu ievērošanas rēķina</t>
  </si>
  <si>
    <t>Saglabāt esošo ambulatoro psihiskās veselības aprūpes pakalpojumu apjomu</t>
  </si>
  <si>
    <t>Saglabāt esošo stacionāro psihiskās veselības aprūpes pakalpojumu apjomu</t>
  </si>
  <si>
    <t>2.1. pasākums "Nodrošināt psihiatru atbalstu ģimenes ārstiem par viņu uzraudzībā esošu pacientu psihiskās veselības aprūpi" (2021. gada 11 mēneši)</t>
  </si>
  <si>
    <t>Nodrošināt psihiatru atbalstu ģimenes ārstiem par viņu uzraudzībā esošu pacientu psihiskās veselības aprūpi</t>
  </si>
  <si>
    <t>Skaidrojums</t>
  </si>
  <si>
    <r>
      <rPr>
        <b/>
        <sz val="10"/>
        <rFont val="Times New Roman"/>
        <family val="1"/>
      </rPr>
      <t>Informātīvi:</t>
    </r>
    <r>
      <rPr>
        <sz val="10"/>
        <rFont val="Times New Roman"/>
        <family val="1"/>
      </rPr>
      <t xml:space="preserve"> Iekļauts informatīvajā ziņojumā “Veselības nozares kapacitātes celšana un noturības stiprināšana Covid-19 apstākļos Latvijā” (izskatīts MK 08.12.2020. sēdē) (turpmāk - Kapacitātes ziņojums)</t>
    </r>
  </si>
  <si>
    <t>1. Darbinieku atalgojums</t>
  </si>
  <si>
    <t>Nr.p.k.</t>
  </si>
  <si>
    <t>Pozīcija</t>
  </si>
  <si>
    <t>Psihologs</t>
  </si>
  <si>
    <t>Tālruņa koordinators</t>
  </si>
  <si>
    <t>Administratīvais darbinieks</t>
  </si>
  <si>
    <t>2. Administratīvās izmaksas</t>
  </si>
  <si>
    <t>Datortehnikas noma (datori un telefoni)</t>
  </si>
  <si>
    <t>Telefonpakalpojumi</t>
  </si>
  <si>
    <t>2.3.</t>
  </si>
  <si>
    <t>Kancelejas preces</t>
  </si>
  <si>
    <t>2.4.</t>
  </si>
  <si>
    <t>2.5.</t>
  </si>
  <si>
    <t>Supervizors</t>
  </si>
  <si>
    <t>2.6.</t>
  </si>
  <si>
    <t>Darba apjoms slodzēs 1 telefonlīnijai</t>
  </si>
  <si>
    <t>Zvanu reģistra izstrāde (vienreizējs maksājums)</t>
  </si>
  <si>
    <t>Pakalpojuma reklāma, sabiedrības informēšana (apjoms nav atkarīgs no telefonlīniju skaita)</t>
  </si>
  <si>
    <t>Kopā papildus nepieciešamais finansējums 2021.gadam, EUR</t>
  </si>
  <si>
    <t>Konsultants (divas darba vietas diennakts režīmā)**</t>
  </si>
  <si>
    <t>Apjoms</t>
  </si>
  <si>
    <t>Viena mēneša izmaksas, EUR</t>
  </si>
  <si>
    <t>Vienas vienības atlīdzība (ar darba devēja VSAOI 23,59%) EUR</t>
  </si>
  <si>
    <t>Maksa par ienākošiem zvaniem, kas ir bezmaksas zvanītājam uz psihoemocionālā atbalsta līniju</t>
  </si>
  <si>
    <t>Ieviešanas uzsākšana 2021.gada jūlijā</t>
  </si>
  <si>
    <t>** Konsultanta (mēnešalga 8.grupa  II saime, 3.kategorija max  1093 euro) atlīdzība noteikta ar 50% piemaksu par darbu naktī un 100% piemaksu par darbu svētku dienās. Slodžu skaits aprēķināts, ņemot vērā arī aizvietošanu.</t>
  </si>
  <si>
    <t>3.3.</t>
  </si>
  <si>
    <t xml:space="preserve">Abonēšanas maksa par numuru </t>
  </si>
  <si>
    <t>Citas saistītas izmaksas</t>
  </si>
  <si>
    <t>3. Fiksētā diapazona telefona numurs "8XXXXXXX" ar bezmaksas zvaniem uz psihoemocionālā atbalsta līniju (no 2021.gada jūlija)</t>
  </si>
  <si>
    <t>3.4.</t>
  </si>
  <si>
    <t>1 numurs</t>
  </si>
  <si>
    <t>vienreizējs maksājums</t>
  </si>
  <si>
    <t xml:space="preserve">Numura ierīkošanas maksa </t>
  </si>
  <si>
    <t>Pakalpojuma izmaksas 1 centram (līdz 55 klienti)</t>
  </si>
  <si>
    <t>2021. gada pirmajā pusgadā vienas telefonlīnijas pakalpojumu nodrošinās 2 operatoru-konsultantu darba vietas visu diennakti, 3 psihologu darba vietas, tālruņa koordinatora darba vieta un 0,5 slodzes administratīviem darbiniekiem, savukārt 2021. gada otrajā pusgadā un turpmāk divu telefonlīniju pakalpojumu nodrošinās 4 operatoru-konsultantu darba vietas visu diennakti, 3 psihologu darba vietas, tālruņa koordinatora darba vieta un 0,5 slodzes administratīviem darbiniekiem. Plānotās darba samaksas aprēķins veikts, piemērojot stundas likmi, ņemot vērā aizvietošanu.</t>
  </si>
  <si>
    <t>12 000 ienākošie zvani mēnesī (vidēji 400 zvani dienā * 30 dienas mēnesī),
vidēji 40 800 sarunu minūtes mēnesī. Vienas minūtes izmaksas 0,1326 euro * 1,21% (PVN)</t>
  </si>
  <si>
    <t xml:space="preserve"> </t>
  </si>
  <si>
    <r>
      <t xml:space="preserve">Salīdzinājumā ar Kapacitātes ziņojumu, Informatīvajā ziņojumā iekļautais papildus nepieciešamais finansējums ir </t>
    </r>
    <r>
      <rPr>
        <b/>
        <sz val="10"/>
        <rFont val="Times New Roman"/>
        <family val="1"/>
      </rPr>
      <t>lielāks</t>
    </r>
    <r>
      <rPr>
        <sz val="10"/>
        <rFont val="Times New Roman"/>
        <family val="1"/>
      </rPr>
      <t xml:space="preserve">, jo uz Informatīvā ziņojuma sagatavošanas brīdi, ņemot vērā COVID-19 pandēmijas ietekmi, ir paredzēts 7,5-12,5 reizēs lielāks apkalpoto zvanu skaits dienā. </t>
    </r>
  </si>
  <si>
    <r>
      <t xml:space="preserve">Salīdzinājumā ar Kapacitātes ziņojumu, Informatīvajā ziņojumā iekļautais papildus nepieciešamais finansējums ir </t>
    </r>
    <r>
      <rPr>
        <b/>
        <sz val="10"/>
        <rFont val="Times New Roman"/>
        <family val="1"/>
      </rPr>
      <t>mazāks</t>
    </r>
    <r>
      <rPr>
        <sz val="10"/>
        <rFont val="Times New Roman"/>
        <family val="1"/>
      </rPr>
      <t>, jo pusaudžu skaita pieaugums ir paredzēts no 2021.gada februāra. Starpība starp Kapacitātes ziņojumā šim pasākumam aprēķināto un Informatīvajā ziņojumā iekļauto 2021.gadam papildus nepieciešamo finansējumu netiks pieprasīta (ņemot vērā COVID-19 pandēmijas radīto ietekmi atbilstoši stāvoklim uz Informatīvā ziņojuma apstiprināšanas brīdi).</t>
    </r>
  </si>
  <si>
    <r>
      <t xml:space="preserve">Salīdzinājumā ar Kapacitātes ziņojumu, Informatīvajā ziņojumā iekļautais papildus nepieciešamais finansējums ir </t>
    </r>
    <r>
      <rPr>
        <b/>
        <sz val="10"/>
        <rFont val="Times New Roman"/>
        <family val="1"/>
      </rPr>
      <t>lielāks</t>
    </r>
    <r>
      <rPr>
        <sz val="10"/>
        <rFont val="Times New Roman"/>
        <family val="1"/>
      </rPr>
      <t>, jo ir pārskatīts 2021.gadā plānotais slodžu skaits, kā arī ir piemērota aktuālā ārstniecības personu darba samaksa atbilstoši MK pieņemtajiem lēmumiem.</t>
    </r>
  </si>
  <si>
    <r>
      <t xml:space="preserve">Salīdzinājumā ar Kapacitātes ziņojumu, Informatīvajā ziņojumā iekļautais papildus nepieciešamais finansējums ir </t>
    </r>
    <r>
      <rPr>
        <b/>
        <sz val="10"/>
        <rFont val="Times New Roman"/>
        <family val="1"/>
      </rPr>
      <t>lielāks</t>
    </r>
    <r>
      <rPr>
        <sz val="10"/>
        <rFont val="Times New Roman"/>
        <family val="1"/>
      </rPr>
      <t>, jo ir veikta summas korekcija, iekļaujot pievienotās vērtības nodokli.</t>
    </r>
  </si>
  <si>
    <r>
      <t xml:space="preserve">Salīdzinājumā ar Kapacitātes ziņojumu, Informatīvajā ziņojumā iekļautais papildus nepieciešamais finansējums ir </t>
    </r>
    <r>
      <rPr>
        <b/>
        <sz val="10"/>
        <rFont val="Times New Roman"/>
        <family val="1"/>
      </rPr>
      <t>mazāks</t>
    </r>
    <r>
      <rPr>
        <sz val="10"/>
        <rFont val="Times New Roman"/>
        <family val="1"/>
      </rPr>
      <t>, jo ir pārskatīts ārstniecības personu darba samaksai plānotais koeficients, kā arī ir veiktas aprēķina korekcijas. Starpība starp Kapacitātes ziņojumā šim pasākumam aprēķināto un Informatīvajā ziņojumā iekļauto 2021.gadam papildus nepieciešamo finansējumu netiks pieprasīta (ņemot vērā COVID-19 pandēmijas radīto ietekmi atbilstoši stāvoklim uz Informatīvā ziņojuma apstiprināšanas brīdi).</t>
    </r>
  </si>
  <si>
    <r>
      <t xml:space="preserve">Salīdzinājumā ar Kapacitātes ziņojumu, Informatīvajā ziņojumā iekļautais papildus nepieciešamais finansējums ir </t>
    </r>
    <r>
      <rPr>
        <b/>
        <sz val="10"/>
        <rFont val="Times New Roman"/>
        <family val="1"/>
      </rPr>
      <t>mazāks</t>
    </r>
    <r>
      <rPr>
        <sz val="10"/>
        <rFont val="Times New Roman"/>
        <family val="1"/>
      </rPr>
      <t>, jo attālinātu konsultāciju psihiatrijā pacientu līdzmaksājumu kompensēšanu ir paredzēts uzsākt no 2021.gada februāra. Starpība starp Kapacitātes ziņojumā šim pasākumam aprēķināto un Informatīvajā ziņojumā iekļauto 2021.gadam papildus nepieciešamo finansējumu netiks pieprasīta (ņemot vērā COVID-19 pandēmijas radīto ietekmi atbilstoši stāvoklim uz Informatīvā ziņojuma apstiprināšanas brīdi).</t>
    </r>
  </si>
  <si>
    <r>
      <t xml:space="preserve">1.2.1. pasākums "Informēt sabiedrību par šādu konsultāciju saņemšanas iespējām un pakalpojumu saņemšanas kārtību" </t>
    </r>
    <r>
      <rPr>
        <b/>
        <sz val="12"/>
        <rFont val="Times New Roman"/>
        <family val="1"/>
      </rPr>
      <t>tiks realizēts esošā finansējuma ietvaros</t>
    </r>
  </si>
  <si>
    <r>
      <t xml:space="preserve">1.4.2.pasākums "Nodrošināta pakalpojumu pieejamība jauniešiem ar garastāvokļa un uzvedības traucējumiem un to seku mazināšana Latvijas reģionos" </t>
    </r>
    <r>
      <rPr>
        <b/>
        <i/>
        <sz val="12"/>
        <rFont val="Times New Roman"/>
        <family val="1"/>
      </rPr>
      <t>(2021. gada 11 mēneši)</t>
    </r>
  </si>
  <si>
    <t>* Ministru kabinets 08.12.2020. sēdē ir pieņemis lēmumu Veselības ministrijai normatīvos aktos noteiktā kārtībā sagatavot un iesniegt izskatīšanai Ministru kabinetā rīkojuma projektus par finanšu līdzekļu piešķiršanu no valsts budžeta programmas 02.00.00 "Līdzekļi neparedzētiem gadījumiem"  informatīvā ziņojumā minēto pasākumu Covid-19 izplatības mazināšanai, atbilstoši faktiskajai nepieciešamībai 2021.gadā.</t>
  </si>
  <si>
    <t>99.00.00 "Līdzekļu neparedzētiem gadījumiem izlietojums"</t>
  </si>
  <si>
    <t>1.pielikums MK rīkojuma projekta “Par finanšu līdzekļu piešķiršanu no valsts budžeta programmas “Līdzekļi neparedzētiem gadījumiem”” anotācijai</t>
  </si>
  <si>
    <t>2.pielikums MK rīkojuma projekta “Par finanšu līdzekļu piešķiršanu no valsts budžeta programmas “Līdzekļi neparedzētiem gadījumiem”” anotācijai</t>
  </si>
  <si>
    <t>3.pielikums MK rīkojuma projekta “Par finanšu līdzekļu piešķiršanu no valsts budžeta programmas “Līdzekļi neparedzētiem gadījumiem”” anotācijai</t>
  </si>
  <si>
    <t>4.pielikums MK rīkojuma projekta “Par finanšu līdzekļu piešķiršanu no valsts budžeta programmas “Līdzekļi neparedzētiem gadījumiem”” anotācijai</t>
  </si>
  <si>
    <t>5.pielikums MK rīkojuma projekta “Par finanšu līdzekļu piešķiršanu no valsts budžeta programmas “Līdzekļi neparedzētiem gadījumiem”” anotācijai</t>
  </si>
  <si>
    <t>6.pielikums MK rīkojuma projekta “Par finanšu līdzekļu piešķiršanu no valsts budžeta programmas “Līdzekļi neparedzētiem gadījumiem”” anotācijai</t>
  </si>
  <si>
    <t>7.pielikums MK rīkojuma projekta “Par finanšu līdzekļu piešķiršanu no valsts budžeta programmas “Līdzekļi neparedzētiem gadījumiem”” anotācijai</t>
  </si>
  <si>
    <t>8.pielikums MK rīkojuma projekta “Par finanšu līdzekļu piešķiršanu no valsts budžeta programmas “Līdzekļi neparedzētiem gadījumiem”” anotācijai</t>
  </si>
  <si>
    <t>9.pielikums MK rīkojuma projekta “Par finanšu līdzekļu piešķiršanu no valsts budžeta programmas “Līdzekļi neparedzētiem gadījumiem”” anotācijai</t>
  </si>
  <si>
    <t>10.pielikums MK rīkojuma projekta “Par finanšu līdzekļu piešķiršanu no valsts budžeta programmas “Līdzekļi neparedzētiem gadījumiem”” anotācijai</t>
  </si>
  <si>
    <t>11.pielikums MK rīkojuma projekta “Par finanšu līdzekļu piešķiršanu no valsts budžeta programmas “Līdzekļi neparedzētiem gadījumiem”” anotācijai</t>
  </si>
  <si>
    <t>2021. gada pirmajā pusgadā tiks apkalpoti 150-250 zvani/dienā, savukārt 2021. gada otrajā pusgadā 300-500 zvani/dienā.</t>
  </si>
  <si>
    <t>Plānotā pacientu aptvere, % *</t>
  </si>
  <si>
    <t>* Pacientu proporcija par kuriem ģimenes ārstam ir nepieciešama konsultācija no psihiatra</t>
  </si>
  <si>
    <t>60038: Ārsta-speciālista sniegta attālināta konsultācija ģimenes ārstam (manipulāciju norāda ģimenes ārsts)**</t>
  </si>
  <si>
    <t>Kopsavilkums par 2021.gadam nepieciešamo finansējumu informatīvā ziņojuma "Par nepieciešamajiem pasākumiem 2021. gadam un turpmāk, lai samazinātu ilglaicīgu negatīvo ietekmi uz sabiedrības psihisko veselību, ko rada COVID-19 pandēmija" iekļauto pasākumu īstenošanai</t>
  </si>
  <si>
    <t xml:space="preserve">* 44 pacienti ir 2020.gada līgumā iekļautais pacientu skaits, savukārt 255 815 euro ir 2021.gadam pieejamais finansējums, kurā iekļauta 2020.gadam iedalīta summa un finansējums ārstniecības personu darba samaksas paaugstināšanai 2021.gadā. </t>
  </si>
  <si>
    <t>** 20% pieaugums iepriekšējā gada pacientu skaitam</t>
  </si>
  <si>
    <t>t.sk. plānotajā līgumā*</t>
  </si>
  <si>
    <t>t.sk. papildus nepieciešamais**</t>
  </si>
  <si>
    <t>* Piemērota projektu vadītāja vidējā alga (bruto) galvenajās trīs universitātes slimnīcās: VSIA “”Bērnu klīniskā universitātes slimnīca”- 1800 EUR, VSIA “Paula Stradiņa universitātes slimnīca” – 1800 EUR, VSIA “Rīgas Austrumu klīniskā universitātes slimnīca” – 1950 EUR. Amata pienākumos ietilpst aptaujas metodoloģijas apgūšana, regulāra tās izsūtīšana, rezultātu analīze un iegūto vērtējumu sniegšana, kas savā pamatā arī nodrošina darbinieku psihiskās veselības monitoringu, kā arī nepieciešamās psihiskās veselības palīdzības saņemšanas organizēšana savā slimnīcā.</t>
  </si>
  <si>
    <t>Uzsākšana no 2021.gada 1.jūlija</t>
  </si>
  <si>
    <t>Papildus nepieciešamais finansējums 2021.gada 6 mēnešiem, EUR</t>
  </si>
  <si>
    <t xml:space="preserve">Neatliekamās medicīniskās palīdzības dienests** </t>
  </si>
  <si>
    <t>** Atbildīgais darbinieks tiks nodrošināts, piesaistot pakalpojuma sniedzēju, maksu par pakalpojumu pielīdzinot pārējās ārstniecības iestādēs atbildīgo darbinieku izmaksām (2286 euro mēnesī).</t>
  </si>
  <si>
    <t>Uzsākšana no 2021.gada 1.aprīļa</t>
  </si>
  <si>
    <t>** Tiks nodrošināts, piesaistot pakalpojuma sniedzēju, maksu par pakalpojumu pielīdzinot 2 psihoemocionālās komandas izveides izmaksām pārējās ārstniecības iestādēs (20 133 euro 6 mēnešos).</t>
  </si>
  <si>
    <t>33.16.00.
39.04.00.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</si>
</sst>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000"/>
    <numFmt numFmtId="167" formatCode="0.000"/>
  </numFmts>
  <fonts count="60" x14ac:knownFonts="1">
    <font>
      <sz val="11"/>
      <color theme="1"/>
      <name val="Calibri"/>
      <family val="2"/>
      <charset val="204"/>
      <scheme val="minor"/>
    </font>
    <font>
      <sz val="11"/>
      <color theme="1"/>
      <name val="Calibri"/>
      <family val="2"/>
      <charset val="186"/>
      <scheme val="minor"/>
    </font>
    <font>
      <sz val="11"/>
      <color theme="1"/>
      <name val="Calibri"/>
      <family val="2"/>
      <charset val="186"/>
      <scheme val="minor"/>
    </font>
    <font>
      <b/>
      <sz val="11"/>
      <color theme="1"/>
      <name val="Times New Roman"/>
      <family val="1"/>
      <charset val="186"/>
    </font>
    <font>
      <sz val="11"/>
      <name val="Times New Roman"/>
      <family val="1"/>
      <charset val="186"/>
    </font>
    <font>
      <sz val="12"/>
      <name val="Times New Roman"/>
      <family val="1"/>
      <charset val="186"/>
    </font>
    <font>
      <sz val="10"/>
      <name val="Arial"/>
      <family val="2"/>
      <charset val="186"/>
    </font>
    <font>
      <sz val="11"/>
      <color theme="1"/>
      <name val="Calibri"/>
      <family val="2"/>
      <charset val="186"/>
      <scheme val="minor"/>
    </font>
    <font>
      <b/>
      <sz val="12"/>
      <name val="Times New Roman"/>
      <family val="1"/>
      <charset val="186"/>
    </font>
    <font>
      <b/>
      <sz val="10"/>
      <name val="Times New Roman"/>
      <family val="1"/>
      <charset val="204"/>
    </font>
    <font>
      <sz val="10"/>
      <name val="Times New Roman"/>
      <family val="1"/>
      <charset val="204"/>
    </font>
    <font>
      <i/>
      <sz val="10"/>
      <name val="Times New Roman"/>
      <family val="1"/>
      <charset val="204"/>
    </font>
    <font>
      <b/>
      <u/>
      <sz val="10"/>
      <name val="Times New Roman"/>
      <family val="1"/>
      <charset val="204"/>
    </font>
    <font>
      <sz val="10"/>
      <name val="Times New Roman"/>
      <family val="1"/>
      <charset val="186"/>
    </font>
    <font>
      <i/>
      <sz val="10"/>
      <name val="Times New Roman"/>
      <family val="1"/>
      <charset val="186"/>
    </font>
    <font>
      <b/>
      <sz val="11"/>
      <name val="Times New Roman"/>
      <family val="1"/>
      <charset val="186"/>
    </font>
    <font>
      <sz val="11"/>
      <color theme="1"/>
      <name val="Calibri"/>
      <family val="2"/>
      <scheme val="minor"/>
    </font>
    <font>
      <u/>
      <sz val="11"/>
      <color theme="10"/>
      <name val="Calibri"/>
      <family val="2"/>
      <charset val="204"/>
      <scheme val="minor"/>
    </font>
    <font>
      <b/>
      <sz val="11"/>
      <color theme="1"/>
      <name val="Times New Roman"/>
      <family val="1"/>
    </font>
    <font>
      <sz val="11"/>
      <color theme="1"/>
      <name val="Times New Roman"/>
      <family val="1"/>
    </font>
    <font>
      <sz val="12"/>
      <name val="Times New Roman"/>
      <family val="1"/>
    </font>
    <font>
      <sz val="10"/>
      <color indexed="8"/>
      <name val="Times New Roman"/>
      <family val="1"/>
    </font>
    <font>
      <sz val="10"/>
      <color theme="1"/>
      <name val="Times New Roman"/>
      <family val="1"/>
    </font>
    <font>
      <b/>
      <sz val="10"/>
      <name val="Times New Roman"/>
      <family val="1"/>
    </font>
    <font>
      <i/>
      <sz val="10"/>
      <color theme="1"/>
      <name val="Times New Roman"/>
      <family val="1"/>
    </font>
    <font>
      <sz val="12"/>
      <color theme="1"/>
      <name val="Times New Roman"/>
      <family val="1"/>
    </font>
    <font>
      <sz val="10"/>
      <name val="Times New Roman"/>
      <family val="1"/>
    </font>
    <font>
      <i/>
      <sz val="11"/>
      <name val="Times New Roman"/>
      <family val="1"/>
      <charset val="186"/>
    </font>
    <font>
      <b/>
      <i/>
      <sz val="11"/>
      <color theme="1"/>
      <name val="Times New Roman"/>
      <family val="1"/>
    </font>
    <font>
      <b/>
      <i/>
      <sz val="12"/>
      <color theme="1"/>
      <name val="Times New Roman"/>
      <family val="1"/>
    </font>
    <font>
      <sz val="11"/>
      <name val="Times New Roman"/>
      <family val="1"/>
    </font>
    <font>
      <b/>
      <sz val="11"/>
      <name val="Times New Roman"/>
      <family val="1"/>
    </font>
    <font>
      <i/>
      <sz val="10"/>
      <name val="Times New Roman"/>
      <family val="1"/>
    </font>
    <font>
      <b/>
      <sz val="9"/>
      <color indexed="81"/>
      <name val="Tahoma"/>
      <family val="2"/>
      <charset val="204"/>
    </font>
    <font>
      <sz val="9"/>
      <color indexed="81"/>
      <name val="Tahoma"/>
      <family val="2"/>
      <charset val="204"/>
    </font>
    <font>
      <b/>
      <sz val="12"/>
      <name val="Times New Roman"/>
      <family val="1"/>
    </font>
    <font>
      <b/>
      <i/>
      <sz val="12"/>
      <name val="Times New Roman"/>
      <family val="1"/>
      <charset val="186"/>
    </font>
    <font>
      <b/>
      <sz val="14"/>
      <name val="Times New Roman"/>
      <family val="1"/>
    </font>
    <font>
      <b/>
      <sz val="14"/>
      <color theme="1"/>
      <name val="Times New Roman"/>
      <family val="1"/>
    </font>
    <font>
      <sz val="11"/>
      <color rgb="FFFF0000"/>
      <name val="Times New Roman"/>
      <family val="1"/>
    </font>
    <font>
      <i/>
      <sz val="11"/>
      <name val="Times New Roman"/>
      <family val="1"/>
      <charset val="204"/>
    </font>
    <font>
      <vertAlign val="superscript"/>
      <sz val="10"/>
      <name val="Times New Roman"/>
      <family val="1"/>
    </font>
    <font>
      <i/>
      <sz val="11"/>
      <name val="Times New Roman"/>
      <family val="1"/>
    </font>
    <font>
      <b/>
      <sz val="11"/>
      <color indexed="8"/>
      <name val="Times New Roman"/>
      <family val="1"/>
    </font>
    <font>
      <sz val="9"/>
      <name val="Times New Roman"/>
      <family val="1"/>
    </font>
    <font>
      <b/>
      <sz val="14"/>
      <name val="Times New Roman"/>
      <family val="1"/>
      <charset val="204"/>
    </font>
    <font>
      <sz val="11"/>
      <name val="Calibri"/>
      <family val="2"/>
      <charset val="204"/>
      <scheme val="minor"/>
    </font>
    <font>
      <sz val="11"/>
      <name val="Times New Roman"/>
      <family val="1"/>
      <charset val="204"/>
    </font>
    <font>
      <b/>
      <i/>
      <sz val="12"/>
      <name val="Times New Roman"/>
      <family val="1"/>
    </font>
    <font>
      <sz val="10"/>
      <name val="Arial"/>
      <family val="2"/>
      <charset val="204"/>
    </font>
    <font>
      <sz val="12"/>
      <name val="Times New Roman"/>
      <family val="1"/>
      <charset val="204"/>
    </font>
    <font>
      <sz val="12"/>
      <name val="Calibri"/>
      <family val="2"/>
      <charset val="204"/>
      <scheme val="minor"/>
    </font>
    <font>
      <b/>
      <sz val="10"/>
      <name val="Times New Roman"/>
      <family val="1"/>
      <charset val="186"/>
    </font>
    <font>
      <sz val="11"/>
      <name val="Calibri"/>
      <family val="2"/>
      <scheme val="minor"/>
    </font>
    <font>
      <b/>
      <sz val="35"/>
      <name val="Times New Roman"/>
      <family val="1"/>
      <charset val="186"/>
    </font>
    <font>
      <sz val="8"/>
      <name val="Times New Roman"/>
      <family val="1"/>
      <charset val="186"/>
    </font>
    <font>
      <u/>
      <sz val="8"/>
      <name val="Times New Roman"/>
      <family val="1"/>
      <charset val="186"/>
    </font>
    <font>
      <sz val="8"/>
      <name val="Times New Roman"/>
      <family val="1"/>
      <charset val="204"/>
    </font>
    <font>
      <u/>
      <sz val="8"/>
      <name val="Calibri"/>
      <family val="2"/>
      <charset val="204"/>
      <scheme val="minor"/>
    </font>
    <font>
      <b/>
      <i/>
      <sz val="10"/>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medium">
        <color rgb="FFC6C6C6"/>
      </left>
      <right style="medium">
        <color rgb="FFC6C6C6"/>
      </right>
      <top style="medium">
        <color rgb="FFC6C6C6"/>
      </top>
      <bottom style="medium">
        <color rgb="FFC6C6C6"/>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s>
  <cellStyleXfs count="11">
    <xf numFmtId="0" fontId="0" fillId="0" borderId="0"/>
    <xf numFmtId="0" fontId="6" fillId="0" borderId="0"/>
    <xf numFmtId="9" fontId="7" fillId="0" borderId="0" applyFont="0" applyFill="0" applyBorder="0" applyAlignment="0" applyProtection="0"/>
    <xf numFmtId="0" fontId="16" fillId="0" borderId="0"/>
    <xf numFmtId="0" fontId="2" fillId="0" borderId="0"/>
    <xf numFmtId="0" fontId="2" fillId="0" borderId="0"/>
    <xf numFmtId="0" fontId="17" fillId="0" borderId="0" applyNumberFormat="0" applyFill="0" applyBorder="0" applyAlignment="0" applyProtection="0"/>
    <xf numFmtId="0" fontId="16" fillId="0" borderId="0"/>
    <xf numFmtId="0" fontId="16" fillId="0" borderId="0"/>
    <xf numFmtId="0" fontId="1" fillId="0" borderId="0"/>
    <xf numFmtId="0" fontId="16" fillId="0" borderId="0"/>
  </cellStyleXfs>
  <cellXfs count="513">
    <xf numFmtId="0" fontId="0" fillId="0" borderId="0" xfId="0"/>
    <xf numFmtId="0" fontId="5" fillId="0" borderId="0" xfId="1" applyFont="1"/>
    <xf numFmtId="9" fontId="5" fillId="0" borderId="0" xfId="2" applyFont="1" applyFill="1"/>
    <xf numFmtId="2" fontId="5" fillId="0" borderId="1" xfId="2" applyNumberFormat="1" applyFont="1" applyFill="1" applyBorder="1" applyAlignment="1">
      <alignment horizontal="center"/>
    </xf>
    <xf numFmtId="0" fontId="10" fillId="0" borderId="0" xfId="0" applyFont="1"/>
    <xf numFmtId="0" fontId="10" fillId="0" borderId="1" xfId="0" applyFont="1" applyBorder="1" applyAlignment="1">
      <alignment vertical="center" wrapText="1"/>
    </xf>
    <xf numFmtId="0" fontId="10" fillId="0" borderId="1" xfId="0" applyFont="1" applyBorder="1" applyAlignment="1">
      <alignment horizontal="center" wrapText="1"/>
    </xf>
    <xf numFmtId="0" fontId="10" fillId="0" borderId="5" xfId="0" applyFont="1" applyBorder="1" applyAlignment="1">
      <alignment horizontal="center" vertical="center" wrapText="1"/>
    </xf>
    <xf numFmtId="0" fontId="9" fillId="3" borderId="1" xfId="0" applyFont="1" applyFill="1" applyBorder="1" applyAlignment="1">
      <alignment vertical="center" wrapText="1"/>
    </xf>
    <xf numFmtId="0" fontId="9" fillId="3" borderId="6" xfId="0" applyFont="1" applyFill="1" applyBorder="1" applyAlignment="1">
      <alignment vertical="center" wrapText="1"/>
    </xf>
    <xf numFmtId="0" fontId="9" fillId="3" borderId="5" xfId="0" applyFont="1" applyFill="1" applyBorder="1" applyAlignment="1">
      <alignment vertical="center" wrapText="1"/>
    </xf>
    <xf numFmtId="0" fontId="9" fillId="3" borderId="1" xfId="0" applyFont="1" applyFill="1" applyBorder="1" applyAlignment="1">
      <alignment horizontal="center" vertical="center" wrapText="1"/>
    </xf>
    <xf numFmtId="0" fontId="9" fillId="0" borderId="1" xfId="0" applyFont="1" applyBorder="1" applyAlignment="1">
      <alignment vertical="center" wrapText="1"/>
    </xf>
    <xf numFmtId="4" fontId="12" fillId="0" borderId="1" xfId="0" applyNumberFormat="1" applyFont="1" applyBorder="1" applyAlignment="1">
      <alignment vertical="center"/>
    </xf>
    <xf numFmtId="4" fontId="12" fillId="0" borderId="5"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0" fillId="4" borderId="1" xfId="0" applyFont="1" applyFill="1" applyBorder="1" applyAlignment="1">
      <alignment vertical="center" wrapText="1"/>
    </xf>
    <xf numFmtId="0" fontId="10" fillId="4" borderId="1" xfId="0" applyFont="1" applyFill="1" applyBorder="1" applyAlignment="1">
      <alignment vertical="center"/>
    </xf>
    <xf numFmtId="2"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right" vertical="center"/>
    </xf>
    <xf numFmtId="2" fontId="10" fillId="4" borderId="5" xfId="0" applyNumberFormat="1" applyFont="1" applyFill="1" applyBorder="1" applyAlignment="1">
      <alignment horizontal="center" vertical="center"/>
    </xf>
    <xf numFmtId="0" fontId="10" fillId="0" borderId="1" xfId="0" applyFont="1" applyBorder="1" applyAlignment="1">
      <alignment vertical="center"/>
    </xf>
    <xf numFmtId="2"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 fontId="10" fillId="0" borderId="1" xfId="0" applyNumberFormat="1" applyFont="1" applyBorder="1" applyAlignment="1">
      <alignment vertical="center"/>
    </xf>
    <xf numFmtId="4" fontId="10" fillId="0" borderId="1" xfId="0" applyNumberFormat="1" applyFont="1" applyBorder="1" applyAlignment="1">
      <alignment horizontal="right" vertical="center"/>
    </xf>
    <xf numFmtId="2" fontId="10" fillId="0" borderId="5" xfId="0" applyNumberFormat="1" applyFont="1" applyBorder="1" applyAlignment="1">
      <alignment horizontal="center" vertical="center"/>
    </xf>
    <xf numFmtId="0" fontId="10" fillId="0" borderId="3" xfId="0" applyFont="1" applyBorder="1" applyAlignment="1">
      <alignment vertical="center" wrapText="1"/>
    </xf>
    <xf numFmtId="1" fontId="10" fillId="0" borderId="1" xfId="0" applyNumberFormat="1" applyFont="1" applyBorder="1" applyAlignment="1">
      <alignment horizontal="center" vertical="center"/>
    </xf>
    <xf numFmtId="2" fontId="10" fillId="0" borderId="1" xfId="0" applyNumberFormat="1" applyFont="1" applyBorder="1" applyAlignment="1">
      <alignment vertical="center"/>
    </xf>
    <xf numFmtId="4" fontId="10" fillId="0" borderId="5" xfId="0" applyNumberFormat="1" applyFont="1" applyBorder="1" applyAlignment="1">
      <alignment horizontal="center" vertical="center"/>
    </xf>
    <xf numFmtId="0" fontId="10" fillId="4" borderId="7" xfId="0" applyFont="1" applyFill="1" applyBorder="1" applyAlignment="1">
      <alignment vertical="center" wrapText="1"/>
    </xf>
    <xf numFmtId="0" fontId="9" fillId="3" borderId="5"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4" fontId="12" fillId="0" borderId="1" xfId="0" applyNumberFormat="1" applyFont="1" applyBorder="1" applyAlignment="1">
      <alignment vertical="center" wrapText="1"/>
    </xf>
    <xf numFmtId="0" fontId="9" fillId="0" borderId="6" xfId="0" applyFont="1" applyBorder="1" applyAlignment="1">
      <alignment horizontal="center" vertical="center" wrapText="1"/>
    </xf>
    <xf numFmtId="4" fontId="12" fillId="0" borderId="5" xfId="0" applyNumberFormat="1" applyFont="1" applyBorder="1" applyAlignment="1">
      <alignment vertical="center" wrapText="1"/>
    </xf>
    <xf numFmtId="4" fontId="12" fillId="0" borderId="5" xfId="0" applyNumberFormat="1" applyFont="1" applyBorder="1" applyAlignment="1">
      <alignment vertical="center"/>
    </xf>
    <xf numFmtId="0" fontId="9" fillId="0" borderId="0" xfId="0" applyFont="1" applyAlignment="1">
      <alignment vertical="center"/>
    </xf>
    <xf numFmtId="49" fontId="5" fillId="7" borderId="13" xfId="1" applyNumberFormat="1" applyFont="1" applyFill="1" applyBorder="1" applyAlignment="1">
      <alignment horizontal="center" vertical="center" wrapText="1"/>
    </xf>
    <xf numFmtId="49" fontId="4" fillId="7" borderId="13" xfId="1" applyNumberFormat="1" applyFont="1" applyFill="1" applyBorder="1" applyAlignment="1">
      <alignment horizontal="left" vertical="center" wrapText="1"/>
    </xf>
    <xf numFmtId="0" fontId="4" fillId="4" borderId="13" xfId="4" applyFont="1" applyFill="1" applyBorder="1" applyAlignment="1" applyProtection="1">
      <alignment horizontal="center" vertical="center" wrapText="1"/>
      <protection locked="0"/>
    </xf>
    <xf numFmtId="2" fontId="4" fillId="4" borderId="13" xfId="4" applyNumberFormat="1" applyFont="1" applyFill="1" applyBorder="1" applyAlignment="1" applyProtection="1">
      <alignment horizontal="center" vertical="center" wrapText="1"/>
      <protection locked="0"/>
    </xf>
    <xf numFmtId="0" fontId="3" fillId="0" borderId="0" xfId="0" applyFont="1"/>
    <xf numFmtId="4" fontId="9" fillId="0" borderId="1" xfId="0" applyNumberFormat="1" applyFont="1" applyFill="1" applyBorder="1"/>
    <xf numFmtId="4" fontId="13" fillId="0" borderId="1" xfId="0" applyNumberFormat="1" applyFont="1" applyFill="1" applyBorder="1" applyAlignment="1">
      <alignment vertical="center"/>
    </xf>
    <xf numFmtId="0" fontId="9" fillId="0" borderId="1" xfId="0" applyFont="1" applyFill="1" applyBorder="1" applyAlignment="1">
      <alignment vertical="center" wrapText="1"/>
    </xf>
    <xf numFmtId="4" fontId="12" fillId="0" borderId="1" xfId="0" applyNumberFormat="1" applyFont="1" applyFill="1" applyBorder="1" applyAlignment="1">
      <alignment vertical="center"/>
    </xf>
    <xf numFmtId="4" fontId="10" fillId="0" borderId="1" xfId="0" applyNumberFormat="1" applyFont="1" applyFill="1" applyBorder="1" applyAlignment="1">
      <alignment horizontal="right" vertical="center"/>
    </xf>
    <xf numFmtId="4" fontId="10" fillId="0" borderId="1" xfId="0" applyNumberFormat="1" applyFont="1" applyFill="1" applyBorder="1" applyAlignment="1">
      <alignment vertical="center"/>
    </xf>
    <xf numFmtId="2" fontId="10" fillId="0" borderId="1" xfId="0" applyNumberFormat="1" applyFont="1" applyFill="1" applyBorder="1" applyAlignment="1">
      <alignment vertical="center"/>
    </xf>
    <xf numFmtId="3" fontId="8" fillId="6" borderId="1" xfId="2" applyNumberFormat="1" applyFont="1" applyFill="1" applyBorder="1" applyAlignment="1">
      <alignment horizontal="center"/>
    </xf>
    <xf numFmtId="0" fontId="15" fillId="0" borderId="0" xfId="1" applyFont="1" applyAlignment="1" applyProtection="1">
      <alignment vertical="center" wrapText="1"/>
      <protection locked="0"/>
    </xf>
    <xf numFmtId="0" fontId="4" fillId="0" borderId="0" xfId="1" applyFont="1" applyAlignment="1">
      <alignment vertical="center"/>
    </xf>
    <xf numFmtId="49" fontId="4" fillId="7" borderId="13" xfId="1" applyNumberFormat="1" applyFont="1" applyFill="1" applyBorder="1" applyAlignment="1">
      <alignment horizontal="center" vertical="center" wrapText="1"/>
    </xf>
    <xf numFmtId="0" fontId="19" fillId="0" borderId="0" xfId="8" applyFont="1"/>
    <xf numFmtId="0" fontId="20" fillId="0" borderId="0" xfId="0" applyFont="1"/>
    <xf numFmtId="0" fontId="20" fillId="0" borderId="0" xfId="0" applyFont="1" applyAlignment="1">
      <alignment horizontal="left"/>
    </xf>
    <xf numFmtId="0" fontId="15" fillId="0" borderId="0" xfId="1" applyFont="1" applyAlignment="1" applyProtection="1">
      <alignment vertical="center"/>
      <protection locked="0"/>
    </xf>
    <xf numFmtId="0" fontId="27" fillId="0" borderId="0" xfId="0" applyFont="1" applyFill="1" applyAlignment="1">
      <alignment horizontal="center"/>
    </xf>
    <xf numFmtId="0" fontId="23" fillId="6" borderId="1" xfId="0" applyFont="1" applyFill="1" applyBorder="1" applyAlignment="1">
      <alignment vertical="center" wrapText="1"/>
    </xf>
    <xf numFmtId="3" fontId="23" fillId="6" borderId="1" xfId="0" applyNumberFormat="1" applyFont="1" applyFill="1" applyBorder="1" applyAlignment="1">
      <alignment vertical="center"/>
    </xf>
    <xf numFmtId="0" fontId="19" fillId="0" borderId="0" xfId="8" applyFont="1" applyBorder="1"/>
    <xf numFmtId="0" fontId="20" fillId="0" borderId="0" xfId="0" applyFont="1" applyBorder="1"/>
    <xf numFmtId="0" fontId="21" fillId="0" borderId="0" xfId="8" applyFont="1" applyBorder="1"/>
    <xf numFmtId="0" fontId="25" fillId="0" borderId="0" xfId="0" applyFont="1" applyFill="1" applyBorder="1" applyAlignment="1">
      <alignment horizontal="left"/>
    </xf>
    <xf numFmtId="0" fontId="20" fillId="0" borderId="0" xfId="0" applyFont="1" applyBorder="1" applyAlignment="1">
      <alignment horizontal="left"/>
    </xf>
    <xf numFmtId="0" fontId="22" fillId="0" borderId="0" xfId="0" applyFont="1" applyFill="1" applyBorder="1" applyAlignment="1">
      <alignment horizontal="left"/>
    </xf>
    <xf numFmtId="2" fontId="5" fillId="0" borderId="0" xfId="1" applyNumberFormat="1" applyFont="1" applyFill="1" applyBorder="1" applyAlignment="1" applyProtection="1">
      <alignment horizontal="center" vertical="center" wrapText="1"/>
      <protection locked="0"/>
    </xf>
    <xf numFmtId="0" fontId="22" fillId="0" borderId="0" xfId="8" applyFont="1" applyFill="1" applyBorder="1"/>
    <xf numFmtId="0" fontId="26" fillId="0" borderId="0" xfId="0" applyFont="1" applyFill="1" applyBorder="1"/>
    <xf numFmtId="3" fontId="20" fillId="0" borderId="0" xfId="0" applyNumberFormat="1" applyFont="1" applyFill="1" applyAlignment="1">
      <alignment horizontal="right"/>
    </xf>
    <xf numFmtId="0" fontId="20" fillId="0" borderId="0" xfId="0" applyFont="1" applyFill="1" applyAlignment="1">
      <alignment horizontal="left"/>
    </xf>
    <xf numFmtId="9" fontId="5" fillId="0" borderId="0" xfId="2" applyFont="1" applyFill="1" applyAlignment="1">
      <alignment wrapText="1"/>
    </xf>
    <xf numFmtId="0" fontId="20" fillId="0" borderId="0" xfId="0" applyFont="1" applyFill="1" applyBorder="1"/>
    <xf numFmtId="0" fontId="20" fillId="0" borderId="0" xfId="0" applyFont="1" applyFill="1" applyBorder="1" applyAlignment="1">
      <alignment horizontal="left"/>
    </xf>
    <xf numFmtId="0" fontId="30" fillId="0" borderId="0" xfId="0" applyFont="1" applyFill="1" applyBorder="1"/>
    <xf numFmtId="0" fontId="19" fillId="0" borderId="0" xfId="0" applyFont="1"/>
    <xf numFmtId="0" fontId="19" fillId="0" borderId="0" xfId="0" applyFont="1" applyFill="1"/>
    <xf numFmtId="0" fontId="26" fillId="2" borderId="9" xfId="0" applyFont="1" applyFill="1" applyBorder="1" applyAlignment="1">
      <alignment vertical="center" wrapText="1"/>
    </xf>
    <xf numFmtId="0" fontId="26" fillId="2" borderId="9" xfId="0" applyFont="1" applyFill="1" applyBorder="1" applyAlignment="1">
      <alignment horizontal="left" vertical="center" wrapText="1"/>
    </xf>
    <xf numFmtId="164" fontId="23" fillId="2" borderId="9" xfId="0" applyNumberFormat="1" applyFont="1" applyFill="1" applyBorder="1" applyAlignment="1">
      <alignment horizontal="center" vertical="center" wrapText="1"/>
    </xf>
    <xf numFmtId="0" fontId="26" fillId="2" borderId="9" xfId="0" applyFont="1" applyFill="1" applyBorder="1"/>
    <xf numFmtId="0" fontId="26" fillId="0" borderId="0" xfId="0" applyFont="1" applyFill="1" applyBorder="1" applyAlignment="1">
      <alignment horizontal="left"/>
    </xf>
    <xf numFmtId="0" fontId="30" fillId="0" borderId="0" xfId="0" applyFont="1" applyFill="1" applyBorder="1" applyAlignment="1">
      <alignment horizontal="left"/>
    </xf>
    <xf numFmtId="0" fontId="30" fillId="0" borderId="0" xfId="0" applyFont="1"/>
    <xf numFmtId="0" fontId="30" fillId="0" borderId="1" xfId="0" applyFont="1" applyBorder="1"/>
    <xf numFmtId="3" fontId="30" fillId="0" borderId="1" xfId="0" applyNumberFormat="1" applyFont="1" applyBorder="1"/>
    <xf numFmtId="3" fontId="31" fillId="6" borderId="1" xfId="0" applyNumberFormat="1" applyFont="1" applyFill="1" applyBorder="1"/>
    <xf numFmtId="0" fontId="24" fillId="0" borderId="0" xfId="0" applyFont="1" applyAlignment="1">
      <alignment horizontal="left" vertical="center"/>
    </xf>
    <xf numFmtId="0" fontId="32" fillId="0" borderId="0" xfId="0" applyFont="1" applyFill="1" applyBorder="1" applyAlignment="1">
      <alignment horizontal="left" vertical="center"/>
    </xf>
    <xf numFmtId="0" fontId="24" fillId="0" borderId="0" xfId="0" applyFont="1" applyBorder="1" applyAlignment="1">
      <alignment horizontal="left" vertical="center"/>
    </xf>
    <xf numFmtId="3" fontId="18" fillId="6" borderId="1" xfId="0" applyNumberFormat="1" applyFont="1" applyFill="1" applyBorder="1"/>
    <xf numFmtId="0" fontId="28" fillId="0" borderId="0" xfId="0" applyFont="1" applyAlignment="1">
      <alignment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3" fontId="26" fillId="0" borderId="1" xfId="0" applyNumberFormat="1" applyFont="1" applyFill="1" applyBorder="1" applyAlignment="1">
      <alignment horizontal="right" vertical="center"/>
    </xf>
    <xf numFmtId="0" fontId="26" fillId="0" borderId="0" xfId="0" applyFont="1" applyFill="1" applyAlignment="1">
      <alignment vertical="center"/>
    </xf>
    <xf numFmtId="2" fontId="26" fillId="2" borderId="9" xfId="0" applyNumberFormat="1" applyFont="1" applyFill="1" applyBorder="1" applyAlignment="1">
      <alignment vertical="center" wrapText="1"/>
    </xf>
    <xf numFmtId="2" fontId="26" fillId="2" borderId="9" xfId="0" applyNumberFormat="1" applyFont="1" applyFill="1" applyBorder="1" applyAlignment="1">
      <alignment horizontal="left" vertical="center" wrapText="1"/>
    </xf>
    <xf numFmtId="2" fontId="23" fillId="2" borderId="9" xfId="0" applyNumberFormat="1" applyFont="1" applyFill="1" applyBorder="1" applyAlignment="1">
      <alignment horizontal="center" vertical="center" wrapText="1"/>
    </xf>
    <xf numFmtId="2" fontId="26" fillId="2" borderId="9" xfId="0" applyNumberFormat="1" applyFont="1" applyFill="1" applyBorder="1"/>
    <xf numFmtId="0" fontId="4" fillId="0" borderId="0" xfId="1" applyFont="1" applyBorder="1" applyAlignment="1">
      <alignment horizontal="center" vertical="center" wrapText="1"/>
    </xf>
    <xf numFmtId="0" fontId="14" fillId="0" borderId="0"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165" fontId="13" fillId="0" borderId="0" xfId="1" applyNumberFormat="1" applyFont="1" applyBorder="1" applyAlignment="1" applyProtection="1">
      <alignment horizontal="center" vertical="center" wrapText="1"/>
      <protection locked="0"/>
    </xf>
    <xf numFmtId="0" fontId="5" fillId="0" borderId="0" xfId="1" applyFont="1" applyBorder="1" applyAlignment="1" applyProtection="1">
      <alignment horizontal="center" vertical="center" wrapText="1"/>
      <protection locked="0"/>
    </xf>
    <xf numFmtId="0" fontId="14" fillId="0" borderId="0"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30" fillId="0" borderId="1" xfId="4" applyFont="1" applyFill="1" applyBorder="1"/>
    <xf numFmtId="0" fontId="23" fillId="0" borderId="0" xfId="10" applyFont="1"/>
    <xf numFmtId="0" fontId="26" fillId="0" borderId="0" xfId="10" applyFont="1"/>
    <xf numFmtId="0" fontId="26" fillId="0" borderId="1" xfId="10" applyFont="1" applyBorder="1"/>
    <xf numFmtId="0" fontId="26" fillId="0" borderId="0" xfId="9" applyFont="1"/>
    <xf numFmtId="0" fontId="26" fillId="0" borderId="1" xfId="0" applyFont="1" applyBorder="1" applyAlignment="1">
      <alignment vertical="center"/>
    </xf>
    <xf numFmtId="0" fontId="26" fillId="0" borderId="1" xfId="0" applyFont="1" applyBorder="1" applyAlignment="1">
      <alignment vertical="center" wrapText="1"/>
    </xf>
    <xf numFmtId="3" fontId="26" fillId="0" borderId="1" xfId="0" applyNumberFormat="1" applyFont="1" applyFill="1" applyBorder="1" applyAlignment="1">
      <alignment vertical="center"/>
    </xf>
    <xf numFmtId="3" fontId="26" fillId="0" borderId="1" xfId="0" applyNumberFormat="1" applyFont="1" applyBorder="1" applyAlignment="1">
      <alignment vertical="center"/>
    </xf>
    <xf numFmtId="3" fontId="26" fillId="0" borderId="1" xfId="0" applyNumberFormat="1" applyFont="1" applyBorder="1" applyAlignment="1">
      <alignment horizontal="right" vertical="center"/>
    </xf>
    <xf numFmtId="0" fontId="30" fillId="0" borderId="1" xfId="3" applyFont="1" applyFill="1" applyBorder="1" applyAlignment="1">
      <alignment horizontal="left" vertical="center" wrapText="1"/>
    </xf>
    <xf numFmtId="0" fontId="20" fillId="0" borderId="1" xfId="0" applyFont="1" applyFill="1" applyBorder="1" applyAlignment="1">
      <alignment horizontal="center" vertical="center" wrapText="1"/>
    </xf>
    <xf numFmtId="3" fontId="8" fillId="6" borderId="1" xfId="0" applyNumberFormat="1" applyFont="1" applyFill="1" applyBorder="1"/>
    <xf numFmtId="3" fontId="8" fillId="6" borderId="1" xfId="0" applyNumberFormat="1" applyFont="1" applyFill="1" applyBorder="1" applyAlignment="1">
      <alignment horizontal="right"/>
    </xf>
    <xf numFmtId="0" fontId="5" fillId="0" borderId="0" xfId="1" applyFont="1" applyFill="1"/>
    <xf numFmtId="0" fontId="26" fillId="0" borderId="9" xfId="0" applyFont="1" applyBorder="1" applyAlignment="1">
      <alignment vertical="center"/>
    </xf>
    <xf numFmtId="0" fontId="4" fillId="0" borderId="1" xfId="7" applyFont="1" applyFill="1" applyBorder="1"/>
    <xf numFmtId="0" fontId="4" fillId="0" borderId="1" xfId="0" applyFont="1" applyFill="1" applyBorder="1"/>
    <xf numFmtId="49" fontId="30" fillId="0" borderId="13" xfId="1" applyNumberFormat="1" applyFont="1" applyFill="1" applyBorder="1" applyAlignment="1">
      <alignment horizontal="left" vertical="center" wrapText="1"/>
    </xf>
    <xf numFmtId="0" fontId="30" fillId="0" borderId="0" xfId="3" applyFont="1" applyFill="1"/>
    <xf numFmtId="49" fontId="4" fillId="0" borderId="13" xfId="1" applyNumberFormat="1" applyFont="1" applyFill="1" applyBorder="1" applyAlignment="1">
      <alignment horizontal="left" vertical="center" wrapText="1"/>
    </xf>
    <xf numFmtId="0" fontId="30" fillId="0" borderId="0" xfId="0" applyFont="1" applyFill="1"/>
    <xf numFmtId="0" fontId="18" fillId="0" borderId="1" xfId="0" applyFont="1" applyFill="1" applyBorder="1" applyAlignment="1">
      <alignment horizontal="center" vertical="center" wrapText="1"/>
    </xf>
    <xf numFmtId="3" fontId="19" fillId="0" borderId="1" xfId="0" applyNumberFormat="1" applyFont="1" applyFill="1" applyBorder="1"/>
    <xf numFmtId="0" fontId="19" fillId="0" borderId="1" xfId="0" applyFont="1" applyFill="1" applyBorder="1"/>
    <xf numFmtId="3" fontId="18" fillId="0" borderId="1" xfId="0" applyNumberFormat="1" applyFont="1" applyFill="1" applyBorder="1"/>
    <xf numFmtId="0" fontId="40" fillId="0" borderId="0" xfId="0" applyFont="1" applyFill="1" applyAlignment="1">
      <alignment horizontal="left" vertical="center"/>
    </xf>
    <xf numFmtId="0" fontId="10" fillId="0" borderId="0" xfId="0" applyFont="1" applyFill="1"/>
    <xf numFmtId="0" fontId="11" fillId="0" borderId="6" xfId="0" applyFont="1" applyFill="1" applyBorder="1" applyAlignment="1">
      <alignment horizontal="left" vertical="center" wrapText="1"/>
    </xf>
    <xf numFmtId="0" fontId="11" fillId="0" borderId="6" xfId="0" applyFont="1" applyFill="1" applyBorder="1" applyAlignment="1">
      <alignment vertical="center" wrapText="1"/>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4" fontId="12" fillId="0" borderId="5"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 fontId="10" fillId="0" borderId="5" xfId="0" applyNumberFormat="1" applyFont="1" applyFill="1" applyBorder="1" applyAlignment="1">
      <alignment horizontal="center" vertical="center"/>
    </xf>
    <xf numFmtId="4" fontId="12" fillId="6" borderId="1" xfId="0" applyNumberFormat="1" applyFont="1" applyFill="1" applyBorder="1" applyAlignment="1">
      <alignment vertical="center" wrapText="1"/>
    </xf>
    <xf numFmtId="3" fontId="9" fillId="6" borderId="1" xfId="0" applyNumberFormat="1" applyFont="1" applyFill="1" applyBorder="1"/>
    <xf numFmtId="4" fontId="12" fillId="0" borderId="1" xfId="0" applyNumberFormat="1" applyFont="1" applyFill="1" applyBorder="1" applyAlignment="1">
      <alignment vertical="center" wrapText="1"/>
    </xf>
    <xf numFmtId="0" fontId="9" fillId="0" borderId="6" xfId="0" applyFont="1" applyFill="1" applyBorder="1" applyAlignment="1">
      <alignment horizontal="center" vertical="center" wrapText="1"/>
    </xf>
    <xf numFmtId="4" fontId="12" fillId="0" borderId="5" xfId="0" applyNumberFormat="1" applyFont="1" applyFill="1" applyBorder="1" applyAlignment="1">
      <alignment vertical="center" wrapText="1"/>
    </xf>
    <xf numFmtId="0" fontId="26" fillId="0" borderId="17" xfId="9" applyFont="1" applyBorder="1" applyAlignment="1">
      <alignment horizontal="center" vertical="center" wrapText="1"/>
    </xf>
    <xf numFmtId="0" fontId="32" fillId="0" borderId="17" xfId="9" applyFont="1" applyBorder="1" applyAlignment="1">
      <alignment horizontal="center" vertical="center" wrapText="1"/>
    </xf>
    <xf numFmtId="2" fontId="26" fillId="0" borderId="17" xfId="9" applyNumberFormat="1" applyFont="1" applyBorder="1" applyAlignment="1">
      <alignment horizontal="center" vertical="center" wrapText="1"/>
    </xf>
    <xf numFmtId="3" fontId="26" fillId="0" borderId="17" xfId="9" applyNumberFormat="1" applyFont="1" applyBorder="1" applyAlignment="1">
      <alignment horizontal="center" vertical="center" wrapText="1"/>
    </xf>
    <xf numFmtId="3" fontId="26" fillId="4" borderId="17" xfId="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2" applyNumberFormat="1" applyFont="1" applyFill="1" applyBorder="1" applyAlignment="1">
      <alignment horizontal="center"/>
    </xf>
    <xf numFmtId="0" fontId="5" fillId="0" borderId="1" xfId="1" applyFont="1" applyFill="1" applyBorder="1" applyAlignment="1">
      <alignment horizontal="center" vertical="center" wrapText="1"/>
    </xf>
    <xf numFmtId="3" fontId="5" fillId="0" borderId="1" xfId="1" applyNumberFormat="1" applyFont="1" applyFill="1" applyBorder="1" applyAlignment="1">
      <alignment horizontal="center"/>
    </xf>
    <xf numFmtId="0" fontId="5" fillId="0" borderId="1" xfId="1" applyFont="1" applyFill="1" applyBorder="1" applyAlignment="1">
      <alignment horizontal="center"/>
    </xf>
    <xf numFmtId="9" fontId="5" fillId="0" borderId="1" xfId="2" applyFont="1" applyFill="1" applyBorder="1" applyAlignment="1">
      <alignment horizontal="center" vertical="center" wrapText="1"/>
    </xf>
    <xf numFmtId="0" fontId="35" fillId="0" borderId="0" xfId="1" applyFont="1" applyFill="1"/>
    <xf numFmtId="2" fontId="23" fillId="2" borderId="1" xfId="0" applyNumberFormat="1" applyFont="1" applyFill="1" applyBorder="1" applyAlignment="1">
      <alignment horizontal="center" vertical="center" wrapText="1"/>
    </xf>
    <xf numFmtId="0" fontId="42" fillId="0" borderId="0" xfId="0" applyFont="1" applyAlignment="1">
      <alignment horizontal="left" vertical="center" wrapText="1"/>
    </xf>
    <xf numFmtId="0" fontId="42" fillId="0" borderId="0" xfId="0" applyFont="1" applyFill="1" applyBorder="1" applyAlignment="1">
      <alignment horizontal="left" vertical="center" wrapText="1"/>
    </xf>
    <xf numFmtId="0" fontId="26" fillId="0" borderId="0" xfId="0" applyFont="1"/>
    <xf numFmtId="0" fontId="23" fillId="2" borderId="1" xfId="0" applyFont="1" applyFill="1" applyBorder="1" applyAlignment="1">
      <alignment horizontal="center" vertical="center" wrapText="1"/>
    </xf>
    <xf numFmtId="3" fontId="26" fillId="0" borderId="10" xfId="0" applyNumberFormat="1" applyFont="1" applyBorder="1"/>
    <xf numFmtId="0" fontId="15" fillId="0" borderId="0" xfId="0" applyFont="1" applyFill="1"/>
    <xf numFmtId="0" fontId="19" fillId="0" borderId="0" xfId="0" applyFont="1" applyFill="1" applyAlignment="1">
      <alignment horizontal="center"/>
    </xf>
    <xf numFmtId="3" fontId="19" fillId="0" borderId="0" xfId="0" applyNumberFormat="1" applyFont="1" applyFill="1"/>
    <xf numFmtId="3" fontId="31" fillId="6" borderId="1" xfId="0" applyNumberFormat="1" applyFont="1" applyFill="1" applyBorder="1" applyAlignment="1">
      <alignment vertical="center"/>
    </xf>
    <xf numFmtId="3" fontId="23" fillId="0" borderId="1" xfId="0" applyNumberFormat="1" applyFont="1" applyBorder="1" applyAlignment="1">
      <alignment vertical="center"/>
    </xf>
    <xf numFmtId="3" fontId="32" fillId="0" borderId="1" xfId="0" applyNumberFormat="1" applyFont="1" applyBorder="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31" fillId="6" borderId="1" xfId="0" applyFont="1" applyFill="1" applyBorder="1" applyAlignment="1">
      <alignment vertical="center"/>
    </xf>
    <xf numFmtId="0" fontId="32" fillId="0" borderId="1" xfId="0" applyFont="1" applyBorder="1" applyAlignment="1">
      <alignment vertical="center"/>
    </xf>
    <xf numFmtId="0" fontId="23" fillId="0" borderId="0" xfId="0" applyFont="1" applyAlignment="1">
      <alignment horizontal="center" vertical="center"/>
    </xf>
    <xf numFmtId="3" fontId="32" fillId="0" borderId="1" xfId="0" applyNumberFormat="1" applyFont="1" applyFill="1" applyBorder="1" applyAlignment="1">
      <alignment vertical="center"/>
    </xf>
    <xf numFmtId="0" fontId="23" fillId="0" borderId="0" xfId="0" applyFont="1" applyAlignment="1">
      <alignment vertical="center"/>
    </xf>
    <xf numFmtId="0" fontId="31" fillId="6" borderId="1" xfId="0" applyFont="1" applyFill="1" applyBorder="1" applyAlignment="1">
      <alignment horizontal="right" vertical="center"/>
    </xf>
    <xf numFmtId="0" fontId="31" fillId="0" borderId="0" xfId="0" applyFont="1" applyAlignment="1">
      <alignment vertical="center"/>
    </xf>
    <xf numFmtId="0" fontId="23" fillId="0" borderId="1" xfId="0" applyFont="1" applyBorder="1" applyAlignment="1">
      <alignment horizontal="right" vertical="center"/>
    </xf>
    <xf numFmtId="0" fontId="32" fillId="0" borderId="1" xfId="0" applyFont="1" applyBorder="1" applyAlignment="1">
      <alignment vertical="center" wrapText="1"/>
    </xf>
    <xf numFmtId="0" fontId="32" fillId="0" borderId="0" xfId="0" applyFont="1" applyAlignment="1">
      <alignment vertical="center"/>
    </xf>
    <xf numFmtId="0" fontId="32" fillId="0" borderId="1" xfId="0" applyFont="1" applyBorder="1" applyAlignment="1">
      <alignment horizontal="right" vertical="center"/>
    </xf>
    <xf numFmtId="0" fontId="23" fillId="6" borderId="1" xfId="0" applyFont="1" applyFill="1" applyBorder="1" applyAlignment="1">
      <alignment vertical="center"/>
    </xf>
    <xf numFmtId="0" fontId="26" fillId="6" borderId="1" xfId="0" applyFont="1" applyFill="1" applyBorder="1" applyAlignment="1">
      <alignment vertical="center" wrapText="1"/>
    </xf>
    <xf numFmtId="0" fontId="26" fillId="6" borderId="1" xfId="0" applyFont="1" applyFill="1" applyBorder="1" applyAlignment="1">
      <alignment vertical="center"/>
    </xf>
    <xf numFmtId="0" fontId="26" fillId="0" borderId="1" xfId="0" applyFont="1" applyBorder="1" applyAlignment="1">
      <alignment horizontal="right" vertical="center"/>
    </xf>
    <xf numFmtId="0" fontId="43" fillId="0" borderId="1" xfId="8" applyFont="1" applyBorder="1" applyAlignment="1">
      <alignment horizontal="center" vertical="center" wrapText="1"/>
    </xf>
    <xf numFmtId="0" fontId="31" fillId="6" borderId="1" xfId="0" applyFont="1" applyFill="1" applyBorder="1" applyAlignment="1">
      <alignment horizontal="center" vertical="center"/>
    </xf>
    <xf numFmtId="0" fontId="32" fillId="0" borderId="1" xfId="0" applyFont="1" applyBorder="1" applyAlignment="1">
      <alignment horizontal="center" vertical="center"/>
    </xf>
    <xf numFmtId="0" fontId="23" fillId="6"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9" fillId="0" borderId="0" xfId="0" applyFont="1"/>
    <xf numFmtId="0" fontId="30" fillId="0" borderId="1" xfId="0" applyFont="1" applyFill="1" applyBorder="1"/>
    <xf numFmtId="3" fontId="26" fillId="0" borderId="0" xfId="0" applyNumberFormat="1" applyFont="1" applyAlignment="1">
      <alignment vertical="center"/>
    </xf>
    <xf numFmtId="0" fontId="26" fillId="0" borderId="2" xfId="0" applyFont="1" applyBorder="1" applyAlignment="1">
      <alignment vertical="center" wrapText="1"/>
    </xf>
    <xf numFmtId="1" fontId="10" fillId="0" borderId="0" xfId="0" applyNumberFormat="1" applyFont="1"/>
    <xf numFmtId="0" fontId="44" fillId="0" borderId="0" xfId="0" applyFont="1" applyAlignment="1">
      <alignment vertical="center" wrapText="1"/>
    </xf>
    <xf numFmtId="0" fontId="30" fillId="0" borderId="1" xfId="0" applyFont="1" applyBorder="1" applyAlignment="1">
      <alignment horizontal="center"/>
    </xf>
    <xf numFmtId="0" fontId="22" fillId="0" borderId="0" xfId="0" applyFont="1" applyAlignment="1">
      <alignment horizontal="right" wrapText="1"/>
    </xf>
    <xf numFmtId="0" fontId="26" fillId="0" borderId="0" xfId="0" applyFont="1" applyAlignment="1">
      <alignment horizontal="right"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1"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4" fillId="0" borderId="0" xfId="1" applyFont="1" applyAlignment="1" applyProtection="1">
      <alignment horizontal="center" vertical="center" wrapText="1"/>
      <protection locked="0"/>
    </xf>
    <xf numFmtId="0" fontId="30" fillId="0" borderId="1" xfId="0" applyFont="1" applyBorder="1" applyAlignment="1">
      <alignment horizontal="center" vertical="center"/>
    </xf>
    <xf numFmtId="0" fontId="26" fillId="0" borderId="0" xfId="0" applyFont="1" applyAlignment="1">
      <alignment vertical="center" wrapText="1"/>
    </xf>
    <xf numFmtId="0" fontId="23" fillId="0" borderId="1" xfId="0" applyFont="1" applyBorder="1" applyAlignment="1">
      <alignment vertical="center"/>
    </xf>
    <xf numFmtId="0" fontId="26" fillId="0" borderId="12" xfId="0" applyFont="1" applyFill="1" applyBorder="1" applyAlignment="1">
      <alignment horizontal="left" vertical="center"/>
    </xf>
    <xf numFmtId="0" fontId="26" fillId="0" borderId="12" xfId="0" applyFont="1" applyFill="1" applyBorder="1" applyAlignment="1">
      <alignment horizontal="left" vertical="center" wrapText="1"/>
    </xf>
    <xf numFmtId="0" fontId="46" fillId="0" borderId="0" xfId="0" applyFont="1" applyFill="1"/>
    <xf numFmtId="0" fontId="47" fillId="0" borderId="0" xfId="0" applyFont="1" applyFill="1"/>
    <xf numFmtId="0" fontId="48" fillId="0" borderId="0" xfId="0" applyFont="1" applyFill="1" applyAlignment="1">
      <alignment horizontal="left" vertical="center" wrapText="1"/>
    </xf>
    <xf numFmtId="0" fontId="49" fillId="0" borderId="0" xfId="0" applyFont="1" applyFill="1" applyAlignment="1">
      <alignment vertical="center" wrapText="1"/>
    </xf>
    <xf numFmtId="0" fontId="30" fillId="0" borderId="0" xfId="8" applyFont="1" applyFill="1" applyBorder="1"/>
    <xf numFmtId="0" fontId="26" fillId="0" borderId="0" xfId="8" applyFont="1" applyFill="1" applyBorder="1"/>
    <xf numFmtId="0" fontId="30" fillId="0" borderId="0" xfId="8" applyFont="1" applyFill="1"/>
    <xf numFmtId="0" fontId="30" fillId="0" borderId="0" xfId="0" applyFont="1" applyFill="1" applyAlignment="1">
      <alignment horizontal="left"/>
    </xf>
    <xf numFmtId="0" fontId="26" fillId="0" borderId="0" xfId="8" applyFont="1" applyFill="1"/>
    <xf numFmtId="0" fontId="4" fillId="0" borderId="0" xfId="0" applyFont="1" applyFill="1"/>
    <xf numFmtId="0" fontId="4" fillId="0" borderId="0" xfId="0" applyFont="1" applyFill="1" applyAlignment="1"/>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4" fillId="0" borderId="1" xfId="7" applyFont="1" applyFill="1" applyBorder="1" applyAlignment="1">
      <alignment vertical="center"/>
    </xf>
    <xf numFmtId="2" fontId="4" fillId="0" borderId="1" xfId="0" applyNumberFormat="1" applyFont="1" applyFill="1" applyBorder="1"/>
    <xf numFmtId="3" fontId="4" fillId="0" borderId="1" xfId="0" applyNumberFormat="1" applyFont="1" applyFill="1" applyBorder="1"/>
    <xf numFmtId="0" fontId="4" fillId="0" borderId="1" xfId="0" applyFont="1" applyFill="1" applyBorder="1" applyAlignment="1">
      <alignment horizontal="left"/>
    </xf>
    <xf numFmtId="0" fontId="4" fillId="0" borderId="1" xfId="0" applyFont="1" applyFill="1" applyBorder="1" applyAlignment="1">
      <alignment wrapText="1"/>
    </xf>
    <xf numFmtId="0" fontId="50" fillId="0" borderId="0" xfId="0" applyFont="1" applyFill="1" applyBorder="1"/>
    <xf numFmtId="0" fontId="20" fillId="0" borderId="1" xfId="0" applyFont="1" applyFill="1" applyBorder="1"/>
    <xf numFmtId="0" fontId="51" fillId="0" borderId="0" xfId="0" applyFont="1" applyFill="1" applyBorder="1"/>
    <xf numFmtId="3" fontId="51" fillId="0" borderId="0" xfId="0" applyNumberFormat="1" applyFont="1" applyFill="1" applyBorder="1"/>
    <xf numFmtId="3" fontId="15" fillId="6" borderId="1" xfId="0" applyNumberFormat="1" applyFont="1" applyFill="1" applyBorder="1" applyAlignment="1">
      <alignment horizontal="right" vertical="center" wrapText="1"/>
    </xf>
    <xf numFmtId="2" fontId="46" fillId="0" borderId="0" xfId="0" applyNumberFormat="1" applyFont="1" applyFill="1"/>
    <xf numFmtId="0" fontId="46" fillId="0" borderId="0" xfId="0" applyFont="1"/>
    <xf numFmtId="0" fontId="47" fillId="0" borderId="0" xfId="0" applyFont="1"/>
    <xf numFmtId="0" fontId="48" fillId="0" borderId="0" xfId="0" applyFont="1" applyAlignment="1">
      <alignment horizontal="left"/>
    </xf>
    <xf numFmtId="0" fontId="36" fillId="0" borderId="0" xfId="0" applyFont="1" applyAlignment="1">
      <alignment horizontal="left"/>
    </xf>
    <xf numFmtId="0" fontId="30" fillId="0" borderId="0" xfId="8" applyFont="1"/>
    <xf numFmtId="0" fontId="26" fillId="0" borderId="0" xfId="8" applyFont="1"/>
    <xf numFmtId="0" fontId="46" fillId="0" borderId="0" xfId="0" applyFont="1" applyAlignment="1">
      <alignment horizontal="center" vertical="center"/>
    </xf>
    <xf numFmtId="0" fontId="15" fillId="0" borderId="1" xfId="0" applyFont="1" applyFill="1" applyBorder="1" applyAlignment="1">
      <alignment horizontal="center" vertical="center"/>
    </xf>
    <xf numFmtId="0" fontId="52" fillId="0" borderId="1" xfId="0" applyFont="1" applyFill="1" applyBorder="1" applyAlignment="1">
      <alignment horizontal="center" vertical="center" wrapText="1"/>
    </xf>
    <xf numFmtId="0" fontId="47" fillId="0" borderId="0" xfId="0" applyFont="1" applyAlignment="1">
      <alignment horizontal="center" vertical="center"/>
    </xf>
    <xf numFmtId="0" fontId="47" fillId="0" borderId="1" xfId="0" applyFont="1" applyBorder="1"/>
    <xf numFmtId="2" fontId="10" fillId="0" borderId="1" xfId="0" applyNumberFormat="1" applyFont="1" applyFill="1" applyBorder="1"/>
    <xf numFmtId="1" fontId="10" fillId="0" borderId="1" xfId="0" applyNumberFormat="1" applyFont="1" applyFill="1" applyBorder="1"/>
    <xf numFmtId="3" fontId="10" fillId="0" borderId="1" xfId="0" applyNumberFormat="1" applyFont="1" applyBorder="1"/>
    <xf numFmtId="0" fontId="47" fillId="0" borderId="1" xfId="0" applyFont="1" applyBorder="1" applyAlignment="1">
      <alignment wrapText="1"/>
    </xf>
    <xf numFmtId="0" fontId="53" fillId="0" borderId="0" xfId="3" applyFont="1"/>
    <xf numFmtId="0" fontId="4" fillId="0" borderId="0" xfId="3" applyFont="1"/>
    <xf numFmtId="3" fontId="15" fillId="6" borderId="1" xfId="3" applyNumberFormat="1" applyFont="1" applyFill="1" applyBorder="1"/>
    <xf numFmtId="0" fontId="53" fillId="0" borderId="0" xfId="3" applyFont="1" applyFill="1"/>
    <xf numFmtId="0" fontId="4" fillId="0" borderId="0" xfId="4" applyFont="1" applyFill="1" applyAlignment="1">
      <alignment horizontal="right"/>
    </xf>
    <xf numFmtId="0" fontId="4" fillId="0" borderId="0" xfId="3" applyFont="1" applyAlignment="1">
      <alignment horizontal="left" wrapText="1"/>
    </xf>
    <xf numFmtId="0" fontId="4" fillId="4" borderId="1" xfId="4" applyFont="1" applyFill="1" applyBorder="1" applyAlignment="1">
      <alignment horizontal="center" vertical="center" wrapText="1"/>
    </xf>
    <xf numFmtId="0" fontId="4" fillId="0" borderId="0" xfId="4" applyFont="1" applyFill="1" applyAlignment="1">
      <alignment vertical="center" wrapText="1"/>
    </xf>
    <xf numFmtId="0" fontId="53" fillId="0" borderId="0" xfId="3" applyFont="1" applyBorder="1"/>
    <xf numFmtId="0" fontId="4" fillId="0" borderId="1" xfId="4" applyFont="1" applyFill="1" applyBorder="1"/>
    <xf numFmtId="0" fontId="53" fillId="0" borderId="0" xfId="3" applyFont="1" applyFill="1" applyBorder="1"/>
    <xf numFmtId="167" fontId="4" fillId="7" borderId="1" xfId="4" applyNumberFormat="1" applyFont="1" applyFill="1" applyBorder="1"/>
    <xf numFmtId="0" fontId="4" fillId="7" borderId="1" xfId="4" applyFont="1" applyFill="1" applyBorder="1"/>
    <xf numFmtId="0" fontId="4" fillId="0" borderId="0" xfId="4" applyFont="1" applyFill="1" applyBorder="1" applyAlignment="1">
      <alignment horizontal="right"/>
    </xf>
    <xf numFmtId="0" fontId="4" fillId="5" borderId="13" xfId="4" applyFont="1" applyFill="1" applyBorder="1" applyAlignment="1">
      <alignment horizontal="center" vertical="center" wrapText="1"/>
    </xf>
    <xf numFmtId="0" fontId="4" fillId="5" borderId="13" xfId="5" applyFont="1" applyFill="1" applyBorder="1" applyAlignment="1">
      <alignment horizontal="center" vertical="center" wrapText="1"/>
    </xf>
    <xf numFmtId="0" fontId="4" fillId="4" borderId="13" xfId="4" applyFont="1" applyFill="1" applyBorder="1" applyAlignment="1">
      <alignment horizontal="center" vertical="center"/>
    </xf>
    <xf numFmtId="2" fontId="4" fillId="4" borderId="13" xfId="4" applyNumberFormat="1" applyFont="1" applyFill="1" applyBorder="1" applyAlignment="1">
      <alignment horizontal="center" vertical="center"/>
    </xf>
    <xf numFmtId="2" fontId="15" fillId="8" borderId="13" xfId="4" applyNumberFormat="1" applyFont="1" applyFill="1" applyBorder="1" applyAlignment="1">
      <alignment horizontal="center" vertical="center"/>
    </xf>
    <xf numFmtId="2" fontId="46" fillId="0" borderId="0" xfId="0" applyNumberFormat="1" applyFont="1"/>
    <xf numFmtId="0" fontId="4" fillId="0" borderId="0" xfId="4" applyFont="1" applyFill="1" applyAlignment="1">
      <alignment vertical="center"/>
    </xf>
    <xf numFmtId="0" fontId="4" fillId="4" borderId="0" xfId="4" applyFont="1" applyFill="1" applyAlignment="1">
      <alignment horizontal="right"/>
    </xf>
    <xf numFmtId="0" fontId="4" fillId="7" borderId="13" xfId="4" applyFont="1" applyFill="1" applyBorder="1"/>
    <xf numFmtId="0" fontId="26" fillId="0" borderId="0" xfId="0" applyFont="1" applyAlignment="1">
      <alignment wrapText="1"/>
    </xf>
    <xf numFmtId="0" fontId="45" fillId="0" borderId="0" xfId="0" applyFont="1" applyAlignment="1"/>
    <xf numFmtId="0" fontId="48" fillId="0" borderId="0" xfId="0" applyFont="1" applyAlignment="1">
      <alignmen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Fill="1" applyAlignment="1">
      <alignment horizontal="left" vertical="center"/>
    </xf>
    <xf numFmtId="0" fontId="46" fillId="0" borderId="0" xfId="0" applyFont="1" applyFill="1" applyAlignment="1"/>
    <xf numFmtId="0" fontId="35" fillId="0" borderId="2" xfId="0" applyFont="1" applyBorder="1" applyAlignment="1">
      <alignment vertical="center"/>
    </xf>
    <xf numFmtId="0" fontId="8" fillId="0" borderId="2" xfId="0" applyFont="1" applyBorder="1" applyAlignment="1"/>
    <xf numFmtId="0" fontId="5" fillId="0" borderId="0" xfId="0" applyFont="1"/>
    <xf numFmtId="0" fontId="31" fillId="0" borderId="11" xfId="0" applyFont="1" applyFill="1" applyBorder="1" applyAlignment="1">
      <alignment horizontal="center" vertical="center"/>
    </xf>
    <xf numFmtId="0" fontId="31" fillId="0" borderId="11" xfId="0" applyFont="1" applyFill="1" applyBorder="1" applyAlignment="1">
      <alignment horizontal="center" vertical="center" wrapText="1"/>
    </xf>
    <xf numFmtId="3" fontId="30" fillId="0" borderId="1" xfId="0" applyNumberFormat="1" applyFont="1" applyFill="1" applyBorder="1" applyAlignment="1">
      <alignment horizontal="right"/>
    </xf>
    <xf numFmtId="3" fontId="30" fillId="0" borderId="1" xfId="0" applyNumberFormat="1" applyFont="1" applyBorder="1" applyAlignment="1">
      <alignment horizontal="right"/>
    </xf>
    <xf numFmtId="0" fontId="30" fillId="0" borderId="1" xfId="0" applyFont="1" applyBorder="1" applyAlignment="1">
      <alignment wrapText="1"/>
    </xf>
    <xf numFmtId="0" fontId="30" fillId="0" borderId="3" xfId="0" applyFont="1" applyBorder="1" applyAlignment="1">
      <alignment horizontal="center" vertical="center"/>
    </xf>
    <xf numFmtId="0" fontId="30" fillId="0" borderId="4" xfId="0" applyFont="1" applyBorder="1"/>
    <xf numFmtId="0" fontId="30" fillId="0" borderId="4" xfId="0" applyFont="1" applyBorder="1" applyAlignment="1">
      <alignment horizontal="center"/>
    </xf>
    <xf numFmtId="3" fontId="31" fillId="0" borderId="5" xfId="0" applyNumberFormat="1" applyFont="1" applyBorder="1" applyAlignment="1">
      <alignment horizontal="right"/>
    </xf>
    <xf numFmtId="3" fontId="31" fillId="0" borderId="11" xfId="0" applyNumberFormat="1" applyFont="1" applyBorder="1" applyAlignment="1">
      <alignment horizontal="right"/>
    </xf>
    <xf numFmtId="3" fontId="31" fillId="0" borderId="1" xfId="0" applyNumberFormat="1" applyFont="1" applyBorder="1" applyAlignment="1">
      <alignment horizontal="right"/>
    </xf>
    <xf numFmtId="3" fontId="31" fillId="6" borderId="1" xfId="0" applyNumberFormat="1" applyFont="1" applyFill="1" applyBorder="1" applyAlignment="1">
      <alignment horizontal="right"/>
    </xf>
    <xf numFmtId="4" fontId="5" fillId="0" borderId="0" xfId="0" applyNumberFormat="1" applyFont="1" applyAlignment="1">
      <alignment horizontal="center"/>
    </xf>
    <xf numFmtId="0" fontId="30" fillId="0" borderId="0" xfId="0" applyFont="1" applyFill="1" applyBorder="1" applyAlignment="1">
      <alignment horizontal="right"/>
    </xf>
    <xf numFmtId="3" fontId="31" fillId="0" borderId="0" xfId="0" applyNumberFormat="1" applyFont="1" applyBorder="1"/>
    <xf numFmtId="0" fontId="31" fillId="0" borderId="1" xfId="0" applyFont="1" applyFill="1" applyBorder="1" applyAlignment="1">
      <alignment horizontal="center" vertical="center"/>
    </xf>
    <xf numFmtId="0" fontId="31" fillId="0" borderId="0"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wrapText="1"/>
    </xf>
    <xf numFmtId="3" fontId="30" fillId="4" borderId="1" xfId="0" applyNumberFormat="1" applyFont="1" applyFill="1" applyBorder="1" applyAlignment="1">
      <alignment horizontal="right"/>
    </xf>
    <xf numFmtId="3" fontId="30" fillId="0" borderId="0" xfId="0" applyNumberFormat="1" applyFont="1" applyBorder="1" applyAlignment="1">
      <alignment horizontal="right"/>
    </xf>
    <xf numFmtId="3" fontId="30" fillId="0" borderId="0" xfId="0" applyNumberFormat="1" applyFont="1" applyFill="1" applyBorder="1" applyAlignment="1">
      <alignment horizontal="right"/>
    </xf>
    <xf numFmtId="0" fontId="4" fillId="0" borderId="3" xfId="0" applyFont="1" applyBorder="1"/>
    <xf numFmtId="3" fontId="31" fillId="0" borderId="4" xfId="0" applyNumberFormat="1" applyFont="1" applyBorder="1" applyAlignment="1">
      <alignment horizontal="right"/>
    </xf>
    <xf numFmtId="3" fontId="31" fillId="0" borderId="0" xfId="0" applyNumberFormat="1" applyFont="1" applyFill="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wrapText="1"/>
    </xf>
    <xf numFmtId="0" fontId="30" fillId="0" borderId="1" xfId="0" applyFont="1" applyFill="1" applyBorder="1" applyAlignment="1">
      <alignment horizontal="center" vertical="center"/>
    </xf>
    <xf numFmtId="1" fontId="30" fillId="0" borderId="1" xfId="0" applyNumberFormat="1" applyFont="1" applyFill="1" applyBorder="1" applyAlignment="1">
      <alignment horizontal="right" wrapText="1"/>
    </xf>
    <xf numFmtId="0" fontId="30" fillId="0" borderId="1" xfId="0" applyFont="1" applyFill="1" applyBorder="1" applyAlignment="1">
      <alignment horizontal="right" vertical="center" wrapText="1"/>
    </xf>
    <xf numFmtId="0" fontId="4" fillId="0" borderId="1" xfId="0" applyFont="1" applyBorder="1" applyAlignment="1">
      <alignment horizontal="center" vertical="center" wrapText="1"/>
    </xf>
    <xf numFmtId="0" fontId="4" fillId="0" borderId="0" xfId="0" applyFont="1"/>
    <xf numFmtId="3" fontId="31" fillId="0" borderId="0" xfId="0" applyNumberFormat="1" applyFont="1" applyAlignment="1">
      <alignment horizontal="right"/>
    </xf>
    <xf numFmtId="3" fontId="31" fillId="0" borderId="0" xfId="0" applyNumberFormat="1" applyFont="1" applyBorder="1" applyAlignment="1">
      <alignment horizontal="center"/>
    </xf>
    <xf numFmtId="0" fontId="4" fillId="0" borderId="0" xfId="0" applyFont="1" applyAlignment="1">
      <alignment wrapText="1"/>
    </xf>
    <xf numFmtId="0" fontId="20" fillId="0" borderId="0" xfId="0" applyFont="1" applyFill="1" applyBorder="1" applyAlignment="1">
      <alignment horizontal="right"/>
    </xf>
    <xf numFmtId="0" fontId="26" fillId="0" borderId="0" xfId="8" applyFont="1" applyBorder="1"/>
    <xf numFmtId="0" fontId="10" fillId="0" borderId="0" xfId="0" applyFont="1" applyFill="1" applyAlignment="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47" fillId="0" borderId="0" xfId="0" applyFont="1" applyFill="1" applyAlignment="1">
      <alignment horizontal="center" vertical="center"/>
    </xf>
    <xf numFmtId="0" fontId="10" fillId="0" borderId="1" xfId="0" applyFont="1" applyBorder="1"/>
    <xf numFmtId="0" fontId="10" fillId="0" borderId="1" xfId="0" applyFont="1" applyFill="1" applyBorder="1"/>
    <xf numFmtId="4" fontId="10" fillId="0" borderId="1" xfId="0" applyNumberFormat="1" applyFont="1" applyFill="1" applyBorder="1"/>
    <xf numFmtId="3" fontId="10" fillId="0" borderId="1" xfId="0" applyNumberFormat="1" applyFont="1" applyFill="1" applyBorder="1"/>
    <xf numFmtId="0" fontId="54" fillId="0" borderId="0" xfId="0" applyFont="1" applyFill="1" applyAlignment="1">
      <alignment vertical="center"/>
    </xf>
    <xf numFmtId="0" fontId="9" fillId="2" borderId="1" xfId="0" applyFont="1" applyFill="1" applyBorder="1"/>
    <xf numFmtId="0" fontId="9" fillId="0" borderId="1" xfId="0" applyFont="1" applyFill="1" applyBorder="1"/>
    <xf numFmtId="3" fontId="10" fillId="0" borderId="0" xfId="0" applyNumberFormat="1" applyFont="1"/>
    <xf numFmtId="3" fontId="9" fillId="0" borderId="0" xfId="0" applyNumberFormat="1" applyFont="1"/>
    <xf numFmtId="0" fontId="35" fillId="0" borderId="0" xfId="0" applyFont="1"/>
    <xf numFmtId="3" fontId="31" fillId="2" borderId="1" xfId="0" applyNumberFormat="1" applyFont="1" applyFill="1" applyBorder="1" applyAlignment="1">
      <alignment horizontal="center" vertical="center" wrapText="1"/>
    </xf>
    <xf numFmtId="0" fontId="55" fillId="0" borderId="0" xfId="0" applyFont="1" applyAlignment="1">
      <alignment horizontal="left"/>
    </xf>
    <xf numFmtId="0" fontId="56" fillId="0" borderId="0" xfId="6" applyFont="1" applyAlignment="1">
      <alignment horizontal="left"/>
    </xf>
    <xf numFmtId="0" fontId="57" fillId="0" borderId="0" xfId="0" applyFont="1" applyAlignment="1">
      <alignment horizontal="left"/>
    </xf>
    <xf numFmtId="0" fontId="58" fillId="0" borderId="0" xfId="6" applyFont="1" applyAlignment="1">
      <alignment horizontal="left"/>
    </xf>
    <xf numFmtId="0" fontId="26" fillId="0" borderId="0" xfId="9" applyFont="1" applyAlignment="1">
      <alignment horizontal="right" wrapText="1"/>
    </xf>
    <xf numFmtId="0" fontId="48" fillId="0" borderId="0" xfId="9" applyFont="1" applyAlignment="1">
      <alignment horizontal="left"/>
    </xf>
    <xf numFmtId="0" fontId="48" fillId="0" borderId="0" xfId="9" applyFont="1" applyAlignment="1">
      <alignment horizontal="left" vertical="center"/>
    </xf>
    <xf numFmtId="0" fontId="26" fillId="0" borderId="0" xfId="9" applyFont="1" applyAlignment="1"/>
    <xf numFmtId="0" fontId="48" fillId="0" borderId="0" xfId="9" applyFont="1" applyAlignment="1">
      <alignment vertical="center"/>
    </xf>
    <xf numFmtId="0" fontId="30" fillId="0" borderId="0" xfId="8" applyFont="1" applyBorder="1"/>
    <xf numFmtId="0" fontId="23" fillId="0" borderId="1" xfId="8" applyFont="1" applyBorder="1" applyAlignment="1">
      <alignment horizontal="center" vertical="center" wrapText="1"/>
    </xf>
    <xf numFmtId="0" fontId="26" fillId="0" borderId="0" xfId="9" applyFont="1" applyAlignment="1">
      <alignment horizontal="center"/>
    </xf>
    <xf numFmtId="0" fontId="26" fillId="0" borderId="1" xfId="8" applyFont="1" applyBorder="1"/>
    <xf numFmtId="4" fontId="26" fillId="0" borderId="1" xfId="8" applyNumberFormat="1" applyFont="1" applyBorder="1"/>
    <xf numFmtId="3" fontId="26" fillId="0" borderId="1" xfId="8" applyNumberFormat="1" applyFont="1" applyBorder="1"/>
    <xf numFmtId="3" fontId="23" fillId="0" borderId="1" xfId="8" applyNumberFormat="1" applyFont="1" applyBorder="1"/>
    <xf numFmtId="0" fontId="23" fillId="0" borderId="1" xfId="8" applyFont="1" applyBorder="1"/>
    <xf numFmtId="3" fontId="23" fillId="0" borderId="1" xfId="8" applyNumberFormat="1" applyFont="1" applyFill="1" applyBorder="1"/>
    <xf numFmtId="3" fontId="23" fillId="6" borderId="1" xfId="8" applyNumberFormat="1" applyFont="1" applyFill="1" applyBorder="1"/>
    <xf numFmtId="0" fontId="26" fillId="0" borderId="0" xfId="0" applyFont="1" applyAlignment="1">
      <alignment horizontal="right" wrapText="1"/>
    </xf>
    <xf numFmtId="0" fontId="48" fillId="0" borderId="0" xfId="0" applyFont="1" applyAlignment="1">
      <alignment horizontal="left" vertical="center"/>
    </xf>
    <xf numFmtId="0" fontId="48" fillId="0" borderId="0" xfId="0" applyFont="1" applyAlignment="1">
      <alignment horizontal="left" vertical="center" wrapText="1"/>
    </xf>
    <xf numFmtId="0" fontId="42" fillId="0" borderId="0" xfId="0" applyFont="1" applyAlignment="1">
      <alignment vertical="center" wrapText="1"/>
    </xf>
    <xf numFmtId="0" fontId="31" fillId="0" borderId="0" xfId="3" applyFont="1"/>
    <xf numFmtId="0" fontId="30" fillId="0" borderId="0" xfId="3" applyFont="1"/>
    <xf numFmtId="0" fontId="30" fillId="0" borderId="1" xfId="0" applyFont="1" applyBorder="1" applyAlignment="1">
      <alignment horizontal="center" vertical="center" wrapText="1"/>
    </xf>
    <xf numFmtId="0" fontId="31" fillId="0" borderId="0" xfId="3" applyFont="1" applyFill="1" applyAlignment="1">
      <alignment horizontal="left" wrapText="1"/>
    </xf>
    <xf numFmtId="3" fontId="30" fillId="0" borderId="1" xfId="3" applyNumberFormat="1" applyFont="1" applyFill="1" applyBorder="1" applyAlignment="1">
      <alignment horizontal="center" vertical="center"/>
    </xf>
    <xf numFmtId="1" fontId="30" fillId="0" borderId="1" xfId="3" applyNumberFormat="1" applyFont="1" applyFill="1" applyBorder="1" applyAlignment="1">
      <alignment horizontal="center" vertical="center"/>
    </xf>
    <xf numFmtId="3" fontId="31" fillId="6" borderId="1" xfId="3" applyNumberFormat="1" applyFont="1" applyFill="1" applyBorder="1" applyAlignment="1">
      <alignment horizontal="center" vertical="center"/>
    </xf>
    <xf numFmtId="0" fontId="30" fillId="0" borderId="1" xfId="3" applyFont="1" applyFill="1" applyBorder="1" applyAlignment="1">
      <alignment horizontal="center" vertical="center"/>
    </xf>
    <xf numFmtId="0" fontId="30" fillId="0" borderId="1" xfId="3" applyFont="1" applyFill="1" applyBorder="1"/>
    <xf numFmtId="0" fontId="30" fillId="0" borderId="1" xfId="3" applyFont="1" applyFill="1" applyBorder="1" applyAlignment="1">
      <alignment vertical="center"/>
    </xf>
    <xf numFmtId="0" fontId="30" fillId="0" borderId="1" xfId="3" applyFont="1" applyFill="1" applyBorder="1" applyAlignment="1">
      <alignment horizontal="left"/>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6" fillId="0" borderId="0" xfId="8" applyFont="1" applyAlignment="1">
      <alignment horizontal="center" vertical="center"/>
    </xf>
    <xf numFmtId="0" fontId="30" fillId="0" borderId="0" xfId="8" applyFont="1" applyAlignment="1">
      <alignment horizontal="center" vertical="center"/>
    </xf>
    <xf numFmtId="0" fontId="46" fillId="0" borderId="0" xfId="0" applyFont="1" applyBorder="1"/>
    <xf numFmtId="0" fontId="46" fillId="0" borderId="0" xfId="0" applyFont="1" applyFill="1" applyBorder="1"/>
    <xf numFmtId="0" fontId="4" fillId="4" borderId="0" xfId="4" applyFont="1" applyFill="1"/>
    <xf numFmtId="0" fontId="4" fillId="4" borderId="13" xfId="4" applyFont="1" applyFill="1" applyBorder="1" applyAlignment="1">
      <alignment horizontal="center" vertical="center" wrapText="1"/>
    </xf>
    <xf numFmtId="0" fontId="4" fillId="4" borderId="0" xfId="4" applyFont="1" applyFill="1" applyAlignment="1">
      <alignment vertical="center" wrapText="1"/>
    </xf>
    <xf numFmtId="0" fontId="4" fillId="5" borderId="0" xfId="0" applyFont="1" applyFill="1"/>
    <xf numFmtId="0" fontId="46" fillId="5" borderId="0" xfId="0" applyFont="1" applyFill="1"/>
    <xf numFmtId="0" fontId="4" fillId="0" borderId="0" xfId="0" applyFont="1" applyFill="1" applyAlignment="1">
      <alignment horizontal="center"/>
    </xf>
    <xf numFmtId="0" fontId="4" fillId="0" borderId="0" xfId="4" applyFont="1" applyFill="1" applyBorder="1" applyAlignment="1">
      <alignment horizontal="center" vertical="center"/>
    </xf>
    <xf numFmtId="2" fontId="15" fillId="6" borderId="14" xfId="4"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15" fillId="6" borderId="1" xfId="0" applyNumberFormat="1" applyFont="1" applyFill="1" applyBorder="1" applyAlignment="1">
      <alignment horizontal="center" vertical="center"/>
    </xf>
    <xf numFmtId="3" fontId="15" fillId="0" borderId="0" xfId="0" applyNumberFormat="1" applyFont="1" applyFill="1"/>
    <xf numFmtId="0" fontId="37" fillId="0" borderId="0" xfId="0" applyFont="1" applyAlignment="1"/>
    <xf numFmtId="2" fontId="26" fillId="0" borderId="0" xfId="0" applyNumberFormat="1" applyFont="1"/>
    <xf numFmtId="2" fontId="26" fillId="0" borderId="0" xfId="0" applyNumberFormat="1" applyFont="1" applyAlignment="1">
      <alignment horizontal="center" vertical="center"/>
    </xf>
    <xf numFmtId="2" fontId="26" fillId="0" borderId="0" xfId="0" applyNumberFormat="1" applyFont="1" applyFill="1"/>
    <xf numFmtId="166" fontId="26" fillId="0" borderId="0" xfId="0" applyNumberFormat="1" applyFont="1"/>
    <xf numFmtId="0" fontId="30" fillId="0" borderId="0" xfId="0" applyFont="1" applyAlignment="1">
      <alignment horizontal="center" vertical="center"/>
    </xf>
    <xf numFmtId="2" fontId="23" fillId="2" borderId="8" xfId="0" applyNumberFormat="1" applyFont="1" applyFill="1" applyBorder="1" applyAlignment="1">
      <alignment horizontal="center" vertical="center" wrapText="1"/>
    </xf>
    <xf numFmtId="2" fontId="26" fillId="0" borderId="9" xfId="0" applyNumberFormat="1" applyFont="1" applyBorder="1"/>
    <xf numFmtId="3" fontId="26" fillId="0" borderId="9" xfId="0" applyNumberFormat="1" applyFont="1" applyBorder="1"/>
    <xf numFmtId="2" fontId="23" fillId="2" borderId="8" xfId="0" applyNumberFormat="1" applyFont="1" applyFill="1" applyBorder="1" applyAlignment="1">
      <alignment horizontal="center" vertical="center"/>
    </xf>
    <xf numFmtId="2" fontId="23" fillId="2" borderId="9" xfId="0" applyNumberFormat="1" applyFont="1" applyFill="1" applyBorder="1" applyAlignment="1">
      <alignment horizontal="center"/>
    </xf>
    <xf numFmtId="2" fontId="30" fillId="0" borderId="0" xfId="0" applyNumberFormat="1" applyFont="1"/>
    <xf numFmtId="3" fontId="30" fillId="0" borderId="0" xfId="0" applyNumberFormat="1" applyFont="1"/>
    <xf numFmtId="3" fontId="31" fillId="6" borderId="0" xfId="0" applyNumberFormat="1" applyFont="1" applyFill="1"/>
    <xf numFmtId="164"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wrapText="1"/>
    </xf>
    <xf numFmtId="0" fontId="30" fillId="0" borderId="0" xfId="0" applyFont="1" applyAlignment="1">
      <alignment horizontal="center"/>
    </xf>
    <xf numFmtId="0" fontId="23" fillId="2" borderId="8" xfId="0" applyFont="1" applyFill="1" applyBorder="1" applyAlignment="1">
      <alignment horizontal="center" vertical="center" wrapText="1"/>
    </xf>
    <xf numFmtId="3" fontId="26" fillId="0" borderId="9" xfId="0" applyNumberFormat="1" applyFont="1" applyBorder="1" applyAlignment="1">
      <alignment vertical="center"/>
    </xf>
    <xf numFmtId="3" fontId="26" fillId="0" borderId="10" xfId="0" applyNumberFormat="1" applyFont="1" applyBorder="1" applyAlignment="1">
      <alignment vertical="center"/>
    </xf>
    <xf numFmtId="0" fontId="23" fillId="2" borderId="8" xfId="0" applyFont="1" applyFill="1" applyBorder="1" applyAlignment="1">
      <alignment horizontal="center" vertical="center"/>
    </xf>
    <xf numFmtId="164" fontId="23" fillId="2" borderId="9" xfId="0" applyNumberFormat="1" applyFont="1" applyFill="1" applyBorder="1" applyAlignment="1">
      <alignment horizontal="center" vertical="center"/>
    </xf>
    <xf numFmtId="0" fontId="31" fillId="0" borderId="0" xfId="0" applyFont="1" applyAlignment="1">
      <alignment horizontal="right"/>
    </xf>
    <xf numFmtId="164" fontId="31" fillId="0" borderId="0" xfId="0" applyNumberFormat="1" applyFont="1"/>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59" fillId="0" borderId="1" xfId="0" applyFont="1" applyBorder="1" applyAlignment="1">
      <alignment vertical="center"/>
    </xf>
    <xf numFmtId="0" fontId="59" fillId="0" borderId="1" xfId="0" applyFont="1" applyBorder="1" applyAlignment="1">
      <alignment horizontal="right" vertical="center"/>
    </xf>
    <xf numFmtId="0" fontId="59" fillId="0" borderId="1" xfId="0" applyFont="1" applyBorder="1" applyAlignment="1">
      <alignment horizontal="center" vertical="center"/>
    </xf>
    <xf numFmtId="3" fontId="59" fillId="0" borderId="1" xfId="0" applyNumberFormat="1" applyFont="1" applyBorder="1" applyAlignment="1">
      <alignment vertical="center"/>
    </xf>
    <xf numFmtId="0" fontId="59" fillId="0" borderId="1" xfId="0" applyFont="1" applyBorder="1" applyAlignment="1">
      <alignment vertical="center" wrapText="1"/>
    </xf>
    <xf numFmtId="0" fontId="59" fillId="0" borderId="0" xfId="0" applyFont="1" applyAlignment="1">
      <alignment vertical="center"/>
    </xf>
    <xf numFmtId="0" fontId="35" fillId="0" borderId="0" xfId="0" applyFont="1" applyBorder="1" applyAlignment="1">
      <alignment vertical="center"/>
    </xf>
    <xf numFmtId="1" fontId="26" fillId="0" borderId="0" xfId="9" applyNumberFormat="1" applyFont="1"/>
    <xf numFmtId="3" fontId="31" fillId="0" borderId="1" xfId="0" applyNumberFormat="1" applyFont="1" applyFill="1" applyBorder="1" applyAlignment="1">
      <alignment vertical="center"/>
    </xf>
    <xf numFmtId="3" fontId="31" fillId="0" borderId="0" xfId="0" applyNumberFormat="1" applyFont="1" applyFill="1" applyBorder="1" applyAlignment="1">
      <alignment vertical="center"/>
    </xf>
    <xf numFmtId="0" fontId="9" fillId="0" borderId="0" xfId="0" applyFont="1"/>
    <xf numFmtId="4" fontId="9" fillId="0" borderId="0" xfId="0" applyNumberFormat="1" applyFont="1"/>
    <xf numFmtId="0" fontId="23" fillId="0" borderId="0" xfId="0" applyFont="1"/>
    <xf numFmtId="0" fontId="54" fillId="0" borderId="0" xfId="0" applyFont="1" applyAlignment="1">
      <alignment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wrapText="1"/>
    </xf>
    <xf numFmtId="3" fontId="23" fillId="6" borderId="1" xfId="0" applyNumberFormat="1" applyFont="1" applyFill="1" applyBorder="1"/>
    <xf numFmtId="0" fontId="26" fillId="0" borderId="0" xfId="0" applyFont="1" applyBorder="1" applyAlignment="1">
      <alignment wrapText="1"/>
    </xf>
    <xf numFmtId="0" fontId="35"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0" xfId="0" applyFont="1" applyAlignment="1">
      <alignment horizontal="left" vertical="center" wrapText="1"/>
    </xf>
    <xf numFmtId="0" fontId="26" fillId="0" borderId="12"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wrapText="1"/>
    </xf>
    <xf numFmtId="0" fontId="26" fillId="0" borderId="11" xfId="0" applyFont="1" applyBorder="1" applyAlignment="1">
      <alignment horizontal="left" vertical="center" wrapText="1"/>
    </xf>
    <xf numFmtId="0" fontId="48" fillId="0" borderId="0" xfId="0" applyFont="1" applyFill="1" applyAlignment="1">
      <alignment horizontal="left" vertical="center" wrapText="1"/>
    </xf>
    <xf numFmtId="0" fontId="4" fillId="0" borderId="2" xfId="0" applyFont="1" applyFill="1" applyBorder="1" applyAlignment="1">
      <alignment horizontal="center"/>
    </xf>
    <xf numFmtId="0" fontId="46" fillId="0" borderId="12" xfId="0" applyFont="1" applyFill="1" applyBorder="1" applyAlignment="1">
      <alignment horizontal="center"/>
    </xf>
    <xf numFmtId="0" fontId="46" fillId="0" borderId="18" xfId="0" applyFont="1" applyFill="1" applyBorder="1" applyAlignment="1">
      <alignment horizontal="center"/>
    </xf>
    <xf numFmtId="0" fontId="46" fillId="0" borderId="11" xfId="0" applyFont="1" applyFill="1" applyBorder="1" applyAlignment="1">
      <alignment horizontal="center"/>
    </xf>
    <xf numFmtId="0" fontId="45" fillId="0" borderId="0" xfId="0" applyFont="1" applyFill="1" applyAlignment="1">
      <alignment horizontal="center" vertical="center"/>
    </xf>
    <xf numFmtId="0" fontId="26" fillId="0" borderId="0" xfId="0" applyFont="1" applyFill="1" applyAlignment="1">
      <alignment horizontal="right" wrapText="1"/>
    </xf>
    <xf numFmtId="0" fontId="4"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6" fillId="0" borderId="0" xfId="0" applyFont="1" applyAlignment="1">
      <alignment horizontal="right" wrapText="1"/>
    </xf>
    <xf numFmtId="0" fontId="4" fillId="0" borderId="0" xfId="3" applyFont="1" applyAlignment="1">
      <alignment horizontal="left" wrapText="1"/>
    </xf>
    <xf numFmtId="0" fontId="36" fillId="0" borderId="0" xfId="0" applyFont="1" applyAlignment="1">
      <alignment horizontal="left"/>
    </xf>
    <xf numFmtId="0" fontId="48" fillId="0" borderId="0" xfId="0" applyFont="1" applyAlignment="1">
      <alignment horizontal="left" vertical="center" wrapText="1"/>
    </xf>
    <xf numFmtId="0" fontId="45" fillId="0" borderId="0" xfId="0" applyFont="1" applyAlignment="1">
      <alignment horizontal="center" vertical="center" wrapText="1"/>
    </xf>
    <xf numFmtId="0" fontId="4" fillId="0" borderId="0" xfId="4" applyFont="1" applyFill="1" applyAlignment="1">
      <alignment horizontal="right"/>
    </xf>
    <xf numFmtId="0" fontId="4" fillId="5" borderId="16" xfId="4" applyFont="1" applyFill="1" applyBorder="1" applyAlignment="1">
      <alignment horizontal="center" vertical="center" wrapText="1"/>
    </xf>
    <xf numFmtId="0" fontId="4" fillId="5" borderId="14" xfId="4" applyFont="1" applyFill="1" applyBorder="1" applyAlignment="1">
      <alignment horizontal="center" vertical="center" wrapText="1"/>
    </xf>
    <xf numFmtId="0" fontId="4" fillId="4" borderId="1" xfId="4" applyFont="1" applyFill="1" applyBorder="1" applyAlignment="1">
      <alignment horizontal="center" vertical="center" wrapText="1"/>
    </xf>
    <xf numFmtId="0" fontId="4" fillId="4" borderId="1" xfId="4" applyFont="1" applyFill="1" applyBorder="1" applyAlignment="1">
      <alignment horizontal="center" vertical="center"/>
    </xf>
    <xf numFmtId="0" fontId="4" fillId="5" borderId="13" xfId="4" applyFont="1" applyFill="1" applyBorder="1" applyAlignment="1">
      <alignment horizontal="center" vertical="center" wrapText="1"/>
    </xf>
    <xf numFmtId="0" fontId="4" fillId="5" borderId="15" xfId="4" applyFont="1" applyFill="1" applyBorder="1" applyAlignment="1">
      <alignment horizontal="center" vertical="center" wrapText="1"/>
    </xf>
    <xf numFmtId="0" fontId="4" fillId="4" borderId="13" xfId="4" applyFont="1" applyFill="1" applyBorder="1" applyAlignment="1">
      <alignment horizontal="center" vertical="center" wrapText="1"/>
    </xf>
    <xf numFmtId="0" fontId="4" fillId="4" borderId="13" xfId="4" applyFont="1" applyFill="1" applyBorder="1" applyAlignment="1">
      <alignment horizontal="center" vertical="center"/>
    </xf>
    <xf numFmtId="0" fontId="30" fillId="0" borderId="0" xfId="0" applyFont="1" applyAlignment="1">
      <alignment vertical="top" wrapText="1"/>
    </xf>
    <xf numFmtId="0" fontId="30" fillId="0" borderId="0" xfId="0" applyFont="1" applyFill="1" applyBorder="1" applyAlignment="1">
      <alignment horizontal="left" wrapText="1"/>
    </xf>
    <xf numFmtId="0" fontId="4" fillId="0" borderId="0" xfId="0" applyFont="1" applyAlignment="1">
      <alignment horizontal="left" wrapText="1"/>
    </xf>
    <xf numFmtId="0" fontId="48" fillId="0" borderId="0" xfId="0" applyFont="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6" xfId="0" applyFont="1" applyBorder="1" applyAlignment="1">
      <alignment horizontal="center" vertical="center" wrapText="1"/>
    </xf>
    <xf numFmtId="0" fontId="36" fillId="0" borderId="0" xfId="0" applyFont="1" applyAlignment="1">
      <alignment horizontal="left" vertical="center" wrapText="1"/>
    </xf>
    <xf numFmtId="0" fontId="9" fillId="0" borderId="2" xfId="0" applyFont="1" applyBorder="1" applyAlignment="1">
      <alignment horizontal="left" vertical="center"/>
    </xf>
    <xf numFmtId="0" fontId="10" fillId="0" borderId="1"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41" fillId="0" borderId="0" xfId="9" applyFont="1" applyAlignment="1">
      <alignment horizontal="left" wrapText="1"/>
    </xf>
    <xf numFmtId="0" fontId="23" fillId="0" borderId="2" xfId="8" applyFont="1" applyBorder="1" applyAlignment="1">
      <alignment horizontal="right"/>
    </xf>
    <xf numFmtId="0" fontId="37" fillId="0" borderId="0" xfId="9" applyFont="1" applyAlignment="1">
      <alignment horizontal="center" vertical="center" wrapText="1"/>
    </xf>
    <xf numFmtId="0" fontId="48" fillId="0" borderId="0" xfId="9" applyFont="1" applyAlignment="1">
      <alignment horizontal="left" wrapText="1"/>
    </xf>
    <xf numFmtId="0" fontId="37" fillId="0" borderId="0" xfId="0" applyFont="1" applyAlignment="1">
      <alignment horizontal="center" vertical="center" wrapText="1"/>
    </xf>
    <xf numFmtId="0" fontId="48" fillId="0" borderId="0" xfId="0" applyFont="1" applyAlignment="1">
      <alignment horizontal="left" wrapText="1"/>
    </xf>
    <xf numFmtId="0" fontId="20" fillId="0" borderId="0" xfId="0" applyFont="1" applyFill="1" applyBorder="1" applyAlignment="1">
      <alignment horizontal="left" wrapText="1"/>
    </xf>
    <xf numFmtId="0" fontId="20" fillId="0" borderId="19" xfId="0" applyFont="1" applyFill="1" applyBorder="1" applyAlignment="1">
      <alignment horizontal="left" wrapText="1"/>
    </xf>
    <xf numFmtId="0" fontId="45" fillId="0" borderId="0" xfId="0" applyFont="1" applyAlignment="1">
      <alignment horizontal="center" vertical="center"/>
    </xf>
    <xf numFmtId="0" fontId="5" fillId="0" borderId="0" xfId="1" applyFont="1" applyAlignment="1">
      <alignment horizontal="left" wrapText="1"/>
    </xf>
    <xf numFmtId="0" fontId="36" fillId="0" borderId="0" xfId="1" applyFont="1" applyAlignment="1">
      <alignment horizontal="left" wrapText="1"/>
    </xf>
    <xf numFmtId="0" fontId="15" fillId="5" borderId="1" xfId="0"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1" xfId="0" applyFont="1" applyFill="1" applyBorder="1"/>
    <xf numFmtId="0" fontId="4" fillId="0" borderId="0" xfId="1" applyFont="1" applyAlignment="1" applyProtection="1">
      <alignment horizontal="center" vertical="center" wrapText="1"/>
      <protection locked="0"/>
    </xf>
    <xf numFmtId="0" fontId="26" fillId="0" borderId="0" xfId="0" applyFont="1" applyAlignment="1">
      <alignment horizontal="left" wrapText="1"/>
    </xf>
    <xf numFmtId="0" fontId="48" fillId="0" borderId="0" xfId="0" applyFont="1" applyAlignment="1">
      <alignment horizontal="left"/>
    </xf>
    <xf numFmtId="0" fontId="26" fillId="0" borderId="0" xfId="0" applyFont="1" applyBorder="1" applyAlignment="1">
      <alignment horizontal="left" wrapText="1"/>
    </xf>
    <xf numFmtId="2" fontId="30" fillId="0" borderId="0" xfId="0" applyNumberFormat="1" applyFont="1" applyAlignment="1">
      <alignment horizontal="left" wrapText="1"/>
    </xf>
    <xf numFmtId="0" fontId="26" fillId="0" borderId="20" xfId="0" applyFont="1" applyBorder="1" applyAlignment="1">
      <alignment horizontal="left" wrapText="1"/>
    </xf>
    <xf numFmtId="0" fontId="38" fillId="0" borderId="0" xfId="0" applyFont="1" applyAlignment="1">
      <alignment horizontal="center" vertical="center" wrapText="1"/>
    </xf>
    <xf numFmtId="0" fontId="29" fillId="0" borderId="0" xfId="0" applyFont="1" applyAlignment="1">
      <alignment horizontal="left" vertical="center"/>
    </xf>
  </cellXfs>
  <cellStyles count="11">
    <cellStyle name="Hyperlink" xfId="6" builtinId="8"/>
    <cellStyle name="Normal" xfId="0" builtinId="0"/>
    <cellStyle name="Normal 10 2 2" xfId="1" xr:uid="{00000000-0005-0000-0000-000002000000}"/>
    <cellStyle name="Normal 10 7" xfId="3" xr:uid="{00000000-0005-0000-0000-000003000000}"/>
    <cellStyle name="Normal 2" xfId="9" xr:uid="{00000000-0005-0000-0000-000004000000}"/>
    <cellStyle name="Normal 3" xfId="4" xr:uid="{00000000-0005-0000-0000-000005000000}"/>
    <cellStyle name="Normal 3 3" xfId="5" xr:uid="{00000000-0005-0000-0000-000006000000}"/>
    <cellStyle name="Normal 5" xfId="7" xr:uid="{00000000-0005-0000-0000-000007000000}"/>
    <cellStyle name="Normal 6" xfId="8" xr:uid="{00000000-0005-0000-0000-000008000000}"/>
    <cellStyle name="Normal 6 2" xfId="10" xr:uid="{00000000-0005-0000-0000-000009000000}"/>
    <cellStyle name="Percent 2" xfId="2"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Documents%20and%20Settings\Svetlana.Supulniece\Local%20Settings\Temporary%20Internet%20Files\Content.Outlook\J21U5MYL\LIC%20PP%20parrekins%20pec%202012%209m%20DB\LIC%20laboratorija\R0032%20-LIC%20darbs%20laboratorija%20citam%20ar%20palidz%20veidu%20AI%2031102012.xls?73E465BC" TargetMode="External"/><Relationship Id="rId1" Type="http://schemas.openxmlformats.org/officeDocument/2006/relationships/externalLinkPath" Target="file:///\\73E465BC\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
  <sheetViews>
    <sheetView tabSelected="1" zoomScale="80" zoomScaleNormal="80" workbookViewId="0">
      <pane xSplit="2" ySplit="4" topLeftCell="C5" activePane="bottomRight" state="frozen"/>
      <selection pane="topRight" activeCell="C1" sqref="C1"/>
      <selection pane="bottomLeft" activeCell="A5" sqref="A5"/>
      <selection pane="bottomRight" activeCell="C15" sqref="C15"/>
    </sheetView>
  </sheetViews>
  <sheetFormatPr defaultColWidth="8.7109375" defaultRowHeight="12.75" x14ac:dyDescent="0.25"/>
  <cols>
    <col min="1" max="1" width="5.7109375" style="176" customWidth="1"/>
    <col min="2" max="2" width="77.7109375" style="176" customWidth="1"/>
    <col min="3" max="3" width="10" style="177" customWidth="1"/>
    <col min="4" max="5" width="10.140625" style="176" customWidth="1"/>
    <col min="6" max="6" width="10" style="176" customWidth="1"/>
    <col min="7" max="7" width="21.5703125" style="176" customWidth="1"/>
    <col min="8" max="8" width="40.28515625" style="176" customWidth="1"/>
    <col min="9" max="9" width="7.42578125" style="176" bestFit="1" customWidth="1"/>
    <col min="10" max="10" width="10.140625" style="176" bestFit="1" customWidth="1"/>
    <col min="11" max="11" width="69.7109375" style="176" customWidth="1"/>
    <col min="12" max="16384" width="8.7109375" style="176"/>
  </cols>
  <sheetData>
    <row r="1" spans="1:12" ht="41.25" customHeight="1" x14ac:dyDescent="0.25">
      <c r="A1" s="442" t="s">
        <v>434</v>
      </c>
      <c r="B1" s="442"/>
      <c r="C1" s="442"/>
      <c r="D1" s="442"/>
      <c r="E1" s="442"/>
      <c r="F1" s="442"/>
      <c r="G1" s="442"/>
      <c r="H1" s="442"/>
      <c r="J1" s="203"/>
      <c r="K1" s="206" t="s">
        <v>419</v>
      </c>
    </row>
    <row r="2" spans="1:12" x14ac:dyDescent="0.25">
      <c r="A2" s="182"/>
      <c r="I2" s="201"/>
      <c r="J2" s="201"/>
      <c r="K2" s="201"/>
    </row>
    <row r="3" spans="1:12" s="177" customFormat="1" ht="74.25" customHeight="1" x14ac:dyDescent="0.25">
      <c r="A3" s="180"/>
      <c r="D3" s="443" t="s">
        <v>217</v>
      </c>
      <c r="E3" s="443"/>
      <c r="F3" s="443"/>
      <c r="G3" s="421" t="s">
        <v>345</v>
      </c>
      <c r="H3" s="443" t="s">
        <v>370</v>
      </c>
      <c r="I3" s="444"/>
      <c r="J3" s="444"/>
      <c r="K3" s="208" t="s">
        <v>369</v>
      </c>
    </row>
    <row r="4" spans="1:12" s="177" customFormat="1" ht="25.5" x14ac:dyDescent="0.25">
      <c r="A4" s="208" t="s">
        <v>198</v>
      </c>
      <c r="B4" s="208" t="s">
        <v>199</v>
      </c>
      <c r="C4" s="207" t="s">
        <v>200</v>
      </c>
      <c r="D4" s="207">
        <v>2021</v>
      </c>
      <c r="E4" s="207">
        <v>2022</v>
      </c>
      <c r="F4" s="207">
        <v>2023</v>
      </c>
      <c r="G4" s="207">
        <v>2021</v>
      </c>
      <c r="H4" s="208" t="s">
        <v>199</v>
      </c>
      <c r="I4" s="208" t="s">
        <v>198</v>
      </c>
      <c r="J4" s="207" t="s">
        <v>266</v>
      </c>
      <c r="K4" s="422"/>
    </row>
    <row r="5" spans="1:12" s="184" customFormat="1" ht="14.25" x14ac:dyDescent="0.25">
      <c r="A5" s="178"/>
      <c r="B5" s="183" t="s">
        <v>173</v>
      </c>
      <c r="C5" s="194"/>
      <c r="D5" s="173">
        <f>D6</f>
        <v>9754031</v>
      </c>
      <c r="E5" s="173">
        <f>E6</f>
        <v>9754031</v>
      </c>
      <c r="F5" s="173">
        <f>F6</f>
        <v>9754031</v>
      </c>
      <c r="G5" s="173">
        <f>G6</f>
        <v>7111208.0199999996</v>
      </c>
      <c r="H5" s="173"/>
      <c r="I5" s="173"/>
      <c r="J5" s="173">
        <f>J6</f>
        <v>3545726</v>
      </c>
      <c r="K5" s="431"/>
      <c r="L5" s="432"/>
    </row>
    <row r="6" spans="1:12" s="187" customFormat="1" x14ac:dyDescent="0.25">
      <c r="A6" s="179"/>
      <c r="B6" s="185" t="s">
        <v>201</v>
      </c>
      <c r="C6" s="195"/>
      <c r="D6" s="174">
        <f>D11+D19+D23</f>
        <v>9754031</v>
      </c>
      <c r="E6" s="174">
        <f>E11+E19+E23</f>
        <v>9754031</v>
      </c>
      <c r="F6" s="174">
        <f>F11+F19+F23</f>
        <v>9754031</v>
      </c>
      <c r="G6" s="174">
        <f>G11+G19+G23</f>
        <v>7111208.0199999996</v>
      </c>
      <c r="H6" s="186"/>
      <c r="I6" s="179"/>
      <c r="J6" s="174">
        <f>J11+J19+J23</f>
        <v>3545726</v>
      </c>
      <c r="K6" s="179"/>
    </row>
    <row r="7" spans="1:12" s="187" customFormat="1" x14ac:dyDescent="0.25">
      <c r="A7" s="179"/>
      <c r="B7" s="188" t="s">
        <v>55</v>
      </c>
      <c r="C7" s="195"/>
      <c r="D7" s="175">
        <f>D20+D22</f>
        <v>0</v>
      </c>
      <c r="E7" s="175">
        <f>E20+E22</f>
        <v>0</v>
      </c>
      <c r="F7" s="175">
        <f>F20+F22</f>
        <v>0</v>
      </c>
      <c r="G7" s="175"/>
      <c r="H7" s="186"/>
      <c r="I7" s="179"/>
      <c r="J7" s="175">
        <f t="shared" ref="J7" si="0">J20+J22</f>
        <v>0</v>
      </c>
      <c r="K7" s="179"/>
    </row>
    <row r="8" spans="1:12" s="187" customFormat="1" x14ac:dyDescent="0.25">
      <c r="A8" s="179"/>
      <c r="B8" s="188" t="s">
        <v>196</v>
      </c>
      <c r="C8" s="195"/>
      <c r="D8" s="175">
        <f>D12+D13+D14+D15+D17+D21+D25+D26+D27</f>
        <v>9754031.4900000002</v>
      </c>
      <c r="E8" s="175">
        <f>E12+E13+E14+E15+E17+E21+E25+E26+E27</f>
        <v>9754031.4900000002</v>
      </c>
      <c r="F8" s="175">
        <f>F12+F13+F14+F15+F17+F21+F25+F26+F27</f>
        <v>9754031.4900000002</v>
      </c>
      <c r="G8" s="175"/>
      <c r="H8" s="186"/>
      <c r="I8" s="179"/>
      <c r="J8" s="181">
        <f>J12+J13+J14+J15+J17+J21+J25+J26+J27</f>
        <v>3280906</v>
      </c>
      <c r="K8" s="179"/>
    </row>
    <row r="9" spans="1:12" s="187" customFormat="1" x14ac:dyDescent="0.25">
      <c r="A9" s="179"/>
      <c r="B9" s="188" t="s">
        <v>240</v>
      </c>
      <c r="C9" s="195"/>
      <c r="D9" s="175">
        <f>D18</f>
        <v>0</v>
      </c>
      <c r="E9" s="175">
        <f>E18</f>
        <v>0</v>
      </c>
      <c r="F9" s="175">
        <f>F18</f>
        <v>0</v>
      </c>
      <c r="G9" s="175"/>
      <c r="H9" s="186"/>
      <c r="I9" s="179"/>
      <c r="J9" s="175">
        <f t="shared" ref="J9" si="1">J18</f>
        <v>264820</v>
      </c>
      <c r="K9" s="179"/>
    </row>
    <row r="10" spans="1:12" s="428" customFormat="1" ht="13.5" x14ac:dyDescent="0.25">
      <c r="A10" s="423"/>
      <c r="B10" s="424" t="s">
        <v>418</v>
      </c>
      <c r="C10" s="425"/>
      <c r="D10" s="426"/>
      <c r="E10" s="426"/>
      <c r="F10" s="426"/>
      <c r="G10" s="426">
        <f>G6</f>
        <v>7111208.0199999996</v>
      </c>
      <c r="H10" s="427"/>
      <c r="I10" s="423"/>
      <c r="J10" s="426"/>
    </row>
    <row r="11" spans="1:12" x14ac:dyDescent="0.25">
      <c r="A11" s="189" t="s">
        <v>63</v>
      </c>
      <c r="B11" s="62" t="s">
        <v>269</v>
      </c>
      <c r="C11" s="196"/>
      <c r="D11" s="63">
        <f>ROUND((D12+D13+D14+D15+D16),0)</f>
        <v>8017113</v>
      </c>
      <c r="E11" s="63">
        <f t="shared" ref="E11:G11" si="2">ROUND((E12+E13+E14+E15+E16),0)</f>
        <v>8017113</v>
      </c>
      <c r="F11" s="63">
        <f t="shared" si="2"/>
        <v>8017113</v>
      </c>
      <c r="G11" s="63">
        <f t="shared" si="2"/>
        <v>5332095</v>
      </c>
      <c r="H11" s="190"/>
      <c r="I11" s="191"/>
      <c r="J11" s="63">
        <f t="shared" ref="J11" si="3">ROUND((J12+J13+J14+J15+J16),0)</f>
        <v>1968566</v>
      </c>
      <c r="K11" s="116"/>
    </row>
    <row r="12" spans="1:12" ht="51" x14ac:dyDescent="0.25">
      <c r="A12" s="116" t="s">
        <v>61</v>
      </c>
      <c r="B12" s="117" t="s">
        <v>344</v>
      </c>
      <c r="C12" s="207" t="s">
        <v>202</v>
      </c>
      <c r="D12" s="119">
        <f>'1.1.'!U20</f>
        <v>0</v>
      </c>
      <c r="E12" s="119">
        <f>D12</f>
        <v>0</v>
      </c>
      <c r="F12" s="119">
        <f>E12</f>
        <v>0</v>
      </c>
      <c r="G12" s="119">
        <f>'1.1.'!T20</f>
        <v>839973</v>
      </c>
      <c r="H12" s="117"/>
      <c r="I12" s="116"/>
      <c r="J12" s="192"/>
      <c r="K12" s="116"/>
    </row>
    <row r="13" spans="1:12" ht="38.25" x14ac:dyDescent="0.25">
      <c r="A13" s="116" t="s">
        <v>62</v>
      </c>
      <c r="B13" s="117" t="s">
        <v>318</v>
      </c>
      <c r="C13" s="207" t="s">
        <v>202</v>
      </c>
      <c r="D13" s="119">
        <v>0</v>
      </c>
      <c r="E13" s="119">
        <v>0</v>
      </c>
      <c r="F13" s="119">
        <v>0</v>
      </c>
      <c r="G13" s="119">
        <f>'1.2.'!G14</f>
        <v>1784757</v>
      </c>
      <c r="H13" s="117"/>
      <c r="I13" s="116"/>
      <c r="J13" s="192"/>
      <c r="K13" s="116"/>
    </row>
    <row r="14" spans="1:12" ht="51" x14ac:dyDescent="0.25">
      <c r="A14" s="116" t="s">
        <v>64</v>
      </c>
      <c r="B14" s="117" t="s">
        <v>188</v>
      </c>
      <c r="C14" s="207" t="s">
        <v>202</v>
      </c>
      <c r="D14" s="119">
        <v>0</v>
      </c>
      <c r="E14" s="119">
        <v>0</v>
      </c>
      <c r="F14" s="119">
        <v>0</v>
      </c>
      <c r="G14" s="118">
        <f>'1.3.'!B13</f>
        <v>430862</v>
      </c>
      <c r="H14" s="117" t="s">
        <v>336</v>
      </c>
      <c r="I14" s="214" t="s">
        <v>327</v>
      </c>
      <c r="J14" s="120">
        <v>72000</v>
      </c>
      <c r="K14" s="117" t="s">
        <v>409</v>
      </c>
    </row>
    <row r="15" spans="1:12" ht="76.5" x14ac:dyDescent="0.25">
      <c r="A15" s="116" t="s">
        <v>65</v>
      </c>
      <c r="B15" s="117" t="s">
        <v>256</v>
      </c>
      <c r="C15" s="207" t="s">
        <v>202</v>
      </c>
      <c r="D15" s="118">
        <v>255815</v>
      </c>
      <c r="E15" s="118">
        <v>255815</v>
      </c>
      <c r="F15" s="118">
        <v>255815</v>
      </c>
      <c r="G15" s="119">
        <f>'1.4.'!A52</f>
        <v>671904.34499999997</v>
      </c>
      <c r="H15" s="97" t="s">
        <v>408</v>
      </c>
      <c r="I15" s="214" t="s">
        <v>328</v>
      </c>
      <c r="J15" s="120">
        <v>693203</v>
      </c>
      <c r="K15" s="117" t="s">
        <v>410</v>
      </c>
      <c r="L15" s="200"/>
    </row>
    <row r="16" spans="1:12" ht="25.5" x14ac:dyDescent="0.25">
      <c r="A16" s="116" t="s">
        <v>236</v>
      </c>
      <c r="B16" s="215" t="s">
        <v>364</v>
      </c>
      <c r="C16" s="207"/>
      <c r="D16" s="118">
        <f>ROUND((D17+D18),0)</f>
        <v>7761298</v>
      </c>
      <c r="E16" s="118">
        <f t="shared" ref="E16:G16" si="4">ROUND((E17+E18),0)</f>
        <v>7761298</v>
      </c>
      <c r="F16" s="118">
        <f t="shared" si="4"/>
        <v>7761298</v>
      </c>
      <c r="G16" s="118">
        <f t="shared" si="4"/>
        <v>1604599</v>
      </c>
      <c r="H16" s="97"/>
      <c r="I16" s="97"/>
      <c r="J16" s="98">
        <f t="shared" ref="J16" si="5">ROUND((J17+J18),0)</f>
        <v>1203363</v>
      </c>
      <c r="K16" s="116"/>
    </row>
    <row r="17" spans="1:14" ht="51" x14ac:dyDescent="0.25">
      <c r="A17" s="116" t="s">
        <v>254</v>
      </c>
      <c r="B17" s="117" t="s">
        <v>365</v>
      </c>
      <c r="C17" s="207" t="s">
        <v>261</v>
      </c>
      <c r="D17" s="119">
        <f>'1.5.1'!F19</f>
        <v>7761298.0899999999</v>
      </c>
      <c r="E17" s="119">
        <f>D17</f>
        <v>7761298.0899999999</v>
      </c>
      <c r="F17" s="119">
        <f>E17</f>
        <v>7761298.0899999999</v>
      </c>
      <c r="G17" s="119">
        <f>'1.5.1'!G19</f>
        <v>1280614.1848499998</v>
      </c>
      <c r="H17" s="97" t="s">
        <v>334</v>
      </c>
      <c r="I17" s="214" t="s">
        <v>329</v>
      </c>
      <c r="J17" s="120">
        <v>938543</v>
      </c>
      <c r="K17" s="117" t="s">
        <v>411</v>
      </c>
    </row>
    <row r="18" spans="1:14" ht="38.25" x14ac:dyDescent="0.25">
      <c r="A18" s="116" t="s">
        <v>255</v>
      </c>
      <c r="B18" s="117" t="s">
        <v>366</v>
      </c>
      <c r="C18" s="207" t="s">
        <v>260</v>
      </c>
      <c r="D18" s="119">
        <v>0</v>
      </c>
      <c r="E18" s="119">
        <v>0</v>
      </c>
      <c r="F18" s="119">
        <v>0</v>
      </c>
      <c r="G18" s="119">
        <f>'1.5.2.'!G11</f>
        <v>323985</v>
      </c>
      <c r="H18" s="97" t="s">
        <v>337</v>
      </c>
      <c r="I18" s="214" t="s">
        <v>330</v>
      </c>
      <c r="J18" s="120">
        <v>264820</v>
      </c>
      <c r="K18" s="117" t="s">
        <v>412</v>
      </c>
    </row>
    <row r="19" spans="1:14" s="182" customFormat="1" ht="44.25" customHeight="1" x14ac:dyDescent="0.25">
      <c r="A19" s="189" t="s">
        <v>66</v>
      </c>
      <c r="B19" s="62" t="s">
        <v>257</v>
      </c>
      <c r="C19" s="196"/>
      <c r="D19" s="63">
        <f>D20+D21</f>
        <v>0</v>
      </c>
      <c r="E19" s="63">
        <f t="shared" ref="E19:F19" si="6">E20+E21</f>
        <v>0</v>
      </c>
      <c r="F19" s="63">
        <f t="shared" si="6"/>
        <v>0</v>
      </c>
      <c r="G19" s="63">
        <f>G20+G21+G22</f>
        <v>156156.02000000002</v>
      </c>
      <c r="H19" s="62"/>
      <c r="I19" s="189"/>
      <c r="J19" s="63"/>
      <c r="K19" s="216"/>
    </row>
    <row r="20" spans="1:14" x14ac:dyDescent="0.25">
      <c r="A20" s="446" t="s">
        <v>67</v>
      </c>
      <c r="B20" s="448" t="s">
        <v>368</v>
      </c>
      <c r="C20" s="207" t="s">
        <v>203</v>
      </c>
      <c r="D20" s="119">
        <v>0</v>
      </c>
      <c r="E20" s="119">
        <v>0</v>
      </c>
      <c r="F20" s="119">
        <v>0</v>
      </c>
      <c r="G20" s="119">
        <f>'2.'!D17</f>
        <v>20111.3</v>
      </c>
      <c r="H20" s="117"/>
      <c r="I20" s="116"/>
      <c r="J20" s="116"/>
      <c r="K20" s="116"/>
      <c r="L20" s="200"/>
      <c r="M20" s="200"/>
      <c r="N20" s="200"/>
    </row>
    <row r="21" spans="1:14" x14ac:dyDescent="0.25">
      <c r="A21" s="447"/>
      <c r="B21" s="449"/>
      <c r="C21" s="207" t="s">
        <v>202</v>
      </c>
      <c r="D21" s="119">
        <v>0</v>
      </c>
      <c r="E21" s="119">
        <v>0</v>
      </c>
      <c r="F21" s="119">
        <v>0</v>
      </c>
      <c r="G21" s="119">
        <f>'2.'!I17</f>
        <v>48267</v>
      </c>
      <c r="H21" s="117"/>
      <c r="I21" s="116"/>
      <c r="J21" s="116"/>
      <c r="K21" s="116"/>
    </row>
    <row r="22" spans="1:14" ht="25.5" x14ac:dyDescent="0.25">
      <c r="A22" s="217" t="s">
        <v>349</v>
      </c>
      <c r="B22" s="218" t="s">
        <v>352</v>
      </c>
      <c r="C22" s="207" t="s">
        <v>203</v>
      </c>
      <c r="D22" s="118"/>
      <c r="E22" s="118"/>
      <c r="F22" s="118"/>
      <c r="G22" s="118">
        <f>'2.'!S31</f>
        <v>87777.72</v>
      </c>
      <c r="H22" s="97"/>
      <c r="I22" s="96"/>
      <c r="J22" s="96"/>
      <c r="K22" s="96"/>
    </row>
    <row r="23" spans="1:14" s="182" customFormat="1" x14ac:dyDescent="0.25">
      <c r="A23" s="189" t="s">
        <v>68</v>
      </c>
      <c r="B23" s="62" t="s">
        <v>258</v>
      </c>
      <c r="C23" s="196"/>
      <c r="D23" s="63">
        <f>ROUND((D24+D27),0)</f>
        <v>1736918</v>
      </c>
      <c r="E23" s="63">
        <f>ROUND((E24+E27),0)</f>
        <v>1736918</v>
      </c>
      <c r="F23" s="63">
        <f>ROUND((F24+F27),0)</f>
        <v>1736918</v>
      </c>
      <c r="G23" s="63">
        <f>ROUND((G24+G27),0)</f>
        <v>1622957</v>
      </c>
      <c r="H23" s="62"/>
      <c r="I23" s="189"/>
      <c r="J23" s="63">
        <f>ROUND((J24+J27),0)</f>
        <v>1577160</v>
      </c>
      <c r="K23" s="216"/>
    </row>
    <row r="24" spans="1:14" x14ac:dyDescent="0.25">
      <c r="A24" s="116" t="s">
        <v>69</v>
      </c>
      <c r="B24" s="117" t="s">
        <v>59</v>
      </c>
      <c r="C24" s="207"/>
      <c r="D24" s="119">
        <f>D25+D26</f>
        <v>0</v>
      </c>
      <c r="E24" s="119">
        <f t="shared" ref="E24:G24" si="7">E25+E26</f>
        <v>0</v>
      </c>
      <c r="F24" s="119">
        <f t="shared" si="7"/>
        <v>0</v>
      </c>
      <c r="G24" s="119">
        <f t="shared" si="7"/>
        <v>1304522</v>
      </c>
      <c r="H24" s="117"/>
      <c r="I24" s="116"/>
      <c r="J24" s="119">
        <f t="shared" ref="J24" si="8">J25+J26</f>
        <v>1253880</v>
      </c>
      <c r="K24" s="116"/>
    </row>
    <row r="25" spans="1:14" ht="32.25" customHeight="1" x14ac:dyDescent="0.25">
      <c r="A25" s="116" t="s">
        <v>70</v>
      </c>
      <c r="B25" s="117" t="s">
        <v>73</v>
      </c>
      <c r="C25" s="207" t="s">
        <v>446</v>
      </c>
      <c r="D25" s="120">
        <v>0</v>
      </c>
      <c r="E25" s="120">
        <v>0</v>
      </c>
      <c r="F25" s="120">
        <v>0</v>
      </c>
      <c r="G25" s="120">
        <f>'3.1.2.'!G49+'3.1.2.'!C54</f>
        <v>589788</v>
      </c>
      <c r="H25" s="117"/>
      <c r="I25" s="116"/>
      <c r="J25" s="116"/>
      <c r="K25" s="116"/>
    </row>
    <row r="26" spans="1:14" ht="90" customHeight="1" x14ac:dyDescent="0.25">
      <c r="A26" s="116" t="s">
        <v>71</v>
      </c>
      <c r="B26" s="117" t="s">
        <v>346</v>
      </c>
      <c r="C26" s="437" t="s">
        <v>446</v>
      </c>
      <c r="D26" s="120">
        <v>0</v>
      </c>
      <c r="E26" s="120">
        <v>0</v>
      </c>
      <c r="F26" s="120">
        <v>0</v>
      </c>
      <c r="G26" s="120">
        <f>'3.1.3.'!K51+'3.1.3.'!C56</f>
        <v>714734</v>
      </c>
      <c r="H26" s="117" t="s">
        <v>335</v>
      </c>
      <c r="I26" s="214" t="s">
        <v>331</v>
      </c>
      <c r="J26" s="120">
        <v>1253880</v>
      </c>
      <c r="K26" s="117" t="s">
        <v>413</v>
      </c>
    </row>
    <row r="27" spans="1:14" s="99" customFormat="1" ht="95.25" customHeight="1" x14ac:dyDescent="0.25">
      <c r="A27" s="96" t="s">
        <v>72</v>
      </c>
      <c r="B27" s="97" t="s">
        <v>259</v>
      </c>
      <c r="C27" s="197" t="s">
        <v>202</v>
      </c>
      <c r="D27" s="98">
        <f>'3.2.'!F12</f>
        <v>1736918.4</v>
      </c>
      <c r="E27" s="98">
        <f>D27</f>
        <v>1736918.4</v>
      </c>
      <c r="F27" s="98">
        <f>E27</f>
        <v>1736918.4</v>
      </c>
      <c r="G27" s="98">
        <f>'3.2.'!G12</f>
        <v>318435.04000000004</v>
      </c>
      <c r="H27" s="97" t="s">
        <v>338</v>
      </c>
      <c r="I27" s="214" t="s">
        <v>332</v>
      </c>
      <c r="J27" s="120">
        <v>323280</v>
      </c>
      <c r="K27" s="117" t="s">
        <v>414</v>
      </c>
    </row>
    <row r="28" spans="1:14" ht="29.45" customHeight="1" x14ac:dyDescent="0.25">
      <c r="A28" s="445" t="s">
        <v>417</v>
      </c>
      <c r="B28" s="445"/>
      <c r="C28" s="445"/>
      <c r="D28" s="445"/>
      <c r="E28" s="445"/>
      <c r="F28" s="445"/>
      <c r="G28" s="445"/>
      <c r="H28" s="445"/>
      <c r="I28" s="445"/>
      <c r="J28" s="445"/>
    </row>
  </sheetData>
  <mergeCells count="6">
    <mergeCell ref="A1:H1"/>
    <mergeCell ref="H3:J3"/>
    <mergeCell ref="A28:J28"/>
    <mergeCell ref="A20:A21"/>
    <mergeCell ref="B20:B21"/>
    <mergeCell ref="D3:F3"/>
  </mergeCells>
  <pageMargins left="0.7" right="0.7" top="0.75" bottom="0.75" header="0.3" footer="0.3"/>
  <pageSetup paperSize="9" scale="48"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7"/>
  <sheetViews>
    <sheetView zoomScale="80" zoomScaleNormal="80" zoomScaleSheetLayoutView="70" workbookViewId="0">
      <selection activeCell="C61" sqref="C61"/>
    </sheetView>
  </sheetViews>
  <sheetFormatPr defaultColWidth="8.7109375" defaultRowHeight="15" x14ac:dyDescent="0.25"/>
  <cols>
    <col min="1" max="1" width="10.42578125" style="87" customWidth="1"/>
    <col min="2" max="2" width="48.7109375" style="87" customWidth="1"/>
    <col min="3" max="3" width="23" style="87" customWidth="1"/>
    <col min="4" max="4" width="26.28515625" style="87" customWidth="1"/>
    <col min="5" max="5" width="14.5703125" style="87" customWidth="1"/>
    <col min="6" max="6" width="13.5703125" style="87" customWidth="1"/>
    <col min="7" max="8" width="11.42578125" style="87" customWidth="1"/>
    <col min="9" max="9" width="8.7109375" style="87"/>
    <col min="10" max="10" width="10.28515625" style="87" customWidth="1"/>
    <col min="11" max="12" width="15.5703125" style="87" customWidth="1"/>
    <col min="13" max="13" width="41.140625" style="87" customWidth="1"/>
    <col min="14" max="16384" width="8.7109375" style="87"/>
  </cols>
  <sheetData>
    <row r="1" spans="1:14" ht="39" x14ac:dyDescent="0.25">
      <c r="A1" s="495" t="s">
        <v>268</v>
      </c>
      <c r="B1" s="495"/>
      <c r="C1" s="495"/>
      <c r="D1" s="495"/>
      <c r="E1" s="495"/>
      <c r="F1" s="495"/>
      <c r="G1" s="495"/>
      <c r="H1" s="495"/>
      <c r="I1" s="495"/>
      <c r="J1" s="495"/>
      <c r="K1" s="495"/>
      <c r="L1" s="495"/>
      <c r="M1" s="365" t="s">
        <v>428</v>
      </c>
    </row>
    <row r="2" spans="1:14" ht="15.75" x14ac:dyDescent="0.25">
      <c r="A2" s="246" t="s">
        <v>208</v>
      </c>
      <c r="B2" s="246"/>
      <c r="C2" s="246"/>
      <c r="D2" s="246"/>
      <c r="E2" s="246"/>
      <c r="F2" s="246"/>
      <c r="G2" s="246"/>
      <c r="H2" s="246"/>
      <c r="I2" s="246"/>
      <c r="J2" s="246"/>
      <c r="K2" s="246"/>
      <c r="L2" s="246"/>
    </row>
    <row r="3" spans="1:14" ht="15.75" x14ac:dyDescent="0.25">
      <c r="A3" s="463" t="s">
        <v>348</v>
      </c>
      <c r="B3" s="463"/>
      <c r="C3" s="463"/>
      <c r="D3" s="463"/>
      <c r="E3" s="463"/>
      <c r="F3" s="463"/>
      <c r="G3" s="463"/>
      <c r="H3" s="463"/>
      <c r="I3" s="463"/>
      <c r="J3" s="463"/>
      <c r="K3" s="463"/>
      <c r="L3" s="463"/>
    </row>
    <row r="4" spans="1:14" x14ac:dyDescent="0.25">
      <c r="A4" s="165"/>
      <c r="B4" s="165"/>
      <c r="C4" s="165"/>
      <c r="D4" s="165"/>
      <c r="E4" s="165"/>
      <c r="F4" s="165"/>
      <c r="G4" s="165"/>
      <c r="H4" s="165"/>
      <c r="I4" s="165"/>
      <c r="J4" s="165"/>
      <c r="K4" s="165"/>
      <c r="L4" s="165"/>
    </row>
    <row r="5" spans="1:14" s="78" customFormat="1" ht="15.75" x14ac:dyDescent="0.25">
      <c r="A5" s="78" t="s">
        <v>54</v>
      </c>
      <c r="B5" s="76"/>
      <c r="C5" s="76"/>
      <c r="D5" s="166"/>
      <c r="E5" s="166"/>
      <c r="F5" s="166"/>
      <c r="G5" s="166"/>
      <c r="H5" s="166"/>
      <c r="I5" s="166"/>
      <c r="J5" s="166"/>
      <c r="K5" s="166"/>
      <c r="L5" s="166"/>
    </row>
    <row r="6" spans="1:14" s="78" customFormat="1" ht="15.75" x14ac:dyDescent="0.25">
      <c r="A6" s="86" t="s">
        <v>196</v>
      </c>
      <c r="B6" s="77"/>
      <c r="C6" s="77"/>
      <c r="D6" s="166"/>
      <c r="E6" s="166"/>
      <c r="F6" s="166"/>
      <c r="G6" s="166"/>
      <c r="H6" s="166"/>
      <c r="I6" s="166"/>
      <c r="J6" s="166"/>
      <c r="K6" s="166"/>
      <c r="L6" s="166"/>
    </row>
    <row r="7" spans="1:14" s="78" customFormat="1" x14ac:dyDescent="0.25">
      <c r="A7" s="86" t="s">
        <v>207</v>
      </c>
      <c r="B7" s="72"/>
      <c r="C7" s="72"/>
      <c r="D7" s="72"/>
      <c r="E7" s="72"/>
      <c r="F7" s="72"/>
      <c r="G7" s="72"/>
      <c r="H7" s="72"/>
      <c r="I7" s="72"/>
      <c r="J7" s="72"/>
      <c r="K7" s="72"/>
      <c r="L7" s="72"/>
      <c r="N7" s="72"/>
    </row>
    <row r="8" spans="1:14" x14ac:dyDescent="0.25">
      <c r="A8" s="167"/>
      <c r="B8" s="167"/>
      <c r="C8" s="167"/>
      <c r="D8" s="167"/>
      <c r="E8" s="167"/>
      <c r="F8" s="167"/>
      <c r="G8" s="167"/>
      <c r="H8" s="167"/>
      <c r="I8" s="167"/>
      <c r="J8" s="167"/>
      <c r="K8" s="167"/>
      <c r="L8" s="167"/>
      <c r="M8" s="167"/>
      <c r="N8" s="167"/>
    </row>
    <row r="9" spans="1:14" s="167" customFormat="1" ht="12.75" x14ac:dyDescent="0.2">
      <c r="A9" s="398"/>
      <c r="B9" s="398" t="s">
        <v>395</v>
      </c>
      <c r="C9" s="398" t="s">
        <v>210</v>
      </c>
      <c r="D9" s="398">
        <v>4367</v>
      </c>
      <c r="E9" s="399" t="s">
        <v>211</v>
      </c>
      <c r="F9" s="398"/>
      <c r="G9" s="398"/>
      <c r="H9" s="398"/>
      <c r="I9" s="398"/>
      <c r="J9" s="398"/>
      <c r="K9" s="398"/>
    </row>
    <row r="10" spans="1:14" s="167" customFormat="1" ht="12.75" x14ac:dyDescent="0.2">
      <c r="A10" s="398"/>
      <c r="B10" s="398"/>
      <c r="C10" s="398" t="s">
        <v>212</v>
      </c>
      <c r="D10" s="398">
        <f>D9/12</f>
        <v>363.91666666666669</v>
      </c>
      <c r="E10" s="398">
        <v>1862</v>
      </c>
      <c r="F10" s="400"/>
      <c r="G10" s="398"/>
      <c r="H10" s="401">
        <v>0.2359</v>
      </c>
      <c r="I10" s="398"/>
      <c r="J10" s="398"/>
      <c r="K10" s="398"/>
    </row>
    <row r="11" spans="1:14" s="402" customFormat="1" ht="51" x14ac:dyDescent="0.25">
      <c r="A11" s="164" t="s">
        <v>74</v>
      </c>
      <c r="B11" s="164" t="s">
        <v>75</v>
      </c>
      <c r="C11" s="164" t="s">
        <v>76</v>
      </c>
      <c r="D11" s="164" t="s">
        <v>213</v>
      </c>
      <c r="E11" s="164" t="s">
        <v>77</v>
      </c>
      <c r="F11" s="164" t="s">
        <v>272</v>
      </c>
      <c r="G11" s="164" t="s">
        <v>214</v>
      </c>
      <c r="H11" s="164" t="s">
        <v>78</v>
      </c>
      <c r="I11" s="164" t="s">
        <v>79</v>
      </c>
      <c r="J11" s="164" t="s">
        <v>215</v>
      </c>
      <c r="K11" s="168" t="s">
        <v>220</v>
      </c>
      <c r="L11" s="168" t="s">
        <v>219</v>
      </c>
    </row>
    <row r="12" spans="1:14" x14ac:dyDescent="0.25">
      <c r="A12" s="403" t="s">
        <v>80</v>
      </c>
      <c r="B12" s="100" t="s">
        <v>81</v>
      </c>
      <c r="C12" s="102">
        <v>2</v>
      </c>
      <c r="D12" s="404">
        <f t="shared" ref="D12:D50" si="0">C12*$D$10</f>
        <v>727.83333333333337</v>
      </c>
      <c r="E12" s="404">
        <f t="shared" ref="E12:E50" si="1">C12*$E$10</f>
        <v>3724</v>
      </c>
      <c r="F12" s="404">
        <v>1.3</v>
      </c>
      <c r="G12" s="404">
        <f>E12*F12</f>
        <v>4841.2</v>
      </c>
      <c r="H12" s="404">
        <f t="shared" ref="H12:H50" si="2">ROUND(G12*$H$10,2)</f>
        <v>1142.04</v>
      </c>
      <c r="I12" s="404">
        <f>ROUND((G12+H12),2)</f>
        <v>5983.24</v>
      </c>
      <c r="J12" s="405">
        <f>D12+I12</f>
        <v>6711.0733333333328</v>
      </c>
      <c r="K12" s="169">
        <f>ROUND(J12*6,0)</f>
        <v>40266</v>
      </c>
      <c r="L12" s="169">
        <f>K12*2</f>
        <v>80532</v>
      </c>
    </row>
    <row r="13" spans="1:14" x14ac:dyDescent="0.25">
      <c r="A13" s="403" t="s">
        <v>80</v>
      </c>
      <c r="B13" s="100" t="s">
        <v>82</v>
      </c>
      <c r="C13" s="102">
        <v>2</v>
      </c>
      <c r="D13" s="404">
        <f t="shared" si="0"/>
        <v>727.83333333333337</v>
      </c>
      <c r="E13" s="404">
        <f t="shared" si="1"/>
        <v>3724</v>
      </c>
      <c r="F13" s="404">
        <v>1.3</v>
      </c>
      <c r="G13" s="404">
        <f t="shared" ref="G13:G50" si="3">E13*F13</f>
        <v>4841.2</v>
      </c>
      <c r="H13" s="404">
        <f t="shared" si="2"/>
        <v>1142.04</v>
      </c>
      <c r="I13" s="404">
        <f t="shared" ref="I13:I50" si="4">ROUND((G13+H13),2)</f>
        <v>5983.24</v>
      </c>
      <c r="J13" s="405">
        <f>D13+I13</f>
        <v>6711.0733333333328</v>
      </c>
      <c r="K13" s="169">
        <f t="shared" ref="K13:K50" si="5">ROUND(J13*6,0)</f>
        <v>40266</v>
      </c>
      <c r="L13" s="169">
        <f t="shared" ref="L13:L50" si="6">K13*2</f>
        <v>80532</v>
      </c>
    </row>
    <row r="14" spans="1:14" x14ac:dyDescent="0.25">
      <c r="A14" s="403" t="s">
        <v>80</v>
      </c>
      <c r="B14" s="100" t="s">
        <v>83</v>
      </c>
      <c r="C14" s="102">
        <v>2</v>
      </c>
      <c r="D14" s="404">
        <f t="shared" si="0"/>
        <v>727.83333333333337</v>
      </c>
      <c r="E14" s="404">
        <f t="shared" si="1"/>
        <v>3724</v>
      </c>
      <c r="F14" s="404">
        <v>1.3</v>
      </c>
      <c r="G14" s="404">
        <f t="shared" si="3"/>
        <v>4841.2</v>
      </c>
      <c r="H14" s="404">
        <f t="shared" si="2"/>
        <v>1142.04</v>
      </c>
      <c r="I14" s="404">
        <f t="shared" si="4"/>
        <v>5983.24</v>
      </c>
      <c r="J14" s="405">
        <f t="shared" ref="J14:J50" si="7">D14+I14</f>
        <v>6711.0733333333328</v>
      </c>
      <c r="K14" s="169">
        <f t="shared" si="5"/>
        <v>40266</v>
      </c>
      <c r="L14" s="169">
        <f t="shared" si="6"/>
        <v>80532</v>
      </c>
    </row>
    <row r="15" spans="1:14" x14ac:dyDescent="0.25">
      <c r="A15" s="406" t="s">
        <v>84</v>
      </c>
      <c r="B15" s="100" t="s">
        <v>85</v>
      </c>
      <c r="C15" s="102">
        <v>1</v>
      </c>
      <c r="D15" s="404">
        <f t="shared" si="0"/>
        <v>363.91666666666669</v>
      </c>
      <c r="E15" s="404">
        <f t="shared" si="1"/>
        <v>1862</v>
      </c>
      <c r="F15" s="404">
        <v>1.3</v>
      </c>
      <c r="G15" s="404">
        <f t="shared" si="3"/>
        <v>2420.6</v>
      </c>
      <c r="H15" s="404">
        <f t="shared" si="2"/>
        <v>571.02</v>
      </c>
      <c r="I15" s="404">
        <f t="shared" si="4"/>
        <v>2991.62</v>
      </c>
      <c r="J15" s="405">
        <f t="shared" si="7"/>
        <v>3355.5366666666664</v>
      </c>
      <c r="K15" s="169">
        <f t="shared" si="5"/>
        <v>20133</v>
      </c>
      <c r="L15" s="169">
        <f t="shared" si="6"/>
        <v>40266</v>
      </c>
    </row>
    <row r="16" spans="1:14" x14ac:dyDescent="0.25">
      <c r="A16" s="406" t="s">
        <v>84</v>
      </c>
      <c r="B16" s="100" t="s">
        <v>86</v>
      </c>
      <c r="C16" s="102">
        <v>1</v>
      </c>
      <c r="D16" s="404">
        <f t="shared" si="0"/>
        <v>363.91666666666669</v>
      </c>
      <c r="E16" s="404">
        <f t="shared" si="1"/>
        <v>1862</v>
      </c>
      <c r="F16" s="404">
        <v>1.3</v>
      </c>
      <c r="G16" s="404">
        <f t="shared" si="3"/>
        <v>2420.6</v>
      </c>
      <c r="H16" s="404">
        <f t="shared" si="2"/>
        <v>571.02</v>
      </c>
      <c r="I16" s="404">
        <f t="shared" si="4"/>
        <v>2991.62</v>
      </c>
      <c r="J16" s="405">
        <f t="shared" si="7"/>
        <v>3355.5366666666664</v>
      </c>
      <c r="K16" s="169">
        <f t="shared" si="5"/>
        <v>20133</v>
      </c>
      <c r="L16" s="169">
        <f t="shared" si="6"/>
        <v>40266</v>
      </c>
    </row>
    <row r="17" spans="1:12" x14ac:dyDescent="0.25">
      <c r="A17" s="406" t="s">
        <v>84</v>
      </c>
      <c r="B17" s="101" t="s">
        <v>87</v>
      </c>
      <c r="C17" s="102">
        <v>1</v>
      </c>
      <c r="D17" s="404">
        <f t="shared" si="0"/>
        <v>363.91666666666669</v>
      </c>
      <c r="E17" s="404">
        <f t="shared" si="1"/>
        <v>1862</v>
      </c>
      <c r="F17" s="404">
        <v>1.3</v>
      </c>
      <c r="G17" s="404">
        <f t="shared" si="3"/>
        <v>2420.6</v>
      </c>
      <c r="H17" s="404">
        <f t="shared" si="2"/>
        <v>571.02</v>
      </c>
      <c r="I17" s="404">
        <f t="shared" si="4"/>
        <v>2991.62</v>
      </c>
      <c r="J17" s="405">
        <f t="shared" si="7"/>
        <v>3355.5366666666664</v>
      </c>
      <c r="K17" s="169">
        <f t="shared" si="5"/>
        <v>20133</v>
      </c>
      <c r="L17" s="169">
        <f t="shared" si="6"/>
        <v>40266</v>
      </c>
    </row>
    <row r="18" spans="1:12" x14ac:dyDescent="0.25">
      <c r="A18" s="406" t="s">
        <v>84</v>
      </c>
      <c r="B18" s="100" t="s">
        <v>88</v>
      </c>
      <c r="C18" s="102">
        <v>1</v>
      </c>
      <c r="D18" s="404">
        <f t="shared" si="0"/>
        <v>363.91666666666669</v>
      </c>
      <c r="E18" s="404">
        <f t="shared" si="1"/>
        <v>1862</v>
      </c>
      <c r="F18" s="404">
        <v>1.3</v>
      </c>
      <c r="G18" s="404">
        <f t="shared" si="3"/>
        <v>2420.6</v>
      </c>
      <c r="H18" s="404">
        <f t="shared" si="2"/>
        <v>571.02</v>
      </c>
      <c r="I18" s="404">
        <f t="shared" si="4"/>
        <v>2991.62</v>
      </c>
      <c r="J18" s="405">
        <f t="shared" si="7"/>
        <v>3355.5366666666664</v>
      </c>
      <c r="K18" s="169">
        <f t="shared" si="5"/>
        <v>20133</v>
      </c>
      <c r="L18" s="169">
        <f t="shared" si="6"/>
        <v>40266</v>
      </c>
    </row>
    <row r="19" spans="1:12" x14ac:dyDescent="0.25">
      <c r="A19" s="406" t="s">
        <v>84</v>
      </c>
      <c r="B19" s="100" t="s">
        <v>89</v>
      </c>
      <c r="C19" s="102">
        <v>1</v>
      </c>
      <c r="D19" s="404">
        <f t="shared" si="0"/>
        <v>363.91666666666669</v>
      </c>
      <c r="E19" s="404">
        <f t="shared" si="1"/>
        <v>1862</v>
      </c>
      <c r="F19" s="404">
        <v>1.3</v>
      </c>
      <c r="G19" s="404">
        <f t="shared" si="3"/>
        <v>2420.6</v>
      </c>
      <c r="H19" s="404">
        <f t="shared" si="2"/>
        <v>571.02</v>
      </c>
      <c r="I19" s="404">
        <f t="shared" si="4"/>
        <v>2991.62</v>
      </c>
      <c r="J19" s="405">
        <f t="shared" si="7"/>
        <v>3355.5366666666664</v>
      </c>
      <c r="K19" s="169">
        <f t="shared" si="5"/>
        <v>20133</v>
      </c>
      <c r="L19" s="169">
        <f t="shared" si="6"/>
        <v>40266</v>
      </c>
    </row>
    <row r="20" spans="1:12" x14ac:dyDescent="0.25">
      <c r="A20" s="406" t="s">
        <v>84</v>
      </c>
      <c r="B20" s="100" t="s">
        <v>90</v>
      </c>
      <c r="C20" s="102">
        <v>1</v>
      </c>
      <c r="D20" s="404">
        <f t="shared" si="0"/>
        <v>363.91666666666669</v>
      </c>
      <c r="E20" s="404">
        <f t="shared" si="1"/>
        <v>1862</v>
      </c>
      <c r="F20" s="404">
        <v>1.3</v>
      </c>
      <c r="G20" s="404">
        <f t="shared" si="3"/>
        <v>2420.6</v>
      </c>
      <c r="H20" s="404">
        <f t="shared" si="2"/>
        <v>571.02</v>
      </c>
      <c r="I20" s="404">
        <f t="shared" si="4"/>
        <v>2991.62</v>
      </c>
      <c r="J20" s="405">
        <f t="shared" si="7"/>
        <v>3355.5366666666664</v>
      </c>
      <c r="K20" s="169">
        <f t="shared" si="5"/>
        <v>20133</v>
      </c>
      <c r="L20" s="169">
        <f t="shared" si="6"/>
        <v>40266</v>
      </c>
    </row>
    <row r="21" spans="1:12" x14ac:dyDescent="0.25">
      <c r="A21" s="406" t="s">
        <v>84</v>
      </c>
      <c r="B21" s="100" t="s">
        <v>91</v>
      </c>
      <c r="C21" s="102">
        <v>1</v>
      </c>
      <c r="D21" s="404">
        <f t="shared" si="0"/>
        <v>363.91666666666669</v>
      </c>
      <c r="E21" s="404">
        <f t="shared" si="1"/>
        <v>1862</v>
      </c>
      <c r="F21" s="404">
        <v>1.3</v>
      </c>
      <c r="G21" s="404">
        <f t="shared" si="3"/>
        <v>2420.6</v>
      </c>
      <c r="H21" s="404">
        <f t="shared" si="2"/>
        <v>571.02</v>
      </c>
      <c r="I21" s="404">
        <f t="shared" si="4"/>
        <v>2991.62</v>
      </c>
      <c r="J21" s="405">
        <f t="shared" si="7"/>
        <v>3355.5366666666664</v>
      </c>
      <c r="K21" s="169">
        <f t="shared" si="5"/>
        <v>20133</v>
      </c>
      <c r="L21" s="169">
        <f t="shared" si="6"/>
        <v>40266</v>
      </c>
    </row>
    <row r="22" spans="1:12" x14ac:dyDescent="0.25">
      <c r="A22" s="406" t="s">
        <v>92</v>
      </c>
      <c r="B22" s="100" t="s">
        <v>93</v>
      </c>
      <c r="C22" s="102">
        <v>0.5</v>
      </c>
      <c r="D22" s="404">
        <f t="shared" si="0"/>
        <v>181.95833333333334</v>
      </c>
      <c r="E22" s="404">
        <f t="shared" si="1"/>
        <v>931</v>
      </c>
      <c r="F22" s="404">
        <v>1.3</v>
      </c>
      <c r="G22" s="404">
        <f t="shared" si="3"/>
        <v>1210.3</v>
      </c>
      <c r="H22" s="404">
        <f t="shared" si="2"/>
        <v>285.51</v>
      </c>
      <c r="I22" s="404">
        <f t="shared" si="4"/>
        <v>1495.81</v>
      </c>
      <c r="J22" s="405">
        <f t="shared" si="7"/>
        <v>1677.7683333333332</v>
      </c>
      <c r="K22" s="169">
        <f t="shared" si="5"/>
        <v>10067</v>
      </c>
      <c r="L22" s="169">
        <f t="shared" si="6"/>
        <v>20134</v>
      </c>
    </row>
    <row r="23" spans="1:12" x14ac:dyDescent="0.25">
      <c r="A23" s="406" t="s">
        <v>92</v>
      </c>
      <c r="B23" s="100" t="s">
        <v>94</v>
      </c>
      <c r="C23" s="102">
        <v>0.5</v>
      </c>
      <c r="D23" s="404">
        <f t="shared" si="0"/>
        <v>181.95833333333334</v>
      </c>
      <c r="E23" s="404">
        <f t="shared" si="1"/>
        <v>931</v>
      </c>
      <c r="F23" s="404">
        <v>1.3</v>
      </c>
      <c r="G23" s="404">
        <f t="shared" si="3"/>
        <v>1210.3</v>
      </c>
      <c r="H23" s="404">
        <f t="shared" si="2"/>
        <v>285.51</v>
      </c>
      <c r="I23" s="404">
        <f t="shared" si="4"/>
        <v>1495.81</v>
      </c>
      <c r="J23" s="405">
        <f t="shared" si="7"/>
        <v>1677.7683333333332</v>
      </c>
      <c r="K23" s="169">
        <f t="shared" si="5"/>
        <v>10067</v>
      </c>
      <c r="L23" s="169">
        <f t="shared" si="6"/>
        <v>20134</v>
      </c>
    </row>
    <row r="24" spans="1:12" x14ac:dyDescent="0.25">
      <c r="A24" s="406" t="s">
        <v>92</v>
      </c>
      <c r="B24" s="100" t="s">
        <v>95</v>
      </c>
      <c r="C24" s="102">
        <v>0.5</v>
      </c>
      <c r="D24" s="404">
        <f t="shared" si="0"/>
        <v>181.95833333333334</v>
      </c>
      <c r="E24" s="404">
        <f t="shared" si="1"/>
        <v>931</v>
      </c>
      <c r="F24" s="404">
        <v>1.3</v>
      </c>
      <c r="G24" s="404">
        <f t="shared" si="3"/>
        <v>1210.3</v>
      </c>
      <c r="H24" s="404">
        <f t="shared" si="2"/>
        <v>285.51</v>
      </c>
      <c r="I24" s="404">
        <f t="shared" si="4"/>
        <v>1495.81</v>
      </c>
      <c r="J24" s="405">
        <f t="shared" si="7"/>
        <v>1677.7683333333332</v>
      </c>
      <c r="K24" s="169">
        <f t="shared" si="5"/>
        <v>10067</v>
      </c>
      <c r="L24" s="169">
        <f t="shared" si="6"/>
        <v>20134</v>
      </c>
    </row>
    <row r="25" spans="1:12" x14ac:dyDescent="0.25">
      <c r="A25" s="406" t="s">
        <v>92</v>
      </c>
      <c r="B25" s="100" t="s">
        <v>96</v>
      </c>
      <c r="C25" s="102">
        <v>0.5</v>
      </c>
      <c r="D25" s="404">
        <f t="shared" si="0"/>
        <v>181.95833333333334</v>
      </c>
      <c r="E25" s="404">
        <f t="shared" si="1"/>
        <v>931</v>
      </c>
      <c r="F25" s="404">
        <v>1.3</v>
      </c>
      <c r="G25" s="404">
        <f t="shared" si="3"/>
        <v>1210.3</v>
      </c>
      <c r="H25" s="404">
        <f t="shared" si="2"/>
        <v>285.51</v>
      </c>
      <c r="I25" s="404">
        <f t="shared" si="4"/>
        <v>1495.81</v>
      </c>
      <c r="J25" s="405">
        <f t="shared" si="7"/>
        <v>1677.7683333333332</v>
      </c>
      <c r="K25" s="169">
        <f t="shared" si="5"/>
        <v>10067</v>
      </c>
      <c r="L25" s="169">
        <f t="shared" si="6"/>
        <v>20134</v>
      </c>
    </row>
    <row r="26" spans="1:12" x14ac:dyDescent="0.25">
      <c r="A26" s="406" t="s">
        <v>92</v>
      </c>
      <c r="B26" s="100" t="s">
        <v>97</v>
      </c>
      <c r="C26" s="102">
        <v>0.5</v>
      </c>
      <c r="D26" s="404">
        <f t="shared" si="0"/>
        <v>181.95833333333334</v>
      </c>
      <c r="E26" s="404">
        <f t="shared" si="1"/>
        <v>931</v>
      </c>
      <c r="F26" s="404">
        <v>1.3</v>
      </c>
      <c r="G26" s="404">
        <f t="shared" si="3"/>
        <v>1210.3</v>
      </c>
      <c r="H26" s="404">
        <f t="shared" si="2"/>
        <v>285.51</v>
      </c>
      <c r="I26" s="404">
        <f t="shared" si="4"/>
        <v>1495.81</v>
      </c>
      <c r="J26" s="405">
        <f t="shared" si="7"/>
        <v>1677.7683333333332</v>
      </c>
      <c r="K26" s="169">
        <f t="shared" si="5"/>
        <v>10067</v>
      </c>
      <c r="L26" s="169">
        <f t="shared" si="6"/>
        <v>20134</v>
      </c>
    </row>
    <row r="27" spans="1:12" x14ac:dyDescent="0.25">
      <c r="A27" s="406" t="s">
        <v>92</v>
      </c>
      <c r="B27" s="100" t="s">
        <v>98</v>
      </c>
      <c r="C27" s="102">
        <v>0.5</v>
      </c>
      <c r="D27" s="404">
        <f t="shared" si="0"/>
        <v>181.95833333333334</v>
      </c>
      <c r="E27" s="404">
        <f t="shared" si="1"/>
        <v>931</v>
      </c>
      <c r="F27" s="404">
        <v>1.3</v>
      </c>
      <c r="G27" s="404">
        <f t="shared" si="3"/>
        <v>1210.3</v>
      </c>
      <c r="H27" s="404">
        <f t="shared" si="2"/>
        <v>285.51</v>
      </c>
      <c r="I27" s="404">
        <f t="shared" si="4"/>
        <v>1495.81</v>
      </c>
      <c r="J27" s="405">
        <f t="shared" si="7"/>
        <v>1677.7683333333332</v>
      </c>
      <c r="K27" s="169">
        <f t="shared" si="5"/>
        <v>10067</v>
      </c>
      <c r="L27" s="169">
        <f t="shared" si="6"/>
        <v>20134</v>
      </c>
    </row>
    <row r="28" spans="1:12" x14ac:dyDescent="0.25">
      <c r="A28" s="406" t="s">
        <v>92</v>
      </c>
      <c r="B28" s="100" t="s">
        <v>99</v>
      </c>
      <c r="C28" s="102">
        <v>0.5</v>
      </c>
      <c r="D28" s="404">
        <f t="shared" si="0"/>
        <v>181.95833333333334</v>
      </c>
      <c r="E28" s="404">
        <f t="shared" si="1"/>
        <v>931</v>
      </c>
      <c r="F28" s="404">
        <v>1.3</v>
      </c>
      <c r="G28" s="404">
        <f t="shared" si="3"/>
        <v>1210.3</v>
      </c>
      <c r="H28" s="404">
        <f t="shared" si="2"/>
        <v>285.51</v>
      </c>
      <c r="I28" s="404">
        <f t="shared" si="4"/>
        <v>1495.81</v>
      </c>
      <c r="J28" s="405">
        <f t="shared" si="7"/>
        <v>1677.7683333333332</v>
      </c>
      <c r="K28" s="169">
        <f t="shared" si="5"/>
        <v>10067</v>
      </c>
      <c r="L28" s="169">
        <f t="shared" si="6"/>
        <v>20134</v>
      </c>
    </row>
    <row r="29" spans="1:12" x14ac:dyDescent="0.25">
      <c r="A29" s="406" t="s">
        <v>100</v>
      </c>
      <c r="B29" s="100" t="s">
        <v>101</v>
      </c>
      <c r="C29" s="102">
        <v>0.5</v>
      </c>
      <c r="D29" s="404">
        <f t="shared" si="0"/>
        <v>181.95833333333334</v>
      </c>
      <c r="E29" s="404">
        <f t="shared" si="1"/>
        <v>931</v>
      </c>
      <c r="F29" s="404">
        <v>1.3</v>
      </c>
      <c r="G29" s="404">
        <f t="shared" si="3"/>
        <v>1210.3</v>
      </c>
      <c r="H29" s="404">
        <f t="shared" si="2"/>
        <v>285.51</v>
      </c>
      <c r="I29" s="404">
        <f t="shared" si="4"/>
        <v>1495.81</v>
      </c>
      <c r="J29" s="405">
        <f t="shared" si="7"/>
        <v>1677.7683333333332</v>
      </c>
      <c r="K29" s="169">
        <f t="shared" si="5"/>
        <v>10067</v>
      </c>
      <c r="L29" s="169">
        <f t="shared" si="6"/>
        <v>20134</v>
      </c>
    </row>
    <row r="30" spans="1:12" x14ac:dyDescent="0.25">
      <c r="A30" s="406" t="s">
        <v>100</v>
      </c>
      <c r="B30" s="100" t="s">
        <v>117</v>
      </c>
      <c r="C30" s="102">
        <v>0.5</v>
      </c>
      <c r="D30" s="404">
        <f t="shared" si="0"/>
        <v>181.95833333333334</v>
      </c>
      <c r="E30" s="404">
        <f t="shared" si="1"/>
        <v>931</v>
      </c>
      <c r="F30" s="404">
        <v>1.3</v>
      </c>
      <c r="G30" s="404">
        <f t="shared" si="3"/>
        <v>1210.3</v>
      </c>
      <c r="H30" s="404">
        <f t="shared" si="2"/>
        <v>285.51</v>
      </c>
      <c r="I30" s="404">
        <f t="shared" si="4"/>
        <v>1495.81</v>
      </c>
      <c r="J30" s="405">
        <f t="shared" si="7"/>
        <v>1677.7683333333332</v>
      </c>
      <c r="K30" s="169">
        <f t="shared" si="5"/>
        <v>10067</v>
      </c>
      <c r="L30" s="169">
        <f t="shared" si="6"/>
        <v>20134</v>
      </c>
    </row>
    <row r="31" spans="1:12" x14ac:dyDescent="0.25">
      <c r="A31" s="406" t="s">
        <v>100</v>
      </c>
      <c r="B31" s="100" t="s">
        <v>118</v>
      </c>
      <c r="C31" s="102">
        <v>0.5</v>
      </c>
      <c r="D31" s="404">
        <f t="shared" si="0"/>
        <v>181.95833333333334</v>
      </c>
      <c r="E31" s="404">
        <f t="shared" si="1"/>
        <v>931</v>
      </c>
      <c r="F31" s="404">
        <v>1.3</v>
      </c>
      <c r="G31" s="404">
        <f t="shared" si="3"/>
        <v>1210.3</v>
      </c>
      <c r="H31" s="404">
        <f t="shared" si="2"/>
        <v>285.51</v>
      </c>
      <c r="I31" s="404">
        <f t="shared" si="4"/>
        <v>1495.81</v>
      </c>
      <c r="J31" s="405">
        <f t="shared" si="7"/>
        <v>1677.7683333333332</v>
      </c>
      <c r="K31" s="169">
        <f t="shared" si="5"/>
        <v>10067</v>
      </c>
      <c r="L31" s="169">
        <f t="shared" si="6"/>
        <v>20134</v>
      </c>
    </row>
    <row r="32" spans="1:12" x14ac:dyDescent="0.25">
      <c r="A32" s="406" t="s">
        <v>100</v>
      </c>
      <c r="B32" s="100" t="s">
        <v>119</v>
      </c>
      <c r="C32" s="102">
        <v>0.5</v>
      </c>
      <c r="D32" s="404">
        <f t="shared" si="0"/>
        <v>181.95833333333334</v>
      </c>
      <c r="E32" s="404">
        <f t="shared" si="1"/>
        <v>931</v>
      </c>
      <c r="F32" s="404">
        <v>1.3</v>
      </c>
      <c r="G32" s="404">
        <f t="shared" si="3"/>
        <v>1210.3</v>
      </c>
      <c r="H32" s="404">
        <f t="shared" si="2"/>
        <v>285.51</v>
      </c>
      <c r="I32" s="404">
        <f t="shared" si="4"/>
        <v>1495.81</v>
      </c>
      <c r="J32" s="405">
        <f t="shared" si="7"/>
        <v>1677.7683333333332</v>
      </c>
      <c r="K32" s="169">
        <f t="shared" si="5"/>
        <v>10067</v>
      </c>
      <c r="L32" s="169">
        <f t="shared" si="6"/>
        <v>20134</v>
      </c>
    </row>
    <row r="33" spans="1:12" x14ac:dyDescent="0.25">
      <c r="A33" s="406" t="s">
        <v>120</v>
      </c>
      <c r="B33" s="100" t="s">
        <v>121</v>
      </c>
      <c r="C33" s="102">
        <v>0.5</v>
      </c>
      <c r="D33" s="404">
        <f t="shared" si="0"/>
        <v>181.95833333333334</v>
      </c>
      <c r="E33" s="404">
        <f t="shared" si="1"/>
        <v>931</v>
      </c>
      <c r="F33" s="404">
        <v>1.3</v>
      </c>
      <c r="G33" s="404">
        <f t="shared" si="3"/>
        <v>1210.3</v>
      </c>
      <c r="H33" s="404">
        <f t="shared" si="2"/>
        <v>285.51</v>
      </c>
      <c r="I33" s="404">
        <f t="shared" si="4"/>
        <v>1495.81</v>
      </c>
      <c r="J33" s="405">
        <f t="shared" si="7"/>
        <v>1677.7683333333332</v>
      </c>
      <c r="K33" s="169">
        <f t="shared" si="5"/>
        <v>10067</v>
      </c>
      <c r="L33" s="169">
        <f t="shared" si="6"/>
        <v>20134</v>
      </c>
    </row>
    <row r="34" spans="1:12" x14ac:dyDescent="0.25">
      <c r="A34" s="406" t="s">
        <v>120</v>
      </c>
      <c r="B34" s="100" t="s">
        <v>122</v>
      </c>
      <c r="C34" s="102">
        <v>0.5</v>
      </c>
      <c r="D34" s="404">
        <f t="shared" si="0"/>
        <v>181.95833333333334</v>
      </c>
      <c r="E34" s="404">
        <f t="shared" si="1"/>
        <v>931</v>
      </c>
      <c r="F34" s="404">
        <v>1.3</v>
      </c>
      <c r="G34" s="404">
        <f t="shared" si="3"/>
        <v>1210.3</v>
      </c>
      <c r="H34" s="404">
        <f t="shared" si="2"/>
        <v>285.51</v>
      </c>
      <c r="I34" s="404">
        <f t="shared" si="4"/>
        <v>1495.81</v>
      </c>
      <c r="J34" s="405">
        <f t="shared" si="7"/>
        <v>1677.7683333333332</v>
      </c>
      <c r="K34" s="169">
        <f t="shared" si="5"/>
        <v>10067</v>
      </c>
      <c r="L34" s="169">
        <f t="shared" si="6"/>
        <v>20134</v>
      </c>
    </row>
    <row r="35" spans="1:12" x14ac:dyDescent="0.25">
      <c r="A35" s="406" t="s">
        <v>120</v>
      </c>
      <c r="B35" s="100" t="s">
        <v>123</v>
      </c>
      <c r="C35" s="102">
        <v>0.5</v>
      </c>
      <c r="D35" s="404">
        <f t="shared" si="0"/>
        <v>181.95833333333334</v>
      </c>
      <c r="E35" s="404">
        <f t="shared" si="1"/>
        <v>931</v>
      </c>
      <c r="F35" s="404">
        <v>1.3</v>
      </c>
      <c r="G35" s="404">
        <f t="shared" si="3"/>
        <v>1210.3</v>
      </c>
      <c r="H35" s="404">
        <f t="shared" si="2"/>
        <v>285.51</v>
      </c>
      <c r="I35" s="404">
        <f t="shared" si="4"/>
        <v>1495.81</v>
      </c>
      <c r="J35" s="405">
        <f t="shared" si="7"/>
        <v>1677.7683333333332</v>
      </c>
      <c r="K35" s="169">
        <f t="shared" si="5"/>
        <v>10067</v>
      </c>
      <c r="L35" s="169">
        <f t="shared" si="6"/>
        <v>20134</v>
      </c>
    </row>
    <row r="36" spans="1:12" x14ac:dyDescent="0.25">
      <c r="A36" s="406" t="s">
        <v>120</v>
      </c>
      <c r="B36" s="100" t="s">
        <v>124</v>
      </c>
      <c r="C36" s="102">
        <v>0.5</v>
      </c>
      <c r="D36" s="404">
        <f t="shared" si="0"/>
        <v>181.95833333333334</v>
      </c>
      <c r="E36" s="404">
        <f t="shared" si="1"/>
        <v>931</v>
      </c>
      <c r="F36" s="404">
        <v>1.3</v>
      </c>
      <c r="G36" s="404">
        <f t="shared" si="3"/>
        <v>1210.3</v>
      </c>
      <c r="H36" s="404">
        <f t="shared" si="2"/>
        <v>285.51</v>
      </c>
      <c r="I36" s="404">
        <f t="shared" si="4"/>
        <v>1495.81</v>
      </c>
      <c r="J36" s="405">
        <f t="shared" si="7"/>
        <v>1677.7683333333332</v>
      </c>
      <c r="K36" s="169">
        <f t="shared" si="5"/>
        <v>10067</v>
      </c>
      <c r="L36" s="169">
        <f t="shared" si="6"/>
        <v>20134</v>
      </c>
    </row>
    <row r="37" spans="1:12" x14ac:dyDescent="0.25">
      <c r="A37" s="406" t="s">
        <v>120</v>
      </c>
      <c r="B37" s="100" t="s">
        <v>125</v>
      </c>
      <c r="C37" s="102">
        <v>0.5</v>
      </c>
      <c r="D37" s="404">
        <f t="shared" si="0"/>
        <v>181.95833333333334</v>
      </c>
      <c r="E37" s="404">
        <f t="shared" si="1"/>
        <v>931</v>
      </c>
      <c r="F37" s="404">
        <v>1.3</v>
      </c>
      <c r="G37" s="404">
        <f t="shared" si="3"/>
        <v>1210.3</v>
      </c>
      <c r="H37" s="404">
        <f t="shared" si="2"/>
        <v>285.51</v>
      </c>
      <c r="I37" s="404">
        <f t="shared" si="4"/>
        <v>1495.81</v>
      </c>
      <c r="J37" s="405">
        <f t="shared" si="7"/>
        <v>1677.7683333333332</v>
      </c>
      <c r="K37" s="169">
        <f t="shared" si="5"/>
        <v>10067</v>
      </c>
      <c r="L37" s="169">
        <f t="shared" si="6"/>
        <v>20134</v>
      </c>
    </row>
    <row r="38" spans="1:12" x14ac:dyDescent="0.25">
      <c r="A38" s="406" t="s">
        <v>126</v>
      </c>
      <c r="B38" s="100" t="s">
        <v>127</v>
      </c>
      <c r="C38" s="102">
        <v>0.5</v>
      </c>
      <c r="D38" s="404">
        <f t="shared" si="0"/>
        <v>181.95833333333334</v>
      </c>
      <c r="E38" s="404">
        <f t="shared" si="1"/>
        <v>931</v>
      </c>
      <c r="F38" s="404">
        <v>1.3</v>
      </c>
      <c r="G38" s="404">
        <f t="shared" si="3"/>
        <v>1210.3</v>
      </c>
      <c r="H38" s="404">
        <f t="shared" si="2"/>
        <v>285.51</v>
      </c>
      <c r="I38" s="404">
        <f t="shared" si="4"/>
        <v>1495.81</v>
      </c>
      <c r="J38" s="405">
        <f t="shared" si="7"/>
        <v>1677.7683333333332</v>
      </c>
      <c r="K38" s="169">
        <f t="shared" si="5"/>
        <v>10067</v>
      </c>
      <c r="L38" s="169">
        <f t="shared" si="6"/>
        <v>20134</v>
      </c>
    </row>
    <row r="39" spans="1:12" x14ac:dyDescent="0.25">
      <c r="A39" s="406" t="s">
        <v>126</v>
      </c>
      <c r="B39" s="100" t="s">
        <v>128</v>
      </c>
      <c r="C39" s="102">
        <v>0.5</v>
      </c>
      <c r="D39" s="404">
        <f t="shared" si="0"/>
        <v>181.95833333333334</v>
      </c>
      <c r="E39" s="404">
        <f t="shared" si="1"/>
        <v>931</v>
      </c>
      <c r="F39" s="404">
        <v>1.3</v>
      </c>
      <c r="G39" s="404">
        <f t="shared" si="3"/>
        <v>1210.3</v>
      </c>
      <c r="H39" s="404">
        <f t="shared" si="2"/>
        <v>285.51</v>
      </c>
      <c r="I39" s="404">
        <f t="shared" si="4"/>
        <v>1495.81</v>
      </c>
      <c r="J39" s="405">
        <f t="shared" si="7"/>
        <v>1677.7683333333332</v>
      </c>
      <c r="K39" s="169">
        <f t="shared" si="5"/>
        <v>10067</v>
      </c>
      <c r="L39" s="169">
        <f t="shared" si="6"/>
        <v>20134</v>
      </c>
    </row>
    <row r="40" spans="1:12" x14ac:dyDescent="0.25">
      <c r="A40" s="406" t="s">
        <v>126</v>
      </c>
      <c r="B40" s="100" t="s">
        <v>129</v>
      </c>
      <c r="C40" s="102">
        <v>0.5</v>
      </c>
      <c r="D40" s="404">
        <f t="shared" si="0"/>
        <v>181.95833333333334</v>
      </c>
      <c r="E40" s="404">
        <f t="shared" si="1"/>
        <v>931</v>
      </c>
      <c r="F40" s="404">
        <v>1.3</v>
      </c>
      <c r="G40" s="404">
        <f t="shared" si="3"/>
        <v>1210.3</v>
      </c>
      <c r="H40" s="404">
        <f t="shared" si="2"/>
        <v>285.51</v>
      </c>
      <c r="I40" s="404">
        <f t="shared" si="4"/>
        <v>1495.81</v>
      </c>
      <c r="J40" s="405">
        <f t="shared" si="7"/>
        <v>1677.7683333333332</v>
      </c>
      <c r="K40" s="169">
        <f t="shared" si="5"/>
        <v>10067</v>
      </c>
      <c r="L40" s="169">
        <f t="shared" si="6"/>
        <v>20134</v>
      </c>
    </row>
    <row r="41" spans="1:12" x14ac:dyDescent="0.25">
      <c r="A41" s="406" t="s">
        <v>102</v>
      </c>
      <c r="B41" s="100" t="s">
        <v>103</v>
      </c>
      <c r="C41" s="102">
        <v>3</v>
      </c>
      <c r="D41" s="404">
        <f t="shared" si="0"/>
        <v>1091.75</v>
      </c>
      <c r="E41" s="404">
        <f t="shared" si="1"/>
        <v>5586</v>
      </c>
      <c r="F41" s="404">
        <v>1.3</v>
      </c>
      <c r="G41" s="404">
        <f t="shared" si="3"/>
        <v>7261.8</v>
      </c>
      <c r="H41" s="404">
        <f t="shared" si="2"/>
        <v>1713.06</v>
      </c>
      <c r="I41" s="404">
        <f t="shared" si="4"/>
        <v>8974.86</v>
      </c>
      <c r="J41" s="405">
        <f t="shared" si="7"/>
        <v>10066.61</v>
      </c>
      <c r="K41" s="169">
        <f t="shared" si="5"/>
        <v>60400</v>
      </c>
      <c r="L41" s="169">
        <f t="shared" si="6"/>
        <v>120800</v>
      </c>
    </row>
    <row r="42" spans="1:12" x14ac:dyDescent="0.25">
      <c r="A42" s="406" t="s">
        <v>102</v>
      </c>
      <c r="B42" s="100" t="s">
        <v>130</v>
      </c>
      <c r="C42" s="102">
        <v>1</v>
      </c>
      <c r="D42" s="404">
        <f t="shared" si="0"/>
        <v>363.91666666666669</v>
      </c>
      <c r="E42" s="404">
        <f t="shared" si="1"/>
        <v>1862</v>
      </c>
      <c r="F42" s="404">
        <v>1.3</v>
      </c>
      <c r="G42" s="404">
        <f t="shared" si="3"/>
        <v>2420.6</v>
      </c>
      <c r="H42" s="404">
        <f t="shared" si="2"/>
        <v>571.02</v>
      </c>
      <c r="I42" s="404">
        <f t="shared" si="4"/>
        <v>2991.62</v>
      </c>
      <c r="J42" s="405">
        <f t="shared" si="7"/>
        <v>3355.5366666666664</v>
      </c>
      <c r="K42" s="169">
        <f t="shared" si="5"/>
        <v>20133</v>
      </c>
      <c r="L42" s="169">
        <f t="shared" si="6"/>
        <v>40266</v>
      </c>
    </row>
    <row r="43" spans="1:12" x14ac:dyDescent="0.25">
      <c r="A43" s="406" t="s">
        <v>102</v>
      </c>
      <c r="B43" s="100" t="s">
        <v>104</v>
      </c>
      <c r="C43" s="102">
        <v>1</v>
      </c>
      <c r="D43" s="404">
        <f t="shared" si="0"/>
        <v>363.91666666666669</v>
      </c>
      <c r="E43" s="404">
        <f t="shared" si="1"/>
        <v>1862</v>
      </c>
      <c r="F43" s="404">
        <v>1.3</v>
      </c>
      <c r="G43" s="404">
        <f t="shared" si="3"/>
        <v>2420.6</v>
      </c>
      <c r="H43" s="404">
        <f t="shared" si="2"/>
        <v>571.02</v>
      </c>
      <c r="I43" s="404">
        <f t="shared" si="4"/>
        <v>2991.62</v>
      </c>
      <c r="J43" s="405">
        <f t="shared" si="7"/>
        <v>3355.5366666666664</v>
      </c>
      <c r="K43" s="169">
        <f t="shared" si="5"/>
        <v>20133</v>
      </c>
      <c r="L43" s="169">
        <f t="shared" si="6"/>
        <v>40266</v>
      </c>
    </row>
    <row r="44" spans="1:12" x14ac:dyDescent="0.25">
      <c r="A44" s="406" t="s">
        <v>102</v>
      </c>
      <c r="B44" s="100" t="s">
        <v>105</v>
      </c>
      <c r="C44" s="102">
        <v>1</v>
      </c>
      <c r="D44" s="404">
        <f t="shared" si="0"/>
        <v>363.91666666666669</v>
      </c>
      <c r="E44" s="404">
        <f t="shared" si="1"/>
        <v>1862</v>
      </c>
      <c r="F44" s="404">
        <v>1.3</v>
      </c>
      <c r="G44" s="404">
        <f t="shared" si="3"/>
        <v>2420.6</v>
      </c>
      <c r="H44" s="404">
        <f t="shared" si="2"/>
        <v>571.02</v>
      </c>
      <c r="I44" s="404">
        <f t="shared" si="4"/>
        <v>2991.62</v>
      </c>
      <c r="J44" s="405">
        <f t="shared" si="7"/>
        <v>3355.5366666666664</v>
      </c>
      <c r="K44" s="169">
        <f t="shared" si="5"/>
        <v>20133</v>
      </c>
      <c r="L44" s="169">
        <f t="shared" si="6"/>
        <v>40266</v>
      </c>
    </row>
    <row r="45" spans="1:12" ht="25.5" x14ac:dyDescent="0.25">
      <c r="A45" s="406" t="s">
        <v>102</v>
      </c>
      <c r="B45" s="100" t="s">
        <v>216</v>
      </c>
      <c r="C45" s="102">
        <v>1.5</v>
      </c>
      <c r="D45" s="404">
        <f t="shared" si="0"/>
        <v>545.875</v>
      </c>
      <c r="E45" s="404">
        <f t="shared" si="1"/>
        <v>2793</v>
      </c>
      <c r="F45" s="404">
        <v>1.3</v>
      </c>
      <c r="G45" s="404">
        <f t="shared" si="3"/>
        <v>3630.9</v>
      </c>
      <c r="H45" s="404">
        <f t="shared" si="2"/>
        <v>856.53</v>
      </c>
      <c r="I45" s="404">
        <f t="shared" si="4"/>
        <v>4487.43</v>
      </c>
      <c r="J45" s="405">
        <f t="shared" si="7"/>
        <v>5033.3050000000003</v>
      </c>
      <c r="K45" s="169">
        <f t="shared" si="5"/>
        <v>30200</v>
      </c>
      <c r="L45" s="169">
        <f t="shared" si="6"/>
        <v>60400</v>
      </c>
    </row>
    <row r="46" spans="1:12" x14ac:dyDescent="0.25">
      <c r="A46" s="406" t="s">
        <v>102</v>
      </c>
      <c r="B46" s="100" t="s">
        <v>106</v>
      </c>
      <c r="C46" s="102">
        <v>1</v>
      </c>
      <c r="D46" s="404">
        <f t="shared" si="0"/>
        <v>363.91666666666669</v>
      </c>
      <c r="E46" s="404">
        <f t="shared" si="1"/>
        <v>1862</v>
      </c>
      <c r="F46" s="404">
        <v>1.3</v>
      </c>
      <c r="G46" s="404">
        <f t="shared" si="3"/>
        <v>2420.6</v>
      </c>
      <c r="H46" s="404">
        <f t="shared" si="2"/>
        <v>571.02</v>
      </c>
      <c r="I46" s="404">
        <f t="shared" si="4"/>
        <v>2991.62</v>
      </c>
      <c r="J46" s="405">
        <f t="shared" si="7"/>
        <v>3355.5366666666664</v>
      </c>
      <c r="K46" s="169">
        <f t="shared" si="5"/>
        <v>20133</v>
      </c>
      <c r="L46" s="169">
        <f t="shared" si="6"/>
        <v>40266</v>
      </c>
    </row>
    <row r="47" spans="1:12" x14ac:dyDescent="0.25">
      <c r="A47" s="406" t="s">
        <v>102</v>
      </c>
      <c r="B47" s="100" t="s">
        <v>107</v>
      </c>
      <c r="C47" s="407">
        <v>1</v>
      </c>
      <c r="D47" s="404">
        <f t="shared" si="0"/>
        <v>363.91666666666669</v>
      </c>
      <c r="E47" s="404">
        <f t="shared" si="1"/>
        <v>1862</v>
      </c>
      <c r="F47" s="404">
        <v>1.3</v>
      </c>
      <c r="G47" s="404">
        <f t="shared" si="3"/>
        <v>2420.6</v>
      </c>
      <c r="H47" s="404">
        <f t="shared" si="2"/>
        <v>571.02</v>
      </c>
      <c r="I47" s="404">
        <f t="shared" si="4"/>
        <v>2991.62</v>
      </c>
      <c r="J47" s="405">
        <f t="shared" si="7"/>
        <v>3355.5366666666664</v>
      </c>
      <c r="K47" s="169">
        <f t="shared" si="5"/>
        <v>20133</v>
      </c>
      <c r="L47" s="169">
        <f t="shared" si="6"/>
        <v>40266</v>
      </c>
    </row>
    <row r="48" spans="1:12" x14ac:dyDescent="0.25">
      <c r="A48" s="406" t="s">
        <v>102</v>
      </c>
      <c r="B48" s="103" t="s">
        <v>131</v>
      </c>
      <c r="C48" s="102">
        <v>0.5</v>
      </c>
      <c r="D48" s="404">
        <f t="shared" si="0"/>
        <v>181.95833333333334</v>
      </c>
      <c r="E48" s="404">
        <f t="shared" si="1"/>
        <v>931</v>
      </c>
      <c r="F48" s="404">
        <v>1.3</v>
      </c>
      <c r="G48" s="404">
        <f t="shared" si="3"/>
        <v>1210.3</v>
      </c>
      <c r="H48" s="404">
        <f t="shared" si="2"/>
        <v>285.51</v>
      </c>
      <c r="I48" s="404">
        <f t="shared" si="4"/>
        <v>1495.81</v>
      </c>
      <c r="J48" s="405">
        <f t="shared" si="7"/>
        <v>1677.7683333333332</v>
      </c>
      <c r="K48" s="169">
        <f t="shared" si="5"/>
        <v>10067</v>
      </c>
      <c r="L48" s="169">
        <f t="shared" si="6"/>
        <v>20134</v>
      </c>
    </row>
    <row r="49" spans="1:12" x14ac:dyDescent="0.25">
      <c r="A49" s="406" t="s">
        <v>132</v>
      </c>
      <c r="B49" s="100" t="s">
        <v>133</v>
      </c>
      <c r="C49" s="102">
        <v>0.5</v>
      </c>
      <c r="D49" s="404">
        <f t="shared" si="0"/>
        <v>181.95833333333334</v>
      </c>
      <c r="E49" s="404">
        <f t="shared" si="1"/>
        <v>931</v>
      </c>
      <c r="F49" s="404">
        <v>1.3</v>
      </c>
      <c r="G49" s="404">
        <f t="shared" si="3"/>
        <v>1210.3</v>
      </c>
      <c r="H49" s="404">
        <f t="shared" si="2"/>
        <v>285.51</v>
      </c>
      <c r="I49" s="404">
        <f t="shared" si="4"/>
        <v>1495.81</v>
      </c>
      <c r="J49" s="405">
        <f t="shared" si="7"/>
        <v>1677.7683333333332</v>
      </c>
      <c r="K49" s="169">
        <f t="shared" si="5"/>
        <v>10067</v>
      </c>
      <c r="L49" s="169">
        <f t="shared" si="6"/>
        <v>20134</v>
      </c>
    </row>
    <row r="50" spans="1:12" x14ac:dyDescent="0.25">
      <c r="A50" s="406" t="s">
        <v>132</v>
      </c>
      <c r="B50" s="100" t="s">
        <v>134</v>
      </c>
      <c r="C50" s="102">
        <v>0.5</v>
      </c>
      <c r="D50" s="404">
        <f t="shared" si="0"/>
        <v>181.95833333333334</v>
      </c>
      <c r="E50" s="404">
        <f t="shared" si="1"/>
        <v>931</v>
      </c>
      <c r="F50" s="404">
        <v>1.3</v>
      </c>
      <c r="G50" s="404">
        <f t="shared" si="3"/>
        <v>1210.3</v>
      </c>
      <c r="H50" s="404">
        <f t="shared" si="2"/>
        <v>285.51</v>
      </c>
      <c r="I50" s="404">
        <f t="shared" si="4"/>
        <v>1495.81</v>
      </c>
      <c r="J50" s="405">
        <f t="shared" si="7"/>
        <v>1677.7683333333332</v>
      </c>
      <c r="K50" s="169">
        <f t="shared" si="5"/>
        <v>10067</v>
      </c>
      <c r="L50" s="169">
        <f t="shared" si="6"/>
        <v>20134</v>
      </c>
    </row>
    <row r="51" spans="1:12" x14ac:dyDescent="0.25">
      <c r="A51" s="408"/>
      <c r="C51" s="408"/>
      <c r="D51" s="408"/>
      <c r="E51" s="408"/>
      <c r="F51" s="408"/>
      <c r="G51" s="408"/>
      <c r="H51" s="408"/>
      <c r="I51" s="408"/>
      <c r="J51" s="409">
        <f>SUM(J12:J50)</f>
        <v>112410.47833333326</v>
      </c>
      <c r="K51" s="410">
        <f>SUM(K12:K50)</f>
        <v>674468</v>
      </c>
      <c r="L51" s="410">
        <f>SUM(L12:L50)</f>
        <v>1348936</v>
      </c>
    </row>
    <row r="52" spans="1:12" ht="58.5" customHeight="1" x14ac:dyDescent="0.25">
      <c r="A52" s="509" t="s">
        <v>315</v>
      </c>
      <c r="B52" s="509"/>
      <c r="C52" s="509"/>
      <c r="D52" s="509"/>
      <c r="E52" s="509"/>
      <c r="F52" s="509"/>
      <c r="G52" s="509"/>
      <c r="H52" s="509"/>
      <c r="I52" s="509"/>
      <c r="J52" s="509"/>
      <c r="K52" s="509"/>
      <c r="L52" s="509"/>
    </row>
    <row r="54" spans="1:12" x14ac:dyDescent="0.25">
      <c r="B54" s="438" t="s">
        <v>440</v>
      </c>
      <c r="C54" s="167"/>
      <c r="D54" s="167"/>
    </row>
    <row r="55" spans="1:12" ht="40.5" customHeight="1" x14ac:dyDescent="0.25">
      <c r="B55" s="438" t="s">
        <v>0</v>
      </c>
      <c r="C55" s="437" t="s">
        <v>441</v>
      </c>
    </row>
    <row r="56" spans="1:12" x14ac:dyDescent="0.25">
      <c r="B56" s="439" t="s">
        <v>442</v>
      </c>
      <c r="C56" s="440">
        <f>ROUND(J47*2*6,0)</f>
        <v>40266</v>
      </c>
    </row>
    <row r="57" spans="1:12" ht="44.25" customHeight="1" x14ac:dyDescent="0.25">
      <c r="B57" s="510" t="s">
        <v>445</v>
      </c>
      <c r="C57" s="510"/>
      <c r="D57" s="441"/>
    </row>
  </sheetData>
  <mergeCells count="4">
    <mergeCell ref="A52:L52"/>
    <mergeCell ref="A3:L3"/>
    <mergeCell ref="A1:L1"/>
    <mergeCell ref="B57:C57"/>
  </mergeCells>
  <pageMargins left="0.7" right="0.7" top="0.75" bottom="0.75" header="0.3" footer="0.3"/>
  <pageSetup paperSize="9" scale="49" orientation="landscape"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6"/>
  <sheetViews>
    <sheetView zoomScale="90" zoomScaleNormal="90" workbookViewId="0">
      <selection activeCell="D20" sqref="D20"/>
    </sheetView>
  </sheetViews>
  <sheetFormatPr defaultColWidth="8.7109375" defaultRowHeight="15" x14ac:dyDescent="0.25"/>
  <cols>
    <col min="1" max="1" width="16.42578125" style="79" customWidth="1"/>
    <col min="2" max="2" width="13.85546875" style="79" customWidth="1"/>
    <col min="3" max="3" width="13.28515625" style="79" customWidth="1"/>
    <col min="4" max="4" width="22" style="79" customWidth="1"/>
    <col min="5" max="5" width="18" style="79" customWidth="1"/>
    <col min="6" max="6" width="22.42578125" style="79" customWidth="1"/>
    <col min="7" max="7" width="21.85546875" style="79" customWidth="1"/>
    <col min="8" max="8" width="21.7109375" style="79" customWidth="1"/>
    <col min="9" max="9" width="39.85546875" style="79" customWidth="1"/>
    <col min="10" max="10" width="10.7109375" style="79" customWidth="1"/>
    <col min="11" max="11" width="14.7109375" style="79" customWidth="1"/>
    <col min="12" max="12" width="15.85546875" style="79" customWidth="1"/>
    <col min="13" max="13" width="20" style="79" customWidth="1"/>
    <col min="14" max="14" width="16.5703125" style="79" customWidth="1"/>
    <col min="15" max="15" width="16.85546875" style="79" customWidth="1"/>
    <col min="16" max="16384" width="8.7109375" style="79"/>
  </cols>
  <sheetData>
    <row r="1" spans="1:12" ht="46.5" customHeight="1" x14ac:dyDescent="0.25">
      <c r="A1" s="511" t="s">
        <v>268</v>
      </c>
      <c r="B1" s="511"/>
      <c r="C1" s="511"/>
      <c r="D1" s="511"/>
      <c r="E1" s="511"/>
      <c r="F1" s="511"/>
      <c r="G1" s="511"/>
      <c r="H1" s="511"/>
      <c r="I1" s="205" t="s">
        <v>429</v>
      </c>
    </row>
    <row r="2" spans="1:12" ht="15" customHeight="1" x14ac:dyDescent="0.25">
      <c r="A2" s="512" t="s">
        <v>209</v>
      </c>
      <c r="B2" s="512"/>
      <c r="C2" s="512"/>
      <c r="D2" s="512"/>
      <c r="E2" s="512"/>
      <c r="F2" s="512"/>
      <c r="G2" s="512"/>
      <c r="H2" s="512"/>
      <c r="I2" s="95"/>
      <c r="J2" s="95"/>
      <c r="K2" s="95"/>
      <c r="L2" s="95"/>
    </row>
    <row r="3" spans="1:12" x14ac:dyDescent="0.25">
      <c r="A3" s="72" t="s">
        <v>54</v>
      </c>
      <c r="B3" s="92"/>
      <c r="C3" s="92"/>
      <c r="D3" s="92"/>
      <c r="E3" s="92"/>
      <c r="F3" s="92"/>
      <c r="G3" s="92"/>
      <c r="H3" s="92"/>
      <c r="I3" s="92"/>
      <c r="J3" s="93"/>
      <c r="K3" s="91"/>
      <c r="L3" s="91"/>
    </row>
    <row r="4" spans="1:12" x14ac:dyDescent="0.25">
      <c r="A4" s="85" t="s">
        <v>196</v>
      </c>
      <c r="B4" s="92"/>
      <c r="C4" s="92"/>
      <c r="D4" s="92"/>
      <c r="E4" s="92"/>
      <c r="F4" s="92"/>
      <c r="G4" s="92"/>
      <c r="H4" s="92"/>
      <c r="I4" s="92"/>
      <c r="J4" s="93"/>
      <c r="K4" s="91"/>
      <c r="L4" s="91"/>
    </row>
    <row r="5" spans="1:12" s="57" customFormat="1" ht="15.75" x14ac:dyDescent="0.25">
      <c r="A5" s="69" t="s">
        <v>207</v>
      </c>
      <c r="B5" s="67"/>
      <c r="C5" s="67"/>
      <c r="D5" s="67"/>
      <c r="E5" s="67"/>
      <c r="F5" s="71"/>
      <c r="G5" s="71"/>
      <c r="H5" s="66"/>
      <c r="I5" s="64"/>
      <c r="J5" s="64"/>
    </row>
    <row r="7" spans="1:12" x14ac:dyDescent="0.25">
      <c r="A7" s="79" t="s">
        <v>298</v>
      </c>
    </row>
    <row r="8" spans="1:12" x14ac:dyDescent="0.25">
      <c r="A8" s="45" t="s">
        <v>288</v>
      </c>
    </row>
    <row r="9" spans="1:12" s="171" customFormat="1" ht="74.25" customHeight="1" x14ac:dyDescent="0.25">
      <c r="A9" s="133" t="s">
        <v>178</v>
      </c>
      <c r="B9" s="133" t="s">
        <v>179</v>
      </c>
      <c r="C9" s="133" t="s">
        <v>110</v>
      </c>
      <c r="D9" s="133" t="s">
        <v>180</v>
      </c>
      <c r="E9" s="133" t="s">
        <v>316</v>
      </c>
      <c r="F9" s="193" t="s">
        <v>333</v>
      </c>
      <c r="G9" s="133" t="s">
        <v>297</v>
      </c>
    </row>
    <row r="10" spans="1:12" s="80" customFormat="1" x14ac:dyDescent="0.25">
      <c r="A10" s="135" t="s">
        <v>109</v>
      </c>
      <c r="B10" s="134">
        <v>336602</v>
      </c>
      <c r="C10" s="134">
        <f>B10/10</f>
        <v>33660.199999999997</v>
      </c>
      <c r="D10" s="134">
        <f>C10*0.2</f>
        <v>6732.04</v>
      </c>
      <c r="E10" s="134">
        <f>D10*4</f>
        <v>26928.16</v>
      </c>
      <c r="F10" s="134">
        <f>C10*12*4</f>
        <v>1615689.5999999999</v>
      </c>
      <c r="G10" s="134">
        <f>E10*11</f>
        <v>296209.76</v>
      </c>
    </row>
    <row r="11" spans="1:12" s="80" customFormat="1" x14ac:dyDescent="0.25">
      <c r="A11" s="199" t="s">
        <v>108</v>
      </c>
      <c r="B11" s="134">
        <v>25256</v>
      </c>
      <c r="C11" s="134">
        <f>B11/10</f>
        <v>2525.6</v>
      </c>
      <c r="D11" s="134">
        <f>C11*0.2</f>
        <v>505.12</v>
      </c>
      <c r="E11" s="134">
        <f>D11*4</f>
        <v>2020.48</v>
      </c>
      <c r="F11" s="134">
        <f>C11*12*4</f>
        <v>121228.79999999999</v>
      </c>
      <c r="G11" s="134">
        <f>E11*11</f>
        <v>22225.279999999999</v>
      </c>
    </row>
    <row r="12" spans="1:12" s="80" customFormat="1" x14ac:dyDescent="0.25">
      <c r="B12" s="172"/>
      <c r="C12" s="172"/>
      <c r="D12" s="172"/>
      <c r="E12" s="172"/>
      <c r="F12" s="136">
        <f>SUM(F10:F11)</f>
        <v>1736918.4</v>
      </c>
      <c r="G12" s="94">
        <f>SUM(G10:G11)</f>
        <v>318435.04000000004</v>
      </c>
    </row>
    <row r="13" spans="1:12" x14ac:dyDescent="0.25">
      <c r="A13" s="132" t="s">
        <v>317</v>
      </c>
    </row>
    <row r="16" spans="1:12" x14ac:dyDescent="0.25">
      <c r="A16" s="198"/>
    </row>
  </sheetData>
  <mergeCells count="2">
    <mergeCell ref="A1:H1"/>
    <mergeCell ref="A2:H2"/>
  </mergeCells>
  <pageMargins left="0.7" right="0.7" top="0.75" bottom="0.75" header="0.3" footer="0.3"/>
  <pageSetup paperSize="9" scale="6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1"/>
  <sheetViews>
    <sheetView zoomScale="80" zoomScaleNormal="80" workbookViewId="0">
      <selection activeCell="T27" sqref="T27"/>
    </sheetView>
  </sheetViews>
  <sheetFormatPr defaultColWidth="8.7109375" defaultRowHeight="15" x14ac:dyDescent="0.25"/>
  <cols>
    <col min="1" max="1" width="11.7109375" style="219" customWidth="1"/>
    <col min="2" max="2" width="41" style="219" customWidth="1"/>
    <col min="3" max="3" width="18.85546875" style="219" customWidth="1"/>
    <col min="4" max="4" width="29.42578125" style="219" bestFit="1" customWidth="1"/>
    <col min="5" max="5" width="11.140625" style="219" customWidth="1"/>
    <col min="6" max="6" width="11.5703125" style="219" customWidth="1"/>
    <col min="7" max="7" width="17.140625" style="219" customWidth="1"/>
    <col min="8" max="8" width="11" style="219" customWidth="1"/>
    <col min="9" max="9" width="11.42578125" style="219" customWidth="1"/>
    <col min="10" max="10" width="12.42578125" style="219" customWidth="1"/>
    <col min="11" max="11" width="9" style="219" bestFit="1" customWidth="1"/>
    <col min="12" max="12" width="12.5703125" style="219" customWidth="1"/>
    <col min="13" max="13" width="10.28515625" style="219" customWidth="1"/>
    <col min="14" max="14" width="9" style="219" customWidth="1"/>
    <col min="15" max="15" width="10.7109375" style="219" customWidth="1"/>
    <col min="16" max="16" width="9" style="219" customWidth="1"/>
    <col min="17" max="17" width="13.85546875" style="219" customWidth="1"/>
    <col min="18" max="19" width="14.140625" style="219" customWidth="1"/>
    <col min="20" max="20" width="16.7109375" style="219" customWidth="1"/>
    <col min="21" max="21" width="17.28515625" style="219" customWidth="1"/>
    <col min="22" max="22" width="13.42578125" style="219" customWidth="1"/>
    <col min="23" max="23" width="33" style="219" customWidth="1"/>
    <col min="24" max="16384" width="8.7109375" style="219"/>
  </cols>
  <sheetData>
    <row r="1" spans="1:21" ht="54" customHeight="1" x14ac:dyDescent="0.25">
      <c r="A1" s="455" t="s">
        <v>268</v>
      </c>
      <c r="B1" s="455"/>
      <c r="C1" s="455"/>
      <c r="D1" s="455"/>
      <c r="E1" s="455"/>
      <c r="F1" s="455"/>
      <c r="G1" s="455"/>
      <c r="H1" s="455"/>
      <c r="I1" s="455"/>
      <c r="J1" s="455"/>
      <c r="K1" s="455"/>
      <c r="L1" s="455"/>
      <c r="M1" s="455"/>
      <c r="N1" s="455"/>
      <c r="O1" s="455"/>
      <c r="P1" s="455"/>
      <c r="Q1" s="455"/>
      <c r="R1" s="455"/>
      <c r="S1" s="455"/>
      <c r="T1" s="456" t="s">
        <v>420</v>
      </c>
      <c r="U1" s="456"/>
    </row>
    <row r="2" spans="1:21" ht="15" customHeight="1" x14ac:dyDescent="0.25">
      <c r="A2" s="220"/>
      <c r="B2" s="450" t="s">
        <v>205</v>
      </c>
      <c r="C2" s="450"/>
      <c r="D2" s="450"/>
      <c r="E2" s="450"/>
      <c r="F2" s="450"/>
      <c r="G2" s="450"/>
      <c r="H2" s="450"/>
      <c r="I2" s="450"/>
      <c r="J2" s="450"/>
      <c r="K2" s="450"/>
      <c r="L2" s="450"/>
      <c r="M2" s="450"/>
      <c r="N2" s="450"/>
      <c r="O2" s="450"/>
      <c r="P2" s="221"/>
      <c r="Q2" s="222"/>
      <c r="R2" s="222"/>
      <c r="S2" s="222"/>
      <c r="T2" s="222"/>
      <c r="U2" s="222"/>
    </row>
    <row r="3" spans="1:21" ht="15.75" x14ac:dyDescent="0.25">
      <c r="A3" s="220"/>
      <c r="B3" s="450"/>
      <c r="C3" s="450"/>
      <c r="D3" s="450"/>
      <c r="E3" s="450"/>
      <c r="F3" s="450"/>
      <c r="G3" s="450"/>
      <c r="H3" s="450"/>
      <c r="I3" s="450"/>
      <c r="J3" s="450"/>
      <c r="K3" s="450"/>
      <c r="L3" s="450"/>
      <c r="M3" s="450"/>
      <c r="N3" s="450"/>
      <c r="O3" s="450"/>
      <c r="P3" s="221"/>
      <c r="Q3" s="222"/>
      <c r="R3" s="222"/>
      <c r="S3" s="222"/>
      <c r="T3" s="222"/>
      <c r="U3" s="222"/>
    </row>
    <row r="4" spans="1:21" ht="15.75" x14ac:dyDescent="0.25">
      <c r="A4" s="220"/>
      <c r="B4" s="450"/>
      <c r="C4" s="450"/>
      <c r="D4" s="450"/>
      <c r="E4" s="450"/>
      <c r="F4" s="450"/>
      <c r="G4" s="450"/>
      <c r="H4" s="450"/>
      <c r="I4" s="450"/>
      <c r="J4" s="450"/>
      <c r="K4" s="450"/>
      <c r="L4" s="450"/>
      <c r="M4" s="450"/>
      <c r="N4" s="450"/>
      <c r="O4" s="450"/>
      <c r="P4" s="221"/>
      <c r="Q4" s="222"/>
      <c r="R4" s="222"/>
      <c r="S4" s="222"/>
      <c r="T4" s="222"/>
      <c r="U4" s="222"/>
    </row>
    <row r="5" spans="1:21" s="223" customFormat="1" ht="15.75" x14ac:dyDescent="0.25">
      <c r="B5" s="78" t="s">
        <v>54</v>
      </c>
      <c r="C5" s="78"/>
      <c r="D5" s="76"/>
      <c r="E5" s="76"/>
      <c r="F5" s="76"/>
      <c r="G5" s="76"/>
      <c r="H5" s="224"/>
      <c r="I5" s="224"/>
      <c r="J5" s="224"/>
    </row>
    <row r="6" spans="1:21" s="223" customFormat="1" ht="15.75" x14ac:dyDescent="0.25">
      <c r="B6" s="86" t="s">
        <v>196</v>
      </c>
      <c r="C6" s="86"/>
      <c r="D6" s="77"/>
      <c r="E6" s="77"/>
      <c r="F6" s="77"/>
      <c r="G6" s="77"/>
      <c r="H6" s="224"/>
      <c r="I6" s="224"/>
      <c r="J6" s="224"/>
    </row>
    <row r="7" spans="1:21" s="225" customFormat="1" ht="15.75" x14ac:dyDescent="0.25">
      <c r="B7" s="226"/>
      <c r="C7" s="226"/>
      <c r="D7" s="74"/>
      <c r="E7" s="74"/>
      <c r="F7" s="74"/>
      <c r="G7" s="74"/>
      <c r="H7" s="227"/>
      <c r="I7" s="227"/>
      <c r="J7" s="227"/>
    </row>
    <row r="8" spans="1:21" x14ac:dyDescent="0.25">
      <c r="A8" s="228"/>
      <c r="B8" s="170"/>
      <c r="C8" s="170"/>
      <c r="D8" s="228"/>
      <c r="E8" s="451" t="s">
        <v>181</v>
      </c>
      <c r="F8" s="451"/>
      <c r="G8" s="229"/>
      <c r="H8" s="61">
        <v>1862</v>
      </c>
      <c r="I8" s="61">
        <v>945</v>
      </c>
      <c r="J8" s="61">
        <v>405</v>
      </c>
      <c r="K8" s="61">
        <v>1117</v>
      </c>
      <c r="L8" s="61">
        <v>243</v>
      </c>
      <c r="M8" s="61"/>
      <c r="N8" s="61"/>
      <c r="O8" s="61">
        <v>0.2359</v>
      </c>
      <c r="P8" s="61"/>
      <c r="Q8" s="61"/>
      <c r="R8" s="61"/>
      <c r="S8" s="61"/>
      <c r="T8" s="61"/>
    </row>
    <row r="9" spans="1:21" ht="75" x14ac:dyDescent="0.25">
      <c r="A9" s="230" t="s">
        <v>7</v>
      </c>
      <c r="B9" s="230" t="s">
        <v>0</v>
      </c>
      <c r="C9" s="230" t="s">
        <v>356</v>
      </c>
      <c r="D9" s="230" t="s">
        <v>1</v>
      </c>
      <c r="E9" s="230" t="s">
        <v>135</v>
      </c>
      <c r="F9" s="230" t="s">
        <v>60</v>
      </c>
      <c r="G9" s="231" t="s">
        <v>182</v>
      </c>
      <c r="H9" s="231" t="s">
        <v>183</v>
      </c>
      <c r="I9" s="231" t="s">
        <v>273</v>
      </c>
      <c r="J9" s="231" t="s">
        <v>184</v>
      </c>
      <c r="K9" s="231" t="s">
        <v>185</v>
      </c>
      <c r="L9" s="231" t="s">
        <v>186</v>
      </c>
      <c r="M9" s="231" t="s">
        <v>357</v>
      </c>
      <c r="N9" s="231" t="s">
        <v>299</v>
      </c>
      <c r="O9" s="231" t="s">
        <v>358</v>
      </c>
      <c r="P9" s="231" t="s">
        <v>300</v>
      </c>
      <c r="Q9" s="231" t="s">
        <v>206</v>
      </c>
      <c r="R9" s="231" t="s">
        <v>187</v>
      </c>
      <c r="S9" s="231" t="s">
        <v>359</v>
      </c>
      <c r="T9" s="230" t="s">
        <v>360</v>
      </c>
      <c r="U9" s="232" t="s">
        <v>343</v>
      </c>
    </row>
    <row r="10" spans="1:21" ht="30" customHeight="1" x14ac:dyDescent="0.25">
      <c r="A10" s="233">
        <v>50012101</v>
      </c>
      <c r="B10" s="128" t="s">
        <v>2</v>
      </c>
      <c r="C10" s="457" t="s">
        <v>354</v>
      </c>
      <c r="D10" s="128" t="s">
        <v>142</v>
      </c>
      <c r="E10" s="128">
        <v>1</v>
      </c>
      <c r="F10" s="234">
        <v>1</v>
      </c>
      <c r="G10" s="128">
        <v>11</v>
      </c>
      <c r="H10" s="128">
        <f>F10*G10*$H$8</f>
        <v>20482</v>
      </c>
      <c r="I10" s="235"/>
      <c r="J10" s="235">
        <f>F10*G10*$J$8</f>
        <v>4455</v>
      </c>
      <c r="K10" s="235"/>
      <c r="L10" s="235"/>
      <c r="M10" s="235">
        <f t="shared" ref="M10:M19" si="0">H10+I10+J10+K10+L10</f>
        <v>24937</v>
      </c>
      <c r="N10" s="235">
        <f>M10/G10</f>
        <v>2267</v>
      </c>
      <c r="O10" s="235">
        <f t="shared" ref="O10:O19" si="1">M10*$O$8</f>
        <v>5882.6382999999996</v>
      </c>
      <c r="P10" s="235">
        <f>N10*$O$8</f>
        <v>534.78530000000001</v>
      </c>
      <c r="Q10" s="235">
        <v>3416</v>
      </c>
      <c r="R10" s="235">
        <f t="shared" ref="R10:R19" si="2">ROUND(F10*Q10,2)</f>
        <v>3416</v>
      </c>
      <c r="S10" s="235">
        <f>R10/12*G10</f>
        <v>3131.3333333333335</v>
      </c>
      <c r="T10" s="235">
        <f>M10+O10+S10</f>
        <v>33950.971633333334</v>
      </c>
      <c r="U10" s="452"/>
    </row>
    <row r="11" spans="1:21" x14ac:dyDescent="0.25">
      <c r="A11" s="233">
        <v>50012101</v>
      </c>
      <c r="B11" s="128" t="s">
        <v>2</v>
      </c>
      <c r="C11" s="458"/>
      <c r="D11" s="128" t="s">
        <v>137</v>
      </c>
      <c r="E11" s="128">
        <v>1</v>
      </c>
      <c r="F11" s="234">
        <v>1</v>
      </c>
      <c r="G11" s="128">
        <v>11</v>
      </c>
      <c r="H11" s="128">
        <f>F11*G11*$H$8</f>
        <v>20482</v>
      </c>
      <c r="I11" s="235">
        <f>F11*G11*$I$8</f>
        <v>10395</v>
      </c>
      <c r="J11" s="235"/>
      <c r="K11" s="235"/>
      <c r="L11" s="235"/>
      <c r="M11" s="235">
        <f t="shared" si="0"/>
        <v>30877</v>
      </c>
      <c r="N11" s="235">
        <f t="shared" ref="N11:N19" si="3">M11/G11</f>
        <v>2807</v>
      </c>
      <c r="O11" s="235">
        <f t="shared" si="1"/>
        <v>7283.8842999999997</v>
      </c>
      <c r="P11" s="235">
        <f t="shared" ref="P11:P19" si="4">N11*$O$8</f>
        <v>662.17129999999997</v>
      </c>
      <c r="Q11" s="235">
        <v>3416</v>
      </c>
      <c r="R11" s="235">
        <f t="shared" si="2"/>
        <v>3416</v>
      </c>
      <c r="S11" s="235">
        <f t="shared" ref="S11:S19" si="5">R11/12*G11</f>
        <v>3131.3333333333335</v>
      </c>
      <c r="T11" s="235">
        <f t="shared" ref="T11:T19" si="6">M11+O11+S11</f>
        <v>41292.217633333334</v>
      </c>
      <c r="U11" s="453"/>
    </row>
    <row r="12" spans="1:21" x14ac:dyDescent="0.25">
      <c r="A12" s="127">
        <v>10011804</v>
      </c>
      <c r="B12" s="236" t="s">
        <v>3</v>
      </c>
      <c r="C12" s="458"/>
      <c r="D12" s="128" t="s">
        <v>138</v>
      </c>
      <c r="E12" s="128"/>
      <c r="F12" s="234">
        <v>5</v>
      </c>
      <c r="G12" s="128">
        <v>11</v>
      </c>
      <c r="H12" s="128">
        <f>F12*G12*$H$8</f>
        <v>102410</v>
      </c>
      <c r="I12" s="235">
        <f>F12*G12*$I$8</f>
        <v>51975</v>
      </c>
      <c r="J12" s="235"/>
      <c r="K12" s="235"/>
      <c r="L12" s="235"/>
      <c r="M12" s="235">
        <f t="shared" si="0"/>
        <v>154385</v>
      </c>
      <c r="N12" s="235">
        <f t="shared" si="3"/>
        <v>14035</v>
      </c>
      <c r="O12" s="235">
        <f t="shared" si="1"/>
        <v>36419.421499999997</v>
      </c>
      <c r="P12" s="235">
        <f t="shared" si="4"/>
        <v>3310.8564999999999</v>
      </c>
      <c r="Q12" s="235">
        <v>4367</v>
      </c>
      <c r="R12" s="235">
        <f t="shared" si="2"/>
        <v>21835</v>
      </c>
      <c r="S12" s="235">
        <f t="shared" si="5"/>
        <v>20015.416666666664</v>
      </c>
      <c r="T12" s="235">
        <f t="shared" si="6"/>
        <v>210819.83816666665</v>
      </c>
      <c r="U12" s="453"/>
    </row>
    <row r="13" spans="1:21" x14ac:dyDescent="0.25">
      <c r="A13" s="233">
        <v>10012202</v>
      </c>
      <c r="B13" s="128" t="s">
        <v>4</v>
      </c>
      <c r="C13" s="458"/>
      <c r="D13" s="128" t="s">
        <v>138</v>
      </c>
      <c r="E13" s="128">
        <v>0</v>
      </c>
      <c r="F13" s="234">
        <v>1</v>
      </c>
      <c r="G13" s="128">
        <v>11</v>
      </c>
      <c r="H13" s="128">
        <f>F13*G13*$H$8</f>
        <v>20482</v>
      </c>
      <c r="I13" s="235">
        <f>F13*G13*$I$8</f>
        <v>10395</v>
      </c>
      <c r="J13" s="235"/>
      <c r="K13" s="235"/>
      <c r="L13" s="235"/>
      <c r="M13" s="235">
        <f t="shared" si="0"/>
        <v>30877</v>
      </c>
      <c r="N13" s="235">
        <f t="shared" si="3"/>
        <v>2807</v>
      </c>
      <c r="O13" s="235">
        <f t="shared" si="1"/>
        <v>7283.8842999999997</v>
      </c>
      <c r="P13" s="235">
        <f t="shared" si="4"/>
        <v>662.17129999999997</v>
      </c>
      <c r="Q13" s="235">
        <v>4367</v>
      </c>
      <c r="R13" s="235">
        <f t="shared" si="2"/>
        <v>4367</v>
      </c>
      <c r="S13" s="235">
        <f t="shared" si="5"/>
        <v>4003.0833333333335</v>
      </c>
      <c r="T13" s="235">
        <f t="shared" si="6"/>
        <v>42163.967633333334</v>
      </c>
      <c r="U13" s="453"/>
    </row>
    <row r="14" spans="1:21" x14ac:dyDescent="0.25">
      <c r="A14" s="233">
        <v>10012202</v>
      </c>
      <c r="B14" s="128" t="s">
        <v>4</v>
      </c>
      <c r="C14" s="458"/>
      <c r="D14" s="128" t="s">
        <v>139</v>
      </c>
      <c r="E14" s="128">
        <v>0</v>
      </c>
      <c r="F14" s="234">
        <v>1.5</v>
      </c>
      <c r="G14" s="128">
        <v>11</v>
      </c>
      <c r="H14" s="128">
        <f>F14*G14*$H$8</f>
        <v>30723</v>
      </c>
      <c r="I14" s="235">
        <f>F14*G14*$I$8</f>
        <v>15592.5</v>
      </c>
      <c r="J14" s="235"/>
      <c r="K14" s="235"/>
      <c r="L14" s="235"/>
      <c r="M14" s="235">
        <f t="shared" si="0"/>
        <v>46315.5</v>
      </c>
      <c r="N14" s="235">
        <f t="shared" si="3"/>
        <v>4210.5</v>
      </c>
      <c r="O14" s="235">
        <f t="shared" si="1"/>
        <v>10925.82645</v>
      </c>
      <c r="P14" s="235">
        <f t="shared" si="4"/>
        <v>993.25694999999996</v>
      </c>
      <c r="Q14" s="235">
        <v>3416</v>
      </c>
      <c r="R14" s="235">
        <f t="shared" si="2"/>
        <v>5124</v>
      </c>
      <c r="S14" s="235">
        <f t="shared" si="5"/>
        <v>4697</v>
      </c>
      <c r="T14" s="235">
        <f t="shared" si="6"/>
        <v>61938.32645</v>
      </c>
      <c r="U14" s="453"/>
    </row>
    <row r="15" spans="1:21" x14ac:dyDescent="0.25">
      <c r="A15" s="233">
        <v>10012202</v>
      </c>
      <c r="B15" s="128" t="s">
        <v>4</v>
      </c>
      <c r="C15" s="458"/>
      <c r="D15" s="128" t="s">
        <v>140</v>
      </c>
      <c r="E15" s="128">
        <v>0</v>
      </c>
      <c r="F15" s="234">
        <v>1</v>
      </c>
      <c r="G15" s="128">
        <v>11</v>
      </c>
      <c r="H15" s="128"/>
      <c r="I15" s="235"/>
      <c r="J15" s="235"/>
      <c r="K15" s="235">
        <f>F15*G15*$K$8</f>
        <v>12287</v>
      </c>
      <c r="L15" s="235">
        <f>F15*G15*$L$8</f>
        <v>2673</v>
      </c>
      <c r="M15" s="235">
        <f t="shared" si="0"/>
        <v>14960</v>
      </c>
      <c r="N15" s="235">
        <f t="shared" si="3"/>
        <v>1360</v>
      </c>
      <c r="O15" s="235">
        <f t="shared" si="1"/>
        <v>3529.0639999999999</v>
      </c>
      <c r="P15" s="235">
        <f t="shared" si="4"/>
        <v>320.82400000000001</v>
      </c>
      <c r="Q15" s="235">
        <v>3524</v>
      </c>
      <c r="R15" s="235">
        <f t="shared" si="2"/>
        <v>3524</v>
      </c>
      <c r="S15" s="235">
        <f t="shared" si="5"/>
        <v>3230.3333333333335</v>
      </c>
      <c r="T15" s="235">
        <f t="shared" si="6"/>
        <v>21719.397333333331</v>
      </c>
      <c r="U15" s="453"/>
    </row>
    <row r="16" spans="1:21" x14ac:dyDescent="0.25">
      <c r="A16" s="233">
        <v>941800004</v>
      </c>
      <c r="B16" s="236" t="s">
        <v>5</v>
      </c>
      <c r="C16" s="458"/>
      <c r="D16" s="128" t="s">
        <v>141</v>
      </c>
      <c r="E16" s="128">
        <v>1</v>
      </c>
      <c r="F16" s="234">
        <v>0.25</v>
      </c>
      <c r="G16" s="128">
        <v>11</v>
      </c>
      <c r="H16" s="128">
        <f>F16*G16*$H$8</f>
        <v>5120.5</v>
      </c>
      <c r="I16" s="235">
        <f>F16*G16*$I$8</f>
        <v>2598.75</v>
      </c>
      <c r="J16" s="235"/>
      <c r="K16" s="235"/>
      <c r="L16" s="235"/>
      <c r="M16" s="235">
        <f t="shared" si="0"/>
        <v>7719.25</v>
      </c>
      <c r="N16" s="235">
        <f t="shared" si="3"/>
        <v>701.75</v>
      </c>
      <c r="O16" s="235">
        <f t="shared" si="1"/>
        <v>1820.9710749999999</v>
      </c>
      <c r="P16" s="235">
        <f t="shared" si="4"/>
        <v>165.54282499999999</v>
      </c>
      <c r="Q16" s="235">
        <v>4367</v>
      </c>
      <c r="R16" s="235">
        <f t="shared" si="2"/>
        <v>1091.75</v>
      </c>
      <c r="S16" s="235">
        <f t="shared" si="5"/>
        <v>1000.7708333333334</v>
      </c>
      <c r="T16" s="235">
        <f t="shared" si="6"/>
        <v>10540.991908333333</v>
      </c>
      <c r="U16" s="453"/>
    </row>
    <row r="17" spans="1:21" x14ac:dyDescent="0.25">
      <c r="A17" s="233">
        <v>90012101</v>
      </c>
      <c r="B17" s="128" t="s">
        <v>6</v>
      </c>
      <c r="C17" s="458"/>
      <c r="D17" s="128" t="s">
        <v>108</v>
      </c>
      <c r="E17" s="128"/>
      <c r="F17" s="234">
        <v>0.5</v>
      </c>
      <c r="G17" s="128">
        <v>11</v>
      </c>
      <c r="H17" s="128">
        <f>F17*G17*$H$8</f>
        <v>10241</v>
      </c>
      <c r="I17" s="235">
        <f>F17*G17*$I$8</f>
        <v>5197.5</v>
      </c>
      <c r="J17" s="235"/>
      <c r="K17" s="235"/>
      <c r="L17" s="235"/>
      <c r="M17" s="235">
        <f t="shared" si="0"/>
        <v>15438.5</v>
      </c>
      <c r="N17" s="235">
        <f t="shared" si="3"/>
        <v>1403.5</v>
      </c>
      <c r="O17" s="235">
        <f t="shared" si="1"/>
        <v>3641.9421499999999</v>
      </c>
      <c r="P17" s="235">
        <f t="shared" si="4"/>
        <v>331.08564999999999</v>
      </c>
      <c r="Q17" s="235">
        <v>4367</v>
      </c>
      <c r="R17" s="235">
        <f t="shared" si="2"/>
        <v>2183.5</v>
      </c>
      <c r="S17" s="235">
        <f t="shared" si="5"/>
        <v>2001.5416666666667</v>
      </c>
      <c r="T17" s="235">
        <f t="shared" si="6"/>
        <v>21081.983816666667</v>
      </c>
      <c r="U17" s="453"/>
    </row>
    <row r="18" spans="1:21" x14ac:dyDescent="0.25">
      <c r="A18" s="233">
        <v>90012101</v>
      </c>
      <c r="B18" s="128" t="s">
        <v>6</v>
      </c>
      <c r="C18" s="459"/>
      <c r="D18" s="128" t="s">
        <v>109</v>
      </c>
      <c r="E18" s="128"/>
      <c r="F18" s="234">
        <v>0.5</v>
      </c>
      <c r="G18" s="128">
        <v>11</v>
      </c>
      <c r="H18" s="128">
        <f>F18*G18*$H$8</f>
        <v>10241</v>
      </c>
      <c r="I18" s="235">
        <f>F18*G18*$I$8</f>
        <v>5197.5</v>
      </c>
      <c r="J18" s="235"/>
      <c r="K18" s="235"/>
      <c r="L18" s="235"/>
      <c r="M18" s="235">
        <f t="shared" si="0"/>
        <v>15438.5</v>
      </c>
      <c r="N18" s="235">
        <f t="shared" si="3"/>
        <v>1403.5</v>
      </c>
      <c r="O18" s="235">
        <f t="shared" si="1"/>
        <v>3641.9421499999999</v>
      </c>
      <c r="P18" s="235">
        <f t="shared" si="4"/>
        <v>331.08564999999999</v>
      </c>
      <c r="Q18" s="235">
        <v>4367</v>
      </c>
      <c r="R18" s="235">
        <f t="shared" si="2"/>
        <v>2183.5</v>
      </c>
      <c r="S18" s="235">
        <f t="shared" si="5"/>
        <v>2001.5416666666667</v>
      </c>
      <c r="T18" s="235">
        <f t="shared" si="6"/>
        <v>21081.983816666667</v>
      </c>
      <c r="U18" s="453"/>
    </row>
    <row r="19" spans="1:21" ht="30" x14ac:dyDescent="0.25">
      <c r="A19" s="128"/>
      <c r="B19" s="128"/>
      <c r="C19" s="237" t="s">
        <v>355</v>
      </c>
      <c r="D19" s="128" t="s">
        <v>204</v>
      </c>
      <c r="E19" s="128">
        <v>10</v>
      </c>
      <c r="F19" s="234">
        <v>10</v>
      </c>
      <c r="G19" s="128">
        <v>10</v>
      </c>
      <c r="H19" s="128">
        <f>F19*G19*$H$8</f>
        <v>186200</v>
      </c>
      <c r="I19" s="235">
        <f>F19*G19*$I$8</f>
        <v>94500</v>
      </c>
      <c r="J19" s="235"/>
      <c r="K19" s="235"/>
      <c r="L19" s="235"/>
      <c r="M19" s="235">
        <f t="shared" si="0"/>
        <v>280700</v>
      </c>
      <c r="N19" s="235">
        <f t="shared" si="3"/>
        <v>28070</v>
      </c>
      <c r="O19" s="235">
        <f t="shared" si="1"/>
        <v>66217.13</v>
      </c>
      <c r="P19" s="235">
        <f t="shared" si="4"/>
        <v>6621.7129999999997</v>
      </c>
      <c r="Q19" s="235">
        <v>3416</v>
      </c>
      <c r="R19" s="235">
        <f t="shared" si="2"/>
        <v>34160</v>
      </c>
      <c r="S19" s="235">
        <f t="shared" si="5"/>
        <v>28466.666666666664</v>
      </c>
      <c r="T19" s="235">
        <f t="shared" si="6"/>
        <v>375383.79666666669</v>
      </c>
      <c r="U19" s="453"/>
    </row>
    <row r="20" spans="1:21" ht="15.75" x14ac:dyDescent="0.25">
      <c r="A20" s="238"/>
      <c r="D20" s="239" t="s">
        <v>172</v>
      </c>
      <c r="E20" s="239">
        <f>SUM(E10:E19)</f>
        <v>13</v>
      </c>
      <c r="F20" s="239">
        <f>SUM(F10:F19)</f>
        <v>21.75</v>
      </c>
      <c r="G20" s="238"/>
      <c r="H20" s="240"/>
      <c r="I20" s="241"/>
      <c r="J20" s="241"/>
      <c r="K20" s="241"/>
      <c r="L20" s="241"/>
      <c r="M20" s="241"/>
      <c r="N20" s="241"/>
      <c r="O20" s="241"/>
      <c r="P20" s="241"/>
      <c r="Q20" s="241"/>
      <c r="R20" s="241"/>
      <c r="S20" s="241"/>
      <c r="T20" s="242">
        <f>ROUND(SUM(T10:T19),0)</f>
        <v>839973</v>
      </c>
      <c r="U20" s="454"/>
    </row>
    <row r="21" spans="1:21" x14ac:dyDescent="0.25">
      <c r="F21" s="243"/>
    </row>
  </sheetData>
  <mergeCells count="6">
    <mergeCell ref="B2:O4"/>
    <mergeCell ref="E8:F8"/>
    <mergeCell ref="U10:U20"/>
    <mergeCell ref="A1:S1"/>
    <mergeCell ref="T1:U1"/>
    <mergeCell ref="C10:C18"/>
  </mergeCells>
  <pageMargins left="0.7" right="0.7" top="0.75" bottom="0.75" header="0.3" footer="0.3"/>
  <pageSetup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7"/>
  <sheetViews>
    <sheetView zoomScale="90" zoomScaleNormal="90" workbookViewId="0">
      <selection activeCell="B3" sqref="B3"/>
    </sheetView>
  </sheetViews>
  <sheetFormatPr defaultColWidth="8.7109375" defaultRowHeight="15" x14ac:dyDescent="0.25"/>
  <cols>
    <col min="1" max="1" width="15" style="244" customWidth="1"/>
    <col min="2" max="2" width="35" style="244" customWidth="1"/>
    <col min="3" max="3" width="12.5703125" style="244" customWidth="1"/>
    <col min="4" max="4" width="13.5703125" style="244" customWidth="1"/>
    <col min="5" max="5" width="12.5703125" style="244" customWidth="1"/>
    <col min="6" max="6" width="14.42578125" style="244" customWidth="1"/>
    <col min="7" max="7" width="18.85546875" style="244" customWidth="1"/>
    <col min="8" max="8" width="16.85546875" style="244" customWidth="1"/>
    <col min="9" max="9" width="12.42578125" style="244" customWidth="1"/>
    <col min="10" max="10" width="11.5703125" style="244" customWidth="1"/>
    <col min="11" max="11" width="10.5703125" style="244" customWidth="1"/>
    <col min="12" max="12" width="13.28515625" style="244" customWidth="1"/>
    <col min="13" max="13" width="14.140625" style="244" customWidth="1"/>
    <col min="14" max="14" width="11.85546875" style="244" customWidth="1"/>
    <col min="15" max="15" width="13.28515625" style="244" customWidth="1"/>
    <col min="16" max="16" width="14" style="244" customWidth="1"/>
    <col min="17" max="17" width="15.28515625" style="244" customWidth="1"/>
    <col min="18" max="16384" width="8.7109375" style="244"/>
  </cols>
  <sheetData>
    <row r="1" spans="1:19" ht="48.75" customHeight="1" x14ac:dyDescent="0.25">
      <c r="A1" s="464" t="s">
        <v>268</v>
      </c>
      <c r="B1" s="464"/>
      <c r="C1" s="464"/>
      <c r="D1" s="464"/>
      <c r="E1" s="464"/>
      <c r="F1" s="464"/>
      <c r="G1" s="464"/>
      <c r="H1" s="464"/>
      <c r="I1" s="464"/>
      <c r="J1" s="464"/>
      <c r="K1" s="464"/>
      <c r="L1" s="464"/>
      <c r="M1" s="464"/>
      <c r="N1" s="464"/>
      <c r="O1" s="460" t="s">
        <v>421</v>
      </c>
      <c r="P1" s="460"/>
      <c r="Q1" s="460"/>
    </row>
    <row r="2" spans="1:19" ht="15" customHeight="1" x14ac:dyDescent="0.25">
      <c r="A2" s="245"/>
      <c r="B2" s="462" t="s">
        <v>262</v>
      </c>
      <c r="C2" s="462"/>
      <c r="D2" s="462"/>
      <c r="E2" s="462"/>
      <c r="F2" s="462"/>
      <c r="G2" s="462"/>
      <c r="H2" s="462"/>
      <c r="I2" s="462"/>
      <c r="J2" s="462"/>
      <c r="K2" s="462"/>
      <c r="L2" s="462"/>
      <c r="M2" s="462"/>
    </row>
    <row r="3" spans="1:19" ht="15" customHeight="1" x14ac:dyDescent="0.25">
      <c r="A3" s="245"/>
      <c r="B3" s="246" t="s">
        <v>415</v>
      </c>
      <c r="C3" s="247"/>
      <c r="D3" s="247"/>
      <c r="E3" s="247"/>
      <c r="F3" s="247"/>
      <c r="G3" s="247"/>
      <c r="H3" s="247"/>
      <c r="I3" s="247"/>
      <c r="J3" s="247"/>
      <c r="K3" s="247"/>
      <c r="L3" s="247"/>
      <c r="M3" s="247"/>
    </row>
    <row r="4" spans="1:19" ht="15" customHeight="1" x14ac:dyDescent="0.25">
      <c r="A4" s="245"/>
      <c r="B4" s="247"/>
      <c r="C4" s="247"/>
      <c r="D4" s="247"/>
      <c r="E4" s="247"/>
      <c r="F4" s="247"/>
      <c r="G4" s="247"/>
      <c r="H4" s="247"/>
      <c r="I4" s="247"/>
      <c r="J4" s="247"/>
      <c r="K4" s="247"/>
      <c r="L4" s="247"/>
      <c r="M4" s="247"/>
    </row>
    <row r="5" spans="1:19" ht="15" customHeight="1" x14ac:dyDescent="0.25">
      <c r="A5" s="245"/>
      <c r="B5" s="463" t="s">
        <v>353</v>
      </c>
      <c r="C5" s="463"/>
      <c r="D5" s="463"/>
      <c r="E5" s="463"/>
      <c r="F5" s="463"/>
      <c r="G5" s="463"/>
      <c r="H5" s="463"/>
      <c r="I5" s="463"/>
      <c r="J5" s="463"/>
      <c r="K5" s="463"/>
      <c r="L5" s="463"/>
      <c r="M5" s="463"/>
    </row>
    <row r="6" spans="1:19" s="248" customFormat="1" ht="15.75" x14ac:dyDescent="0.25">
      <c r="B6" s="72" t="s">
        <v>54</v>
      </c>
      <c r="C6" s="76"/>
      <c r="D6" s="76"/>
      <c r="E6" s="65"/>
      <c r="F6" s="58"/>
      <c r="G6" s="249"/>
      <c r="H6" s="249"/>
      <c r="I6" s="249"/>
    </row>
    <row r="7" spans="1:19" s="248" customFormat="1" ht="15.75" x14ac:dyDescent="0.25">
      <c r="B7" s="85" t="s">
        <v>196</v>
      </c>
      <c r="C7" s="77"/>
      <c r="D7" s="77"/>
      <c r="E7" s="68"/>
      <c r="F7" s="59"/>
      <c r="G7" s="249"/>
      <c r="H7" s="249"/>
      <c r="I7" s="249"/>
    </row>
    <row r="8" spans="1:19" s="248" customFormat="1" ht="15.75" x14ac:dyDescent="0.25">
      <c r="B8" s="85"/>
      <c r="C8" s="77"/>
      <c r="D8" s="77"/>
      <c r="E8" s="59"/>
      <c r="F8" s="59"/>
      <c r="G8" s="249"/>
      <c r="H8" s="249"/>
      <c r="I8" s="249"/>
    </row>
    <row r="9" spans="1:19" x14ac:dyDescent="0.25">
      <c r="B9" s="170" t="s">
        <v>194</v>
      </c>
      <c r="C9" s="4"/>
      <c r="D9" s="4"/>
      <c r="E9" s="4"/>
      <c r="F9" s="245"/>
      <c r="G9" s="245"/>
      <c r="H9" s="245"/>
      <c r="I9" s="245"/>
      <c r="J9" s="245"/>
      <c r="K9" s="245"/>
      <c r="L9" s="245"/>
      <c r="M9" s="245"/>
    </row>
    <row r="10" spans="1:19" x14ac:dyDescent="0.25">
      <c r="B10" s="4"/>
      <c r="C10" s="4"/>
      <c r="D10" s="4"/>
      <c r="E10" s="4">
        <v>189</v>
      </c>
      <c r="F10" s="228" t="s">
        <v>197</v>
      </c>
      <c r="G10" s="245"/>
      <c r="H10" s="245"/>
      <c r="I10" s="4"/>
      <c r="J10" s="228"/>
      <c r="K10" s="245"/>
      <c r="L10" s="245"/>
      <c r="M10" s="245"/>
    </row>
    <row r="11" spans="1:19" s="250" customFormat="1" ht="59.25" customHeight="1" x14ac:dyDescent="0.25">
      <c r="B11" s="251" t="s">
        <v>301</v>
      </c>
      <c r="C11" s="252" t="s">
        <v>171</v>
      </c>
      <c r="D11" s="252" t="s">
        <v>189</v>
      </c>
      <c r="E11" s="252" t="s">
        <v>191</v>
      </c>
      <c r="F11" s="252" t="s">
        <v>190</v>
      </c>
      <c r="G11" s="252" t="s">
        <v>218</v>
      </c>
      <c r="H11" s="253"/>
      <c r="I11" s="253"/>
      <c r="J11" s="253"/>
      <c r="K11" s="253"/>
      <c r="L11" s="253"/>
      <c r="M11" s="253"/>
      <c r="N11" s="253"/>
    </row>
    <row r="12" spans="1:19" x14ac:dyDescent="0.25">
      <c r="B12" s="254" t="s">
        <v>303</v>
      </c>
      <c r="C12" s="255">
        <f>Q25</f>
        <v>24.43</v>
      </c>
      <c r="D12" s="256">
        <v>75</v>
      </c>
      <c r="E12" s="256">
        <v>4</v>
      </c>
      <c r="F12" s="257">
        <f>D12*E12*E10</f>
        <v>56700</v>
      </c>
      <c r="G12" s="257">
        <f>F12*C12</f>
        <v>1385181</v>
      </c>
      <c r="H12" s="245"/>
      <c r="I12" s="245"/>
      <c r="J12" s="245"/>
      <c r="K12" s="245"/>
      <c r="L12" s="245"/>
      <c r="M12" s="245"/>
      <c r="N12" s="245"/>
    </row>
    <row r="13" spans="1:19" ht="30" x14ac:dyDescent="0.25">
      <c r="B13" s="258" t="s">
        <v>305</v>
      </c>
      <c r="C13" s="255">
        <f>Q35</f>
        <v>28.188814000000001</v>
      </c>
      <c r="D13" s="256">
        <v>75</v>
      </c>
      <c r="E13" s="256">
        <v>1</v>
      </c>
      <c r="F13" s="257">
        <f>E13*D13*E10</f>
        <v>14175</v>
      </c>
      <c r="G13" s="257">
        <f>F13*C13</f>
        <v>399576.43845000002</v>
      </c>
      <c r="H13" s="245"/>
      <c r="I13" s="245"/>
      <c r="J13" s="245"/>
      <c r="K13" s="245"/>
      <c r="L13" s="245"/>
      <c r="M13" s="245"/>
      <c r="N13" s="245"/>
      <c r="P13" s="219"/>
      <c r="Q13" s="219"/>
      <c r="R13" s="219"/>
    </row>
    <row r="14" spans="1:19" x14ac:dyDescent="0.25">
      <c r="A14" s="259"/>
      <c r="B14" s="260" t="s">
        <v>172</v>
      </c>
      <c r="C14" s="259"/>
      <c r="D14" s="259"/>
      <c r="E14" s="259"/>
      <c r="G14" s="261">
        <f>ROUND((G12+G13),0)</f>
        <v>1784757</v>
      </c>
      <c r="H14" s="259"/>
      <c r="I14" s="262"/>
      <c r="J14" s="262"/>
      <c r="K14" s="262"/>
      <c r="L14" s="259"/>
      <c r="M14" s="259"/>
      <c r="N14" s="259"/>
      <c r="O14" s="259"/>
      <c r="P14" s="262"/>
      <c r="Q14" s="263"/>
      <c r="R14" s="219"/>
    </row>
    <row r="15" spans="1:19" ht="64.5" customHeight="1" x14ac:dyDescent="0.25">
      <c r="A15" s="259"/>
      <c r="B15" s="461" t="s">
        <v>302</v>
      </c>
      <c r="C15" s="461"/>
      <c r="D15" s="461"/>
      <c r="E15" s="461"/>
      <c r="F15" s="461"/>
      <c r="G15" s="461"/>
      <c r="H15" s="461"/>
      <c r="I15" s="259"/>
      <c r="J15" s="262"/>
      <c r="K15" s="262"/>
      <c r="L15" s="262"/>
      <c r="M15" s="259"/>
      <c r="N15" s="259"/>
      <c r="O15" s="259"/>
      <c r="P15" s="259"/>
      <c r="Q15" s="262"/>
      <c r="R15" s="263"/>
      <c r="S15" s="219"/>
    </row>
    <row r="16" spans="1:19" ht="24" customHeight="1" x14ac:dyDescent="0.25">
      <c r="A16" s="259"/>
      <c r="B16" s="264"/>
      <c r="C16" s="264"/>
      <c r="D16" s="264"/>
      <c r="E16" s="264"/>
      <c r="F16" s="264"/>
      <c r="G16" s="264"/>
      <c r="H16" s="264"/>
      <c r="I16" s="259"/>
      <c r="J16" s="262"/>
      <c r="K16" s="262"/>
      <c r="L16" s="262"/>
      <c r="M16" s="259"/>
      <c r="N16" s="259"/>
      <c r="O16" s="259"/>
      <c r="P16" s="259"/>
      <c r="Q16" s="262"/>
      <c r="R16" s="263"/>
      <c r="S16" s="219"/>
    </row>
    <row r="17" spans="1:19" ht="30" x14ac:dyDescent="0.25">
      <c r="A17" s="259"/>
      <c r="B17" s="259"/>
      <c r="C17" s="259"/>
      <c r="D17" s="259"/>
      <c r="E17" s="259"/>
      <c r="F17" s="265" t="s">
        <v>143</v>
      </c>
      <c r="G17" s="468" t="s">
        <v>146</v>
      </c>
      <c r="H17" s="266"/>
      <c r="I17" s="262"/>
      <c r="J17" s="262"/>
      <c r="K17" s="267"/>
      <c r="L17" s="468" t="s">
        <v>147</v>
      </c>
      <c r="M17" s="468" t="s">
        <v>148</v>
      </c>
      <c r="N17" s="468" t="s">
        <v>149</v>
      </c>
      <c r="O17" s="259"/>
      <c r="Q17" s="219"/>
      <c r="R17" s="219"/>
      <c r="S17" s="219"/>
    </row>
    <row r="18" spans="1:19" x14ac:dyDescent="0.25">
      <c r="A18" s="259"/>
      <c r="B18" s="259"/>
      <c r="C18" s="465" t="s">
        <v>339</v>
      </c>
      <c r="D18" s="465"/>
      <c r="E18" s="465"/>
      <c r="F18" s="268">
        <f>1862*1.3</f>
        <v>2420.6</v>
      </c>
      <c r="G18" s="469"/>
      <c r="H18" s="262"/>
      <c r="I18" s="262"/>
      <c r="J18" s="262"/>
      <c r="K18" s="269"/>
      <c r="L18" s="469"/>
      <c r="M18" s="469"/>
      <c r="N18" s="469"/>
      <c r="O18" s="259"/>
    </row>
    <row r="19" spans="1:19" x14ac:dyDescent="0.25">
      <c r="A19" s="259"/>
      <c r="B19" s="259"/>
      <c r="C19" s="262"/>
      <c r="D19" s="262"/>
      <c r="E19" s="263" t="s">
        <v>151</v>
      </c>
      <c r="F19" s="270">
        <f>0.194*1.3</f>
        <v>0.25220000000000004</v>
      </c>
      <c r="G19" s="271">
        <v>0.2359</v>
      </c>
      <c r="H19" s="259"/>
      <c r="I19" s="259"/>
      <c r="J19" s="259"/>
      <c r="K19" s="272" t="s">
        <v>152</v>
      </c>
      <c r="L19" s="271">
        <v>0.31330000000000002</v>
      </c>
      <c r="M19" s="271">
        <v>2.5100000000000001E-2</v>
      </c>
      <c r="N19" s="271">
        <v>4.0099999999999997E-2</v>
      </c>
      <c r="O19" s="259"/>
    </row>
    <row r="20" spans="1:19" ht="15.75" customHeight="1" x14ac:dyDescent="0.25">
      <c r="A20" s="104"/>
      <c r="B20" s="105"/>
      <c r="C20" s="109"/>
      <c r="D20" s="109"/>
      <c r="E20" s="110"/>
      <c r="F20" s="107"/>
      <c r="G20" s="106"/>
      <c r="H20" s="106"/>
      <c r="I20" s="106"/>
      <c r="J20" s="106"/>
      <c r="K20" s="106"/>
      <c r="L20" s="106"/>
      <c r="M20" s="70"/>
      <c r="N20" s="108"/>
      <c r="O20" s="108"/>
      <c r="P20" s="108"/>
      <c r="Q20" s="108"/>
    </row>
    <row r="21" spans="1:19" ht="15.75" customHeight="1" x14ac:dyDescent="0.25">
      <c r="A21" s="470" t="s">
        <v>153</v>
      </c>
      <c r="B21" s="471" t="s">
        <v>112</v>
      </c>
      <c r="C21" s="471" t="s">
        <v>154</v>
      </c>
      <c r="D21" s="471"/>
      <c r="E21" s="471"/>
      <c r="F21" s="471"/>
      <c r="G21" s="471"/>
      <c r="H21" s="471"/>
      <c r="I21" s="471"/>
      <c r="J21" s="471"/>
      <c r="K21" s="471"/>
      <c r="L21" s="471"/>
      <c r="M21" s="471"/>
      <c r="N21" s="471"/>
      <c r="O21" s="471"/>
      <c r="P21" s="471"/>
      <c r="Q21" s="466" t="s">
        <v>115</v>
      </c>
    </row>
    <row r="22" spans="1:19" ht="90" x14ac:dyDescent="0.25">
      <c r="A22" s="470"/>
      <c r="B22" s="470"/>
      <c r="C22" s="470" t="s">
        <v>155</v>
      </c>
      <c r="D22" s="470"/>
      <c r="E22" s="470"/>
      <c r="F22" s="470" t="s">
        <v>156</v>
      </c>
      <c r="G22" s="470"/>
      <c r="H22" s="470"/>
      <c r="I22" s="273" t="s">
        <v>157</v>
      </c>
      <c r="J22" s="470" t="s">
        <v>158</v>
      </c>
      <c r="K22" s="470"/>
      <c r="L22" s="470"/>
      <c r="M22" s="470" t="s">
        <v>159</v>
      </c>
      <c r="N22" s="470" t="s">
        <v>160</v>
      </c>
      <c r="O22" s="470" t="s">
        <v>161</v>
      </c>
      <c r="P22" s="470" t="s">
        <v>162</v>
      </c>
      <c r="Q22" s="467"/>
    </row>
    <row r="23" spans="1:19" ht="75" x14ac:dyDescent="0.25">
      <c r="A23" s="470"/>
      <c r="B23" s="470"/>
      <c r="C23" s="273" t="s">
        <v>163</v>
      </c>
      <c r="D23" s="273" t="s">
        <v>164</v>
      </c>
      <c r="E23" s="273" t="s">
        <v>165</v>
      </c>
      <c r="F23" s="273" t="s">
        <v>163</v>
      </c>
      <c r="G23" s="273" t="s">
        <v>164</v>
      </c>
      <c r="H23" s="273" t="s">
        <v>166</v>
      </c>
      <c r="I23" s="273" t="s">
        <v>167</v>
      </c>
      <c r="J23" s="273" t="s">
        <v>168</v>
      </c>
      <c r="K23" s="274" t="s">
        <v>113</v>
      </c>
      <c r="L23" s="273" t="s">
        <v>114</v>
      </c>
      <c r="M23" s="470"/>
      <c r="N23" s="470"/>
      <c r="O23" s="470"/>
      <c r="P23" s="470"/>
      <c r="Q23" s="467"/>
    </row>
    <row r="24" spans="1:19" x14ac:dyDescent="0.25">
      <c r="A24" s="275">
        <v>1</v>
      </c>
      <c r="B24" s="275">
        <v>2</v>
      </c>
      <c r="C24" s="275">
        <v>3</v>
      </c>
      <c r="D24" s="275">
        <v>4</v>
      </c>
      <c r="E24" s="275">
        <v>5</v>
      </c>
      <c r="F24" s="275">
        <v>6</v>
      </c>
      <c r="G24" s="275">
        <v>7</v>
      </c>
      <c r="H24" s="275">
        <v>8</v>
      </c>
      <c r="I24" s="275">
        <v>9</v>
      </c>
      <c r="J24" s="275" t="s">
        <v>169</v>
      </c>
      <c r="K24" s="275">
        <v>11</v>
      </c>
      <c r="L24" s="275">
        <v>12</v>
      </c>
      <c r="M24" s="275">
        <v>13</v>
      </c>
      <c r="N24" s="275">
        <v>14</v>
      </c>
      <c r="O24" s="275">
        <v>15</v>
      </c>
      <c r="P24" s="275">
        <v>16</v>
      </c>
      <c r="Q24" s="275">
        <v>17</v>
      </c>
    </row>
    <row r="25" spans="1:19" ht="30" x14ac:dyDescent="0.25">
      <c r="A25" s="41" t="s">
        <v>170</v>
      </c>
      <c r="B25" s="129" t="s">
        <v>270</v>
      </c>
      <c r="C25" s="43">
        <v>60</v>
      </c>
      <c r="D25" s="43">
        <v>0</v>
      </c>
      <c r="E25" s="43" t="s">
        <v>136</v>
      </c>
      <c r="F25" s="44">
        <f>C25*F19</f>
        <v>15.132000000000001</v>
      </c>
      <c r="G25" s="44">
        <v>0</v>
      </c>
      <c r="H25" s="44"/>
      <c r="I25" s="44">
        <f>F25*G19</f>
        <v>3.5696388000000003</v>
      </c>
      <c r="J25" s="276">
        <v>0</v>
      </c>
      <c r="K25" s="276">
        <v>0</v>
      </c>
      <c r="L25" s="276">
        <v>0</v>
      </c>
      <c r="M25" s="44"/>
      <c r="N25" s="44">
        <f>ROUND((F25+G25+H25)*$L$19,2)</f>
        <v>4.74</v>
      </c>
      <c r="O25" s="44">
        <f>ROUND(((F25+G25+H25)*$M$19),2)</f>
        <v>0.38</v>
      </c>
      <c r="P25" s="44">
        <f>ROUND((F25+G25+H25)*$N$19,2)</f>
        <v>0.61</v>
      </c>
      <c r="Q25" s="277">
        <f>ROUND((F25+G25+H25+I25+J25+M25+N25+O25+P25),2)</f>
        <v>24.43</v>
      </c>
      <c r="R25" s="278"/>
    </row>
    <row r="26" spans="1:19" ht="15" customHeight="1" x14ac:dyDescent="0.25">
      <c r="A26" s="279"/>
      <c r="B26" s="130"/>
      <c r="C26" s="259"/>
      <c r="D26" s="259"/>
      <c r="E26" s="259"/>
      <c r="F26" s="259"/>
      <c r="G26" s="259"/>
      <c r="H26" s="259"/>
      <c r="I26" s="259"/>
      <c r="J26" s="259"/>
      <c r="K26" s="259"/>
      <c r="L26" s="259"/>
      <c r="M26" s="259"/>
      <c r="N26" s="259"/>
      <c r="O26" s="259"/>
      <c r="P26" s="259"/>
      <c r="Q26" s="259"/>
    </row>
    <row r="27" spans="1:19" ht="30" x14ac:dyDescent="0.25">
      <c r="A27" s="269"/>
      <c r="B27" s="259"/>
      <c r="C27" s="259"/>
      <c r="D27" s="259"/>
      <c r="E27" s="259"/>
      <c r="F27" s="265" t="s">
        <v>143</v>
      </c>
      <c r="G27" s="468" t="s">
        <v>146</v>
      </c>
      <c r="H27" s="266"/>
      <c r="I27" s="262"/>
      <c r="J27" s="259"/>
      <c r="K27" s="262"/>
      <c r="L27" s="472" t="s">
        <v>147</v>
      </c>
      <c r="M27" s="472" t="s">
        <v>148</v>
      </c>
      <c r="N27" s="472" t="s">
        <v>149</v>
      </c>
      <c r="O27" s="259"/>
    </row>
    <row r="28" spans="1:19" x14ac:dyDescent="0.25">
      <c r="A28" s="259"/>
      <c r="B28" s="259"/>
      <c r="C28" s="465" t="s">
        <v>340</v>
      </c>
      <c r="D28" s="465"/>
      <c r="E28" s="465"/>
      <c r="F28" s="111">
        <f>1862*1.5</f>
        <v>2793</v>
      </c>
      <c r="G28" s="469"/>
      <c r="H28" s="259"/>
      <c r="I28" s="259"/>
      <c r="J28" s="259"/>
      <c r="K28" s="262"/>
      <c r="L28" s="473"/>
      <c r="M28" s="473"/>
      <c r="N28" s="473"/>
      <c r="O28" s="259"/>
    </row>
    <row r="29" spans="1:19" x14ac:dyDescent="0.25">
      <c r="A29" s="259"/>
      <c r="B29" s="259"/>
      <c r="C29" s="259"/>
      <c r="D29" s="259"/>
      <c r="E29" s="280" t="s">
        <v>151</v>
      </c>
      <c r="F29" s="271">
        <f>0.194*1.5</f>
        <v>0.29100000000000004</v>
      </c>
      <c r="G29" s="271">
        <v>0.2359</v>
      </c>
      <c r="H29" s="259"/>
      <c r="I29" s="259"/>
      <c r="J29" s="259"/>
      <c r="K29" s="263" t="s">
        <v>152</v>
      </c>
      <c r="L29" s="281">
        <v>0.31330000000000002</v>
      </c>
      <c r="M29" s="281">
        <v>2.5100000000000001E-2</v>
      </c>
      <c r="N29" s="281">
        <v>4.0099999999999997E-2</v>
      </c>
      <c r="O29" s="259"/>
    </row>
    <row r="30" spans="1:19" x14ac:dyDescent="0.25">
      <c r="M30" s="219"/>
    </row>
    <row r="31" spans="1:19" x14ac:dyDescent="0.25">
      <c r="A31" s="470" t="s">
        <v>153</v>
      </c>
      <c r="B31" s="470" t="s">
        <v>112</v>
      </c>
      <c r="C31" s="470" t="s">
        <v>154</v>
      </c>
      <c r="D31" s="470"/>
      <c r="E31" s="470"/>
      <c r="F31" s="470"/>
      <c r="G31" s="470"/>
      <c r="H31" s="470"/>
      <c r="I31" s="470"/>
      <c r="J31" s="470"/>
      <c r="K31" s="470"/>
      <c r="L31" s="470"/>
      <c r="M31" s="470"/>
      <c r="N31" s="470"/>
      <c r="O31" s="470"/>
      <c r="P31" s="470"/>
      <c r="Q31" s="470" t="s">
        <v>115</v>
      </c>
    </row>
    <row r="32" spans="1:19" ht="90" x14ac:dyDescent="0.25">
      <c r="A32" s="470"/>
      <c r="B32" s="470"/>
      <c r="C32" s="470" t="s">
        <v>155</v>
      </c>
      <c r="D32" s="470"/>
      <c r="E32" s="470"/>
      <c r="F32" s="470" t="s">
        <v>156</v>
      </c>
      <c r="G32" s="470"/>
      <c r="H32" s="470"/>
      <c r="I32" s="273" t="s">
        <v>157</v>
      </c>
      <c r="J32" s="470" t="s">
        <v>158</v>
      </c>
      <c r="K32" s="470"/>
      <c r="L32" s="470"/>
      <c r="M32" s="470" t="s">
        <v>159</v>
      </c>
      <c r="N32" s="470" t="s">
        <v>160</v>
      </c>
      <c r="O32" s="470" t="s">
        <v>161</v>
      </c>
      <c r="P32" s="470" t="s">
        <v>162</v>
      </c>
      <c r="Q32" s="470"/>
    </row>
    <row r="33" spans="1:17" ht="75" x14ac:dyDescent="0.25">
      <c r="A33" s="470"/>
      <c r="B33" s="470"/>
      <c r="C33" s="273" t="s">
        <v>163</v>
      </c>
      <c r="D33" s="273" t="s">
        <v>164</v>
      </c>
      <c r="E33" s="273" t="s">
        <v>165</v>
      </c>
      <c r="F33" s="273" t="s">
        <v>163</v>
      </c>
      <c r="G33" s="273" t="s">
        <v>164</v>
      </c>
      <c r="H33" s="273" t="s">
        <v>166</v>
      </c>
      <c r="I33" s="273" t="s">
        <v>167</v>
      </c>
      <c r="J33" s="273" t="s">
        <v>168</v>
      </c>
      <c r="K33" s="274" t="s">
        <v>113</v>
      </c>
      <c r="L33" s="273" t="s">
        <v>114</v>
      </c>
      <c r="M33" s="470"/>
      <c r="N33" s="470"/>
      <c r="O33" s="470"/>
      <c r="P33" s="470"/>
      <c r="Q33" s="470"/>
    </row>
    <row r="34" spans="1:17" x14ac:dyDescent="0.25">
      <c r="A34" s="275">
        <v>1</v>
      </c>
      <c r="B34" s="275">
        <v>2</v>
      </c>
      <c r="C34" s="275">
        <v>3</v>
      </c>
      <c r="D34" s="275">
        <v>4</v>
      </c>
      <c r="E34" s="275">
        <v>5</v>
      </c>
      <c r="F34" s="275">
        <v>6</v>
      </c>
      <c r="G34" s="275">
        <v>7</v>
      </c>
      <c r="H34" s="275">
        <v>8</v>
      </c>
      <c r="I34" s="275">
        <v>9</v>
      </c>
      <c r="J34" s="275" t="s">
        <v>169</v>
      </c>
      <c r="K34" s="275">
        <v>11</v>
      </c>
      <c r="L34" s="275">
        <v>12</v>
      </c>
      <c r="M34" s="275">
        <v>13</v>
      </c>
      <c r="N34" s="275">
        <v>14</v>
      </c>
      <c r="O34" s="275">
        <v>15</v>
      </c>
      <c r="P34" s="275">
        <v>16</v>
      </c>
      <c r="Q34" s="275">
        <v>17</v>
      </c>
    </row>
    <row r="35" spans="1:17" ht="30" x14ac:dyDescent="0.25">
      <c r="A35" s="41" t="s">
        <v>170</v>
      </c>
      <c r="B35" s="131" t="s">
        <v>304</v>
      </c>
      <c r="C35" s="43">
        <v>60</v>
      </c>
      <c r="D35" s="43">
        <v>0</v>
      </c>
      <c r="E35" s="43" t="s">
        <v>136</v>
      </c>
      <c r="F35" s="44">
        <f>C35*F29</f>
        <v>17.46</v>
      </c>
      <c r="G35" s="44">
        <v>0</v>
      </c>
      <c r="H35" s="44"/>
      <c r="I35" s="44">
        <f>F35*G29</f>
        <v>4.1188140000000004</v>
      </c>
      <c r="J35" s="276">
        <v>0</v>
      </c>
      <c r="K35" s="276">
        <v>0</v>
      </c>
      <c r="L35" s="276">
        <v>0</v>
      </c>
      <c r="M35" s="44"/>
      <c r="N35" s="44">
        <f>ROUND((F35+G35+H35)*$L$29,2)</f>
        <v>5.47</v>
      </c>
      <c r="O35" s="44">
        <f>ROUND((F35+G35+H35)*$M$29,2)</f>
        <v>0.44</v>
      </c>
      <c r="P35" s="44">
        <f>ROUND((F35+G35+H35)*N29,2)</f>
        <v>0.7</v>
      </c>
      <c r="Q35" s="277">
        <f>F35+G35+H35+I35+J35+M35+N35+O35+P35</f>
        <v>28.188814000000001</v>
      </c>
    </row>
    <row r="36" spans="1:17" x14ac:dyDescent="0.25">
      <c r="B36" s="130"/>
    </row>
    <row r="37" spans="1:17" x14ac:dyDescent="0.25">
      <c r="B37" s="87" t="s">
        <v>341</v>
      </c>
    </row>
  </sheetData>
  <mergeCells count="39">
    <mergeCell ref="Q31:Q33"/>
    <mergeCell ref="C32:E32"/>
    <mergeCell ref="F32:H32"/>
    <mergeCell ref="J32:L32"/>
    <mergeCell ref="M32:M33"/>
    <mergeCell ref="N32:N33"/>
    <mergeCell ref="O32:O33"/>
    <mergeCell ref="P32:P33"/>
    <mergeCell ref="C28:E28"/>
    <mergeCell ref="A31:A33"/>
    <mergeCell ref="B31:B33"/>
    <mergeCell ref="C31:L31"/>
    <mergeCell ref="M31:P31"/>
    <mergeCell ref="P22:P23"/>
    <mergeCell ref="G27:G28"/>
    <mergeCell ref="L27:L28"/>
    <mergeCell ref="M27:M28"/>
    <mergeCell ref="N27:N28"/>
    <mergeCell ref="C18:E18"/>
    <mergeCell ref="Q21:Q23"/>
    <mergeCell ref="G17:G18"/>
    <mergeCell ref="A21:A23"/>
    <mergeCell ref="B21:B23"/>
    <mergeCell ref="C21:L21"/>
    <mergeCell ref="M21:P21"/>
    <mergeCell ref="C22:E22"/>
    <mergeCell ref="F22:H22"/>
    <mergeCell ref="J22:L22"/>
    <mergeCell ref="M22:M23"/>
    <mergeCell ref="N22:N23"/>
    <mergeCell ref="O22:O23"/>
    <mergeCell ref="L17:L18"/>
    <mergeCell ref="M17:M18"/>
    <mergeCell ref="N17:N18"/>
    <mergeCell ref="O1:Q1"/>
    <mergeCell ref="B15:H15"/>
    <mergeCell ref="B2:M2"/>
    <mergeCell ref="B5:M5"/>
    <mergeCell ref="A1:N1"/>
  </mergeCells>
  <pageMargins left="0.7" right="0.7"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3"/>
  <sheetViews>
    <sheetView zoomScale="90" zoomScaleNormal="90" workbookViewId="0">
      <selection activeCell="B47" sqref="B47"/>
    </sheetView>
  </sheetViews>
  <sheetFormatPr defaultColWidth="8.7109375" defaultRowHeight="15" x14ac:dyDescent="0.25"/>
  <cols>
    <col min="1" max="1" width="8.7109375" style="244" customWidth="1"/>
    <col min="2" max="2" width="44" style="244" customWidth="1"/>
    <col min="3" max="3" width="27.28515625" style="244" customWidth="1"/>
    <col min="4" max="4" width="25.28515625" style="244" customWidth="1"/>
    <col min="5" max="5" width="22.28515625" style="244" customWidth="1"/>
    <col min="6" max="6" width="24.85546875" style="244" customWidth="1"/>
    <col min="7" max="7" width="23.140625" style="244" customWidth="1"/>
    <col min="8" max="8" width="18.28515625" style="244" customWidth="1"/>
    <col min="9" max="9" width="34.7109375" style="244" customWidth="1"/>
    <col min="10" max="10" width="39.7109375" style="244" customWidth="1"/>
    <col min="11" max="16384" width="8.7109375" style="244"/>
  </cols>
  <sheetData>
    <row r="1" spans="1:11" ht="63" customHeight="1" x14ac:dyDescent="0.3">
      <c r="A1" s="464" t="s">
        <v>268</v>
      </c>
      <c r="B1" s="464"/>
      <c r="C1" s="464"/>
      <c r="D1" s="464"/>
      <c r="E1" s="464"/>
      <c r="F1" s="464"/>
      <c r="G1" s="464"/>
      <c r="H1" s="464"/>
      <c r="I1" s="282" t="s">
        <v>422</v>
      </c>
      <c r="K1" s="283"/>
    </row>
    <row r="2" spans="1:11" ht="15.75" customHeight="1" x14ac:dyDescent="0.25">
      <c r="A2" s="463" t="s">
        <v>263</v>
      </c>
      <c r="B2" s="463"/>
      <c r="C2" s="463"/>
      <c r="D2" s="463"/>
      <c r="E2" s="463"/>
      <c r="F2" s="463"/>
      <c r="G2" s="463"/>
      <c r="H2" s="463"/>
      <c r="I2" s="284"/>
      <c r="J2" s="284"/>
    </row>
    <row r="3" spans="1:11" ht="15" customHeight="1" x14ac:dyDescent="0.25">
      <c r="A3" s="284"/>
      <c r="B3" s="284"/>
      <c r="C3" s="284"/>
      <c r="D3" s="284"/>
      <c r="E3" s="284"/>
      <c r="F3" s="284"/>
      <c r="G3" s="284"/>
      <c r="H3" s="284"/>
      <c r="I3" s="284"/>
      <c r="J3" s="284"/>
    </row>
    <row r="4" spans="1:11" ht="15.75" customHeight="1" x14ac:dyDescent="0.25">
      <c r="A4" s="72" t="s">
        <v>54</v>
      </c>
      <c r="B4" s="76"/>
      <c r="C4" s="76"/>
      <c r="D4" s="76"/>
      <c r="E4" s="76"/>
      <c r="F4" s="76"/>
      <c r="G4" s="76"/>
      <c r="H4" s="224"/>
      <c r="I4" s="224"/>
    </row>
    <row r="5" spans="1:11" ht="15.75" x14ac:dyDescent="0.25">
      <c r="A5" s="85" t="s">
        <v>196</v>
      </c>
      <c r="B5" s="77"/>
      <c r="C5" s="77"/>
      <c r="D5" s="77"/>
      <c r="E5" s="77"/>
      <c r="F5" s="77"/>
      <c r="G5" s="77"/>
      <c r="H5" s="224"/>
      <c r="I5" s="224"/>
      <c r="J5" s="285"/>
    </row>
    <row r="6" spans="1:11" x14ac:dyDescent="0.25">
      <c r="A6" s="85" t="s">
        <v>207</v>
      </c>
      <c r="B6" s="286"/>
      <c r="C6" s="286"/>
      <c r="D6" s="286"/>
      <c r="E6" s="286"/>
      <c r="F6" s="286"/>
      <c r="G6" s="286"/>
      <c r="H6" s="286"/>
      <c r="I6" s="286"/>
      <c r="J6" s="286"/>
    </row>
    <row r="7" spans="1:11" x14ac:dyDescent="0.25">
      <c r="A7" s="287"/>
      <c r="B7" s="286"/>
      <c r="C7" s="286"/>
      <c r="D7" s="286"/>
      <c r="E7" s="286"/>
      <c r="F7" s="286"/>
      <c r="G7" s="286"/>
      <c r="H7" s="286"/>
      <c r="I7" s="286"/>
      <c r="J7" s="286"/>
    </row>
    <row r="8" spans="1:11" s="289" customFormat="1" x14ac:dyDescent="0.25">
      <c r="A8" s="288"/>
      <c r="B8" s="137" t="s">
        <v>306</v>
      </c>
      <c r="C8" s="288"/>
      <c r="D8" s="288">
        <v>1</v>
      </c>
      <c r="E8" s="288"/>
      <c r="F8" s="288"/>
      <c r="H8" s="288"/>
      <c r="I8" s="288"/>
      <c r="J8" s="288"/>
    </row>
    <row r="9" spans="1:11" x14ac:dyDescent="0.25">
      <c r="A9" s="286"/>
      <c r="B9" s="137" t="s">
        <v>307</v>
      </c>
      <c r="C9" s="286"/>
      <c r="D9" s="286">
        <v>2</v>
      </c>
      <c r="E9" s="286"/>
      <c r="F9" s="286"/>
      <c r="H9" s="286"/>
      <c r="I9" s="286"/>
    </row>
    <row r="10" spans="1:11" x14ac:dyDescent="0.25">
      <c r="A10" s="286"/>
      <c r="B10" s="137"/>
      <c r="C10" s="286"/>
      <c r="D10" s="286"/>
      <c r="E10" s="286"/>
      <c r="F10" s="286"/>
      <c r="G10" s="286"/>
      <c r="H10" s="286"/>
      <c r="I10" s="286"/>
    </row>
    <row r="11" spans="1:11" ht="15.75" customHeight="1" x14ac:dyDescent="0.25">
      <c r="A11" s="286"/>
      <c r="B11" s="290" t="s">
        <v>311</v>
      </c>
      <c r="C11" s="429"/>
      <c r="D11" s="286"/>
      <c r="E11" s="286"/>
      <c r="F11" s="286"/>
      <c r="G11" s="286"/>
      <c r="H11" s="286"/>
      <c r="I11" s="286"/>
    </row>
    <row r="12" spans="1:11" ht="28.5" x14ac:dyDescent="0.25">
      <c r="A12" s="286"/>
      <c r="B12" s="232" t="s">
        <v>389</v>
      </c>
      <c r="C12" s="285"/>
      <c r="D12" s="286"/>
      <c r="E12" s="286"/>
      <c r="F12" s="286"/>
      <c r="G12" s="286"/>
      <c r="H12" s="286"/>
    </row>
    <row r="13" spans="1:11" x14ac:dyDescent="0.25">
      <c r="A13" s="286"/>
      <c r="B13" s="90">
        <f>H21+F30+E37</f>
        <v>430862</v>
      </c>
      <c r="C13" s="286"/>
      <c r="D13" s="286"/>
      <c r="E13" s="286"/>
      <c r="F13" s="286"/>
      <c r="G13" s="286"/>
      <c r="H13" s="286"/>
    </row>
    <row r="14" spans="1:11" x14ac:dyDescent="0.25">
      <c r="A14" s="286"/>
      <c r="B14" s="137"/>
      <c r="C14" s="286"/>
      <c r="D14" s="286"/>
      <c r="E14" s="286"/>
      <c r="F14" s="286"/>
      <c r="G14" s="286"/>
      <c r="H14" s="286"/>
      <c r="I14" s="286"/>
    </row>
    <row r="15" spans="1:11" s="250" customFormat="1" ht="15.75" x14ac:dyDescent="0.25">
      <c r="A15" s="291" t="s">
        <v>371</v>
      </c>
      <c r="B15" s="291"/>
      <c r="C15" s="291"/>
      <c r="D15" s="291"/>
      <c r="E15" s="291"/>
      <c r="F15" s="292"/>
      <c r="G15" s="244"/>
      <c r="H15" s="244"/>
    </row>
    <row r="16" spans="1:11" s="250" customFormat="1" ht="64.5" customHeight="1" x14ac:dyDescent="0.25">
      <c r="A16" s="293" t="s">
        <v>372</v>
      </c>
      <c r="B16" s="293" t="s">
        <v>373</v>
      </c>
      <c r="C16" s="294" t="s">
        <v>386</v>
      </c>
      <c r="D16" s="294" t="s">
        <v>393</v>
      </c>
      <c r="E16" s="232" t="s">
        <v>392</v>
      </c>
      <c r="F16" s="232" t="s">
        <v>308</v>
      </c>
      <c r="G16" s="232" t="s">
        <v>274</v>
      </c>
      <c r="H16" s="232" t="s">
        <v>265</v>
      </c>
    </row>
    <row r="17" spans="1:16" x14ac:dyDescent="0.25">
      <c r="A17" s="214">
        <v>1.1000000000000001</v>
      </c>
      <c r="B17" s="88" t="s">
        <v>374</v>
      </c>
      <c r="C17" s="204">
        <v>3</v>
      </c>
      <c r="D17" s="295">
        <v>2497</v>
      </c>
      <c r="E17" s="296">
        <f>C17*D17</f>
        <v>7491</v>
      </c>
      <c r="F17" s="296">
        <f>E17*5</f>
        <v>37455</v>
      </c>
      <c r="G17" s="296">
        <f>E17*6</f>
        <v>44946</v>
      </c>
      <c r="H17" s="89">
        <f>F17+G17</f>
        <v>82401</v>
      </c>
    </row>
    <row r="18" spans="1:16" ht="30" x14ac:dyDescent="0.25">
      <c r="A18" s="214" t="s">
        <v>62</v>
      </c>
      <c r="B18" s="297" t="s">
        <v>390</v>
      </c>
      <c r="C18" s="204">
        <v>9.3000000000000007</v>
      </c>
      <c r="D18" s="295">
        <v>1630.74</v>
      </c>
      <c r="E18" s="296">
        <f>D18*C18</f>
        <v>15165.882000000001</v>
      </c>
      <c r="F18" s="296">
        <f t="shared" ref="F18:F20" si="0">E18*5</f>
        <v>75829.41</v>
      </c>
      <c r="G18" s="296">
        <f>E18*6*$D$9</f>
        <v>181990.58400000003</v>
      </c>
      <c r="H18" s="89">
        <f t="shared" ref="H18:H20" si="1">F18+G18</f>
        <v>257819.99400000004</v>
      </c>
    </row>
    <row r="19" spans="1:16" x14ac:dyDescent="0.25">
      <c r="A19" s="214" t="s">
        <v>64</v>
      </c>
      <c r="B19" s="88" t="s">
        <v>375</v>
      </c>
      <c r="C19" s="204">
        <v>1</v>
      </c>
      <c r="D19" s="295">
        <v>1708</v>
      </c>
      <c r="E19" s="296">
        <f>D19*C19</f>
        <v>1708</v>
      </c>
      <c r="F19" s="296">
        <f t="shared" si="0"/>
        <v>8540</v>
      </c>
      <c r="G19" s="296">
        <f>E19*6</f>
        <v>10248</v>
      </c>
      <c r="H19" s="89">
        <f t="shared" si="1"/>
        <v>18788</v>
      </c>
    </row>
    <row r="20" spans="1:16" x14ac:dyDescent="0.25">
      <c r="A20" s="214" t="s">
        <v>65</v>
      </c>
      <c r="B20" s="297" t="s">
        <v>376</v>
      </c>
      <c r="C20" s="204">
        <v>0.5</v>
      </c>
      <c r="D20" s="295">
        <v>1350</v>
      </c>
      <c r="E20" s="296">
        <f>D20*C20</f>
        <v>675</v>
      </c>
      <c r="F20" s="296">
        <f t="shared" si="0"/>
        <v>3375</v>
      </c>
      <c r="G20" s="296">
        <f>E20*6</f>
        <v>4050</v>
      </c>
      <c r="H20" s="89">
        <f t="shared" si="1"/>
        <v>7425</v>
      </c>
    </row>
    <row r="21" spans="1:16" x14ac:dyDescent="0.25">
      <c r="A21" s="298"/>
      <c r="B21" s="299"/>
      <c r="C21" s="300">
        <f>C18/2</f>
        <v>4.6500000000000004</v>
      </c>
      <c r="D21" s="301" t="s">
        <v>10</v>
      </c>
      <c r="E21" s="302">
        <f>E17+E18+E19+E20</f>
        <v>25039.882000000001</v>
      </c>
      <c r="F21" s="302">
        <f>F17+F18+F19+F20</f>
        <v>125199.41</v>
      </c>
      <c r="G21" s="303">
        <f>G17+G18+G19+G20</f>
        <v>241234.58400000003</v>
      </c>
      <c r="H21" s="304">
        <f>ROUND(H17+H18+H19+H20,0)</f>
        <v>366434</v>
      </c>
    </row>
    <row r="22" spans="1:16" ht="15.75" x14ac:dyDescent="0.25">
      <c r="A22" s="291" t="s">
        <v>377</v>
      </c>
      <c r="B22" s="291"/>
      <c r="C22" s="291"/>
      <c r="D22" s="291"/>
      <c r="E22" s="291"/>
      <c r="F22" s="305"/>
      <c r="N22" s="306"/>
      <c r="O22" s="306"/>
      <c r="P22" s="307"/>
    </row>
    <row r="23" spans="1:16" ht="57.75" customHeight="1" x14ac:dyDescent="0.25">
      <c r="A23" s="308" t="s">
        <v>372</v>
      </c>
      <c r="B23" s="308" t="s">
        <v>373</v>
      </c>
      <c r="C23" s="232" t="s">
        <v>392</v>
      </c>
      <c r="D23" s="232" t="s">
        <v>308</v>
      </c>
      <c r="E23" s="232" t="s">
        <v>274</v>
      </c>
      <c r="F23" s="232" t="s">
        <v>265</v>
      </c>
      <c r="G23" s="309"/>
      <c r="L23" s="306"/>
      <c r="M23" s="306"/>
      <c r="N23" s="307"/>
    </row>
    <row r="24" spans="1:16" x14ac:dyDescent="0.25">
      <c r="A24" s="310" t="s">
        <v>67</v>
      </c>
      <c r="B24" s="311" t="s">
        <v>378</v>
      </c>
      <c r="C24" s="296">
        <v>300</v>
      </c>
      <c r="D24" s="312">
        <f>C24*5</f>
        <v>1500</v>
      </c>
      <c r="E24" s="296">
        <f>C24*6*$D$9</f>
        <v>3600</v>
      </c>
      <c r="F24" s="296">
        <f>D24+E24</f>
        <v>5100</v>
      </c>
      <c r="G24" s="313"/>
      <c r="L24" s="306"/>
      <c r="M24" s="306"/>
      <c r="N24" s="307"/>
    </row>
    <row r="25" spans="1:16" x14ac:dyDescent="0.25">
      <c r="A25" s="310" t="s">
        <v>349</v>
      </c>
      <c r="B25" s="311" t="s">
        <v>379</v>
      </c>
      <c r="C25" s="296">
        <v>20.5</v>
      </c>
      <c r="D25" s="312">
        <f>C25*5</f>
        <v>102.5</v>
      </c>
      <c r="E25" s="296">
        <f>C25*6*$D$9</f>
        <v>246</v>
      </c>
      <c r="F25" s="296">
        <f t="shared" ref="F25:F29" si="2">D25+E25</f>
        <v>348.5</v>
      </c>
      <c r="G25" s="313"/>
      <c r="L25" s="306"/>
      <c r="M25" s="306"/>
      <c r="N25" s="307"/>
    </row>
    <row r="26" spans="1:16" ht="15.75" x14ac:dyDescent="0.25">
      <c r="A26" s="310" t="s">
        <v>380</v>
      </c>
      <c r="B26" s="311" t="s">
        <v>381</v>
      </c>
      <c r="C26" s="296">
        <v>150</v>
      </c>
      <c r="D26" s="312">
        <f>C26*5</f>
        <v>750</v>
      </c>
      <c r="E26" s="296">
        <f>C26*6*$D$9</f>
        <v>1800</v>
      </c>
      <c r="F26" s="296">
        <f t="shared" si="2"/>
        <v>2550</v>
      </c>
      <c r="G26" s="313"/>
      <c r="I26" s="292"/>
      <c r="L26" s="306"/>
      <c r="M26" s="306"/>
      <c r="N26" s="307"/>
    </row>
    <row r="27" spans="1:16" ht="15.75" x14ac:dyDescent="0.25">
      <c r="A27" s="310" t="s">
        <v>382</v>
      </c>
      <c r="B27" s="311" t="s">
        <v>387</v>
      </c>
      <c r="C27" s="296">
        <v>2000</v>
      </c>
      <c r="D27" s="296">
        <f>C27</f>
        <v>2000</v>
      </c>
      <c r="E27" s="296">
        <v>0</v>
      </c>
      <c r="F27" s="296">
        <f t="shared" si="2"/>
        <v>2000</v>
      </c>
      <c r="G27" s="313"/>
      <c r="I27" s="292"/>
      <c r="L27" s="306"/>
      <c r="M27" s="306"/>
      <c r="N27" s="307"/>
    </row>
    <row r="28" spans="1:16" ht="15.75" x14ac:dyDescent="0.25">
      <c r="A28" s="310" t="s">
        <v>383</v>
      </c>
      <c r="B28" s="311" t="s">
        <v>384</v>
      </c>
      <c r="C28" s="296">
        <v>350</v>
      </c>
      <c r="D28" s="312">
        <f>C28*5</f>
        <v>1750</v>
      </c>
      <c r="E28" s="296">
        <f>C28*6</f>
        <v>2100</v>
      </c>
      <c r="F28" s="296">
        <f t="shared" si="2"/>
        <v>3850</v>
      </c>
      <c r="G28" s="313"/>
      <c r="I28" s="292"/>
      <c r="L28" s="306"/>
      <c r="M28" s="306"/>
      <c r="N28" s="307"/>
    </row>
    <row r="29" spans="1:16" ht="30" x14ac:dyDescent="0.25">
      <c r="A29" s="310" t="s">
        <v>385</v>
      </c>
      <c r="B29" s="311" t="s">
        <v>388</v>
      </c>
      <c r="C29" s="296">
        <v>1000</v>
      </c>
      <c r="D29" s="312">
        <f>C29*5</f>
        <v>5000</v>
      </c>
      <c r="E29" s="296">
        <f>C29*6</f>
        <v>6000</v>
      </c>
      <c r="F29" s="296">
        <f t="shared" si="2"/>
        <v>11000</v>
      </c>
      <c r="G29" s="314"/>
      <c r="I29" s="292"/>
      <c r="L29" s="306"/>
      <c r="M29" s="306"/>
      <c r="N29" s="307"/>
    </row>
    <row r="30" spans="1:16" ht="15.75" x14ac:dyDescent="0.25">
      <c r="A30" s="315"/>
      <c r="B30" s="316"/>
      <c r="C30" s="301" t="s">
        <v>10</v>
      </c>
      <c r="D30" s="302">
        <f>D24+D25+D26+D27+D28+D29</f>
        <v>11102.5</v>
      </c>
      <c r="E30" s="303">
        <f>E24+E25+E26+E27+E28+E29</f>
        <v>13746</v>
      </c>
      <c r="F30" s="304">
        <f>ROUND(F24+F25+F26+F27+F28+F29,0)</f>
        <v>24849</v>
      </c>
      <c r="G30" s="317"/>
      <c r="I30" s="292"/>
    </row>
    <row r="31" spans="1:16" ht="15.75" x14ac:dyDescent="0.25">
      <c r="A31" s="291" t="s">
        <v>400</v>
      </c>
      <c r="B31" s="291"/>
      <c r="C31" s="291"/>
      <c r="D31" s="291"/>
      <c r="E31" s="291"/>
      <c r="F31" s="305"/>
      <c r="H31" s="317"/>
      <c r="J31" s="292"/>
    </row>
    <row r="32" spans="1:16" ht="71.25" x14ac:dyDescent="0.25">
      <c r="A32" s="308" t="s">
        <v>372</v>
      </c>
      <c r="B32" s="308" t="s">
        <v>373</v>
      </c>
      <c r="C32" s="308" t="s">
        <v>391</v>
      </c>
      <c r="D32" s="232" t="s">
        <v>392</v>
      </c>
      <c r="E32" s="232" t="s">
        <v>274</v>
      </c>
      <c r="F32" s="317"/>
      <c r="H32" s="292"/>
    </row>
    <row r="33" spans="1:10" ht="15.75" x14ac:dyDescent="0.25">
      <c r="A33" s="318" t="s">
        <v>69</v>
      </c>
      <c r="B33" s="319" t="s">
        <v>404</v>
      </c>
      <c r="C33" s="320" t="s">
        <v>403</v>
      </c>
      <c r="D33" s="321">
        <f>ROUND(42.2*1.21,0)</f>
        <v>51</v>
      </c>
      <c r="E33" s="296">
        <f>D33</f>
        <v>51</v>
      </c>
      <c r="F33" s="317"/>
      <c r="H33" s="292"/>
    </row>
    <row r="34" spans="1:10" ht="15.75" x14ac:dyDescent="0.25">
      <c r="A34" s="318" t="s">
        <v>72</v>
      </c>
      <c r="B34" s="319" t="s">
        <v>398</v>
      </c>
      <c r="C34" s="320" t="s">
        <v>402</v>
      </c>
      <c r="D34" s="322">
        <f>ROUND(14.23*1.21,0)</f>
        <v>17</v>
      </c>
      <c r="E34" s="296">
        <f>D34*6</f>
        <v>102</v>
      </c>
      <c r="F34" s="317"/>
      <c r="H34" s="292"/>
    </row>
    <row r="35" spans="1:10" ht="105" x14ac:dyDescent="0.25">
      <c r="A35" s="318" t="s">
        <v>397</v>
      </c>
      <c r="B35" s="319" t="s">
        <v>394</v>
      </c>
      <c r="C35" s="323" t="s">
        <v>407</v>
      </c>
      <c r="D35" s="296">
        <f>ROUND(0.1326*1.21*40800,0)</f>
        <v>6546</v>
      </c>
      <c r="E35" s="296">
        <f>D35*6</f>
        <v>39276</v>
      </c>
      <c r="F35" s="317"/>
      <c r="H35" s="292"/>
    </row>
    <row r="36" spans="1:10" ht="15.75" x14ac:dyDescent="0.25">
      <c r="A36" s="318" t="s">
        <v>401</v>
      </c>
      <c r="B36" s="319" t="s">
        <v>399</v>
      </c>
      <c r="C36" s="323"/>
      <c r="D36" s="296">
        <v>25</v>
      </c>
      <c r="E36" s="296">
        <f>D36*6</f>
        <v>150</v>
      </c>
      <c r="F36" s="317"/>
      <c r="H36" s="292"/>
    </row>
    <row r="37" spans="1:10" ht="15.75" x14ac:dyDescent="0.25">
      <c r="A37" s="315"/>
      <c r="B37" s="316"/>
      <c r="C37" s="316"/>
      <c r="D37" s="301" t="s">
        <v>10</v>
      </c>
      <c r="E37" s="304">
        <f>ROUND(SUM(E33:E36),0)</f>
        <v>39579</v>
      </c>
      <c r="F37" s="317"/>
      <c r="H37" s="292"/>
    </row>
    <row r="38" spans="1:10" ht="15.75" x14ac:dyDescent="0.25">
      <c r="A38" s="324"/>
      <c r="B38" s="325"/>
      <c r="C38" s="325"/>
      <c r="D38" s="326"/>
      <c r="E38" s="317"/>
      <c r="F38" s="317"/>
      <c r="G38" s="317"/>
      <c r="H38" s="317"/>
      <c r="J38" s="292"/>
    </row>
    <row r="39" spans="1:10" ht="90" customHeight="1" x14ac:dyDescent="0.25">
      <c r="A39" s="475" t="s">
        <v>309</v>
      </c>
      <c r="B39" s="475"/>
      <c r="C39" s="475"/>
      <c r="D39" s="475"/>
      <c r="E39" s="475"/>
      <c r="F39" s="475"/>
      <c r="G39" s="475"/>
    </row>
    <row r="40" spans="1:10" x14ac:dyDescent="0.25">
      <c r="A40" s="87" t="s">
        <v>430</v>
      </c>
    </row>
    <row r="41" spans="1:10" ht="51.75" customHeight="1" x14ac:dyDescent="0.25">
      <c r="A41" s="474" t="s">
        <v>406</v>
      </c>
      <c r="B41" s="474"/>
      <c r="C41" s="474"/>
      <c r="D41" s="474"/>
      <c r="E41" s="474"/>
      <c r="F41" s="474"/>
      <c r="G41" s="474"/>
    </row>
    <row r="42" spans="1:10" ht="30.75" customHeight="1" x14ac:dyDescent="0.25">
      <c r="A42" s="476" t="s">
        <v>396</v>
      </c>
      <c r="B42" s="476"/>
      <c r="C42" s="476"/>
      <c r="D42" s="476"/>
      <c r="E42" s="476"/>
      <c r="F42" s="476"/>
      <c r="G42" s="476"/>
      <c r="H42" s="327"/>
      <c r="J42" s="292"/>
    </row>
    <row r="43" spans="1:10" x14ac:dyDescent="0.25">
      <c r="A43" s="87"/>
    </row>
  </sheetData>
  <mergeCells count="5">
    <mergeCell ref="A2:H2"/>
    <mergeCell ref="A41:G41"/>
    <mergeCell ref="A39:G39"/>
    <mergeCell ref="A1:H1"/>
    <mergeCell ref="A42:G42"/>
  </mergeCells>
  <pageMargins left="0.7" right="0.7" top="0.75" bottom="0.75" header="0.3" footer="0.3"/>
  <pageSetup paperSize="9" scale="4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X68"/>
  <sheetViews>
    <sheetView zoomScaleNormal="100" workbookViewId="0">
      <selection activeCell="K50" sqref="K50"/>
    </sheetView>
  </sheetViews>
  <sheetFormatPr defaultColWidth="9.140625" defaultRowHeight="15" x14ac:dyDescent="0.25"/>
  <cols>
    <col min="1" max="1" width="28.42578125" style="245" customWidth="1"/>
    <col min="2" max="2" width="16.85546875" style="245" customWidth="1"/>
    <col min="3" max="3" width="15.5703125" style="245" customWidth="1"/>
    <col min="4" max="4" width="14.85546875" style="245" bestFit="1" customWidth="1"/>
    <col min="5" max="5" width="12.85546875" style="245" customWidth="1"/>
    <col min="6" max="6" width="17" style="245" customWidth="1"/>
    <col min="7" max="7" width="13.42578125" style="245" customWidth="1"/>
    <col min="8" max="8" width="39.7109375" style="245" customWidth="1"/>
    <col min="9" max="9" width="14.85546875" style="245" bestFit="1" customWidth="1"/>
    <col min="10" max="10" width="13.85546875" style="245" customWidth="1"/>
    <col min="11" max="11" width="16.28515625" style="245" customWidth="1"/>
    <col min="12" max="12" width="14.7109375" style="245" customWidth="1"/>
    <col min="13" max="13" width="15.28515625" style="245" customWidth="1"/>
    <col min="14" max="14" width="12" style="245" customWidth="1"/>
    <col min="15" max="16384" width="9.140625" style="245"/>
  </cols>
  <sheetData>
    <row r="1" spans="1:16378" ht="47.25" customHeight="1" x14ac:dyDescent="0.25">
      <c r="A1" s="464" t="s">
        <v>268</v>
      </c>
      <c r="B1" s="464"/>
      <c r="C1" s="464"/>
      <c r="D1" s="464"/>
      <c r="E1" s="464"/>
      <c r="F1" s="464"/>
      <c r="G1" s="464"/>
      <c r="H1" s="464"/>
      <c r="I1" s="464"/>
      <c r="J1" s="464"/>
      <c r="K1" s="464"/>
      <c r="L1" s="460" t="s">
        <v>423</v>
      </c>
      <c r="M1" s="460"/>
      <c r="N1" s="460"/>
    </row>
    <row r="2" spans="1:16378" ht="15.75" x14ac:dyDescent="0.25">
      <c r="B2" s="477" t="s">
        <v>264</v>
      </c>
      <c r="C2" s="477"/>
      <c r="D2" s="477"/>
      <c r="E2" s="477"/>
      <c r="F2" s="477"/>
      <c r="G2" s="477"/>
      <c r="H2" s="477"/>
      <c r="I2" s="477"/>
      <c r="J2" s="477"/>
      <c r="K2" s="477"/>
      <c r="L2" s="284"/>
      <c r="M2" s="284"/>
      <c r="N2" s="284"/>
    </row>
    <row r="3" spans="1:16378" ht="15" customHeight="1" x14ac:dyDescent="0.25">
      <c r="B3" s="284"/>
      <c r="C3" s="284"/>
      <c r="D3" s="284"/>
      <c r="E3" s="284"/>
      <c r="F3" s="284"/>
      <c r="G3" s="284"/>
      <c r="H3" s="284"/>
      <c r="I3" s="284"/>
      <c r="J3" s="284"/>
      <c r="K3" s="284"/>
      <c r="L3" s="284"/>
      <c r="M3" s="284"/>
      <c r="N3" s="284"/>
    </row>
    <row r="4" spans="1:16378" s="248" customFormat="1" ht="15.75" x14ac:dyDescent="0.25">
      <c r="B4" s="72" t="s">
        <v>54</v>
      </c>
      <c r="C4" s="72"/>
      <c r="D4" s="72"/>
      <c r="E4" s="76"/>
      <c r="F4" s="76"/>
      <c r="G4" s="76"/>
      <c r="H4" s="328"/>
      <c r="I4" s="76"/>
      <c r="J4" s="224"/>
      <c r="K4" s="224"/>
      <c r="L4" s="329"/>
    </row>
    <row r="5" spans="1:16378" s="248" customFormat="1" ht="15.75" x14ac:dyDescent="0.25">
      <c r="B5" s="85" t="s">
        <v>196</v>
      </c>
      <c r="C5" s="85"/>
      <c r="D5" s="85"/>
      <c r="E5" s="77"/>
      <c r="F5" s="77"/>
      <c r="G5" s="77"/>
      <c r="H5" s="328"/>
      <c r="I5" s="77"/>
      <c r="J5" s="224"/>
      <c r="K5" s="224"/>
      <c r="L5" s="329"/>
    </row>
    <row r="6" spans="1:16378" s="248" customFormat="1" ht="15.75" x14ac:dyDescent="0.25">
      <c r="B6" s="85" t="s">
        <v>207</v>
      </c>
      <c r="C6" s="85"/>
      <c r="D6" s="85"/>
      <c r="E6" s="77"/>
      <c r="F6" s="77"/>
      <c r="G6" s="77"/>
      <c r="H6" s="328"/>
      <c r="I6" s="77"/>
      <c r="J6" s="224"/>
      <c r="K6" s="224"/>
      <c r="L6" s="329"/>
    </row>
    <row r="7" spans="1:16378" s="220" customFormat="1" x14ac:dyDescent="0.25">
      <c r="A7" s="138"/>
      <c r="B7" s="330"/>
      <c r="C7" s="330"/>
      <c r="D7" s="330"/>
      <c r="E7" s="138"/>
      <c r="F7" s="138"/>
      <c r="G7" s="138"/>
      <c r="H7" s="138"/>
      <c r="I7" s="138"/>
      <c r="J7" s="138"/>
      <c r="K7" s="138"/>
      <c r="L7" s="138"/>
      <c r="M7" s="138"/>
      <c r="N7" s="138"/>
    </row>
    <row r="8" spans="1:16378" ht="15.75" x14ac:dyDescent="0.25">
      <c r="A8" s="483" t="s">
        <v>276</v>
      </c>
      <c r="B8" s="483"/>
      <c r="C8" s="483"/>
      <c r="D8" s="483"/>
      <c r="E8" s="483"/>
      <c r="F8" s="483"/>
      <c r="G8" s="483"/>
      <c r="H8" s="483"/>
      <c r="I8" s="483"/>
      <c r="J8" s="483"/>
      <c r="K8" s="483"/>
      <c r="L8" s="483"/>
      <c r="M8" s="483"/>
      <c r="N8" s="483"/>
    </row>
    <row r="9" spans="1:16378" s="334" customFormat="1" ht="54" customHeight="1" x14ac:dyDescent="0.25">
      <c r="A9" s="331"/>
      <c r="B9" s="332" t="s">
        <v>8</v>
      </c>
      <c r="C9" s="333" t="s">
        <v>235</v>
      </c>
      <c r="D9" s="333" t="s">
        <v>9</v>
      </c>
      <c r="E9" s="333" t="s">
        <v>275</v>
      </c>
    </row>
    <row r="10" spans="1:16378" x14ac:dyDescent="0.25">
      <c r="A10" s="335" t="s">
        <v>10</v>
      </c>
      <c r="B10" s="336">
        <f>B11+B12</f>
        <v>153</v>
      </c>
      <c r="C10" s="337">
        <v>3234.86</v>
      </c>
      <c r="D10" s="338">
        <f>B10*C10</f>
        <v>494933.58</v>
      </c>
      <c r="E10" s="338">
        <f>ROUND(((B11+B12/12*11)*C10),0)</f>
        <v>465550</v>
      </c>
    </row>
    <row r="11" spans="1:16378" ht="14.1" customHeight="1" x14ac:dyDescent="0.25">
      <c r="A11" s="336" t="s">
        <v>437</v>
      </c>
      <c r="B11" s="336">
        <v>44</v>
      </c>
      <c r="C11" s="337"/>
      <c r="D11" s="338">
        <v>255815</v>
      </c>
      <c r="E11" s="338">
        <v>255815</v>
      </c>
      <c r="F11" s="339"/>
      <c r="G11" s="339"/>
    </row>
    <row r="12" spans="1:16378" ht="14.1" customHeight="1" x14ac:dyDescent="0.25">
      <c r="A12" s="340" t="s">
        <v>438</v>
      </c>
      <c r="B12" s="341">
        <v>109</v>
      </c>
      <c r="C12" s="46"/>
      <c r="D12" s="148">
        <f>ROUND(D10-D11,0)</f>
        <v>239119</v>
      </c>
      <c r="E12" s="148">
        <f>ROUND(E10-E11,0)</f>
        <v>209735</v>
      </c>
      <c r="F12" s="339"/>
      <c r="G12" s="339"/>
    </row>
    <row r="13" spans="1:16378" ht="14.1" customHeight="1" x14ac:dyDescent="0.25">
      <c r="A13" s="167" t="s">
        <v>435</v>
      </c>
      <c r="B13" s="433"/>
      <c r="C13" s="434"/>
      <c r="D13" s="343"/>
      <c r="E13" s="343"/>
      <c r="F13" s="435"/>
      <c r="G13" s="343"/>
      <c r="H13" s="435"/>
      <c r="I13" s="343"/>
      <c r="J13" s="436"/>
      <c r="K13" s="436"/>
    </row>
    <row r="14" spans="1:16378" ht="14.1" customHeight="1" x14ac:dyDescent="0.25">
      <c r="A14" s="4" t="s">
        <v>436</v>
      </c>
      <c r="B14" s="4"/>
      <c r="C14" s="4"/>
      <c r="D14" s="4"/>
      <c r="E14" s="202"/>
      <c r="F14" s="4"/>
      <c r="G14" s="4"/>
      <c r="H14" s="4"/>
      <c r="I14" s="4"/>
      <c r="J14" s="4"/>
      <c r="K14" s="4"/>
      <c r="L14" s="4"/>
      <c r="M14" s="4"/>
      <c r="N14" s="436"/>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4"/>
    </row>
    <row r="15" spans="1:16378" ht="14.1" customHeight="1" x14ac:dyDescent="0.25">
      <c r="A15" s="4"/>
      <c r="B15" s="4"/>
      <c r="C15" s="4"/>
      <c r="D15" s="4"/>
      <c r="E15" s="4"/>
      <c r="F15" s="4"/>
      <c r="G15" s="342"/>
      <c r="H15" s="343"/>
      <c r="I15" s="4"/>
      <c r="J15" s="4"/>
      <c r="K15" s="4"/>
      <c r="L15" s="4"/>
      <c r="M15" s="4"/>
      <c r="N15" s="339"/>
    </row>
    <row r="16" spans="1:16378" ht="15.75" x14ac:dyDescent="0.25">
      <c r="A16" s="462" t="s">
        <v>416</v>
      </c>
      <c r="B16" s="462"/>
      <c r="C16" s="462"/>
      <c r="D16" s="462"/>
      <c r="E16" s="462"/>
      <c r="F16" s="462"/>
      <c r="G16" s="462"/>
      <c r="H16" s="462"/>
      <c r="I16" s="462"/>
      <c r="J16" s="462"/>
      <c r="K16" s="462"/>
      <c r="L16" s="462"/>
      <c r="M16" s="462"/>
      <c r="N16" s="462"/>
    </row>
    <row r="17" spans="1:15" x14ac:dyDescent="0.25">
      <c r="A17" s="484" t="s">
        <v>277</v>
      </c>
      <c r="B17" s="484"/>
      <c r="C17" s="484"/>
      <c r="D17" s="484"/>
      <c r="E17" s="484"/>
      <c r="F17" s="484"/>
      <c r="G17" s="484"/>
      <c r="H17" s="484"/>
      <c r="I17" s="484"/>
      <c r="J17" s="484"/>
      <c r="K17" s="484"/>
      <c r="L17" s="484"/>
      <c r="M17" s="484"/>
      <c r="N17" s="484"/>
    </row>
    <row r="18" spans="1:15" ht="15" customHeight="1" x14ac:dyDescent="0.25">
      <c r="A18" s="478" t="s">
        <v>11</v>
      </c>
      <c r="B18" s="479"/>
      <c r="C18" s="479"/>
      <c r="D18" s="479"/>
      <c r="E18" s="479"/>
      <c r="F18" s="479"/>
      <c r="G18" s="479"/>
      <c r="H18" s="479"/>
      <c r="I18" s="480" t="s">
        <v>12</v>
      </c>
      <c r="J18" s="481"/>
      <c r="K18" s="481"/>
      <c r="L18" s="481" t="s">
        <v>13</v>
      </c>
      <c r="M18" s="481"/>
      <c r="N18" s="481"/>
    </row>
    <row r="19" spans="1:15" ht="28.5" customHeight="1" x14ac:dyDescent="0.25">
      <c r="A19" s="485" t="s">
        <v>14</v>
      </c>
      <c r="B19" s="485" t="s">
        <v>15</v>
      </c>
      <c r="C19" s="485" t="s">
        <v>16</v>
      </c>
      <c r="D19" s="485" t="s">
        <v>17</v>
      </c>
      <c r="E19" s="486" t="s">
        <v>405</v>
      </c>
      <c r="F19" s="487"/>
      <c r="G19" s="488"/>
      <c r="H19" s="482" t="s">
        <v>18</v>
      </c>
      <c r="I19" s="489" t="s">
        <v>284</v>
      </c>
      <c r="J19" s="490"/>
      <c r="K19" s="490"/>
      <c r="L19" s="490" t="s">
        <v>284</v>
      </c>
      <c r="M19" s="490"/>
      <c r="N19" s="490"/>
    </row>
    <row r="20" spans="1:15" ht="38.25" x14ac:dyDescent="0.25">
      <c r="A20" s="485"/>
      <c r="B20" s="485"/>
      <c r="C20" s="485"/>
      <c r="D20" s="485"/>
      <c r="E20" s="5" t="s">
        <v>19</v>
      </c>
      <c r="F20" s="210" t="s">
        <v>20</v>
      </c>
      <c r="G20" s="212" t="s">
        <v>278</v>
      </c>
      <c r="H20" s="482"/>
      <c r="I20" s="211" t="s">
        <v>20</v>
      </c>
      <c r="J20" s="210" t="s">
        <v>20</v>
      </c>
      <c r="K20" s="212" t="s">
        <v>278</v>
      </c>
      <c r="L20" s="212" t="s">
        <v>20</v>
      </c>
      <c r="M20" s="210" t="s">
        <v>20</v>
      </c>
      <c r="N20" s="212" t="s">
        <v>278</v>
      </c>
    </row>
    <row r="21" spans="1:15" x14ac:dyDescent="0.25">
      <c r="A21" s="485"/>
      <c r="B21" s="485"/>
      <c r="C21" s="485"/>
      <c r="D21" s="485"/>
      <c r="E21" s="6" t="s">
        <v>21</v>
      </c>
      <c r="F21" s="6" t="s">
        <v>21</v>
      </c>
      <c r="G21" s="6" t="s">
        <v>21</v>
      </c>
      <c r="H21" s="482"/>
      <c r="I21" s="7" t="s">
        <v>22</v>
      </c>
      <c r="J21" s="6" t="s">
        <v>21</v>
      </c>
      <c r="K21" s="6" t="s">
        <v>21</v>
      </c>
      <c r="L21" s="210" t="s">
        <v>22</v>
      </c>
      <c r="M21" s="6" t="s">
        <v>21</v>
      </c>
      <c r="N21" s="6" t="s">
        <v>21</v>
      </c>
    </row>
    <row r="22" spans="1:15" ht="25.5" x14ac:dyDescent="0.25">
      <c r="A22" s="8" t="s">
        <v>23</v>
      </c>
      <c r="B22" s="8"/>
      <c r="C22" s="8"/>
      <c r="D22" s="8"/>
      <c r="E22" s="8"/>
      <c r="F22" s="8"/>
      <c r="G22" s="8"/>
      <c r="H22" s="9"/>
      <c r="I22" s="10"/>
      <c r="J22" s="8"/>
      <c r="K22" s="8"/>
      <c r="L22" s="11"/>
      <c r="M22" s="8"/>
      <c r="N22" s="8"/>
    </row>
    <row r="23" spans="1:15" ht="51" x14ac:dyDescent="0.25">
      <c r="A23" s="12" t="s">
        <v>174</v>
      </c>
      <c r="B23" s="12"/>
      <c r="C23" s="12"/>
      <c r="D23" s="12"/>
      <c r="E23" s="48"/>
      <c r="F23" s="49">
        <f>SUM(F24:F26)</f>
        <v>7281.9</v>
      </c>
      <c r="G23" s="49">
        <f>SUM(G24:G26)</f>
        <v>80100.899999999994</v>
      </c>
      <c r="H23" s="139" t="s">
        <v>279</v>
      </c>
      <c r="I23" s="14" t="s">
        <v>24</v>
      </c>
      <c r="J23" s="13">
        <f>SUM(J24:J26)</f>
        <v>8121.9</v>
      </c>
      <c r="K23" s="13">
        <f>SUM(K24:K26)</f>
        <v>89340.9</v>
      </c>
      <c r="L23" s="15" t="s">
        <v>24</v>
      </c>
      <c r="M23" s="13">
        <f>SUM(M24:M26)</f>
        <v>8121.9</v>
      </c>
      <c r="N23" s="13">
        <f>SUM(N24:N26)</f>
        <v>89340.9</v>
      </c>
    </row>
    <row r="24" spans="1:15" x14ac:dyDescent="0.25">
      <c r="A24" s="16" t="s">
        <v>25</v>
      </c>
      <c r="B24" s="17" t="s">
        <v>26</v>
      </c>
      <c r="C24" s="18">
        <v>1</v>
      </c>
      <c r="D24" s="19" t="s">
        <v>24</v>
      </c>
      <c r="E24" s="47">
        <v>1786.9</v>
      </c>
      <c r="F24" s="50">
        <f>E24*C24</f>
        <v>1786.9</v>
      </c>
      <c r="G24" s="50">
        <f>F24*11</f>
        <v>19655.900000000001</v>
      </c>
      <c r="H24" s="140"/>
      <c r="I24" s="21">
        <v>1</v>
      </c>
      <c r="J24" s="20">
        <f>I24*E24</f>
        <v>1786.9</v>
      </c>
      <c r="K24" s="50">
        <f>J24*11</f>
        <v>19655.900000000001</v>
      </c>
      <c r="L24" s="141">
        <v>1</v>
      </c>
      <c r="M24" s="50">
        <f>L24*E24</f>
        <v>1786.9</v>
      </c>
      <c r="N24" s="50">
        <f>M24*11</f>
        <v>19655.900000000001</v>
      </c>
    </row>
    <row r="25" spans="1:15" x14ac:dyDescent="0.25">
      <c r="A25" s="5" t="s">
        <v>27</v>
      </c>
      <c r="B25" s="22" t="s">
        <v>26</v>
      </c>
      <c r="C25" s="23">
        <v>2.5</v>
      </c>
      <c r="D25" s="24" t="s">
        <v>24</v>
      </c>
      <c r="E25" s="51">
        <v>1862</v>
      </c>
      <c r="F25" s="50">
        <f>E25*C25</f>
        <v>4655</v>
      </c>
      <c r="G25" s="50">
        <f>F25*11</f>
        <v>51205</v>
      </c>
      <c r="H25" s="140"/>
      <c r="I25" s="27">
        <v>2.5</v>
      </c>
      <c r="J25" s="26">
        <f>I25*E25</f>
        <v>4655</v>
      </c>
      <c r="K25" s="50">
        <f>J25*11</f>
        <v>51205</v>
      </c>
      <c r="L25" s="141">
        <v>2.5</v>
      </c>
      <c r="M25" s="50">
        <f>L25*E25</f>
        <v>4655</v>
      </c>
      <c r="N25" s="50">
        <f>M25*11</f>
        <v>51205</v>
      </c>
    </row>
    <row r="26" spans="1:15" ht="38.25" x14ac:dyDescent="0.25">
      <c r="A26" s="28" t="s">
        <v>28</v>
      </c>
      <c r="B26" s="22" t="s">
        <v>29</v>
      </c>
      <c r="C26" s="23">
        <v>2</v>
      </c>
      <c r="D26" s="24" t="s">
        <v>24</v>
      </c>
      <c r="E26" s="51">
        <v>420</v>
      </c>
      <c r="F26" s="50">
        <f>E26*C26</f>
        <v>840</v>
      </c>
      <c r="G26" s="50">
        <f>F26*11</f>
        <v>9240</v>
      </c>
      <c r="H26" s="140" t="s">
        <v>30</v>
      </c>
      <c r="I26" s="27">
        <v>2</v>
      </c>
      <c r="J26" s="26">
        <f>F26*I26</f>
        <v>1680</v>
      </c>
      <c r="K26" s="50">
        <f>J26*11</f>
        <v>18480</v>
      </c>
      <c r="L26" s="141">
        <v>2</v>
      </c>
      <c r="M26" s="50">
        <f>L26*F26</f>
        <v>1680</v>
      </c>
      <c r="N26" s="50">
        <f>M26*11</f>
        <v>18480</v>
      </c>
    </row>
    <row r="27" spans="1:15" x14ac:dyDescent="0.25">
      <c r="A27" s="12" t="s">
        <v>175</v>
      </c>
      <c r="B27" s="12"/>
      <c r="C27" s="12"/>
      <c r="D27" s="12"/>
      <c r="E27" s="48"/>
      <c r="F27" s="49">
        <f>SUM(F28:F32)</f>
        <v>14373.75</v>
      </c>
      <c r="G27" s="49">
        <f>SUM(G28:G32)</f>
        <v>51548.75</v>
      </c>
      <c r="H27" s="139"/>
      <c r="I27" s="14"/>
      <c r="J27" s="13">
        <f>SUM(J28:J32)</f>
        <v>10661.25</v>
      </c>
      <c r="K27" s="13">
        <f>SUM(K28:K32)</f>
        <v>38386.25</v>
      </c>
      <c r="L27" s="15"/>
      <c r="M27" s="13">
        <f>SUM(M28:M32)</f>
        <v>10717.5</v>
      </c>
      <c r="N27" s="13">
        <f>SUM(N28:N32)</f>
        <v>38386.25</v>
      </c>
    </row>
    <row r="28" spans="1:15" ht="63.75" x14ac:dyDescent="0.25">
      <c r="A28" s="28" t="s">
        <v>31</v>
      </c>
      <c r="B28" s="22" t="s">
        <v>32</v>
      </c>
      <c r="C28" s="23">
        <v>5</v>
      </c>
      <c r="D28" s="142">
        <f>C28*3</f>
        <v>15</v>
      </c>
      <c r="E28" s="52">
        <v>35</v>
      </c>
      <c r="F28" s="50">
        <f>55*C28*E28</f>
        <v>9625</v>
      </c>
      <c r="G28" s="50">
        <f>E28*D28*55</f>
        <v>28875</v>
      </c>
      <c r="H28" s="140" t="s">
        <v>280</v>
      </c>
      <c r="I28" s="31">
        <f>C28*40</f>
        <v>200</v>
      </c>
      <c r="J28" s="26">
        <f>I28*E28</f>
        <v>7000</v>
      </c>
      <c r="K28" s="50">
        <f>D28*E28*37</f>
        <v>19425</v>
      </c>
      <c r="L28" s="143">
        <f>C28*40</f>
        <v>200</v>
      </c>
      <c r="M28" s="50">
        <f>L28*E28</f>
        <v>7000</v>
      </c>
      <c r="N28" s="50">
        <f>K28</f>
        <v>19425</v>
      </c>
      <c r="O28" s="220">
        <f>F28*11</f>
        <v>105875</v>
      </c>
    </row>
    <row r="29" spans="1:15" ht="63.75" x14ac:dyDescent="0.25">
      <c r="A29" s="28" t="s">
        <v>33</v>
      </c>
      <c r="B29" s="22" t="s">
        <v>32</v>
      </c>
      <c r="C29" s="23">
        <v>1</v>
      </c>
      <c r="D29" s="142">
        <f>C29*3</f>
        <v>3</v>
      </c>
      <c r="E29" s="52">
        <v>50</v>
      </c>
      <c r="F29" s="50">
        <f>55*C29*E29</f>
        <v>2750</v>
      </c>
      <c r="G29" s="50">
        <f>E29*55*D29</f>
        <v>8250</v>
      </c>
      <c r="H29" s="140" t="s">
        <v>281</v>
      </c>
      <c r="I29" s="31">
        <f>C29*40</f>
        <v>40</v>
      </c>
      <c r="J29" s="26">
        <f>I29*E29</f>
        <v>2000</v>
      </c>
      <c r="K29" s="50">
        <f>D29*E29*37</f>
        <v>5550</v>
      </c>
      <c r="L29" s="143">
        <f>C29*40</f>
        <v>40</v>
      </c>
      <c r="M29" s="50">
        <f>L29*E29</f>
        <v>2000</v>
      </c>
      <c r="N29" s="50">
        <f>K29</f>
        <v>5550</v>
      </c>
    </row>
    <row r="30" spans="1:15" ht="25.5" x14ac:dyDescent="0.25">
      <c r="A30" s="32" t="s">
        <v>34</v>
      </c>
      <c r="B30" s="22" t="s">
        <v>32</v>
      </c>
      <c r="C30" s="23">
        <v>4</v>
      </c>
      <c r="D30" s="142">
        <v>11</v>
      </c>
      <c r="E30" s="52">
        <v>70</v>
      </c>
      <c r="F30" s="50">
        <f>C30*E30</f>
        <v>280</v>
      </c>
      <c r="G30" s="50">
        <f>F30*11</f>
        <v>3080</v>
      </c>
      <c r="H30" s="140" t="s">
        <v>282</v>
      </c>
      <c r="I30" s="31">
        <v>4</v>
      </c>
      <c r="J30" s="26">
        <v>280</v>
      </c>
      <c r="K30" s="50">
        <f>J30*11</f>
        <v>3080</v>
      </c>
      <c r="L30" s="143">
        <v>4</v>
      </c>
      <c r="M30" s="50">
        <v>280</v>
      </c>
      <c r="N30" s="50">
        <f t="shared" ref="N30:N32" si="0">K30</f>
        <v>3080</v>
      </c>
    </row>
    <row r="31" spans="1:15" ht="38.25" x14ac:dyDescent="0.25">
      <c r="A31" s="28" t="s">
        <v>35</v>
      </c>
      <c r="B31" s="22" t="s">
        <v>32</v>
      </c>
      <c r="C31" s="23">
        <v>5</v>
      </c>
      <c r="D31" s="29">
        <v>15</v>
      </c>
      <c r="E31" s="52">
        <v>50</v>
      </c>
      <c r="F31" s="50">
        <f>G31/12</f>
        <v>687.5</v>
      </c>
      <c r="G31" s="50">
        <f>D31*E31*11</f>
        <v>8250</v>
      </c>
      <c r="H31" s="140" t="s">
        <v>283</v>
      </c>
      <c r="I31" s="31">
        <v>5</v>
      </c>
      <c r="J31" s="26">
        <v>687.5</v>
      </c>
      <c r="K31" s="50">
        <f>D31*E31*11</f>
        <v>8250</v>
      </c>
      <c r="L31" s="143">
        <v>5</v>
      </c>
      <c r="M31" s="50">
        <v>687.5</v>
      </c>
      <c r="N31" s="50">
        <f t="shared" si="0"/>
        <v>8250</v>
      </c>
    </row>
    <row r="32" spans="1:15" ht="25.5" x14ac:dyDescent="0.25">
      <c r="A32" s="28" t="s">
        <v>36</v>
      </c>
      <c r="B32" s="22" t="s">
        <v>32</v>
      </c>
      <c r="C32" s="23">
        <v>0.25</v>
      </c>
      <c r="D32" s="29">
        <f>C32*3</f>
        <v>0.75</v>
      </c>
      <c r="E32" s="52">
        <v>75</v>
      </c>
      <c r="F32" s="50">
        <f>55*C32*E32</f>
        <v>1031.25</v>
      </c>
      <c r="G32" s="50">
        <f>F32*3</f>
        <v>3093.75</v>
      </c>
      <c r="H32" s="140" t="s">
        <v>37</v>
      </c>
      <c r="I32" s="31">
        <f>C32*40</f>
        <v>10</v>
      </c>
      <c r="J32" s="26">
        <f>37*C32*E32</f>
        <v>693.75</v>
      </c>
      <c r="K32" s="50">
        <f>J32*3</f>
        <v>2081.25</v>
      </c>
      <c r="L32" s="143">
        <f>C32*40</f>
        <v>10</v>
      </c>
      <c r="M32" s="50">
        <f>L32*E32</f>
        <v>750</v>
      </c>
      <c r="N32" s="50">
        <f t="shared" si="0"/>
        <v>2081.25</v>
      </c>
    </row>
    <row r="33" spans="1:14" ht="25.5" x14ac:dyDescent="0.25">
      <c r="A33" s="8" t="s">
        <v>38</v>
      </c>
      <c r="B33" s="8"/>
      <c r="C33" s="8"/>
      <c r="D33" s="8"/>
      <c r="E33" s="8"/>
      <c r="F33" s="8"/>
      <c r="G33" s="8"/>
      <c r="H33" s="9"/>
      <c r="I33" s="33"/>
      <c r="J33" s="8"/>
      <c r="K33" s="8"/>
      <c r="L33" s="11"/>
      <c r="M33" s="8"/>
      <c r="N33" s="8"/>
    </row>
    <row r="34" spans="1:14" ht="25.5" x14ac:dyDescent="0.25">
      <c r="A34" s="12" t="s">
        <v>39</v>
      </c>
      <c r="B34" s="12"/>
      <c r="C34" s="12"/>
      <c r="D34" s="12"/>
      <c r="E34" s="12"/>
      <c r="F34" s="13">
        <f>SUM(F35:F36)</f>
        <v>850</v>
      </c>
      <c r="G34" s="49">
        <f>SUM(G35:G36)</f>
        <v>9350</v>
      </c>
      <c r="H34" s="139"/>
      <c r="I34" s="144"/>
      <c r="J34" s="49">
        <f>SUM(J35:J36)</f>
        <v>2850</v>
      </c>
      <c r="K34" s="49">
        <f>SUM(K35:K36)</f>
        <v>11850</v>
      </c>
      <c r="L34" s="145"/>
      <c r="M34" s="49">
        <f>SUM(M35:M36)</f>
        <v>2850</v>
      </c>
      <c r="N34" s="49">
        <f>SUM(N35:N36)</f>
        <v>11850</v>
      </c>
    </row>
    <row r="35" spans="1:14" ht="38.25" x14ac:dyDescent="0.25">
      <c r="A35" s="34" t="s">
        <v>40</v>
      </c>
      <c r="B35" s="22" t="s">
        <v>41</v>
      </c>
      <c r="C35" s="23">
        <v>1</v>
      </c>
      <c r="D35" s="24" t="s">
        <v>24</v>
      </c>
      <c r="E35" s="25">
        <v>500</v>
      </c>
      <c r="F35" s="26">
        <v>500</v>
      </c>
      <c r="G35" s="50">
        <f>F35*11</f>
        <v>5500</v>
      </c>
      <c r="H35" s="139" t="s">
        <v>42</v>
      </c>
      <c r="I35" s="146">
        <v>1</v>
      </c>
      <c r="J35" s="51">
        <v>2500</v>
      </c>
      <c r="K35" s="51">
        <f>J35+I35*E35*11</f>
        <v>8000</v>
      </c>
      <c r="L35" s="143">
        <v>1</v>
      </c>
      <c r="M35" s="51">
        <v>2500</v>
      </c>
      <c r="N35" s="51">
        <f>M35+L35*E35*11</f>
        <v>8000</v>
      </c>
    </row>
    <row r="36" spans="1:14" ht="127.5" x14ac:dyDescent="0.25">
      <c r="A36" s="5" t="s">
        <v>43</v>
      </c>
      <c r="B36" s="35" t="s">
        <v>44</v>
      </c>
      <c r="C36" s="23">
        <v>7</v>
      </c>
      <c r="D36" s="23" t="s">
        <v>24</v>
      </c>
      <c r="E36" s="30">
        <v>50</v>
      </c>
      <c r="F36" s="26">
        <f>E36*C36</f>
        <v>350</v>
      </c>
      <c r="G36" s="50">
        <f>F36*11</f>
        <v>3850</v>
      </c>
      <c r="H36" s="140" t="s">
        <v>53</v>
      </c>
      <c r="I36" s="146">
        <v>7</v>
      </c>
      <c r="J36" s="50">
        <f>E36*I36</f>
        <v>350</v>
      </c>
      <c r="K36" s="50">
        <f>J36*11</f>
        <v>3850</v>
      </c>
      <c r="L36" s="143">
        <v>7</v>
      </c>
      <c r="M36" s="50">
        <f>E36*L36</f>
        <v>350</v>
      </c>
      <c r="N36" s="50">
        <f>M36*11</f>
        <v>3850</v>
      </c>
    </row>
    <row r="37" spans="1:14" ht="25.5" x14ac:dyDescent="0.25">
      <c r="A37" s="12" t="s">
        <v>45</v>
      </c>
      <c r="B37" s="12"/>
      <c r="C37" s="12"/>
      <c r="D37" s="12"/>
      <c r="E37" s="12"/>
      <c r="F37" s="36">
        <f>F23+F27+F34</f>
        <v>22505.65</v>
      </c>
      <c r="G37" s="36">
        <f>G23+G27+G34</f>
        <v>140999.65</v>
      </c>
      <c r="H37" s="37"/>
      <c r="I37" s="38"/>
      <c r="J37" s="36">
        <f>J23+J27+J34</f>
        <v>21633.15</v>
      </c>
      <c r="K37" s="36">
        <f>K23+K27+K34</f>
        <v>139577.15</v>
      </c>
      <c r="L37" s="36"/>
      <c r="M37" s="36">
        <f>M23+M27+M34</f>
        <v>21689.4</v>
      </c>
      <c r="N37" s="36">
        <f>N23+N27+N34</f>
        <v>139577.15</v>
      </c>
    </row>
    <row r="38" spans="1:14" x14ac:dyDescent="0.25">
      <c r="A38" s="12" t="s">
        <v>46</v>
      </c>
      <c r="B38" s="12"/>
      <c r="C38" s="12"/>
      <c r="D38" s="12"/>
      <c r="E38" s="12"/>
      <c r="F38" s="13">
        <f>F37*0.1</f>
        <v>2250.5650000000001</v>
      </c>
      <c r="G38" s="13">
        <f>G37*0.1</f>
        <v>14099.965</v>
      </c>
      <c r="H38" s="209"/>
      <c r="I38" s="39"/>
      <c r="J38" s="13">
        <f>J37*0.1</f>
        <v>2163.3150000000001</v>
      </c>
      <c r="K38" s="13">
        <f>K37*0.1</f>
        <v>13957.715</v>
      </c>
      <c r="L38" s="13"/>
      <c r="M38" s="13">
        <f>M37*0.1</f>
        <v>2168.94</v>
      </c>
      <c r="N38" s="13">
        <f>N37*0.1</f>
        <v>13957.715</v>
      </c>
    </row>
    <row r="39" spans="1:14" s="220" customFormat="1" x14ac:dyDescent="0.25">
      <c r="A39" s="48" t="s">
        <v>47</v>
      </c>
      <c r="B39" s="48"/>
      <c r="C39" s="48"/>
      <c r="D39" s="48"/>
      <c r="E39" s="48"/>
      <c r="F39" s="149">
        <f>F37+F38</f>
        <v>24756.215</v>
      </c>
      <c r="G39" s="147">
        <f>G37+G38</f>
        <v>155099.61499999999</v>
      </c>
      <c r="H39" s="150"/>
      <c r="I39" s="151"/>
      <c r="J39" s="149">
        <f>J37+J38</f>
        <v>23796.465</v>
      </c>
      <c r="K39" s="147">
        <f>K37+K38</f>
        <v>153534.86499999999</v>
      </c>
      <c r="L39" s="149"/>
      <c r="M39" s="149">
        <f>M37+M38</f>
        <v>23858.34</v>
      </c>
      <c r="N39" s="147">
        <f>N37+N38</f>
        <v>153534.86499999999</v>
      </c>
    </row>
    <row r="40" spans="1:14" s="220" customFormat="1" x14ac:dyDescent="0.25">
      <c r="A40" s="341" t="s">
        <v>48</v>
      </c>
      <c r="B40" s="336"/>
      <c r="C40" s="336"/>
      <c r="D40" s="336"/>
      <c r="E40" s="336"/>
      <c r="F40" s="336"/>
      <c r="G40" s="336"/>
      <c r="H40" s="336"/>
      <c r="I40" s="336"/>
      <c r="J40" s="336"/>
      <c r="K40" s="336"/>
      <c r="L40" s="336"/>
      <c r="M40" s="336"/>
      <c r="N40" s="148">
        <f>G39+K39+N39</f>
        <v>462169.34499999997</v>
      </c>
    </row>
    <row r="41" spans="1:14" x14ac:dyDescent="0.25">
      <c r="A41" s="4"/>
      <c r="B41" s="4"/>
      <c r="C41" s="4"/>
      <c r="D41" s="4"/>
      <c r="E41" s="4"/>
      <c r="F41" s="4"/>
      <c r="G41" s="4"/>
      <c r="H41" s="4"/>
      <c r="I41" s="4"/>
      <c r="J41" s="4"/>
      <c r="K41" s="4"/>
      <c r="L41" s="4"/>
      <c r="M41" s="4"/>
      <c r="N41" s="4"/>
    </row>
    <row r="42" spans="1:14" x14ac:dyDescent="0.25">
      <c r="A42" s="40" t="s">
        <v>49</v>
      </c>
      <c r="B42" s="40"/>
      <c r="C42" s="40"/>
      <c r="D42" s="40"/>
      <c r="E42" s="40"/>
      <c r="F42" s="40"/>
      <c r="G42" s="40"/>
      <c r="H42" s="40"/>
      <c r="I42" s="40"/>
      <c r="J42" s="40"/>
      <c r="K42" s="40"/>
      <c r="L42" s="40"/>
      <c r="M42" s="4"/>
      <c r="N42" s="4"/>
    </row>
    <row r="43" spans="1:14" s="220" customFormat="1" ht="52.5" customHeight="1" x14ac:dyDescent="0.25">
      <c r="A43" s="341"/>
      <c r="B43" s="332" t="s">
        <v>8</v>
      </c>
      <c r="C43" s="332" t="s">
        <v>310</v>
      </c>
      <c r="D43" s="333" t="s">
        <v>285</v>
      </c>
    </row>
    <row r="44" spans="1:14" s="220" customFormat="1" x14ac:dyDescent="0.25">
      <c r="A44" s="336" t="s">
        <v>50</v>
      </c>
      <c r="B44" s="336">
        <v>60</v>
      </c>
      <c r="C44" s="336">
        <f>ROUND((B44/12*11),0)</f>
        <v>55</v>
      </c>
      <c r="D44" s="338">
        <f>G39</f>
        <v>155099.61499999999</v>
      </c>
    </row>
    <row r="45" spans="1:14" s="220" customFormat="1" x14ac:dyDescent="0.25">
      <c r="A45" s="336" t="s">
        <v>51</v>
      </c>
      <c r="B45" s="336">
        <v>40</v>
      </c>
      <c r="C45" s="336">
        <f t="shared" ref="C45:C46" si="1">ROUND((B45/12*11),0)</f>
        <v>37</v>
      </c>
      <c r="D45" s="338">
        <f>K39</f>
        <v>153534.86499999999</v>
      </c>
    </row>
    <row r="46" spans="1:14" s="220" customFormat="1" x14ac:dyDescent="0.25">
      <c r="A46" s="336" t="s">
        <v>52</v>
      </c>
      <c r="B46" s="336">
        <v>40</v>
      </c>
      <c r="C46" s="336">
        <f t="shared" si="1"/>
        <v>37</v>
      </c>
      <c r="D46" s="338">
        <f>N39</f>
        <v>153534.86499999999</v>
      </c>
    </row>
    <row r="47" spans="1:14" s="220" customFormat="1" x14ac:dyDescent="0.25">
      <c r="A47" s="341" t="s">
        <v>10</v>
      </c>
      <c r="B47" s="341">
        <f>B44+B45+B46</f>
        <v>140</v>
      </c>
      <c r="C47" s="341">
        <f>C44+C45+C46</f>
        <v>129</v>
      </c>
      <c r="D47" s="148">
        <f>D44+D45+D46</f>
        <v>462169.34499999997</v>
      </c>
    </row>
    <row r="48" spans="1:14" x14ac:dyDescent="0.25">
      <c r="A48" s="4"/>
      <c r="B48" s="4"/>
      <c r="C48" s="4"/>
      <c r="D48" s="4"/>
      <c r="E48" s="4"/>
      <c r="F48" s="4"/>
      <c r="G48" s="4"/>
      <c r="H48" s="4"/>
      <c r="I48" s="4"/>
      <c r="J48" s="4"/>
      <c r="K48" s="4"/>
      <c r="L48" s="4"/>
      <c r="M48" s="4"/>
      <c r="N48" s="4"/>
    </row>
    <row r="49" spans="1:14" x14ac:dyDescent="0.25">
      <c r="A49" s="4"/>
      <c r="B49" s="4"/>
      <c r="C49" s="4"/>
      <c r="D49" s="4"/>
      <c r="E49" s="4"/>
      <c r="F49" s="4"/>
      <c r="G49" s="4"/>
      <c r="H49" s="4"/>
      <c r="I49" s="4"/>
      <c r="J49" s="4"/>
      <c r="K49" s="4"/>
      <c r="L49" s="4"/>
      <c r="M49" s="4"/>
      <c r="N49" s="4"/>
    </row>
    <row r="50" spans="1:14" s="58" customFormat="1" ht="15.75" x14ac:dyDescent="0.25">
      <c r="A50" s="344" t="s">
        <v>311</v>
      </c>
    </row>
    <row r="51" spans="1:14" ht="42.75" x14ac:dyDescent="0.25">
      <c r="A51" s="345" t="s">
        <v>294</v>
      </c>
    </row>
    <row r="52" spans="1:14" x14ac:dyDescent="0.25">
      <c r="A52" s="90">
        <f>E12+D47</f>
        <v>671904.34499999997</v>
      </c>
    </row>
    <row r="53" spans="1:14" x14ac:dyDescent="0.25">
      <c r="A53" s="4"/>
      <c r="B53" s="4"/>
      <c r="C53" s="4"/>
      <c r="D53" s="4"/>
      <c r="E53" s="4"/>
      <c r="F53" s="4"/>
      <c r="G53" s="4"/>
      <c r="H53" s="4"/>
      <c r="I53" s="4"/>
      <c r="J53" s="4"/>
      <c r="K53" s="4"/>
      <c r="L53" s="4"/>
      <c r="M53" s="4"/>
      <c r="N53" s="4"/>
    </row>
    <row r="55" spans="1:14" x14ac:dyDescent="0.25">
      <c r="A55" s="346"/>
    </row>
    <row r="56" spans="1:14" x14ac:dyDescent="0.25">
      <c r="A56" s="346"/>
    </row>
    <row r="57" spans="1:14" x14ac:dyDescent="0.25">
      <c r="A57" s="346"/>
    </row>
    <row r="58" spans="1:14" x14ac:dyDescent="0.25">
      <c r="A58" s="346"/>
    </row>
    <row r="59" spans="1:14" x14ac:dyDescent="0.25">
      <c r="A59" s="347"/>
    </row>
    <row r="60" spans="1:14" x14ac:dyDescent="0.25">
      <c r="A60" s="346"/>
    </row>
    <row r="62" spans="1:14" x14ac:dyDescent="0.25">
      <c r="A62" s="348"/>
    </row>
    <row r="63" spans="1:14" x14ac:dyDescent="0.25">
      <c r="A63" s="348"/>
    </row>
    <row r="64" spans="1:14" x14ac:dyDescent="0.25">
      <c r="A64" s="348"/>
    </row>
    <row r="65" spans="1:1" x14ac:dyDescent="0.25">
      <c r="A65" s="348"/>
    </row>
    <row r="66" spans="1:1" x14ac:dyDescent="0.25">
      <c r="A66" s="348"/>
    </row>
    <row r="67" spans="1:1" x14ac:dyDescent="0.25">
      <c r="A67" s="349"/>
    </row>
    <row r="68" spans="1:1" x14ac:dyDescent="0.25">
      <c r="A68" s="348"/>
    </row>
  </sheetData>
  <mergeCells count="17">
    <mergeCell ref="H19:H21"/>
    <mergeCell ref="A8:N8"/>
    <mergeCell ref="A16:N16"/>
    <mergeCell ref="A17:N17"/>
    <mergeCell ref="L18:N18"/>
    <mergeCell ref="A19:A21"/>
    <mergeCell ref="B19:B21"/>
    <mergeCell ref="C19:C21"/>
    <mergeCell ref="D19:D21"/>
    <mergeCell ref="E19:G19"/>
    <mergeCell ref="I19:K19"/>
    <mergeCell ref="L19:N19"/>
    <mergeCell ref="A1:K1"/>
    <mergeCell ref="B2:K2"/>
    <mergeCell ref="L1:N1"/>
    <mergeCell ref="A18:H18"/>
    <mergeCell ref="I18:K18"/>
  </mergeCells>
  <pageMargins left="0.7" right="0.7" top="0.75" bottom="0.75" header="0.3" footer="0.3"/>
  <pageSetup paperSize="9" scale="51"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8"/>
  <sheetViews>
    <sheetView zoomScaleNormal="100" workbookViewId="0">
      <selection activeCell="H27" sqref="H27"/>
    </sheetView>
  </sheetViews>
  <sheetFormatPr defaultColWidth="8.7109375" defaultRowHeight="12.75" x14ac:dyDescent="0.2"/>
  <cols>
    <col min="1" max="1" width="27" style="115" customWidth="1"/>
    <col min="2" max="2" width="13.85546875" style="115" customWidth="1"/>
    <col min="3" max="3" width="17.42578125" style="115" customWidth="1"/>
    <col min="4" max="4" width="17.5703125" style="115" customWidth="1"/>
    <col min="5" max="5" width="19.140625" style="115" customWidth="1"/>
    <col min="6" max="6" width="17.5703125" style="115" customWidth="1"/>
    <col min="7" max="7" width="20" style="115" customWidth="1"/>
    <col min="8" max="8" width="47.42578125" style="115" customWidth="1"/>
    <col min="9" max="9" width="27.5703125" style="115" customWidth="1"/>
    <col min="10" max="12" width="15.7109375" style="115" customWidth="1"/>
    <col min="13" max="13" width="16.42578125" style="115" customWidth="1"/>
    <col min="14" max="14" width="15.7109375" style="115" customWidth="1"/>
    <col min="15" max="16384" width="8.7109375" style="115"/>
  </cols>
  <sheetData>
    <row r="1" spans="1:12" ht="41.25" customHeight="1" x14ac:dyDescent="0.2">
      <c r="A1" s="493" t="s">
        <v>268</v>
      </c>
      <c r="B1" s="493"/>
      <c r="C1" s="493"/>
      <c r="D1" s="493"/>
      <c r="E1" s="493"/>
      <c r="F1" s="493"/>
      <c r="G1" s="493"/>
      <c r="H1" s="350" t="s">
        <v>424</v>
      </c>
    </row>
    <row r="2" spans="1:12" ht="34.5" customHeight="1" x14ac:dyDescent="0.25">
      <c r="A2" s="494" t="s">
        <v>361</v>
      </c>
      <c r="B2" s="494"/>
      <c r="C2" s="494"/>
      <c r="D2" s="494"/>
      <c r="E2" s="494"/>
      <c r="F2" s="494"/>
      <c r="G2" s="494"/>
      <c r="H2" s="351"/>
      <c r="I2" s="351"/>
      <c r="J2" s="351"/>
      <c r="K2" s="351"/>
      <c r="L2" s="351"/>
    </row>
    <row r="3" spans="1:12" s="353" customFormat="1" ht="15.75" x14ac:dyDescent="0.2">
      <c r="A3" s="352" t="s">
        <v>362</v>
      </c>
      <c r="B3" s="352"/>
      <c r="C3" s="352"/>
      <c r="D3" s="352"/>
      <c r="E3" s="352"/>
      <c r="F3" s="352"/>
      <c r="G3" s="352"/>
      <c r="H3" s="352"/>
      <c r="I3" s="352"/>
      <c r="J3" s="352"/>
      <c r="K3" s="352"/>
      <c r="L3" s="352"/>
    </row>
    <row r="4" spans="1:12" ht="15.75" x14ac:dyDescent="0.2">
      <c r="A4" s="354"/>
      <c r="B4" s="354"/>
      <c r="C4" s="354"/>
      <c r="D4" s="354"/>
      <c r="E4" s="354"/>
      <c r="F4" s="354"/>
      <c r="G4" s="354"/>
      <c r="H4" s="354"/>
      <c r="I4" s="354"/>
      <c r="J4" s="354"/>
      <c r="K4" s="354"/>
      <c r="L4" s="354"/>
    </row>
    <row r="5" spans="1:12" s="355" customFormat="1" ht="15.75" x14ac:dyDescent="0.25">
      <c r="A5" s="78" t="s">
        <v>54</v>
      </c>
      <c r="B5" s="76"/>
      <c r="C5" s="65"/>
      <c r="D5" s="65"/>
      <c r="E5" s="65"/>
      <c r="F5" s="329"/>
      <c r="G5" s="329"/>
      <c r="H5" s="329"/>
    </row>
    <row r="6" spans="1:12" s="355" customFormat="1" ht="15.75" x14ac:dyDescent="0.25">
      <c r="A6" s="86" t="s">
        <v>196</v>
      </c>
      <c r="B6" s="77"/>
      <c r="C6" s="68"/>
      <c r="D6" s="68"/>
      <c r="E6" s="68"/>
      <c r="F6" s="329"/>
      <c r="G6" s="329"/>
      <c r="H6" s="329"/>
    </row>
    <row r="7" spans="1:12" x14ac:dyDescent="0.2">
      <c r="A7" s="85" t="s">
        <v>207</v>
      </c>
      <c r="B7" s="112"/>
      <c r="C7" s="113"/>
      <c r="D7" s="113"/>
      <c r="E7" s="113"/>
    </row>
    <row r="8" spans="1:12" x14ac:dyDescent="0.2">
      <c r="A8" s="85"/>
      <c r="B8" s="112"/>
      <c r="C8" s="113"/>
      <c r="D8" s="113"/>
      <c r="E8" s="113"/>
    </row>
    <row r="9" spans="1:12" x14ac:dyDescent="0.2">
      <c r="A9" s="249" t="s">
        <v>320</v>
      </c>
      <c r="B9" s="249"/>
      <c r="C9" s="249"/>
      <c r="D9" s="249"/>
      <c r="E9" s="249"/>
      <c r="F9" s="249"/>
    </row>
    <row r="10" spans="1:12" x14ac:dyDescent="0.2">
      <c r="A10" s="249" t="s">
        <v>319</v>
      </c>
      <c r="B10" s="249"/>
      <c r="C10" s="249"/>
      <c r="D10" s="249"/>
      <c r="E10" s="249"/>
      <c r="F10" s="249"/>
    </row>
    <row r="11" spans="1:12" x14ac:dyDescent="0.2">
      <c r="A11" s="249" t="s">
        <v>321</v>
      </c>
      <c r="B11" s="249"/>
      <c r="C11" s="249"/>
      <c r="D11" s="249"/>
      <c r="E11" s="249"/>
      <c r="F11" s="249"/>
    </row>
    <row r="12" spans="1:12" x14ac:dyDescent="0.2">
      <c r="A12" s="492" t="s">
        <v>286</v>
      </c>
      <c r="B12" s="492"/>
      <c r="C12" s="492"/>
      <c r="D12" s="249">
        <v>1.18</v>
      </c>
      <c r="E12" s="249"/>
      <c r="F12" s="249"/>
    </row>
    <row r="13" spans="1:12" s="357" customFormat="1" ht="63.75" x14ac:dyDescent="0.2">
      <c r="A13" s="356" t="s">
        <v>221</v>
      </c>
      <c r="B13" s="356" t="s">
        <v>324</v>
      </c>
      <c r="C13" s="356" t="s">
        <v>322</v>
      </c>
      <c r="D13" s="356" t="s">
        <v>342</v>
      </c>
      <c r="E13" s="356" t="s">
        <v>287</v>
      </c>
      <c r="F13" s="356" t="s">
        <v>333</v>
      </c>
      <c r="G13" s="356" t="s">
        <v>323</v>
      </c>
    </row>
    <row r="14" spans="1:12" x14ac:dyDescent="0.2">
      <c r="A14" s="358" t="s">
        <v>222</v>
      </c>
      <c r="B14" s="359">
        <v>12.75</v>
      </c>
      <c r="C14" s="360">
        <f>G24</f>
        <v>45997.06</v>
      </c>
      <c r="D14" s="360">
        <f>B14*$D$12</f>
        <v>15.045</v>
      </c>
      <c r="E14" s="360">
        <f>D14-B14</f>
        <v>2.2949999999999999</v>
      </c>
      <c r="F14" s="360">
        <f>B14*C14</f>
        <v>586462.51500000001</v>
      </c>
      <c r="G14" s="361">
        <f>C14*E14/12*11</f>
        <v>96766.314975000001</v>
      </c>
      <c r="H14" s="430"/>
    </row>
    <row r="15" spans="1:12" x14ac:dyDescent="0.2">
      <c r="A15" s="358" t="s">
        <v>223</v>
      </c>
      <c r="B15" s="359">
        <v>81</v>
      </c>
      <c r="C15" s="360">
        <f>G27</f>
        <v>23693.89</v>
      </c>
      <c r="D15" s="360">
        <f>B15*$D$12</f>
        <v>95.58</v>
      </c>
      <c r="E15" s="360">
        <f t="shared" ref="E15:E18" si="0">D15-B15</f>
        <v>14.579999999999998</v>
      </c>
      <c r="F15" s="360">
        <f t="shared" ref="F15:F18" si="1">B15*C15</f>
        <v>1919205.0899999999</v>
      </c>
      <c r="G15" s="361">
        <f t="shared" ref="G15:G18" si="2">C15*E15/12*11</f>
        <v>316668.83984999999</v>
      </c>
      <c r="H15" s="430"/>
    </row>
    <row r="16" spans="1:12" x14ac:dyDescent="0.2">
      <c r="A16" s="358" t="s">
        <v>138</v>
      </c>
      <c r="B16" s="359">
        <v>74.75</v>
      </c>
      <c r="C16" s="360">
        <f>G24</f>
        <v>45997.06</v>
      </c>
      <c r="D16" s="360">
        <f>B16*$D$12</f>
        <v>88.204999999999998</v>
      </c>
      <c r="E16" s="360">
        <f t="shared" si="0"/>
        <v>13.454999999999998</v>
      </c>
      <c r="F16" s="360">
        <f t="shared" si="1"/>
        <v>3438280.2349999999</v>
      </c>
      <c r="G16" s="361">
        <f t="shared" si="2"/>
        <v>567316.23877499986</v>
      </c>
      <c r="H16" s="430"/>
    </row>
    <row r="17" spans="1:8" x14ac:dyDescent="0.2">
      <c r="A17" s="358" t="s">
        <v>224</v>
      </c>
      <c r="B17" s="359">
        <v>25.75</v>
      </c>
      <c r="C17" s="360">
        <f>G25</f>
        <v>45046.06</v>
      </c>
      <c r="D17" s="360">
        <f>B17*$D$12</f>
        <v>30.384999999999998</v>
      </c>
      <c r="E17" s="360">
        <f t="shared" si="0"/>
        <v>4.634999999999998</v>
      </c>
      <c r="F17" s="360">
        <f t="shared" si="1"/>
        <v>1159936.0449999999</v>
      </c>
      <c r="G17" s="361">
        <f t="shared" si="2"/>
        <v>191389.44742499993</v>
      </c>
      <c r="H17" s="430"/>
    </row>
    <row r="18" spans="1:8" x14ac:dyDescent="0.2">
      <c r="A18" s="114" t="s">
        <v>225</v>
      </c>
      <c r="B18" s="359">
        <v>17.75</v>
      </c>
      <c r="C18" s="360">
        <f>G26</f>
        <v>37037.42</v>
      </c>
      <c r="D18" s="360">
        <f>B18*$D$12</f>
        <v>20.945</v>
      </c>
      <c r="E18" s="360">
        <f t="shared" si="0"/>
        <v>3.1950000000000003</v>
      </c>
      <c r="F18" s="360">
        <f t="shared" si="1"/>
        <v>657414.20499999996</v>
      </c>
      <c r="G18" s="361">
        <f t="shared" si="2"/>
        <v>108473.34382500002</v>
      </c>
      <c r="H18" s="430"/>
    </row>
    <row r="19" spans="1:8" x14ac:dyDescent="0.2">
      <c r="A19" s="362" t="s">
        <v>10</v>
      </c>
      <c r="B19" s="361">
        <f>SUM(B14:B18)</f>
        <v>212</v>
      </c>
      <c r="C19" s="361">
        <f t="shared" ref="C19:E19" si="3">SUM(C14:C18)</f>
        <v>197771.49</v>
      </c>
      <c r="D19" s="361">
        <f t="shared" si="3"/>
        <v>250.15999999999997</v>
      </c>
      <c r="E19" s="361">
        <f t="shared" si="3"/>
        <v>38.159999999999997</v>
      </c>
      <c r="F19" s="363">
        <f>SUM(F14:F18)</f>
        <v>7761298.0899999999</v>
      </c>
      <c r="G19" s="364">
        <f>SUM(G14:G18)</f>
        <v>1280614.1848499998</v>
      </c>
      <c r="H19" s="430"/>
    </row>
    <row r="21" spans="1:8" ht="13.5" thickBot="1" x14ac:dyDescent="0.25"/>
    <row r="22" spans="1:8" ht="42" thickBot="1" x14ac:dyDescent="0.25">
      <c r="A22" s="152"/>
      <c r="B22" s="152" t="s">
        <v>226</v>
      </c>
      <c r="C22" s="152" t="s">
        <v>312</v>
      </c>
      <c r="D22" s="152" t="s">
        <v>234</v>
      </c>
      <c r="E22" s="152" t="s">
        <v>227</v>
      </c>
      <c r="F22" s="152" t="s">
        <v>228</v>
      </c>
      <c r="G22" s="152" t="s">
        <v>229</v>
      </c>
    </row>
    <row r="23" spans="1:8" ht="13.5" thickBot="1" x14ac:dyDescent="0.25">
      <c r="A23" s="152">
        <v>1</v>
      </c>
      <c r="B23" s="153">
        <v>2</v>
      </c>
      <c r="C23" s="153">
        <v>3</v>
      </c>
      <c r="D23" s="153" t="s">
        <v>230</v>
      </c>
      <c r="E23" s="153" t="s">
        <v>231</v>
      </c>
      <c r="F23" s="153">
        <v>6</v>
      </c>
      <c r="G23" s="152"/>
    </row>
    <row r="24" spans="1:8" ht="13.5" thickBot="1" x14ac:dyDescent="0.25">
      <c r="A24" s="152" t="s">
        <v>232</v>
      </c>
      <c r="B24" s="152">
        <v>1862</v>
      </c>
      <c r="C24" s="152">
        <v>945</v>
      </c>
      <c r="D24" s="154">
        <f>(B24+C24)*0.2359</f>
        <v>662.17129999999997</v>
      </c>
      <c r="E24" s="155">
        <f>(B24+C24+D24)*12</f>
        <v>41630.0556</v>
      </c>
      <c r="F24" s="156">
        <v>4367</v>
      </c>
      <c r="G24" s="155">
        <f>ROUND(E24+F24, 2)</f>
        <v>45997.06</v>
      </c>
    </row>
    <row r="25" spans="1:8" ht="13.5" thickBot="1" x14ac:dyDescent="0.25">
      <c r="A25" s="152" t="s">
        <v>137</v>
      </c>
      <c r="B25" s="152">
        <v>1862</v>
      </c>
      <c r="C25" s="152">
        <v>945</v>
      </c>
      <c r="D25" s="154">
        <f t="shared" ref="D25:D27" si="4">(B25+C25)*0.2359</f>
        <v>662.17129999999997</v>
      </c>
      <c r="E25" s="155">
        <f t="shared" ref="E25:E27" si="5">(B25+C25+D25)*12</f>
        <v>41630.0556</v>
      </c>
      <c r="F25" s="156">
        <v>3416</v>
      </c>
      <c r="G25" s="155">
        <f t="shared" ref="G25:G27" si="6">ROUND(E25+F25, 2)</f>
        <v>45046.06</v>
      </c>
    </row>
    <row r="26" spans="1:8" ht="13.5" thickBot="1" x14ac:dyDescent="0.25">
      <c r="A26" s="152" t="s">
        <v>233</v>
      </c>
      <c r="B26" s="152">
        <v>1862</v>
      </c>
      <c r="C26" s="152">
        <v>405</v>
      </c>
      <c r="D26" s="154">
        <f t="shared" si="4"/>
        <v>534.78530000000001</v>
      </c>
      <c r="E26" s="155">
        <f t="shared" si="5"/>
        <v>33621.423600000002</v>
      </c>
      <c r="F26" s="156">
        <v>3416</v>
      </c>
      <c r="G26" s="155">
        <f t="shared" si="6"/>
        <v>37037.42</v>
      </c>
    </row>
    <row r="27" spans="1:8" ht="13.5" thickBot="1" x14ac:dyDescent="0.25">
      <c r="A27" s="152" t="s">
        <v>223</v>
      </c>
      <c r="B27" s="152">
        <v>1117</v>
      </c>
      <c r="C27" s="152">
        <v>243</v>
      </c>
      <c r="D27" s="154">
        <f t="shared" si="4"/>
        <v>320.82400000000001</v>
      </c>
      <c r="E27" s="155">
        <f t="shared" si="5"/>
        <v>20169.887999999999</v>
      </c>
      <c r="F27" s="156">
        <v>3524</v>
      </c>
      <c r="G27" s="155">
        <f t="shared" si="6"/>
        <v>23693.89</v>
      </c>
    </row>
    <row r="28" spans="1:8" ht="90.75" customHeight="1" x14ac:dyDescent="0.2">
      <c r="A28" s="491" t="s">
        <v>313</v>
      </c>
      <c r="B28" s="491"/>
      <c r="C28" s="491"/>
      <c r="D28" s="491"/>
      <c r="E28" s="491"/>
      <c r="F28" s="491"/>
      <c r="G28" s="491"/>
    </row>
  </sheetData>
  <mergeCells count="4">
    <mergeCell ref="A28:G28"/>
    <mergeCell ref="A12:C12"/>
    <mergeCell ref="A1:G1"/>
    <mergeCell ref="A2:G2"/>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0"/>
  <sheetViews>
    <sheetView zoomScale="90" zoomScaleNormal="90" workbookViewId="0">
      <selection activeCell="J12" sqref="J12"/>
    </sheetView>
  </sheetViews>
  <sheetFormatPr defaultColWidth="9.140625" defaultRowHeight="15" x14ac:dyDescent="0.25"/>
  <cols>
    <col min="1" max="1" width="44" style="370" customWidth="1"/>
    <col min="2" max="2" width="13.5703125" style="370" customWidth="1"/>
    <col min="3" max="3" width="13.140625" style="370" customWidth="1"/>
    <col min="4" max="4" width="14.5703125" style="370" customWidth="1"/>
    <col min="5" max="5" width="14.42578125" style="370" customWidth="1"/>
    <col min="6" max="6" width="13.42578125" style="370" customWidth="1"/>
    <col min="7" max="7" width="13.5703125" style="370" customWidth="1"/>
    <col min="8" max="8" width="16.5703125" style="370" customWidth="1"/>
    <col min="9" max="9" width="51.140625" style="370" customWidth="1"/>
    <col min="10" max="16384" width="9.140625" style="370"/>
  </cols>
  <sheetData>
    <row r="1" spans="1:13" s="87" customFormat="1" ht="45" customHeight="1" x14ac:dyDescent="0.25">
      <c r="A1" s="495" t="s">
        <v>268</v>
      </c>
      <c r="B1" s="495"/>
      <c r="C1" s="495"/>
      <c r="D1" s="495"/>
      <c r="E1" s="495"/>
      <c r="F1" s="495"/>
      <c r="G1" s="495"/>
      <c r="H1" s="495"/>
      <c r="I1" s="365" t="s">
        <v>425</v>
      </c>
    </row>
    <row r="2" spans="1:13" s="87" customFormat="1" ht="15" customHeight="1" x14ac:dyDescent="0.25">
      <c r="A2" s="496" t="s">
        <v>361</v>
      </c>
      <c r="B2" s="496"/>
      <c r="C2" s="496"/>
      <c r="D2" s="496"/>
      <c r="E2" s="496"/>
      <c r="F2" s="496"/>
      <c r="G2" s="496"/>
      <c r="H2" s="496"/>
      <c r="I2" s="246"/>
      <c r="J2" s="246"/>
      <c r="K2" s="246"/>
      <c r="L2" s="246"/>
    </row>
    <row r="3" spans="1:13" s="87" customFormat="1" ht="33.75" customHeight="1" x14ac:dyDescent="0.25">
      <c r="A3" s="366" t="s">
        <v>363</v>
      </c>
      <c r="B3" s="367"/>
      <c r="C3" s="367"/>
      <c r="D3" s="367"/>
      <c r="E3" s="367"/>
      <c r="F3" s="367"/>
      <c r="G3" s="367"/>
      <c r="H3" s="367"/>
      <c r="I3" s="367"/>
      <c r="J3" s="367"/>
      <c r="K3" s="367"/>
      <c r="L3" s="367"/>
    </row>
    <row r="4" spans="1:13" s="87" customFormat="1" ht="15" customHeight="1" x14ac:dyDescent="0.25">
      <c r="A4" s="368"/>
      <c r="B4" s="284"/>
      <c r="C4" s="284"/>
      <c r="D4" s="284"/>
      <c r="E4" s="284"/>
      <c r="F4" s="284"/>
      <c r="G4" s="284"/>
      <c r="H4" s="284"/>
      <c r="I4" s="284"/>
      <c r="J4" s="284"/>
      <c r="K4" s="284"/>
      <c r="L4" s="284"/>
      <c r="M4" s="284"/>
    </row>
    <row r="5" spans="1:13" s="78" customFormat="1" ht="15.75" x14ac:dyDescent="0.25">
      <c r="A5" s="72" t="s">
        <v>54</v>
      </c>
      <c r="C5" s="76"/>
      <c r="D5" s="76"/>
      <c r="E5" s="166"/>
      <c r="F5" s="166"/>
      <c r="G5" s="166"/>
      <c r="H5" s="166"/>
      <c r="I5" s="166"/>
      <c r="J5" s="166"/>
      <c r="K5" s="166"/>
      <c r="L5" s="166"/>
    </row>
    <row r="6" spans="1:13" s="78" customFormat="1" ht="15.75" x14ac:dyDescent="0.25">
      <c r="A6" s="85" t="s">
        <v>240</v>
      </c>
      <c r="C6" s="77"/>
      <c r="D6" s="77"/>
      <c r="E6" s="166"/>
      <c r="F6" s="166"/>
      <c r="G6" s="166"/>
      <c r="H6" s="166"/>
      <c r="I6" s="166"/>
      <c r="J6" s="166"/>
      <c r="K6" s="166"/>
      <c r="L6" s="166"/>
    </row>
    <row r="7" spans="1:13" s="78" customFormat="1" x14ac:dyDescent="0.25">
      <c r="A7" s="85" t="s">
        <v>207</v>
      </c>
      <c r="C7" s="72"/>
      <c r="D7" s="72"/>
      <c r="E7" s="72"/>
      <c r="F7" s="72"/>
      <c r="G7" s="72"/>
      <c r="H7" s="72"/>
      <c r="I7" s="72"/>
      <c r="J7" s="72"/>
      <c r="K7" s="72"/>
      <c r="L7" s="72"/>
      <c r="M7" s="72"/>
    </row>
    <row r="8" spans="1:13" s="87" customFormat="1" x14ac:dyDescent="0.25">
      <c r="A8" s="368"/>
      <c r="B8" s="368"/>
      <c r="C8" s="368"/>
      <c r="D8" s="368"/>
      <c r="E8" s="368"/>
      <c r="F8" s="368"/>
      <c r="G8" s="368"/>
      <c r="H8" s="368"/>
      <c r="I8" s="368"/>
      <c r="J8" s="368"/>
      <c r="K8" s="368"/>
    </row>
    <row r="9" spans="1:13" x14ac:dyDescent="0.25">
      <c r="A9" s="369"/>
    </row>
    <row r="10" spans="1:13" s="87" customFormat="1" ht="45" customHeight="1" x14ac:dyDescent="0.25">
      <c r="A10" s="371" t="s">
        <v>289</v>
      </c>
      <c r="B10" s="371" t="s">
        <v>241</v>
      </c>
      <c r="C10" s="371" t="s">
        <v>237</v>
      </c>
      <c r="D10" s="371" t="s">
        <v>242</v>
      </c>
      <c r="E10" s="371" t="s">
        <v>243</v>
      </c>
      <c r="F10" s="371" t="s">
        <v>244</v>
      </c>
      <c r="G10" s="371" t="s">
        <v>238</v>
      </c>
      <c r="H10" s="371" t="s">
        <v>239</v>
      </c>
      <c r="I10" s="368"/>
      <c r="J10" s="368"/>
      <c r="K10" s="368"/>
    </row>
    <row r="11" spans="1:13" s="130" customFormat="1" ht="61.5" customHeight="1" x14ac:dyDescent="0.25">
      <c r="A11" s="372" t="s">
        <v>245</v>
      </c>
      <c r="B11" s="373">
        <v>18</v>
      </c>
      <c r="C11" s="373">
        <v>18</v>
      </c>
      <c r="D11" s="374">
        <v>18</v>
      </c>
      <c r="E11" s="373">
        <f>B11*C11</f>
        <v>324</v>
      </c>
      <c r="F11" s="373">
        <v>1000</v>
      </c>
      <c r="G11" s="375">
        <f>G12+G13+G14+G15+G16+G17+G18+G19</f>
        <v>323985</v>
      </c>
      <c r="H11" s="376">
        <v>2021</v>
      </c>
    </row>
    <row r="12" spans="1:13" s="130" customFormat="1" ht="53.1" customHeight="1" x14ac:dyDescent="0.25">
      <c r="A12" s="121" t="s">
        <v>246</v>
      </c>
      <c r="B12" s="377"/>
      <c r="C12" s="377"/>
      <c r="D12" s="377"/>
      <c r="E12" s="377"/>
      <c r="F12" s="377"/>
      <c r="G12" s="373">
        <v>274428</v>
      </c>
      <c r="H12" s="378"/>
    </row>
    <row r="13" spans="1:13" s="130" customFormat="1" ht="30" x14ac:dyDescent="0.25">
      <c r="A13" s="121" t="s">
        <v>247</v>
      </c>
      <c r="B13" s="373"/>
      <c r="C13" s="373"/>
      <c r="D13" s="374"/>
      <c r="E13" s="373"/>
      <c r="F13" s="373"/>
      <c r="G13" s="373">
        <v>6050</v>
      </c>
      <c r="H13" s="378"/>
    </row>
    <row r="14" spans="1:13" s="130" customFormat="1" x14ac:dyDescent="0.25">
      <c r="A14" s="121" t="s">
        <v>248</v>
      </c>
      <c r="B14" s="373"/>
      <c r="C14" s="373"/>
      <c r="D14" s="374"/>
      <c r="E14" s="373"/>
      <c r="F14" s="373"/>
      <c r="G14" s="373">
        <v>2420</v>
      </c>
      <c r="H14" s="378"/>
    </row>
    <row r="15" spans="1:13" s="130" customFormat="1" x14ac:dyDescent="0.25">
      <c r="A15" s="121" t="s">
        <v>249</v>
      </c>
      <c r="B15" s="373"/>
      <c r="C15" s="373"/>
      <c r="D15" s="374"/>
      <c r="E15" s="373"/>
      <c r="F15" s="373"/>
      <c r="G15" s="373">
        <v>605</v>
      </c>
      <c r="H15" s="378"/>
    </row>
    <row r="16" spans="1:13" s="130" customFormat="1" x14ac:dyDescent="0.25">
      <c r="A16" s="121" t="s">
        <v>250</v>
      </c>
      <c r="B16" s="373"/>
      <c r="C16" s="373"/>
      <c r="D16" s="374"/>
      <c r="E16" s="373"/>
      <c r="F16" s="373"/>
      <c r="G16" s="373">
        <v>8840</v>
      </c>
      <c r="H16" s="378"/>
    </row>
    <row r="17" spans="1:8" s="130" customFormat="1" ht="45" x14ac:dyDescent="0.25">
      <c r="A17" s="121" t="s">
        <v>251</v>
      </c>
      <c r="B17" s="373"/>
      <c r="C17" s="373"/>
      <c r="D17" s="374"/>
      <c r="E17" s="373"/>
      <c r="F17" s="373"/>
      <c r="G17" s="373">
        <v>15730</v>
      </c>
      <c r="H17" s="378"/>
    </row>
    <row r="18" spans="1:8" s="130" customFormat="1" x14ac:dyDescent="0.25">
      <c r="A18" s="121" t="s">
        <v>252</v>
      </c>
      <c r="B18" s="373"/>
      <c r="C18" s="373"/>
      <c r="D18" s="374"/>
      <c r="E18" s="373"/>
      <c r="F18" s="373"/>
      <c r="G18" s="373">
        <v>8712</v>
      </c>
      <c r="H18" s="378"/>
    </row>
    <row r="19" spans="1:8" s="130" customFormat="1" x14ac:dyDescent="0.25">
      <c r="A19" s="379" t="s">
        <v>253</v>
      </c>
      <c r="B19" s="377"/>
      <c r="C19" s="377"/>
      <c r="D19" s="377"/>
      <c r="E19" s="377"/>
      <c r="F19" s="376">
        <v>400</v>
      </c>
      <c r="G19" s="373">
        <f>F19*C11</f>
        <v>7200</v>
      </c>
      <c r="H19" s="377"/>
    </row>
    <row r="20" spans="1:8" s="130" customFormat="1" x14ac:dyDescent="0.25"/>
  </sheetData>
  <mergeCells count="2">
    <mergeCell ref="A1:H1"/>
    <mergeCell ref="A2:H2"/>
  </mergeCells>
  <pageMargins left="0.70866141732283472" right="0.70866141732283472" top="0.74803149606299213" bottom="0.74803149606299213" header="0.31496062992125984" footer="0.31496062992125984"/>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34"/>
  <sheetViews>
    <sheetView zoomScale="80" zoomScaleNormal="80" workbookViewId="0">
      <selection activeCell="E23" sqref="E23"/>
    </sheetView>
  </sheetViews>
  <sheetFormatPr defaultColWidth="8.7109375" defaultRowHeight="15" x14ac:dyDescent="0.25"/>
  <cols>
    <col min="1" max="1" width="14.85546875" style="244" customWidth="1"/>
    <col min="2" max="2" width="17.42578125" style="244" customWidth="1"/>
    <col min="3" max="3" width="26.7109375" style="244" customWidth="1"/>
    <col min="4" max="4" width="16.28515625" style="244" customWidth="1"/>
    <col min="5" max="5" width="22" style="244" customWidth="1"/>
    <col min="6" max="6" width="23.140625" style="244" customWidth="1"/>
    <col min="7" max="7" width="14.42578125" style="244" customWidth="1"/>
    <col min="8" max="8" width="37.28515625" style="244" customWidth="1"/>
    <col min="9" max="9" width="26.42578125" style="244" customWidth="1"/>
    <col min="10" max="10" width="14.140625" style="244" customWidth="1"/>
    <col min="11" max="11" width="18.140625" style="244" customWidth="1"/>
    <col min="12" max="13" width="8.7109375" style="244"/>
    <col min="14" max="14" width="13.42578125" style="244" customWidth="1"/>
    <col min="15" max="16" width="10.5703125" style="244" customWidth="1"/>
    <col min="17" max="17" width="8.7109375" style="244"/>
    <col min="18" max="18" width="13.28515625" style="244" customWidth="1"/>
    <col min="19" max="19" width="15.28515625" style="244" customWidth="1"/>
    <col min="20" max="20" width="16.42578125" style="244" customWidth="1"/>
    <col min="21" max="16384" width="8.7109375" style="244"/>
  </cols>
  <sheetData>
    <row r="1" spans="1:20" ht="49.5" customHeight="1" x14ac:dyDescent="0.25">
      <c r="A1" s="499" t="s">
        <v>268</v>
      </c>
      <c r="B1" s="499"/>
      <c r="C1" s="499"/>
      <c r="D1" s="499"/>
      <c r="E1" s="499"/>
      <c r="F1" s="499"/>
      <c r="G1" s="499"/>
      <c r="H1" s="499"/>
      <c r="I1" s="499"/>
      <c r="J1" s="499"/>
      <c r="K1" s="499"/>
      <c r="L1" s="499"/>
      <c r="M1" s="499"/>
      <c r="R1" s="460" t="s">
        <v>426</v>
      </c>
      <c r="S1" s="460"/>
      <c r="T1" s="460"/>
    </row>
    <row r="2" spans="1:20" ht="15" customHeight="1" x14ac:dyDescent="0.25">
      <c r="A2" s="366" t="s">
        <v>350</v>
      </c>
      <c r="B2" s="366"/>
      <c r="C2" s="366"/>
      <c r="D2" s="366"/>
      <c r="E2" s="366"/>
      <c r="F2" s="366"/>
      <c r="G2" s="366"/>
      <c r="H2" s="366"/>
      <c r="I2" s="366"/>
      <c r="J2" s="366"/>
      <c r="K2" s="366"/>
      <c r="L2" s="366"/>
    </row>
    <row r="3" spans="1:20" ht="15" customHeight="1" x14ac:dyDescent="0.25">
      <c r="A3" s="366"/>
      <c r="B3" s="366"/>
      <c r="C3" s="366"/>
      <c r="D3" s="366"/>
      <c r="E3" s="366"/>
      <c r="F3" s="366"/>
      <c r="G3" s="366"/>
      <c r="H3" s="366"/>
      <c r="I3" s="366"/>
      <c r="J3" s="366"/>
      <c r="K3" s="366"/>
      <c r="L3" s="366"/>
    </row>
    <row r="4" spans="1:20" s="383" customFormat="1" ht="78.75" x14ac:dyDescent="0.25">
      <c r="A4" s="380" t="s">
        <v>54</v>
      </c>
      <c r="B4" s="381"/>
      <c r="C4" s="381"/>
      <c r="D4" s="122" t="s">
        <v>294</v>
      </c>
      <c r="E4" s="382"/>
      <c r="F4" s="382"/>
      <c r="G4" s="382"/>
    </row>
    <row r="5" spans="1:20" s="248" customFormat="1" ht="36" customHeight="1" x14ac:dyDescent="0.25">
      <c r="A5" s="497" t="s">
        <v>55</v>
      </c>
      <c r="B5" s="497"/>
      <c r="C5" s="498"/>
      <c r="D5" s="123">
        <f>ROUND((D17+S31),0)</f>
        <v>107889</v>
      </c>
      <c r="E5" s="227"/>
      <c r="F5" s="249"/>
      <c r="G5" s="249"/>
    </row>
    <row r="6" spans="1:20" s="248" customFormat="1" ht="36" customHeight="1" x14ac:dyDescent="0.25">
      <c r="A6" s="497" t="s">
        <v>196</v>
      </c>
      <c r="B6" s="497"/>
      <c r="C6" s="498"/>
      <c r="D6" s="124">
        <f>I17</f>
        <v>48267</v>
      </c>
      <c r="E6" s="249"/>
      <c r="F6" s="249"/>
      <c r="G6" s="249"/>
    </row>
    <row r="7" spans="1:20" s="248" customFormat="1" ht="15.75" x14ac:dyDescent="0.25">
      <c r="A7" s="225"/>
      <c r="B7" s="85"/>
      <c r="C7" s="77"/>
      <c r="D7" s="77"/>
      <c r="E7" s="73"/>
      <c r="F7" s="74"/>
      <c r="G7" s="249"/>
      <c r="H7" s="249"/>
      <c r="I7" s="249"/>
    </row>
    <row r="8" spans="1:20" ht="15.75" x14ac:dyDescent="0.25">
      <c r="A8" s="483" t="s">
        <v>367</v>
      </c>
      <c r="B8" s="483"/>
      <c r="C8" s="483"/>
      <c r="D8" s="483"/>
      <c r="E8" s="483"/>
      <c r="F8" s="483"/>
      <c r="G8" s="483"/>
      <c r="H8" s="483"/>
      <c r="I8" s="483"/>
      <c r="J8" s="483"/>
    </row>
    <row r="9" spans="1:20" ht="15.75" customHeight="1" x14ac:dyDescent="0.25">
      <c r="A9" s="500" t="s">
        <v>56</v>
      </c>
      <c r="B9" s="500"/>
      <c r="C9" s="500"/>
      <c r="D9" s="500"/>
      <c r="E9" s="500"/>
      <c r="F9" s="500"/>
      <c r="G9" s="500"/>
      <c r="H9" s="384"/>
    </row>
    <row r="10" spans="1:20" s="219" customFormat="1" ht="31.5" x14ac:dyDescent="0.25">
      <c r="A10" s="159" t="s">
        <v>57</v>
      </c>
      <c r="B10" s="159" t="s">
        <v>291</v>
      </c>
      <c r="C10" s="159" t="s">
        <v>431</v>
      </c>
      <c r="D10" s="159" t="s">
        <v>292</v>
      </c>
      <c r="E10" s="125"/>
      <c r="F10" s="125"/>
      <c r="G10" s="125"/>
      <c r="H10" s="385"/>
    </row>
    <row r="11" spans="1:20" s="219" customFormat="1" ht="15.75" x14ac:dyDescent="0.25">
      <c r="A11" s="160">
        <v>93453</v>
      </c>
      <c r="B11" s="160">
        <f>A11/12</f>
        <v>7787.75</v>
      </c>
      <c r="C11" s="161">
        <v>5</v>
      </c>
      <c r="D11" s="160">
        <f>ROUND(B11*C11/100,0)</f>
        <v>389</v>
      </c>
      <c r="E11" s="125"/>
      <c r="F11" s="125"/>
      <c r="G11" s="125"/>
      <c r="H11" s="385"/>
    </row>
    <row r="12" spans="1:20" s="219" customFormat="1" ht="15.75" x14ac:dyDescent="0.25">
      <c r="B12" s="2"/>
      <c r="C12" s="161">
        <v>20</v>
      </c>
      <c r="D12" s="160">
        <f>ROUND(B11*C12/100,0)</f>
        <v>1558</v>
      </c>
      <c r="F12" s="2"/>
      <c r="G12" s="2"/>
      <c r="H12" s="125"/>
      <c r="I12" s="385"/>
    </row>
    <row r="13" spans="1:20" s="219" customFormat="1" ht="15.75" x14ac:dyDescent="0.25">
      <c r="A13" s="2" t="s">
        <v>432</v>
      </c>
      <c r="B13" s="2"/>
      <c r="C13" s="2"/>
      <c r="D13" s="2"/>
      <c r="E13" s="2"/>
      <c r="F13" s="2"/>
      <c r="G13" s="125"/>
      <c r="H13" s="385"/>
    </row>
    <row r="14" spans="1:20" s="219" customFormat="1" ht="15.75" x14ac:dyDescent="0.25">
      <c r="A14" s="2"/>
      <c r="B14" s="2"/>
      <c r="C14" s="2"/>
      <c r="D14" s="2"/>
      <c r="E14" s="2"/>
      <c r="F14" s="2"/>
      <c r="G14" s="125"/>
      <c r="H14" s="385"/>
    </row>
    <row r="15" spans="1:20" s="219" customFormat="1" ht="15.75" x14ac:dyDescent="0.25">
      <c r="A15" s="163" t="s">
        <v>192</v>
      </c>
      <c r="B15" s="2"/>
      <c r="C15" s="2"/>
      <c r="D15" s="2"/>
      <c r="F15" s="163" t="s">
        <v>193</v>
      </c>
      <c r="G15" s="385"/>
    </row>
    <row r="16" spans="1:20" s="219" customFormat="1" ht="78.75" x14ac:dyDescent="0.25">
      <c r="A16" s="157" t="s">
        <v>292</v>
      </c>
      <c r="B16" s="157" t="s">
        <v>293</v>
      </c>
      <c r="C16" s="157" t="s">
        <v>433</v>
      </c>
      <c r="D16" s="162" t="s">
        <v>294</v>
      </c>
      <c r="E16" s="75"/>
      <c r="F16" s="157" t="s">
        <v>58</v>
      </c>
      <c r="G16" s="157" t="s">
        <v>293</v>
      </c>
      <c r="H16" s="157" t="s">
        <v>271</v>
      </c>
      <c r="I16" s="162" t="s">
        <v>294</v>
      </c>
    </row>
    <row r="17" spans="1:20" s="219" customFormat="1" ht="15.75" x14ac:dyDescent="0.25">
      <c r="A17" s="158">
        <f>D11</f>
        <v>389</v>
      </c>
      <c r="B17" s="158">
        <f>A17*11</f>
        <v>4279</v>
      </c>
      <c r="C17" s="3">
        <v>4.7</v>
      </c>
      <c r="D17" s="53">
        <f>B17*C17</f>
        <v>20111.3</v>
      </c>
      <c r="E17" s="2"/>
      <c r="F17" s="158">
        <f>D11</f>
        <v>389</v>
      </c>
      <c r="G17" s="158">
        <f>F17*11</f>
        <v>4279</v>
      </c>
      <c r="H17" s="3">
        <v>11.28</v>
      </c>
      <c r="I17" s="53">
        <f>ROUND(G17*H17,0)</f>
        <v>48267</v>
      </c>
    </row>
    <row r="18" spans="1:20" s="219" customFormat="1" ht="15.75" x14ac:dyDescent="0.25">
      <c r="A18" s="125"/>
      <c r="B18" s="125"/>
      <c r="C18" s="125" t="s">
        <v>290</v>
      </c>
      <c r="D18" s="125"/>
      <c r="E18" s="125"/>
      <c r="F18" s="125"/>
      <c r="G18" s="125"/>
      <c r="H18" s="125" t="s">
        <v>290</v>
      </c>
    </row>
    <row r="19" spans="1:20" ht="15.75" x14ac:dyDescent="0.25">
      <c r="A19" s="1"/>
      <c r="B19" s="1"/>
      <c r="C19" s="1"/>
      <c r="D19" s="1"/>
      <c r="E19" s="1"/>
      <c r="F19" s="1"/>
      <c r="G19" s="1"/>
    </row>
    <row r="20" spans="1:20" ht="19.5" customHeight="1" x14ac:dyDescent="0.25">
      <c r="A20" s="501" t="s">
        <v>351</v>
      </c>
      <c r="B20" s="501"/>
      <c r="C20" s="501"/>
      <c r="D20" s="501"/>
      <c r="E20" s="501"/>
      <c r="F20" s="501"/>
      <c r="G20" s="501"/>
      <c r="H20" s="501"/>
      <c r="I20" s="501"/>
      <c r="J20" s="501"/>
    </row>
    <row r="21" spans="1:20" ht="15.75" x14ac:dyDescent="0.25">
      <c r="A21" s="1" t="s">
        <v>116</v>
      </c>
      <c r="B21" s="1"/>
      <c r="C21" s="1"/>
      <c r="D21" s="1"/>
      <c r="E21" s="1"/>
      <c r="F21" s="1"/>
      <c r="G21" s="1"/>
      <c r="H21" s="1"/>
    </row>
    <row r="22" spans="1:20" x14ac:dyDescent="0.25">
      <c r="A22" s="60" t="s">
        <v>111</v>
      </c>
      <c r="B22" s="55"/>
      <c r="C22" s="55"/>
      <c r="D22" s="55"/>
      <c r="E22" s="505" t="s">
        <v>176</v>
      </c>
      <c r="F22" s="505"/>
      <c r="G22" s="505"/>
      <c r="H22" s="213"/>
      <c r="I22" s="55"/>
      <c r="J22" s="55"/>
      <c r="K22" s="55"/>
      <c r="L22" s="55"/>
      <c r="M22" s="55"/>
      <c r="N22" s="55"/>
      <c r="O22" s="55"/>
      <c r="P22" s="55"/>
      <c r="Q22" s="55"/>
      <c r="R22" s="54"/>
      <c r="S22" s="54"/>
    </row>
    <row r="23" spans="1:20" ht="90" customHeight="1" x14ac:dyDescent="0.25">
      <c r="A23" s="386"/>
      <c r="B23" s="386"/>
      <c r="C23" s="386"/>
      <c r="D23" s="386"/>
      <c r="E23" s="386"/>
      <c r="F23" s="387" t="s">
        <v>143</v>
      </c>
      <c r="G23" s="387" t="s">
        <v>144</v>
      </c>
      <c r="H23" s="387" t="s">
        <v>145</v>
      </c>
      <c r="I23" s="472" t="s">
        <v>146</v>
      </c>
      <c r="J23" s="388"/>
      <c r="K23" s="386"/>
      <c r="L23" s="386"/>
      <c r="M23" s="386"/>
      <c r="N23" s="472" t="s">
        <v>147</v>
      </c>
      <c r="O23" s="472" t="s">
        <v>148</v>
      </c>
      <c r="P23" s="472" t="s">
        <v>149</v>
      </c>
      <c r="Q23" s="386"/>
      <c r="R23" s="324"/>
      <c r="S23" s="324"/>
    </row>
    <row r="24" spans="1:20" x14ac:dyDescent="0.25">
      <c r="A24" s="386"/>
      <c r="B24" s="386"/>
      <c r="C24" s="386"/>
      <c r="D24" s="386"/>
      <c r="E24" s="280" t="s">
        <v>150</v>
      </c>
      <c r="F24" s="281">
        <v>1862</v>
      </c>
      <c r="G24" s="281">
        <v>1117</v>
      </c>
      <c r="H24" s="281">
        <v>745</v>
      </c>
      <c r="I24" s="473"/>
      <c r="J24" s="386"/>
      <c r="K24" s="386"/>
      <c r="L24" s="386"/>
      <c r="M24" s="386"/>
      <c r="N24" s="473"/>
      <c r="O24" s="473"/>
      <c r="P24" s="473"/>
      <c r="Q24" s="386"/>
      <c r="R24" s="324"/>
      <c r="S24" s="324"/>
    </row>
    <row r="25" spans="1:20" x14ac:dyDescent="0.25">
      <c r="A25" s="386"/>
      <c r="B25" s="386"/>
      <c r="C25" s="386"/>
      <c r="D25" s="386"/>
      <c r="E25" s="280" t="s">
        <v>151</v>
      </c>
      <c r="F25" s="281">
        <f>ROUND(F24/9600,4)</f>
        <v>0.19400000000000001</v>
      </c>
      <c r="G25" s="281">
        <f t="shared" ref="G25" si="0">ROUND(G24/9600,4)</f>
        <v>0.1164</v>
      </c>
      <c r="H25" s="281">
        <f>ROUND(H24/9600,4)</f>
        <v>7.7600000000000002E-2</v>
      </c>
      <c r="I25" s="281">
        <v>0.2359</v>
      </c>
      <c r="J25" s="386"/>
      <c r="K25" s="386"/>
      <c r="L25" s="386"/>
      <c r="M25" s="280" t="s">
        <v>152</v>
      </c>
      <c r="N25" s="281">
        <v>0.31330000000000002</v>
      </c>
      <c r="O25" s="281">
        <v>2.5100000000000001E-2</v>
      </c>
      <c r="P25" s="281">
        <v>4.0099999999999997E-2</v>
      </c>
      <c r="Q25" s="386"/>
      <c r="R25" s="324"/>
      <c r="S25" s="324"/>
    </row>
    <row r="26" spans="1:20" x14ac:dyDescent="0.25">
      <c r="A26" s="386"/>
      <c r="B26" s="386"/>
      <c r="C26" s="386"/>
      <c r="D26" s="386"/>
      <c r="E26" s="386"/>
      <c r="F26" s="386"/>
      <c r="G26" s="386"/>
      <c r="H26" s="386"/>
      <c r="I26" s="386"/>
      <c r="J26" s="386"/>
      <c r="K26" s="386"/>
      <c r="L26" s="386"/>
      <c r="M26" s="386"/>
      <c r="N26" s="386"/>
      <c r="O26" s="386"/>
      <c r="P26" s="386"/>
      <c r="Q26" s="386"/>
      <c r="R26" s="324"/>
      <c r="S26" s="324"/>
    </row>
    <row r="27" spans="1:20" ht="15" customHeight="1" x14ac:dyDescent="0.25">
      <c r="A27" s="470" t="s">
        <v>153</v>
      </c>
      <c r="B27" s="470" t="s">
        <v>112</v>
      </c>
      <c r="C27" s="470" t="s">
        <v>154</v>
      </c>
      <c r="D27" s="470"/>
      <c r="E27" s="470"/>
      <c r="F27" s="470"/>
      <c r="G27" s="470"/>
      <c r="H27" s="470"/>
      <c r="I27" s="470"/>
      <c r="J27" s="470"/>
      <c r="K27" s="470"/>
      <c r="L27" s="470"/>
      <c r="M27" s="470"/>
      <c r="N27" s="470"/>
      <c r="O27" s="470"/>
      <c r="P27" s="470"/>
      <c r="Q27" s="470" t="s">
        <v>115</v>
      </c>
      <c r="R27" s="389"/>
      <c r="S27" s="389"/>
      <c r="T27" s="390"/>
    </row>
    <row r="28" spans="1:20" ht="75" customHeight="1" x14ac:dyDescent="0.25">
      <c r="A28" s="470"/>
      <c r="B28" s="470"/>
      <c r="C28" s="470" t="s">
        <v>155</v>
      </c>
      <c r="D28" s="470"/>
      <c r="E28" s="470"/>
      <c r="F28" s="470" t="s">
        <v>156</v>
      </c>
      <c r="G28" s="470"/>
      <c r="H28" s="470"/>
      <c r="I28" s="273" t="s">
        <v>157</v>
      </c>
      <c r="J28" s="470" t="s">
        <v>158</v>
      </c>
      <c r="K28" s="470"/>
      <c r="L28" s="470"/>
      <c r="M28" s="470" t="s">
        <v>159</v>
      </c>
      <c r="N28" s="470" t="s">
        <v>160</v>
      </c>
      <c r="O28" s="470" t="s">
        <v>161</v>
      </c>
      <c r="P28" s="470" t="s">
        <v>162</v>
      </c>
      <c r="Q28" s="467"/>
      <c r="R28" s="503" t="s">
        <v>295</v>
      </c>
      <c r="S28" s="502" t="s">
        <v>296</v>
      </c>
      <c r="T28" s="502" t="s">
        <v>267</v>
      </c>
    </row>
    <row r="29" spans="1:20" ht="60" customHeight="1" x14ac:dyDescent="0.25">
      <c r="A29" s="470"/>
      <c r="B29" s="470"/>
      <c r="C29" s="273" t="s">
        <v>163</v>
      </c>
      <c r="D29" s="273" t="s">
        <v>164</v>
      </c>
      <c r="E29" s="273" t="s">
        <v>165</v>
      </c>
      <c r="F29" s="273" t="s">
        <v>163</v>
      </c>
      <c r="G29" s="273" t="s">
        <v>164</v>
      </c>
      <c r="H29" s="273" t="s">
        <v>166</v>
      </c>
      <c r="I29" s="273" t="s">
        <v>167</v>
      </c>
      <c r="J29" s="273" t="s">
        <v>168</v>
      </c>
      <c r="K29" s="274" t="s">
        <v>113</v>
      </c>
      <c r="L29" s="273" t="s">
        <v>114</v>
      </c>
      <c r="M29" s="470"/>
      <c r="N29" s="470"/>
      <c r="O29" s="470"/>
      <c r="P29" s="470"/>
      <c r="Q29" s="467"/>
      <c r="R29" s="504"/>
      <c r="S29" s="502"/>
      <c r="T29" s="502"/>
    </row>
    <row r="30" spans="1:20" x14ac:dyDescent="0.25">
      <c r="A30" s="275">
        <v>1</v>
      </c>
      <c r="B30" s="275">
        <v>2</v>
      </c>
      <c r="C30" s="275">
        <v>3</v>
      </c>
      <c r="D30" s="275">
        <v>4</v>
      </c>
      <c r="E30" s="275">
        <v>5</v>
      </c>
      <c r="F30" s="275">
        <v>6</v>
      </c>
      <c r="G30" s="275">
        <v>7</v>
      </c>
      <c r="H30" s="275">
        <v>8</v>
      </c>
      <c r="I30" s="275">
        <v>9</v>
      </c>
      <c r="J30" s="275" t="s">
        <v>169</v>
      </c>
      <c r="K30" s="275">
        <v>11</v>
      </c>
      <c r="L30" s="275">
        <v>12</v>
      </c>
      <c r="M30" s="275">
        <v>13</v>
      </c>
      <c r="N30" s="275">
        <v>14</v>
      </c>
      <c r="O30" s="275">
        <v>15</v>
      </c>
      <c r="P30" s="275">
        <v>16</v>
      </c>
      <c r="Q30" s="275">
        <v>17</v>
      </c>
      <c r="R30" s="228">
        <v>18</v>
      </c>
      <c r="S30" s="391">
        <v>19</v>
      </c>
      <c r="T30" s="392">
        <v>20</v>
      </c>
    </row>
    <row r="31" spans="1:20" ht="69" customHeight="1" x14ac:dyDescent="0.25">
      <c r="A31" s="56" t="s">
        <v>170</v>
      </c>
      <c r="B31" s="42" t="s">
        <v>177</v>
      </c>
      <c r="C31" s="43">
        <v>30</v>
      </c>
      <c r="D31" s="43">
        <v>0</v>
      </c>
      <c r="E31" s="43">
        <v>0</v>
      </c>
      <c r="F31" s="44">
        <f>ROUND((C31*$F$25),2)</f>
        <v>5.82</v>
      </c>
      <c r="G31" s="44">
        <f>ROUND((D31*$F$25),2)</f>
        <v>0</v>
      </c>
      <c r="H31" s="44">
        <f>ROUND((E31*$F$25),2)</f>
        <v>0</v>
      </c>
      <c r="I31" s="44">
        <f>ROUND(((G31+F31+H31)*$I$25),2)</f>
        <v>1.37</v>
      </c>
      <c r="J31" s="276">
        <f>K31+L31</f>
        <v>0</v>
      </c>
      <c r="K31" s="276">
        <v>0</v>
      </c>
      <c r="L31" s="276">
        <v>0</v>
      </c>
      <c r="M31" s="44"/>
      <c r="N31" s="44">
        <f>ROUND((F31+G31+H31)*$N$25,2)</f>
        <v>1.82</v>
      </c>
      <c r="O31" s="44">
        <f>ROUND((F31+G31+H31)*$O$25,2)</f>
        <v>0.15</v>
      </c>
      <c r="P31" s="44">
        <f>ROUND((F31+G31+H31)*$P$25,2)</f>
        <v>0.23</v>
      </c>
      <c r="Q31" s="393">
        <f>ROUND((F31+G31+H31+I31+J31+M31+N31+O31+P31),2)</f>
        <v>9.39</v>
      </c>
      <c r="R31" s="394">
        <f>D12</f>
        <v>1558</v>
      </c>
      <c r="S31" s="395">
        <f>(Q31*R31)*6</f>
        <v>87777.72</v>
      </c>
      <c r="T31" s="395">
        <f>ROUND((Q31*R31)*12,0)</f>
        <v>175555</v>
      </c>
    </row>
    <row r="34" spans="2:4" x14ac:dyDescent="0.25">
      <c r="B34" s="170"/>
      <c r="C34" s="170"/>
      <c r="D34" s="396"/>
    </row>
  </sheetData>
  <mergeCells count="27">
    <mergeCell ref="P23:P24"/>
    <mergeCell ref="C27:L27"/>
    <mergeCell ref="M27:P27"/>
    <mergeCell ref="Q27:Q29"/>
    <mergeCell ref="C28:E28"/>
    <mergeCell ref="F28:H28"/>
    <mergeCell ref="J28:L28"/>
    <mergeCell ref="P28:P29"/>
    <mergeCell ref="M28:M29"/>
    <mergeCell ref="N28:N29"/>
    <mergeCell ref="O28:O29"/>
    <mergeCell ref="R1:T1"/>
    <mergeCell ref="A5:C5"/>
    <mergeCell ref="A6:C6"/>
    <mergeCell ref="A1:M1"/>
    <mergeCell ref="B27:B29"/>
    <mergeCell ref="O23:O24"/>
    <mergeCell ref="A27:A29"/>
    <mergeCell ref="N23:N24"/>
    <mergeCell ref="A9:G9"/>
    <mergeCell ref="A20:J20"/>
    <mergeCell ref="A8:J8"/>
    <mergeCell ref="T28:T29"/>
    <mergeCell ref="S28:S29"/>
    <mergeCell ref="R28:R29"/>
    <mergeCell ref="E22:G22"/>
    <mergeCell ref="I23:I24"/>
  </mergeCells>
  <pageMargins left="0.7" right="0.7" top="0.75" bottom="0.75" header="0.3" footer="0.3"/>
  <pageSetup paperSize="9" scale="38"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5"/>
  <sheetViews>
    <sheetView zoomScale="80" zoomScaleNormal="80" workbookViewId="0">
      <selection activeCell="F56" sqref="F56"/>
    </sheetView>
  </sheetViews>
  <sheetFormatPr defaultColWidth="8.7109375" defaultRowHeight="15" x14ac:dyDescent="0.25"/>
  <cols>
    <col min="1" max="1" width="10.42578125" style="87" customWidth="1"/>
    <col min="2" max="2" width="42.85546875" style="87" customWidth="1"/>
    <col min="3" max="3" width="21.42578125" style="87" customWidth="1"/>
    <col min="4" max="4" width="23.7109375" style="87" customWidth="1"/>
    <col min="5" max="5" width="8.7109375" style="87"/>
    <col min="6" max="6" width="10.28515625" style="87" customWidth="1"/>
    <col min="7" max="7" width="17" style="87" customWidth="1"/>
    <col min="8" max="8" width="16.140625" style="87" customWidth="1"/>
    <col min="9" max="9" width="49.42578125" style="87" customWidth="1"/>
    <col min="10" max="10" width="10.42578125" style="87" customWidth="1"/>
    <col min="11" max="11" width="42.42578125" style="87" customWidth="1"/>
    <col min="12" max="12" width="11.28515625" style="87" customWidth="1"/>
    <col min="13" max="16384" width="8.7109375" style="87"/>
  </cols>
  <sheetData>
    <row r="1" spans="1:11" ht="39.75" x14ac:dyDescent="0.3">
      <c r="A1" s="495" t="s">
        <v>268</v>
      </c>
      <c r="B1" s="495"/>
      <c r="C1" s="495"/>
      <c r="D1" s="495"/>
      <c r="E1" s="495"/>
      <c r="F1" s="495"/>
      <c r="G1" s="495"/>
      <c r="H1" s="495"/>
      <c r="I1" s="365" t="s">
        <v>427</v>
      </c>
      <c r="K1" s="397"/>
    </row>
    <row r="2" spans="1:11" ht="15.75" x14ac:dyDescent="0.25">
      <c r="A2" s="507" t="s">
        <v>208</v>
      </c>
      <c r="B2" s="507"/>
      <c r="C2" s="507"/>
      <c r="D2" s="507"/>
      <c r="E2" s="507"/>
      <c r="F2" s="507"/>
      <c r="G2" s="507"/>
      <c r="H2" s="507"/>
      <c r="I2" s="246"/>
    </row>
    <row r="3" spans="1:11" ht="39" customHeight="1" x14ac:dyDescent="0.25">
      <c r="A3" s="463" t="s">
        <v>347</v>
      </c>
      <c r="B3" s="463"/>
      <c r="C3" s="463"/>
      <c r="D3" s="463"/>
      <c r="E3" s="463"/>
      <c r="F3" s="463"/>
      <c r="G3" s="463"/>
      <c r="H3" s="463"/>
      <c r="I3" s="367"/>
    </row>
    <row r="4" spans="1:11" ht="15" customHeight="1" x14ac:dyDescent="0.25">
      <c r="A4" s="367"/>
      <c r="B4" s="367"/>
      <c r="C4" s="367"/>
      <c r="D4" s="367"/>
      <c r="E4" s="367"/>
      <c r="F4" s="367"/>
      <c r="G4" s="367"/>
      <c r="H4" s="367"/>
      <c r="I4" s="367"/>
    </row>
    <row r="5" spans="1:11" s="248" customFormat="1" ht="15.75" x14ac:dyDescent="0.25">
      <c r="A5" s="78" t="s">
        <v>54</v>
      </c>
      <c r="B5" s="76"/>
      <c r="C5" s="76"/>
      <c r="D5" s="65"/>
      <c r="E5" s="58"/>
      <c r="F5" s="249"/>
      <c r="G5" s="249"/>
      <c r="H5" s="249"/>
    </row>
    <row r="6" spans="1:11" s="248" customFormat="1" ht="15.75" x14ac:dyDescent="0.25">
      <c r="A6" s="86" t="s">
        <v>196</v>
      </c>
      <c r="B6" s="77"/>
      <c r="C6" s="77"/>
      <c r="D6" s="68"/>
      <c r="E6" s="59"/>
      <c r="F6" s="249"/>
      <c r="G6" s="249"/>
      <c r="H6" s="249"/>
    </row>
    <row r="7" spans="1:11" s="248" customFormat="1" ht="15.75" x14ac:dyDescent="0.25">
      <c r="A7" s="355"/>
      <c r="B7" s="86"/>
      <c r="C7" s="77"/>
      <c r="D7" s="77"/>
      <c r="E7" s="68"/>
      <c r="F7" s="59"/>
      <c r="G7" s="249"/>
      <c r="H7" s="249"/>
      <c r="I7" s="249"/>
    </row>
    <row r="8" spans="1:11" x14ac:dyDescent="0.25">
      <c r="B8" s="214" t="s">
        <v>444</v>
      </c>
      <c r="D8" s="132">
        <f>ROUND(((1800+1950+1800)/3),2)</f>
        <v>1850</v>
      </c>
      <c r="E8" s="132">
        <v>0.2359</v>
      </c>
    </row>
    <row r="9" spans="1:11" s="413" customFormat="1" ht="51" customHeight="1" x14ac:dyDescent="0.25">
      <c r="A9" s="168" t="s">
        <v>74</v>
      </c>
      <c r="B9" s="168" t="s">
        <v>75</v>
      </c>
      <c r="C9" s="411" t="s">
        <v>76</v>
      </c>
      <c r="D9" s="168" t="s">
        <v>314</v>
      </c>
      <c r="E9" s="168" t="s">
        <v>326</v>
      </c>
      <c r="F9" s="168" t="s">
        <v>325</v>
      </c>
      <c r="G9" s="412" t="s">
        <v>218</v>
      </c>
      <c r="H9" s="168" t="s">
        <v>219</v>
      </c>
    </row>
    <row r="10" spans="1:11" ht="24.75" customHeight="1" x14ac:dyDescent="0.25">
      <c r="A10" s="414" t="s">
        <v>80</v>
      </c>
      <c r="B10" s="81" t="s">
        <v>81</v>
      </c>
      <c r="C10" s="83">
        <v>1</v>
      </c>
      <c r="D10" s="126">
        <f t="shared" ref="D10:D48" si="0">C10*$D$8</f>
        <v>1850</v>
      </c>
      <c r="E10" s="126">
        <f>ROUND((D10*$E$8),2)</f>
        <v>436.42</v>
      </c>
      <c r="F10" s="415">
        <f>ROUND((D10+E10),0)</f>
        <v>2286</v>
      </c>
      <c r="G10" s="416">
        <f>F10*9</f>
        <v>20574</v>
      </c>
      <c r="H10" s="119">
        <f>F10*12</f>
        <v>27432</v>
      </c>
    </row>
    <row r="11" spans="1:11" ht="29.25" customHeight="1" x14ac:dyDescent="0.25">
      <c r="A11" s="414" t="s">
        <v>80</v>
      </c>
      <c r="B11" s="81" t="s">
        <v>82</v>
      </c>
      <c r="C11" s="83">
        <v>1</v>
      </c>
      <c r="D11" s="126">
        <f t="shared" si="0"/>
        <v>1850</v>
      </c>
      <c r="E11" s="126">
        <f t="shared" ref="E11:E48" si="1">ROUND((D11*$E$8),2)</f>
        <v>436.42</v>
      </c>
      <c r="F11" s="415">
        <f t="shared" ref="F11:F48" si="2">ROUND((D11+E11),0)</f>
        <v>2286</v>
      </c>
      <c r="G11" s="416">
        <f t="shared" ref="G11:G48" si="3">F11*9</f>
        <v>20574</v>
      </c>
      <c r="H11" s="119">
        <f t="shared" ref="H11:H48" si="4">F11*12</f>
        <v>27432</v>
      </c>
    </row>
    <row r="12" spans="1:11" x14ac:dyDescent="0.25">
      <c r="A12" s="414" t="s">
        <v>80</v>
      </c>
      <c r="B12" s="81" t="s">
        <v>83</v>
      </c>
      <c r="C12" s="83">
        <v>1</v>
      </c>
      <c r="D12" s="126">
        <f t="shared" si="0"/>
        <v>1850</v>
      </c>
      <c r="E12" s="126">
        <f t="shared" si="1"/>
        <v>436.42</v>
      </c>
      <c r="F12" s="415">
        <f t="shared" si="2"/>
        <v>2286</v>
      </c>
      <c r="G12" s="416">
        <f t="shared" si="3"/>
        <v>20574</v>
      </c>
      <c r="H12" s="119">
        <f t="shared" si="4"/>
        <v>27432</v>
      </c>
    </row>
    <row r="13" spans="1:11" x14ac:dyDescent="0.25">
      <c r="A13" s="417" t="s">
        <v>84</v>
      </c>
      <c r="B13" s="81" t="s">
        <v>85</v>
      </c>
      <c r="C13" s="83">
        <v>1</v>
      </c>
      <c r="D13" s="126">
        <f t="shared" si="0"/>
        <v>1850</v>
      </c>
      <c r="E13" s="126">
        <f t="shared" si="1"/>
        <v>436.42</v>
      </c>
      <c r="F13" s="415">
        <f t="shared" si="2"/>
        <v>2286</v>
      </c>
      <c r="G13" s="416">
        <f t="shared" si="3"/>
        <v>20574</v>
      </c>
      <c r="H13" s="119">
        <f t="shared" si="4"/>
        <v>27432</v>
      </c>
    </row>
    <row r="14" spans="1:11" x14ac:dyDescent="0.25">
      <c r="A14" s="417" t="s">
        <v>84</v>
      </c>
      <c r="B14" s="81" t="s">
        <v>86</v>
      </c>
      <c r="C14" s="83">
        <v>1</v>
      </c>
      <c r="D14" s="126">
        <f t="shared" si="0"/>
        <v>1850</v>
      </c>
      <c r="E14" s="126">
        <f t="shared" si="1"/>
        <v>436.42</v>
      </c>
      <c r="F14" s="415">
        <f t="shared" si="2"/>
        <v>2286</v>
      </c>
      <c r="G14" s="416">
        <f t="shared" si="3"/>
        <v>20574</v>
      </c>
      <c r="H14" s="119">
        <f t="shared" si="4"/>
        <v>27432</v>
      </c>
    </row>
    <row r="15" spans="1:11" x14ac:dyDescent="0.25">
      <c r="A15" s="417" t="s">
        <v>84</v>
      </c>
      <c r="B15" s="82" t="s">
        <v>87</v>
      </c>
      <c r="C15" s="83">
        <v>1</v>
      </c>
      <c r="D15" s="126">
        <f t="shared" si="0"/>
        <v>1850</v>
      </c>
      <c r="E15" s="126">
        <f t="shared" si="1"/>
        <v>436.42</v>
      </c>
      <c r="F15" s="415">
        <f t="shared" si="2"/>
        <v>2286</v>
      </c>
      <c r="G15" s="416">
        <f t="shared" si="3"/>
        <v>20574</v>
      </c>
      <c r="H15" s="119">
        <f t="shared" si="4"/>
        <v>27432</v>
      </c>
    </row>
    <row r="16" spans="1:11" x14ac:dyDescent="0.25">
      <c r="A16" s="417" t="s">
        <v>84</v>
      </c>
      <c r="B16" s="81" t="s">
        <v>88</v>
      </c>
      <c r="C16" s="83">
        <v>1</v>
      </c>
      <c r="D16" s="126">
        <f t="shared" si="0"/>
        <v>1850</v>
      </c>
      <c r="E16" s="126">
        <f t="shared" si="1"/>
        <v>436.42</v>
      </c>
      <c r="F16" s="415">
        <f t="shared" si="2"/>
        <v>2286</v>
      </c>
      <c r="G16" s="416">
        <f t="shared" si="3"/>
        <v>20574</v>
      </c>
      <c r="H16" s="119">
        <f t="shared" si="4"/>
        <v>27432</v>
      </c>
    </row>
    <row r="17" spans="1:8" x14ac:dyDescent="0.25">
      <c r="A17" s="417" t="s">
        <v>84</v>
      </c>
      <c r="B17" s="81" t="s">
        <v>89</v>
      </c>
      <c r="C17" s="83">
        <v>1</v>
      </c>
      <c r="D17" s="126">
        <f t="shared" si="0"/>
        <v>1850</v>
      </c>
      <c r="E17" s="126">
        <f t="shared" si="1"/>
        <v>436.42</v>
      </c>
      <c r="F17" s="415">
        <f t="shared" si="2"/>
        <v>2286</v>
      </c>
      <c r="G17" s="416">
        <f t="shared" si="3"/>
        <v>20574</v>
      </c>
      <c r="H17" s="119">
        <f t="shared" si="4"/>
        <v>27432</v>
      </c>
    </row>
    <row r="18" spans="1:8" x14ac:dyDescent="0.25">
      <c r="A18" s="417" t="s">
        <v>84</v>
      </c>
      <c r="B18" s="81" t="s">
        <v>90</v>
      </c>
      <c r="C18" s="83">
        <v>1</v>
      </c>
      <c r="D18" s="126">
        <f t="shared" si="0"/>
        <v>1850</v>
      </c>
      <c r="E18" s="126">
        <f t="shared" si="1"/>
        <v>436.42</v>
      </c>
      <c r="F18" s="415">
        <f t="shared" si="2"/>
        <v>2286</v>
      </c>
      <c r="G18" s="416">
        <f t="shared" si="3"/>
        <v>20574</v>
      </c>
      <c r="H18" s="119">
        <f t="shared" si="4"/>
        <v>27432</v>
      </c>
    </row>
    <row r="19" spans="1:8" x14ac:dyDescent="0.25">
      <c r="A19" s="417" t="s">
        <v>84</v>
      </c>
      <c r="B19" s="81" t="s">
        <v>91</v>
      </c>
      <c r="C19" s="83">
        <v>1</v>
      </c>
      <c r="D19" s="126">
        <f t="shared" si="0"/>
        <v>1850</v>
      </c>
      <c r="E19" s="126">
        <f t="shared" si="1"/>
        <v>436.42</v>
      </c>
      <c r="F19" s="415">
        <f t="shared" si="2"/>
        <v>2286</v>
      </c>
      <c r="G19" s="416">
        <f t="shared" si="3"/>
        <v>20574</v>
      </c>
      <c r="H19" s="119">
        <f t="shared" si="4"/>
        <v>27432</v>
      </c>
    </row>
    <row r="20" spans="1:8" ht="31.5" customHeight="1" x14ac:dyDescent="0.25">
      <c r="A20" s="417" t="s">
        <v>92</v>
      </c>
      <c r="B20" s="81" t="s">
        <v>93</v>
      </c>
      <c r="C20" s="83">
        <v>0.5</v>
      </c>
      <c r="D20" s="126">
        <f t="shared" si="0"/>
        <v>925</v>
      </c>
      <c r="E20" s="126">
        <f t="shared" si="1"/>
        <v>218.21</v>
      </c>
      <c r="F20" s="415">
        <f t="shared" si="2"/>
        <v>1143</v>
      </c>
      <c r="G20" s="416">
        <f t="shared" si="3"/>
        <v>10287</v>
      </c>
      <c r="H20" s="119">
        <f t="shared" si="4"/>
        <v>13716</v>
      </c>
    </row>
    <row r="21" spans="1:8" x14ac:dyDescent="0.25">
      <c r="A21" s="417" t="s">
        <v>92</v>
      </c>
      <c r="B21" s="81" t="s">
        <v>94</v>
      </c>
      <c r="C21" s="83">
        <v>0.5</v>
      </c>
      <c r="D21" s="126">
        <f t="shared" si="0"/>
        <v>925</v>
      </c>
      <c r="E21" s="126">
        <f t="shared" si="1"/>
        <v>218.21</v>
      </c>
      <c r="F21" s="415">
        <f t="shared" si="2"/>
        <v>1143</v>
      </c>
      <c r="G21" s="416">
        <f t="shared" si="3"/>
        <v>10287</v>
      </c>
      <c r="H21" s="119">
        <f t="shared" si="4"/>
        <v>13716</v>
      </c>
    </row>
    <row r="22" spans="1:8" x14ac:dyDescent="0.25">
      <c r="A22" s="417" t="s">
        <v>92</v>
      </c>
      <c r="B22" s="81" t="s">
        <v>95</v>
      </c>
      <c r="C22" s="83">
        <v>0.5</v>
      </c>
      <c r="D22" s="126">
        <f t="shared" si="0"/>
        <v>925</v>
      </c>
      <c r="E22" s="126">
        <f t="shared" si="1"/>
        <v>218.21</v>
      </c>
      <c r="F22" s="415">
        <f t="shared" si="2"/>
        <v>1143</v>
      </c>
      <c r="G22" s="416">
        <f t="shared" si="3"/>
        <v>10287</v>
      </c>
      <c r="H22" s="119">
        <f t="shared" si="4"/>
        <v>13716</v>
      </c>
    </row>
    <row r="23" spans="1:8" x14ac:dyDescent="0.25">
      <c r="A23" s="417" t="s">
        <v>92</v>
      </c>
      <c r="B23" s="81" t="s">
        <v>96</v>
      </c>
      <c r="C23" s="83">
        <v>0.5</v>
      </c>
      <c r="D23" s="126">
        <f t="shared" si="0"/>
        <v>925</v>
      </c>
      <c r="E23" s="126">
        <f t="shared" si="1"/>
        <v>218.21</v>
      </c>
      <c r="F23" s="415">
        <f t="shared" si="2"/>
        <v>1143</v>
      </c>
      <c r="G23" s="416">
        <f t="shared" si="3"/>
        <v>10287</v>
      </c>
      <c r="H23" s="119">
        <f t="shared" si="4"/>
        <v>13716</v>
      </c>
    </row>
    <row r="24" spans="1:8" x14ac:dyDescent="0.25">
      <c r="A24" s="417" t="s">
        <v>92</v>
      </c>
      <c r="B24" s="81" t="s">
        <v>97</v>
      </c>
      <c r="C24" s="83">
        <v>0.5</v>
      </c>
      <c r="D24" s="126">
        <f t="shared" si="0"/>
        <v>925</v>
      </c>
      <c r="E24" s="126">
        <f t="shared" si="1"/>
        <v>218.21</v>
      </c>
      <c r="F24" s="415">
        <f t="shared" si="2"/>
        <v>1143</v>
      </c>
      <c r="G24" s="416">
        <f t="shared" si="3"/>
        <v>10287</v>
      </c>
      <c r="H24" s="119">
        <f t="shared" si="4"/>
        <v>13716</v>
      </c>
    </row>
    <row r="25" spans="1:8" x14ac:dyDescent="0.25">
      <c r="A25" s="417" t="s">
        <v>92</v>
      </c>
      <c r="B25" s="81" t="s">
        <v>98</v>
      </c>
      <c r="C25" s="83">
        <v>0.5</v>
      </c>
      <c r="D25" s="126">
        <f t="shared" si="0"/>
        <v>925</v>
      </c>
      <c r="E25" s="126">
        <f t="shared" si="1"/>
        <v>218.21</v>
      </c>
      <c r="F25" s="415">
        <f t="shared" si="2"/>
        <v>1143</v>
      </c>
      <c r="G25" s="416">
        <f t="shared" si="3"/>
        <v>10287</v>
      </c>
      <c r="H25" s="119">
        <f t="shared" si="4"/>
        <v>13716</v>
      </c>
    </row>
    <row r="26" spans="1:8" x14ac:dyDescent="0.25">
      <c r="A26" s="417" t="s">
        <v>92</v>
      </c>
      <c r="B26" s="81" t="s">
        <v>99</v>
      </c>
      <c r="C26" s="83">
        <v>0.5</v>
      </c>
      <c r="D26" s="126">
        <f t="shared" si="0"/>
        <v>925</v>
      </c>
      <c r="E26" s="126">
        <f t="shared" si="1"/>
        <v>218.21</v>
      </c>
      <c r="F26" s="415">
        <f t="shared" si="2"/>
        <v>1143</v>
      </c>
      <c r="G26" s="416">
        <f t="shared" si="3"/>
        <v>10287</v>
      </c>
      <c r="H26" s="119">
        <f t="shared" si="4"/>
        <v>13716</v>
      </c>
    </row>
    <row r="27" spans="1:8" x14ac:dyDescent="0.25">
      <c r="A27" s="417" t="s">
        <v>100</v>
      </c>
      <c r="B27" s="81" t="s">
        <v>101</v>
      </c>
      <c r="C27" s="83">
        <v>0.5</v>
      </c>
      <c r="D27" s="126">
        <f t="shared" si="0"/>
        <v>925</v>
      </c>
      <c r="E27" s="126">
        <f t="shared" si="1"/>
        <v>218.21</v>
      </c>
      <c r="F27" s="415">
        <f t="shared" si="2"/>
        <v>1143</v>
      </c>
      <c r="G27" s="416">
        <f t="shared" si="3"/>
        <v>10287</v>
      </c>
      <c r="H27" s="119">
        <f t="shared" si="4"/>
        <v>13716</v>
      </c>
    </row>
    <row r="28" spans="1:8" x14ac:dyDescent="0.25">
      <c r="A28" s="417" t="s">
        <v>100</v>
      </c>
      <c r="B28" s="81" t="s">
        <v>117</v>
      </c>
      <c r="C28" s="83">
        <v>0.5</v>
      </c>
      <c r="D28" s="126">
        <f t="shared" si="0"/>
        <v>925</v>
      </c>
      <c r="E28" s="126">
        <f t="shared" si="1"/>
        <v>218.21</v>
      </c>
      <c r="F28" s="415">
        <f t="shared" si="2"/>
        <v>1143</v>
      </c>
      <c r="G28" s="416">
        <f t="shared" si="3"/>
        <v>10287</v>
      </c>
      <c r="H28" s="119">
        <f t="shared" si="4"/>
        <v>13716</v>
      </c>
    </row>
    <row r="29" spans="1:8" x14ac:dyDescent="0.25">
      <c r="A29" s="417" t="s">
        <v>100</v>
      </c>
      <c r="B29" s="81" t="s">
        <v>118</v>
      </c>
      <c r="C29" s="83">
        <v>0.5</v>
      </c>
      <c r="D29" s="126">
        <f t="shared" si="0"/>
        <v>925</v>
      </c>
      <c r="E29" s="126">
        <f t="shared" si="1"/>
        <v>218.21</v>
      </c>
      <c r="F29" s="415">
        <f t="shared" si="2"/>
        <v>1143</v>
      </c>
      <c r="G29" s="416">
        <f t="shared" si="3"/>
        <v>10287</v>
      </c>
      <c r="H29" s="119">
        <f t="shared" si="4"/>
        <v>13716</v>
      </c>
    </row>
    <row r="30" spans="1:8" x14ac:dyDescent="0.25">
      <c r="A30" s="417" t="s">
        <v>100</v>
      </c>
      <c r="B30" s="81" t="s">
        <v>119</v>
      </c>
      <c r="C30" s="83">
        <v>0.5</v>
      </c>
      <c r="D30" s="126">
        <f t="shared" si="0"/>
        <v>925</v>
      </c>
      <c r="E30" s="126">
        <f t="shared" si="1"/>
        <v>218.21</v>
      </c>
      <c r="F30" s="415">
        <f t="shared" si="2"/>
        <v>1143</v>
      </c>
      <c r="G30" s="416">
        <f t="shared" si="3"/>
        <v>10287</v>
      </c>
      <c r="H30" s="119">
        <f t="shared" si="4"/>
        <v>13716</v>
      </c>
    </row>
    <row r="31" spans="1:8" ht="25.5" x14ac:dyDescent="0.25">
      <c r="A31" s="417" t="s">
        <v>120</v>
      </c>
      <c r="B31" s="81" t="s">
        <v>121</v>
      </c>
      <c r="C31" s="83">
        <v>0.5</v>
      </c>
      <c r="D31" s="126">
        <f t="shared" si="0"/>
        <v>925</v>
      </c>
      <c r="E31" s="126">
        <f t="shared" si="1"/>
        <v>218.21</v>
      </c>
      <c r="F31" s="415">
        <f t="shared" si="2"/>
        <v>1143</v>
      </c>
      <c r="G31" s="416">
        <f t="shared" si="3"/>
        <v>10287</v>
      </c>
      <c r="H31" s="119">
        <f t="shared" si="4"/>
        <v>13716</v>
      </c>
    </row>
    <row r="32" spans="1:8" x14ac:dyDescent="0.25">
      <c r="A32" s="417" t="s">
        <v>120</v>
      </c>
      <c r="B32" s="81" t="s">
        <v>122</v>
      </c>
      <c r="C32" s="83">
        <v>0.5</v>
      </c>
      <c r="D32" s="126">
        <f t="shared" si="0"/>
        <v>925</v>
      </c>
      <c r="E32" s="126">
        <f t="shared" si="1"/>
        <v>218.21</v>
      </c>
      <c r="F32" s="415">
        <f t="shared" si="2"/>
        <v>1143</v>
      </c>
      <c r="G32" s="416">
        <f t="shared" si="3"/>
        <v>10287</v>
      </c>
      <c r="H32" s="119">
        <f t="shared" si="4"/>
        <v>13716</v>
      </c>
    </row>
    <row r="33" spans="1:8" x14ac:dyDescent="0.25">
      <c r="A33" s="417" t="s">
        <v>120</v>
      </c>
      <c r="B33" s="81" t="s">
        <v>123</v>
      </c>
      <c r="C33" s="83">
        <v>0.5</v>
      </c>
      <c r="D33" s="126">
        <f t="shared" si="0"/>
        <v>925</v>
      </c>
      <c r="E33" s="126">
        <f t="shared" si="1"/>
        <v>218.21</v>
      </c>
      <c r="F33" s="415">
        <f t="shared" si="2"/>
        <v>1143</v>
      </c>
      <c r="G33" s="416">
        <f t="shared" si="3"/>
        <v>10287</v>
      </c>
      <c r="H33" s="119">
        <f t="shared" si="4"/>
        <v>13716</v>
      </c>
    </row>
    <row r="34" spans="1:8" x14ac:dyDescent="0.25">
      <c r="A34" s="417" t="s">
        <v>120</v>
      </c>
      <c r="B34" s="81" t="s">
        <v>124</v>
      </c>
      <c r="C34" s="83">
        <v>0.5</v>
      </c>
      <c r="D34" s="126">
        <f t="shared" si="0"/>
        <v>925</v>
      </c>
      <c r="E34" s="126">
        <f t="shared" si="1"/>
        <v>218.21</v>
      </c>
      <c r="F34" s="415">
        <f t="shared" si="2"/>
        <v>1143</v>
      </c>
      <c r="G34" s="416">
        <f t="shared" si="3"/>
        <v>10287</v>
      </c>
      <c r="H34" s="119">
        <f t="shared" si="4"/>
        <v>13716</v>
      </c>
    </row>
    <row r="35" spans="1:8" x14ac:dyDescent="0.25">
      <c r="A35" s="417" t="s">
        <v>120</v>
      </c>
      <c r="B35" s="81" t="s">
        <v>125</v>
      </c>
      <c r="C35" s="83">
        <v>0.5</v>
      </c>
      <c r="D35" s="126">
        <f t="shared" si="0"/>
        <v>925</v>
      </c>
      <c r="E35" s="126">
        <f t="shared" si="1"/>
        <v>218.21</v>
      </c>
      <c r="F35" s="415">
        <f t="shared" si="2"/>
        <v>1143</v>
      </c>
      <c r="G35" s="416">
        <f t="shared" si="3"/>
        <v>10287</v>
      </c>
      <c r="H35" s="119">
        <f t="shared" si="4"/>
        <v>13716</v>
      </c>
    </row>
    <row r="36" spans="1:8" x14ac:dyDescent="0.25">
      <c r="A36" s="417" t="s">
        <v>126</v>
      </c>
      <c r="B36" s="81" t="s">
        <v>127</v>
      </c>
      <c r="C36" s="83">
        <v>0.5</v>
      </c>
      <c r="D36" s="126">
        <f t="shared" si="0"/>
        <v>925</v>
      </c>
      <c r="E36" s="126">
        <f t="shared" si="1"/>
        <v>218.21</v>
      </c>
      <c r="F36" s="415">
        <f t="shared" si="2"/>
        <v>1143</v>
      </c>
      <c r="G36" s="416">
        <f t="shared" si="3"/>
        <v>10287</v>
      </c>
      <c r="H36" s="119">
        <f t="shared" si="4"/>
        <v>13716</v>
      </c>
    </row>
    <row r="37" spans="1:8" x14ac:dyDescent="0.25">
      <c r="A37" s="417" t="s">
        <v>126</v>
      </c>
      <c r="B37" s="81" t="s">
        <v>128</v>
      </c>
      <c r="C37" s="83">
        <v>0.5</v>
      </c>
      <c r="D37" s="126">
        <f t="shared" si="0"/>
        <v>925</v>
      </c>
      <c r="E37" s="126">
        <f>ROUND((D37*$E$8),2)</f>
        <v>218.21</v>
      </c>
      <c r="F37" s="415">
        <f t="shared" si="2"/>
        <v>1143</v>
      </c>
      <c r="G37" s="416">
        <f t="shared" si="3"/>
        <v>10287</v>
      </c>
      <c r="H37" s="119">
        <f t="shared" si="4"/>
        <v>13716</v>
      </c>
    </row>
    <row r="38" spans="1:8" x14ac:dyDescent="0.25">
      <c r="A38" s="417" t="s">
        <v>126</v>
      </c>
      <c r="B38" s="81" t="s">
        <v>129</v>
      </c>
      <c r="C38" s="83">
        <v>0.5</v>
      </c>
      <c r="D38" s="126">
        <f t="shared" si="0"/>
        <v>925</v>
      </c>
      <c r="E38" s="126">
        <f t="shared" si="1"/>
        <v>218.21</v>
      </c>
      <c r="F38" s="415">
        <f t="shared" si="2"/>
        <v>1143</v>
      </c>
      <c r="G38" s="416">
        <f t="shared" si="3"/>
        <v>10287</v>
      </c>
      <c r="H38" s="119">
        <f t="shared" si="4"/>
        <v>13716</v>
      </c>
    </row>
    <row r="39" spans="1:8" x14ac:dyDescent="0.25">
      <c r="A39" s="417" t="s">
        <v>102</v>
      </c>
      <c r="B39" s="81" t="s">
        <v>103</v>
      </c>
      <c r="C39" s="83">
        <v>1</v>
      </c>
      <c r="D39" s="126">
        <f t="shared" si="0"/>
        <v>1850</v>
      </c>
      <c r="E39" s="126">
        <f t="shared" si="1"/>
        <v>436.42</v>
      </c>
      <c r="F39" s="415">
        <f t="shared" si="2"/>
        <v>2286</v>
      </c>
      <c r="G39" s="416">
        <f t="shared" si="3"/>
        <v>20574</v>
      </c>
      <c r="H39" s="119">
        <f t="shared" si="4"/>
        <v>27432</v>
      </c>
    </row>
    <row r="40" spans="1:8" x14ac:dyDescent="0.25">
      <c r="A40" s="417" t="s">
        <v>102</v>
      </c>
      <c r="B40" s="81" t="s">
        <v>130</v>
      </c>
      <c r="C40" s="83">
        <v>1</v>
      </c>
      <c r="D40" s="126">
        <f t="shared" si="0"/>
        <v>1850</v>
      </c>
      <c r="E40" s="126">
        <f t="shared" si="1"/>
        <v>436.42</v>
      </c>
      <c r="F40" s="415">
        <f t="shared" si="2"/>
        <v>2286</v>
      </c>
      <c r="G40" s="416">
        <f t="shared" si="3"/>
        <v>20574</v>
      </c>
      <c r="H40" s="119">
        <f t="shared" si="4"/>
        <v>27432</v>
      </c>
    </row>
    <row r="41" spans="1:8" x14ac:dyDescent="0.25">
      <c r="A41" s="417" t="s">
        <v>102</v>
      </c>
      <c r="B41" s="81" t="s">
        <v>104</v>
      </c>
      <c r="C41" s="83">
        <v>1</v>
      </c>
      <c r="D41" s="126">
        <f t="shared" si="0"/>
        <v>1850</v>
      </c>
      <c r="E41" s="126">
        <f t="shared" si="1"/>
        <v>436.42</v>
      </c>
      <c r="F41" s="415">
        <f t="shared" si="2"/>
        <v>2286</v>
      </c>
      <c r="G41" s="416">
        <f t="shared" si="3"/>
        <v>20574</v>
      </c>
      <c r="H41" s="119">
        <f t="shared" si="4"/>
        <v>27432</v>
      </c>
    </row>
    <row r="42" spans="1:8" x14ac:dyDescent="0.25">
      <c r="A42" s="417" t="s">
        <v>102</v>
      </c>
      <c r="B42" s="81" t="s">
        <v>105</v>
      </c>
      <c r="C42" s="83">
        <v>1</v>
      </c>
      <c r="D42" s="126">
        <f t="shared" si="0"/>
        <v>1850</v>
      </c>
      <c r="E42" s="126">
        <f t="shared" si="1"/>
        <v>436.42</v>
      </c>
      <c r="F42" s="415">
        <f t="shared" si="2"/>
        <v>2286</v>
      </c>
      <c r="G42" s="416">
        <f t="shared" si="3"/>
        <v>20574</v>
      </c>
      <c r="H42" s="119">
        <f t="shared" si="4"/>
        <v>27432</v>
      </c>
    </row>
    <row r="43" spans="1:8" ht="25.5" x14ac:dyDescent="0.25">
      <c r="A43" s="417" t="s">
        <v>102</v>
      </c>
      <c r="B43" s="81" t="s">
        <v>195</v>
      </c>
      <c r="C43" s="83">
        <v>1</v>
      </c>
      <c r="D43" s="126">
        <f t="shared" si="0"/>
        <v>1850</v>
      </c>
      <c r="E43" s="126">
        <f t="shared" si="1"/>
        <v>436.42</v>
      </c>
      <c r="F43" s="415">
        <f t="shared" si="2"/>
        <v>2286</v>
      </c>
      <c r="G43" s="416">
        <f t="shared" si="3"/>
        <v>20574</v>
      </c>
      <c r="H43" s="119">
        <f t="shared" si="4"/>
        <v>27432</v>
      </c>
    </row>
    <row r="44" spans="1:8" x14ac:dyDescent="0.25">
      <c r="A44" s="417" t="s">
        <v>102</v>
      </c>
      <c r="B44" s="81" t="s">
        <v>106</v>
      </c>
      <c r="C44" s="83">
        <v>1</v>
      </c>
      <c r="D44" s="126">
        <f t="shared" si="0"/>
        <v>1850</v>
      </c>
      <c r="E44" s="126">
        <f t="shared" si="1"/>
        <v>436.42</v>
      </c>
      <c r="F44" s="415">
        <f t="shared" si="2"/>
        <v>2286</v>
      </c>
      <c r="G44" s="416">
        <f t="shared" si="3"/>
        <v>20574</v>
      </c>
      <c r="H44" s="119">
        <f t="shared" si="4"/>
        <v>27432</v>
      </c>
    </row>
    <row r="45" spans="1:8" x14ac:dyDescent="0.25">
      <c r="A45" s="417" t="s">
        <v>102</v>
      </c>
      <c r="B45" s="81" t="s">
        <v>107</v>
      </c>
      <c r="C45" s="418">
        <v>1</v>
      </c>
      <c r="D45" s="126">
        <f t="shared" si="0"/>
        <v>1850</v>
      </c>
      <c r="E45" s="126">
        <f t="shared" si="1"/>
        <v>436.42</v>
      </c>
      <c r="F45" s="415">
        <f t="shared" si="2"/>
        <v>2286</v>
      </c>
      <c r="G45" s="416">
        <f t="shared" si="3"/>
        <v>20574</v>
      </c>
      <c r="H45" s="119">
        <f t="shared" si="4"/>
        <v>27432</v>
      </c>
    </row>
    <row r="46" spans="1:8" x14ac:dyDescent="0.25">
      <c r="A46" s="417" t="s">
        <v>102</v>
      </c>
      <c r="B46" s="84" t="s">
        <v>131</v>
      </c>
      <c r="C46" s="83">
        <v>0.5</v>
      </c>
      <c r="D46" s="126">
        <f t="shared" si="0"/>
        <v>925</v>
      </c>
      <c r="E46" s="126">
        <f t="shared" si="1"/>
        <v>218.21</v>
      </c>
      <c r="F46" s="415">
        <f t="shared" si="2"/>
        <v>1143</v>
      </c>
      <c r="G46" s="416">
        <f t="shared" si="3"/>
        <v>10287</v>
      </c>
      <c r="H46" s="119">
        <f t="shared" si="4"/>
        <v>13716</v>
      </c>
    </row>
    <row r="47" spans="1:8" x14ac:dyDescent="0.25">
      <c r="A47" s="417" t="s">
        <v>132</v>
      </c>
      <c r="B47" s="81" t="s">
        <v>133</v>
      </c>
      <c r="C47" s="83">
        <v>0.5</v>
      </c>
      <c r="D47" s="126">
        <f t="shared" si="0"/>
        <v>925</v>
      </c>
      <c r="E47" s="126">
        <f t="shared" si="1"/>
        <v>218.21</v>
      </c>
      <c r="F47" s="415">
        <f t="shared" si="2"/>
        <v>1143</v>
      </c>
      <c r="G47" s="416">
        <f t="shared" si="3"/>
        <v>10287</v>
      </c>
      <c r="H47" s="119">
        <f t="shared" si="4"/>
        <v>13716</v>
      </c>
    </row>
    <row r="48" spans="1:8" x14ac:dyDescent="0.25">
      <c r="A48" s="417" t="s">
        <v>132</v>
      </c>
      <c r="B48" s="81" t="s">
        <v>134</v>
      </c>
      <c r="C48" s="83">
        <v>0.5</v>
      </c>
      <c r="D48" s="126">
        <f t="shared" si="0"/>
        <v>925</v>
      </c>
      <c r="E48" s="126">
        <f t="shared" si="1"/>
        <v>218.21</v>
      </c>
      <c r="F48" s="415">
        <f t="shared" si="2"/>
        <v>1143</v>
      </c>
      <c r="G48" s="416">
        <f t="shared" si="3"/>
        <v>10287</v>
      </c>
      <c r="H48" s="119">
        <f t="shared" si="4"/>
        <v>13716</v>
      </c>
    </row>
    <row r="49" spans="2:8" x14ac:dyDescent="0.25">
      <c r="B49" s="419"/>
      <c r="C49" s="420"/>
      <c r="F49" s="409"/>
      <c r="G49" s="410">
        <f>SUM(G10:G48)</f>
        <v>576072</v>
      </c>
      <c r="H49" s="410">
        <f>SUM(H10:H48)</f>
        <v>768096</v>
      </c>
    </row>
    <row r="50" spans="2:8" ht="66.75" customHeight="1" x14ac:dyDescent="0.25">
      <c r="B50" s="506" t="s">
        <v>439</v>
      </c>
      <c r="C50" s="506"/>
      <c r="D50" s="506"/>
      <c r="E50" s="506"/>
      <c r="F50" s="506"/>
      <c r="G50" s="506"/>
      <c r="H50" s="506"/>
    </row>
    <row r="52" spans="2:8" x14ac:dyDescent="0.25">
      <c r="B52" s="438" t="s">
        <v>440</v>
      </c>
      <c r="C52" s="167"/>
      <c r="D52" s="167"/>
    </row>
    <row r="53" spans="2:8" ht="38.25" x14ac:dyDescent="0.25">
      <c r="B53" s="438" t="s">
        <v>0</v>
      </c>
      <c r="C53" s="437" t="s">
        <v>441</v>
      </c>
    </row>
    <row r="54" spans="2:8" x14ac:dyDescent="0.25">
      <c r="B54" s="439" t="s">
        <v>442</v>
      </c>
      <c r="C54" s="440">
        <f>2286*6</f>
        <v>13716</v>
      </c>
    </row>
    <row r="55" spans="2:8" ht="47.25" customHeight="1" x14ac:dyDescent="0.25">
      <c r="B55" s="508" t="s">
        <v>443</v>
      </c>
      <c r="C55" s="508"/>
      <c r="D55" s="441"/>
    </row>
  </sheetData>
  <mergeCells count="5">
    <mergeCell ref="B50:H50"/>
    <mergeCell ref="A1:H1"/>
    <mergeCell ref="A2:H2"/>
    <mergeCell ref="A3:H3"/>
    <mergeCell ref="B55:C55"/>
  </mergeCells>
  <pageMargins left="0.7" right="0.7" top="0.75" bottom="0.75" header="0.3" footer="0.3"/>
  <pageSetup paperSize="9" scale="4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KOPSAVILKUMS</vt:lpstr>
      <vt:lpstr>1.1.</vt:lpstr>
      <vt:lpstr>1.2.</vt:lpstr>
      <vt:lpstr>1.3.</vt:lpstr>
      <vt:lpstr>1.4.</vt:lpstr>
      <vt:lpstr>1.5.1</vt:lpstr>
      <vt:lpstr>1.5.2.</vt:lpstr>
      <vt:lpstr>2.</vt:lpstr>
      <vt:lpstr>3.1.2.</vt:lpstr>
      <vt:lpstr>3.1.3.</vt:lpstr>
      <vt:lpstr>3.2.</vt:lpstr>
      <vt:lpstr>'1.3.'!Print_Area</vt:lpstr>
      <vt:lpstr>'1.5.2.'!Print_Area</vt:lpstr>
      <vt:lpstr>'3.1.2.'!Print_Area</vt:lpstr>
      <vt:lpstr>'3.1.3.'!Print_Area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Svetlana Batare</cp:lastModifiedBy>
  <cp:lastPrinted>2020-12-14T09:39:37Z</cp:lastPrinted>
  <dcterms:created xsi:type="dcterms:W3CDTF">2020-11-30T12:34:21Z</dcterms:created>
  <dcterms:modified xsi:type="dcterms:W3CDTF">2021-01-12T08:51:06Z</dcterms:modified>
</cp:coreProperties>
</file>