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filterPrivacy="1"/>
  <xr:revisionPtr revIDLastSave="0" documentId="8_{692C65DD-2B8F-494F-88AE-07E1167AD123}" xr6:coauthVersionLast="36" xr6:coauthVersionMax="36" xr10:uidLastSave="{00000000-0000-0000-0000-000000000000}"/>
  <bookViews>
    <workbookView xWindow="0" yWindow="0" windowWidth="23040" windowHeight="9060" tabRatio="759" xr2:uid="{00000000-000D-0000-FFFF-FFFF00000000}"/>
  </bookViews>
  <sheets>
    <sheet name="Pielikums_Anot_MKrLNG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5" l="1"/>
  <c r="L45" i="5"/>
  <c r="C12" i="5" l="1"/>
  <c r="J31" i="5" l="1"/>
  <c r="K31" i="5"/>
  <c r="M22" i="5" l="1"/>
  <c r="L22" i="5"/>
  <c r="M29" i="5"/>
  <c r="L29" i="5"/>
  <c r="M28" i="5"/>
  <c r="L28" i="5"/>
  <c r="L25" i="5"/>
  <c r="M25" i="5"/>
  <c r="L30" i="5"/>
  <c r="M30" i="5"/>
  <c r="M23" i="5"/>
  <c r="L23" i="5"/>
  <c r="N23" i="5" s="1"/>
  <c r="L21" i="5"/>
  <c r="M21" i="5"/>
  <c r="L27" i="5"/>
  <c r="M27" i="5"/>
  <c r="L24" i="5"/>
  <c r="M24" i="5"/>
  <c r="L20" i="5"/>
  <c r="M20" i="5"/>
  <c r="M26" i="5"/>
  <c r="L26" i="5"/>
  <c r="N22" i="5" l="1"/>
  <c r="N28" i="5"/>
  <c r="N26" i="5"/>
  <c r="N29" i="5"/>
  <c r="N27" i="5"/>
  <c r="N30" i="5"/>
  <c r="N24" i="5"/>
  <c r="M31" i="5"/>
  <c r="N20" i="5"/>
  <c r="L31" i="5"/>
  <c r="N21" i="5"/>
  <c r="N25" i="5"/>
  <c r="N31" i="5" l="1"/>
  <c r="K10" i="5"/>
  <c r="N10" i="5" s="1"/>
  <c r="K11" i="5"/>
  <c r="N11" i="5" s="1"/>
  <c r="K13" i="5"/>
  <c r="N13" i="5" s="1"/>
  <c r="K14" i="5"/>
  <c r="N14" i="5" s="1"/>
  <c r="K9" i="5"/>
  <c r="N9" i="5" s="1"/>
  <c r="E12" i="5" l="1"/>
  <c r="E13" i="5"/>
  <c r="F13" i="5" s="1"/>
  <c r="G13" i="5" s="1"/>
  <c r="J13" i="5" s="1"/>
  <c r="E14" i="5"/>
  <c r="E9" i="5"/>
  <c r="F9" i="5" s="1"/>
  <c r="G9" i="5" s="1"/>
  <c r="E10" i="5"/>
  <c r="E11" i="5"/>
  <c r="F11" i="5" s="1"/>
  <c r="G11" i="5" s="1"/>
  <c r="J11" i="5" s="1"/>
  <c r="N42" i="5" l="1"/>
  <c r="J40" i="5"/>
  <c r="L40" i="5" s="1"/>
  <c r="L41" i="5"/>
  <c r="L42" i="5"/>
  <c r="L43" i="5"/>
  <c r="M43" i="5" s="1"/>
  <c r="H12" i="5"/>
  <c r="F14" i="5"/>
  <c r="G14" i="5" s="1"/>
  <c r="F12" i="5"/>
  <c r="G12" i="5"/>
  <c r="J12" i="5" s="1"/>
  <c r="F10" i="5"/>
  <c r="I11" i="5"/>
  <c r="M11" i="5"/>
  <c r="L11" i="5" s="1"/>
  <c r="I13" i="5"/>
  <c r="M13" i="5"/>
  <c r="L13" i="5" s="1"/>
  <c r="J9" i="5"/>
  <c r="C15" i="5"/>
  <c r="M42" i="5" l="1"/>
  <c r="O43" i="5" s="1"/>
  <c r="N43" i="5"/>
  <c r="P43" i="5"/>
  <c r="Q43" i="5" s="1"/>
  <c r="M41" i="5"/>
  <c r="N40" i="5"/>
  <c r="O42" i="5"/>
  <c r="Q42" i="5" s="1"/>
  <c r="P42" i="5"/>
  <c r="K40" i="5"/>
  <c r="M40" i="5" s="1"/>
  <c r="G10" i="5"/>
  <c r="J10" i="5" s="1"/>
  <c r="M10" i="5" s="1"/>
  <c r="L10" i="5" s="1"/>
  <c r="J14" i="5"/>
  <c r="F15" i="5"/>
  <c r="J39" i="5" s="1"/>
  <c r="K12" i="5"/>
  <c r="H15" i="5"/>
  <c r="M9" i="5"/>
  <c r="L9" i="5" s="1"/>
  <c r="I9" i="5"/>
  <c r="R42" i="5" l="1"/>
  <c r="O40" i="5"/>
  <c r="K39" i="5"/>
  <c r="J44" i="5"/>
  <c r="G15" i="5"/>
  <c r="I10" i="5"/>
  <c r="M14" i="5"/>
  <c r="L14" i="5" s="1"/>
  <c r="I14" i="5"/>
  <c r="N12" i="5"/>
  <c r="N15" i="5" s="1"/>
  <c r="K15" i="5"/>
  <c r="I12" i="5"/>
  <c r="M12" i="5"/>
  <c r="J15" i="5"/>
  <c r="J46" i="5" l="1"/>
  <c r="J47" i="5" s="1"/>
  <c r="L44" i="5"/>
  <c r="M44" i="5" s="1"/>
  <c r="K44" i="5"/>
  <c r="K46" i="5" s="1"/>
  <c r="I15" i="5"/>
  <c r="L39" i="5" s="1"/>
  <c r="L12" i="5"/>
  <c r="L15" i="5" s="1"/>
  <c r="M15" i="5"/>
  <c r="O39" i="5" l="1"/>
  <c r="M39" i="5"/>
  <c r="N39" i="5"/>
  <c r="K47" i="5"/>
  <c r="L47" i="5" l="1"/>
  <c r="M4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41" authorId="0" shapeId="0" xr:uid="{E8B47D68-4F27-4A62-9F4A-CA832B1231FD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VSAC</t>
        </r>
      </text>
    </comment>
    <comment ref="L42" authorId="0" shapeId="0" xr:uid="{84443154-5A8A-41CA-A1EB-EE77517B2A77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861 SAC 050100 bez SAC Pīlādzis</t>
        </r>
      </text>
    </comment>
    <comment ref="N42" authorId="0" shapeId="0" xr:uid="{5559C254-930E-4507-BD00-0348C5DB8386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charset val="1"/>
          </rPr>
          <t xml:space="preserve">
IEPIRKUMS BEZ SAC Pīlādzis</t>
        </r>
      </text>
    </comment>
    <comment ref="L43" authorId="0" shapeId="0" xr:uid="{B86761A8-2DB6-4ADB-85C9-CBA9FC09A89B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SAC Pīlādzis</t>
        </r>
      </text>
    </comment>
  </commentList>
</comments>
</file>

<file path=xl/sharedStrings.xml><?xml version="1.0" encoding="utf-8"?>
<sst xmlns="http://schemas.openxmlformats.org/spreadsheetml/2006/main" count="97" uniqueCount="80">
  <si>
    <t>patversmes</t>
  </si>
  <si>
    <t>krīzes centri</t>
  </si>
  <si>
    <t>SAC,VSAC</t>
  </si>
  <si>
    <t>Grupu dzīvokļi</t>
  </si>
  <si>
    <t>KOPĀ</t>
  </si>
  <si>
    <t>Nr. p.k.</t>
  </si>
  <si>
    <t>iestāde</t>
  </si>
  <si>
    <t>Dienas aprūpes centri (DAC)</t>
  </si>
  <si>
    <t>Pakalpojums: Aprūpe mājās</t>
  </si>
  <si>
    <t>Pielikums</t>
  </si>
  <si>
    <t>Izdevumi vidēji mēnesī AL un DL iegādei, euro</t>
  </si>
  <si>
    <t xml:space="preserve">t.sk. </t>
  </si>
  <si>
    <t>3=4+5</t>
  </si>
  <si>
    <t>pašvaldību budžeta izdevumi/ vidēji mēnesī</t>
  </si>
  <si>
    <t>valsts budžeta izdevumi/ vidēji mēnesī</t>
  </si>
  <si>
    <t>6=4+5</t>
  </si>
  <si>
    <t>7=50% no4</t>
  </si>
  <si>
    <t>8=100% no 5</t>
  </si>
  <si>
    <t>9=10+11</t>
  </si>
  <si>
    <t>10=7 x 3 mēn</t>
  </si>
  <si>
    <t>11 = 8 x 3 mēn</t>
  </si>
  <si>
    <t>pašvaldību budžeta izdevumi/ vidēji        3 mēnešos</t>
  </si>
  <si>
    <t>valsts budžeta izdevumi/ vidēji        3 mēnešos</t>
  </si>
  <si>
    <t xml:space="preserve">Ķirurģiskā maska </t>
  </si>
  <si>
    <t>Respirators (ar vārstu, bez vārsta)</t>
  </si>
  <si>
    <t>Medicīniskie vienreiz lietojamie cimdi (sterili, nesterili)</t>
  </si>
  <si>
    <t>Medicīniskais kombinezons/ aizsargtērps, vienreizlietojams</t>
  </si>
  <si>
    <t>Virsvalks/halāts ar garām piedurknēm, ūdens necaurlaidīgs, vienreizlietojams</t>
  </si>
  <si>
    <t>Ķirurģiskā cepurīte, vienreizlietojama</t>
  </si>
  <si>
    <t>Sejas ekrāns (daudzreizlietojams, dezinficējams)</t>
  </si>
  <si>
    <t>Aizsargbrilles (daudzreizlietojamas, dezinficējamas)</t>
  </si>
  <si>
    <t>Dezinfekcijas līdzeklis virsmām</t>
  </si>
  <si>
    <t>Dezinfekcijas līdzeklis rokām</t>
  </si>
  <si>
    <t>mērvienība</t>
  </si>
  <si>
    <t>Medicīniskās bahilas (garās, īsās)</t>
  </si>
  <si>
    <t>pāris</t>
  </si>
  <si>
    <t>gab.</t>
  </si>
  <si>
    <t>litri</t>
  </si>
  <si>
    <t>Nr. p. k.</t>
  </si>
  <si>
    <t>nosaukums</t>
  </si>
  <si>
    <t>Kopā</t>
  </si>
  <si>
    <t>x</t>
  </si>
  <si>
    <t>Cena par vienu vienību vidēji, euro</t>
  </si>
  <si>
    <t>7=3x5</t>
  </si>
  <si>
    <t>6=3x4</t>
  </si>
  <si>
    <t>Prognozējamie izdevumi vidēji mēnesī uz 1 klientu/1 klienta vietu VSAC, euro</t>
  </si>
  <si>
    <t>Klientu vietu skaits/ klientu skaits KOPĀ</t>
  </si>
  <si>
    <t>X</t>
  </si>
  <si>
    <t>Izdevumu aprēķins vidēji uz 1 klientu/1klientu vietu mēnesi, euro</t>
  </si>
  <si>
    <t>Izdevumu aprēķins vidēji uz 1 klientu/ 1 klienta vietu mēnesī 100% apmērā:</t>
  </si>
  <si>
    <r>
      <t xml:space="preserve">Kompensācija no valsts budžeta programmas </t>
    </r>
    <r>
      <rPr>
        <b/>
        <sz val="9"/>
        <color rgb="FFFF0000"/>
        <rFont val="Times New Roman"/>
        <family val="1"/>
        <charset val="186"/>
      </rPr>
      <t>"Līdzekļi neparedzētiem gadījumiem"          3 mēnešiem</t>
    </r>
  </si>
  <si>
    <r>
      <t xml:space="preserve">Kompensācija no valsts budžeta programmas </t>
    </r>
    <r>
      <rPr>
        <sz val="9"/>
        <color rgb="FFFF0000"/>
        <rFont val="Times New Roman"/>
        <family val="1"/>
        <charset val="186"/>
      </rPr>
      <t xml:space="preserve">"Līdzekļi neparedzētiem gadījumiem"          </t>
    </r>
    <r>
      <rPr>
        <b/>
        <sz val="9"/>
        <color rgb="FFFF0000"/>
        <rFont val="Times New Roman"/>
        <family val="1"/>
        <charset val="186"/>
      </rPr>
      <t>mēnesī</t>
    </r>
  </si>
  <si>
    <t>Koefcients*</t>
  </si>
  <si>
    <t>*atsevišķiem pakalpojumu veidiem piemēro koeficientu pret vidējiem izdevumiem par Al un DL ilgstošas sociālās aprūpes intitūcijās, kur persona pakalpojumu saņem 24/7.</t>
  </si>
  <si>
    <t xml:space="preserve">**2020. gada janvārī norādītie institūciju dati vidēji mēnesī faktiskais izlietojums; </t>
  </si>
  <si>
    <t>***faktiskie daudzumi un izdevumi var atšķirties, jo mainās nepieciešamība pēc AL un DL līdzekļiem atkarībā no Covid-19 inficēto personu un šo personu kontaktperson uskaita institūcijā;</t>
  </si>
  <si>
    <t>Vidēji mēnesī VSAC "Rīga"**</t>
  </si>
  <si>
    <t>Vidēji mēnesī VSAC "Latgale"**</t>
  </si>
  <si>
    <t>Prognozējamie izdevumi vidēji mēnesi VSAC "Rīga"***, euro</t>
  </si>
  <si>
    <t>Prognozējamie izdevumi vidēji mēnesi VSAC "Latgale"***, euro</t>
  </si>
  <si>
    <t>****klientu skaits VSAC "Rīga" un VSAC "Latgale" kopā.</t>
  </si>
  <si>
    <t>8=(6+7)/1642 ****</t>
  </si>
  <si>
    <t>Pašvaldību un valsts budžeta papildu izdevumi par  aizsarglīdzekļiem un dezinfekcijas līdzekļiem, kas iegādāti Covid-19 infekcijas ierobežošanas pasākumiem sociālo pakalpojumu sniedzējiem institūcijās</t>
  </si>
  <si>
    <t>Izdevumi KOPĀ</t>
  </si>
  <si>
    <t>MĒNESĪ</t>
  </si>
  <si>
    <t>3 MĒNEŠOS</t>
  </si>
  <si>
    <t>t.sk. LNG</t>
  </si>
  <si>
    <t>t.sk. LM</t>
  </si>
  <si>
    <t>t.sk. PB</t>
  </si>
  <si>
    <t>EKK2000</t>
  </si>
  <si>
    <t>EKK3000</t>
  </si>
  <si>
    <t>EKK7000</t>
  </si>
  <si>
    <t>Sandra Strēle</t>
  </si>
  <si>
    <t xml:space="preserve">Sociālo pakalpojumu departamenta </t>
  </si>
  <si>
    <t>vecākā eksperte</t>
  </si>
  <si>
    <t>Sandra.Strele@lm.gov.lv</t>
  </si>
  <si>
    <t>Labklājības ministrija</t>
  </si>
  <si>
    <t xml:space="preserve">Tālr. 64331831 </t>
  </si>
  <si>
    <t>Ministru kabineta rīkojuma projekta “Par finanšu līdzekļu piešķiršanu no valsts budžeta programmas “Līdzekļi neparedzētiem gadījumiem”” sākotnējās ietekmes novērtējuma ziņojums (anotācija)</t>
  </si>
  <si>
    <t>t.sk. no LNG caur LM pašvaldībām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</si>
</sst>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charset val="1"/>
    </font>
    <font>
      <sz val="11"/>
      <color theme="0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Verdana"/>
      <family val="2"/>
      <charset val="186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3" fontId="3" fillId="0" borderId="30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3" borderId="14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3" borderId="12" xfId="0" applyNumberFormat="1" applyFont="1" applyFill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4" fontId="3" fillId="2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3" fontId="4" fillId="0" borderId="31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3" borderId="15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right" vertical="center"/>
    </xf>
    <xf numFmtId="4" fontId="4" fillId="2" borderId="16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/>
    </xf>
    <xf numFmtId="0" fontId="13" fillId="0" borderId="25" xfId="0" applyFont="1" applyBorder="1" applyAlignment="1">
      <alignment vertical="top" wrapText="1"/>
    </xf>
    <xf numFmtId="4" fontId="8" fillId="2" borderId="1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4" fontId="3" fillId="2" borderId="0" xfId="0" applyNumberFormat="1" applyFont="1" applyFill="1"/>
    <xf numFmtId="4" fontId="4" fillId="2" borderId="37" xfId="0" applyNumberFormat="1" applyFont="1" applyFill="1" applyBorder="1"/>
    <xf numFmtId="4" fontId="4" fillId="2" borderId="38" xfId="0" applyNumberFormat="1" applyFont="1" applyFill="1" applyBorder="1"/>
    <xf numFmtId="0" fontId="3" fillId="0" borderId="0" xfId="0" applyFont="1" applyFill="1" applyAlignment="1">
      <alignment horizontal="right"/>
    </xf>
    <xf numFmtId="4" fontId="3" fillId="0" borderId="0" xfId="0" applyNumberFormat="1" applyFont="1" applyFill="1"/>
    <xf numFmtId="4" fontId="9" fillId="0" borderId="0" xfId="0" applyNumberFormat="1" applyFont="1" applyFill="1" applyAlignment="1">
      <alignment horizontal="right"/>
    </xf>
    <xf numFmtId="4" fontId="3" fillId="2" borderId="26" xfId="0" applyNumberFormat="1" applyFont="1" applyFill="1" applyBorder="1"/>
    <xf numFmtId="4" fontId="3" fillId="2" borderId="39" xfId="0" applyNumberFormat="1" applyFont="1" applyFill="1" applyBorder="1"/>
    <xf numFmtId="4" fontId="3" fillId="0" borderId="26" xfId="0" applyNumberFormat="1" applyFont="1" applyFill="1" applyBorder="1"/>
    <xf numFmtId="4" fontId="3" fillId="0" borderId="39" xfId="0" applyNumberFormat="1" applyFont="1" applyFill="1" applyBorder="1"/>
    <xf numFmtId="0" fontId="3" fillId="0" borderId="0" xfId="0" applyFont="1" applyFill="1" applyAlignment="1">
      <alignment horizontal="right"/>
    </xf>
    <xf numFmtId="4" fontId="1" fillId="0" borderId="0" xfId="0" applyNumberFormat="1" applyFont="1" applyFill="1"/>
    <xf numFmtId="4" fontId="1" fillId="0" borderId="37" xfId="0" applyNumberFormat="1" applyFont="1" applyFill="1" applyBorder="1"/>
    <xf numFmtId="4" fontId="1" fillId="0" borderId="38" xfId="0" applyNumberFormat="1" applyFont="1" applyFill="1" applyBorder="1"/>
    <xf numFmtId="4" fontId="17" fillId="0" borderId="0" xfId="0" applyNumberFormat="1" applyFont="1"/>
    <xf numFmtId="0" fontId="17" fillId="0" borderId="0" xfId="0" applyFont="1"/>
    <xf numFmtId="2" fontId="17" fillId="0" borderId="0" xfId="0" applyNumberFormat="1" applyFont="1"/>
    <xf numFmtId="4" fontId="18" fillId="0" borderId="0" xfId="0" applyNumberFormat="1" applyFont="1"/>
    <xf numFmtId="4" fontId="1" fillId="0" borderId="0" xfId="0" applyNumberFormat="1" applyFont="1" applyAlignment="1">
      <alignment horizontal="left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1" applyAlignment="1">
      <alignment vertical="center"/>
    </xf>
    <xf numFmtId="0" fontId="21" fillId="0" borderId="0" xfId="0" applyFont="1" applyAlignment="1">
      <alignment vertical="center"/>
    </xf>
    <xf numFmtId="0" fontId="3" fillId="2" borderId="0" xfId="0" applyFont="1" applyFill="1" applyAlignment="1">
      <alignment horizontal="right" indent="1"/>
    </xf>
    <xf numFmtId="0" fontId="3" fillId="2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0" fontId="6" fillId="2" borderId="3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wrapText="1"/>
    </xf>
    <xf numFmtId="0" fontId="6" fillId="3" borderId="3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6" fillId="3" borderId="33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6" fillId="0" borderId="2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9" fillId="0" borderId="27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dra.Strele@lm.gov.lv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F5111-8EFE-4992-9A43-19078E92DF32}">
  <dimension ref="A1:S57"/>
  <sheetViews>
    <sheetView tabSelected="1" zoomScale="60" zoomScaleNormal="60" workbookViewId="0">
      <selection activeCell="K51" sqref="K51"/>
    </sheetView>
  </sheetViews>
  <sheetFormatPr defaultColWidth="8.88671875" defaultRowHeight="13.8" x14ac:dyDescent="0.25"/>
  <cols>
    <col min="1" max="1" width="5.44140625" style="4" customWidth="1"/>
    <col min="2" max="2" width="28.6640625" style="9" customWidth="1"/>
    <col min="3" max="3" width="12.6640625" style="2" customWidth="1"/>
    <col min="4" max="4" width="6.6640625" style="2" customWidth="1"/>
    <col min="5" max="10" width="12.6640625" style="2" customWidth="1"/>
    <col min="11" max="11" width="16.6640625" style="2" customWidth="1"/>
    <col min="12" max="12" width="17.44140625" style="2" customWidth="1"/>
    <col min="13" max="13" width="15.88671875" style="2" customWidth="1"/>
    <col min="14" max="14" width="12.6640625" style="2" customWidth="1"/>
    <col min="15" max="15" width="12.88671875" style="2" bestFit="1" customWidth="1"/>
    <col min="16" max="16" width="12.109375" style="2" customWidth="1"/>
    <col min="17" max="17" width="12.44140625" style="2" customWidth="1"/>
    <col min="18" max="16384" width="8.88671875" style="2"/>
  </cols>
  <sheetData>
    <row r="1" spans="1:14" x14ac:dyDescent="0.25">
      <c r="A1" s="89" t="s">
        <v>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36.6" customHeight="1" x14ac:dyDescent="0.25">
      <c r="A2" s="123" t="s">
        <v>78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51" customHeight="1" thickBot="1" x14ac:dyDescent="0.3">
      <c r="A3" s="98" t="s">
        <v>62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21" customHeight="1" x14ac:dyDescent="0.25">
      <c r="A4" s="120" t="s">
        <v>5</v>
      </c>
      <c r="B4" s="133" t="s">
        <v>6</v>
      </c>
      <c r="C4" s="125" t="s">
        <v>46</v>
      </c>
      <c r="D4" s="136" t="s">
        <v>52</v>
      </c>
      <c r="E4" s="139" t="s">
        <v>48</v>
      </c>
      <c r="F4" s="128" t="s">
        <v>10</v>
      </c>
      <c r="G4" s="130" t="s">
        <v>11</v>
      </c>
      <c r="H4" s="131"/>
      <c r="I4" s="110" t="s">
        <v>51</v>
      </c>
      <c r="J4" s="112" t="s">
        <v>11</v>
      </c>
      <c r="K4" s="113"/>
      <c r="L4" s="99" t="s">
        <v>50</v>
      </c>
      <c r="M4" s="101" t="s">
        <v>11</v>
      </c>
      <c r="N4" s="102"/>
    </row>
    <row r="5" spans="1:14" ht="21" customHeight="1" x14ac:dyDescent="0.25">
      <c r="A5" s="121"/>
      <c r="B5" s="134"/>
      <c r="C5" s="126"/>
      <c r="D5" s="137"/>
      <c r="E5" s="140"/>
      <c r="F5" s="129"/>
      <c r="G5" s="92" t="s">
        <v>13</v>
      </c>
      <c r="H5" s="132" t="s">
        <v>14</v>
      </c>
      <c r="I5" s="111"/>
      <c r="J5" s="114" t="s">
        <v>13</v>
      </c>
      <c r="K5" s="117" t="s">
        <v>14</v>
      </c>
      <c r="L5" s="100"/>
      <c r="M5" s="103" t="s">
        <v>21</v>
      </c>
      <c r="N5" s="106" t="s">
        <v>22</v>
      </c>
    </row>
    <row r="6" spans="1:14" ht="24" customHeight="1" x14ac:dyDescent="0.25">
      <c r="A6" s="121"/>
      <c r="B6" s="134"/>
      <c r="C6" s="126"/>
      <c r="D6" s="137"/>
      <c r="E6" s="140"/>
      <c r="F6" s="129"/>
      <c r="G6" s="92"/>
      <c r="H6" s="132"/>
      <c r="I6" s="111"/>
      <c r="J6" s="115"/>
      <c r="K6" s="118"/>
      <c r="L6" s="100"/>
      <c r="M6" s="104"/>
      <c r="N6" s="107"/>
    </row>
    <row r="7" spans="1:14" ht="37.200000000000003" customHeight="1" x14ac:dyDescent="0.25">
      <c r="A7" s="121"/>
      <c r="B7" s="135"/>
      <c r="C7" s="127"/>
      <c r="D7" s="138"/>
      <c r="E7" s="141"/>
      <c r="F7" s="129"/>
      <c r="G7" s="92"/>
      <c r="H7" s="132"/>
      <c r="I7" s="111"/>
      <c r="J7" s="116"/>
      <c r="K7" s="119"/>
      <c r="L7" s="100"/>
      <c r="M7" s="105"/>
      <c r="N7" s="108"/>
    </row>
    <row r="8" spans="1:14" ht="21" customHeight="1" x14ac:dyDescent="0.25">
      <c r="A8" s="122"/>
      <c r="B8" s="5">
        <v>1</v>
      </c>
      <c r="C8" s="11">
        <v>2</v>
      </c>
      <c r="D8" s="11">
        <v>3</v>
      </c>
      <c r="E8" s="24">
        <v>4</v>
      </c>
      <c r="F8" s="6" t="s">
        <v>12</v>
      </c>
      <c r="G8" s="1">
        <v>4</v>
      </c>
      <c r="H8" s="7">
        <v>5</v>
      </c>
      <c r="I8" s="15" t="s">
        <v>15</v>
      </c>
      <c r="J8" s="16" t="s">
        <v>16</v>
      </c>
      <c r="K8" s="17" t="s">
        <v>17</v>
      </c>
      <c r="L8" s="18" t="s">
        <v>18</v>
      </c>
      <c r="M8" s="13" t="s">
        <v>19</v>
      </c>
      <c r="N8" s="14" t="s">
        <v>20</v>
      </c>
    </row>
    <row r="9" spans="1:14" s="39" customFormat="1" ht="21" customHeight="1" x14ac:dyDescent="0.3">
      <c r="A9" s="25">
        <v>1</v>
      </c>
      <c r="B9" s="26" t="s">
        <v>0</v>
      </c>
      <c r="C9" s="27">
        <v>1751</v>
      </c>
      <c r="D9" s="28">
        <v>1</v>
      </c>
      <c r="E9" s="29">
        <f>$N$31*D9</f>
        <v>26.64434075843786</v>
      </c>
      <c r="F9" s="30">
        <f>ROUND(C9*E9,0)</f>
        <v>46654</v>
      </c>
      <c r="G9" s="31">
        <f>F9</f>
        <v>46654</v>
      </c>
      <c r="H9" s="32">
        <v>0</v>
      </c>
      <c r="I9" s="33">
        <f>J9+K9</f>
        <v>23327</v>
      </c>
      <c r="J9" s="34">
        <f>G9*0.5</f>
        <v>23327</v>
      </c>
      <c r="K9" s="35">
        <f>H9</f>
        <v>0</v>
      </c>
      <c r="L9" s="36">
        <f>M9+N9</f>
        <v>69981</v>
      </c>
      <c r="M9" s="37">
        <f>J9*3</f>
        <v>69981</v>
      </c>
      <c r="N9" s="38">
        <f>K9*3</f>
        <v>0</v>
      </c>
    </row>
    <row r="10" spans="1:14" s="39" customFormat="1" ht="21" customHeight="1" x14ac:dyDescent="0.3">
      <c r="A10" s="25">
        <v>2</v>
      </c>
      <c r="B10" s="26" t="s">
        <v>1</v>
      </c>
      <c r="C10" s="27">
        <v>624</v>
      </c>
      <c r="D10" s="28">
        <v>1</v>
      </c>
      <c r="E10" s="29">
        <f t="shared" ref="E10:E14" si="0">$N$31*D10</f>
        <v>26.64434075843786</v>
      </c>
      <c r="F10" s="30">
        <f t="shared" ref="F10:F14" si="1">ROUND(C10*E10,0)</f>
        <v>16626</v>
      </c>
      <c r="G10" s="31">
        <f>F10</f>
        <v>16626</v>
      </c>
      <c r="H10" s="32">
        <v>0</v>
      </c>
      <c r="I10" s="33">
        <f t="shared" ref="I10:I14" si="2">J10+K10</f>
        <v>8313</v>
      </c>
      <c r="J10" s="34">
        <f t="shared" ref="J10:J14" si="3">G10*0.5</f>
        <v>8313</v>
      </c>
      <c r="K10" s="35">
        <f t="shared" ref="K10:K14" si="4">H10</f>
        <v>0</v>
      </c>
      <c r="L10" s="36">
        <f t="shared" ref="L10:L14" si="5">M10+N10</f>
        <v>24939</v>
      </c>
      <c r="M10" s="37">
        <f t="shared" ref="M10:M14" si="6">J10*3</f>
        <v>24939</v>
      </c>
      <c r="N10" s="38">
        <f t="shared" ref="N10:N14" si="7">K10*3</f>
        <v>0</v>
      </c>
    </row>
    <row r="11" spans="1:14" s="39" customFormat="1" ht="21" customHeight="1" x14ac:dyDescent="0.3">
      <c r="A11" s="25">
        <v>3</v>
      </c>
      <c r="B11" s="26" t="s">
        <v>7</v>
      </c>
      <c r="C11" s="27">
        <v>1676</v>
      </c>
      <c r="D11" s="28">
        <v>0.2</v>
      </c>
      <c r="E11" s="29">
        <f t="shared" si="0"/>
        <v>5.3288681516875727</v>
      </c>
      <c r="F11" s="30">
        <f>ROUND(C11*E11,0)</f>
        <v>8931</v>
      </c>
      <c r="G11" s="31">
        <f>F11</f>
        <v>8931</v>
      </c>
      <c r="H11" s="32">
        <v>0</v>
      </c>
      <c r="I11" s="33">
        <f t="shared" si="2"/>
        <v>4465.5</v>
      </c>
      <c r="J11" s="34">
        <f t="shared" si="3"/>
        <v>4465.5</v>
      </c>
      <c r="K11" s="35">
        <f t="shared" si="4"/>
        <v>0</v>
      </c>
      <c r="L11" s="36">
        <f t="shared" si="5"/>
        <v>13396.5</v>
      </c>
      <c r="M11" s="37">
        <f t="shared" si="6"/>
        <v>13396.5</v>
      </c>
      <c r="N11" s="38">
        <f t="shared" si="7"/>
        <v>0</v>
      </c>
    </row>
    <row r="12" spans="1:14" s="39" customFormat="1" ht="21" customHeight="1" x14ac:dyDescent="0.3">
      <c r="A12" s="25">
        <v>4</v>
      </c>
      <c r="B12" s="26" t="s">
        <v>2</v>
      </c>
      <c r="C12" s="27">
        <f>931+3783+7560</f>
        <v>12274</v>
      </c>
      <c r="D12" s="28">
        <v>1</v>
      </c>
      <c r="E12" s="29">
        <f t="shared" si="0"/>
        <v>26.64434075843786</v>
      </c>
      <c r="F12" s="30">
        <f t="shared" si="1"/>
        <v>327033</v>
      </c>
      <c r="G12" s="31">
        <f>ROUND(7560*E12,0)</f>
        <v>201431</v>
      </c>
      <c r="H12" s="32">
        <f>ROUND((931+3783)*E12,0)+1</f>
        <v>125602</v>
      </c>
      <c r="I12" s="33">
        <f t="shared" si="2"/>
        <v>226317.5</v>
      </c>
      <c r="J12" s="34">
        <f>G12*0.5</f>
        <v>100715.5</v>
      </c>
      <c r="K12" s="35">
        <f t="shared" si="4"/>
        <v>125602</v>
      </c>
      <c r="L12" s="36">
        <f t="shared" si="5"/>
        <v>678952.5</v>
      </c>
      <c r="M12" s="37">
        <f t="shared" si="6"/>
        <v>302146.5</v>
      </c>
      <c r="N12" s="38">
        <f t="shared" si="7"/>
        <v>376806</v>
      </c>
    </row>
    <row r="13" spans="1:14" s="39" customFormat="1" ht="21" customHeight="1" x14ac:dyDescent="0.3">
      <c r="A13" s="25">
        <v>5</v>
      </c>
      <c r="B13" s="26" t="s">
        <v>8</v>
      </c>
      <c r="C13" s="27">
        <v>15663</v>
      </c>
      <c r="D13" s="28">
        <v>0.4</v>
      </c>
      <c r="E13" s="29">
        <f t="shared" si="0"/>
        <v>10.657736303375145</v>
      </c>
      <c r="F13" s="30">
        <f t="shared" si="1"/>
        <v>166932</v>
      </c>
      <c r="G13" s="31">
        <f>F13</f>
        <v>166932</v>
      </c>
      <c r="H13" s="32">
        <v>0</v>
      </c>
      <c r="I13" s="33">
        <f t="shared" si="2"/>
        <v>83466</v>
      </c>
      <c r="J13" s="34">
        <f t="shared" si="3"/>
        <v>83466</v>
      </c>
      <c r="K13" s="35">
        <f t="shared" si="4"/>
        <v>0</v>
      </c>
      <c r="L13" s="36">
        <f t="shared" si="5"/>
        <v>250398</v>
      </c>
      <c r="M13" s="37">
        <f t="shared" si="6"/>
        <v>250398</v>
      </c>
      <c r="N13" s="38">
        <f t="shared" si="7"/>
        <v>0</v>
      </c>
    </row>
    <row r="14" spans="1:14" s="39" customFormat="1" ht="21" customHeight="1" x14ac:dyDescent="0.3">
      <c r="A14" s="25">
        <v>6</v>
      </c>
      <c r="B14" s="26" t="s">
        <v>3</v>
      </c>
      <c r="C14" s="27">
        <v>234</v>
      </c>
      <c r="D14" s="28">
        <v>0.85</v>
      </c>
      <c r="E14" s="29">
        <f t="shared" si="0"/>
        <v>22.64768964467218</v>
      </c>
      <c r="F14" s="30">
        <f t="shared" si="1"/>
        <v>5300</v>
      </c>
      <c r="G14" s="31">
        <f>F14</f>
        <v>5300</v>
      </c>
      <c r="H14" s="32">
        <v>0</v>
      </c>
      <c r="I14" s="33">
        <f t="shared" si="2"/>
        <v>2650</v>
      </c>
      <c r="J14" s="34">
        <f t="shared" si="3"/>
        <v>2650</v>
      </c>
      <c r="K14" s="35">
        <f t="shared" si="4"/>
        <v>0</v>
      </c>
      <c r="L14" s="36">
        <f t="shared" si="5"/>
        <v>7950</v>
      </c>
      <c r="M14" s="37">
        <f t="shared" si="6"/>
        <v>7950</v>
      </c>
      <c r="N14" s="38">
        <f t="shared" si="7"/>
        <v>0</v>
      </c>
    </row>
    <row r="15" spans="1:14" s="8" customFormat="1" ht="21" customHeight="1" thickBot="1" x14ac:dyDescent="0.35">
      <c r="A15" s="40"/>
      <c r="B15" s="41" t="s">
        <v>4</v>
      </c>
      <c r="C15" s="42">
        <f>C9+C10+C11+C12+C13+C14</f>
        <v>32222</v>
      </c>
      <c r="D15" s="43" t="s">
        <v>47</v>
      </c>
      <c r="E15" s="43" t="s">
        <v>47</v>
      </c>
      <c r="F15" s="44">
        <f>SUM(F9:F14)</f>
        <v>571476</v>
      </c>
      <c r="G15" s="45">
        <f t="shared" ref="G15:H15" si="8">SUM(G9:G14)</f>
        <v>445874</v>
      </c>
      <c r="H15" s="46">
        <f t="shared" si="8"/>
        <v>125602</v>
      </c>
      <c r="I15" s="47">
        <f>SUM(I9:I14)</f>
        <v>348539</v>
      </c>
      <c r="J15" s="48">
        <f t="shared" ref="J15" si="9">SUM(J9:J14)</f>
        <v>222937</v>
      </c>
      <c r="K15" s="49">
        <f t="shared" ref="K15" si="10">SUM(K9:K14)</f>
        <v>125602</v>
      </c>
      <c r="L15" s="54">
        <f>SUM(L9:L14)</f>
        <v>1045617</v>
      </c>
      <c r="M15" s="50">
        <f t="shared" ref="M15" si="11">SUM(M9:M14)</f>
        <v>668811</v>
      </c>
      <c r="N15" s="51">
        <f t="shared" ref="N15" si="12">SUM(N9:N14)</f>
        <v>376806</v>
      </c>
    </row>
    <row r="16" spans="1:14" ht="21" customHeight="1" x14ac:dyDescent="0.25">
      <c r="A16" s="53"/>
      <c r="B16" s="143" t="s">
        <v>53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</row>
    <row r="17" spans="1:14" ht="15.6" customHeight="1" x14ac:dyDescent="0.25">
      <c r="A17" s="109" t="s">
        <v>49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</row>
    <row r="18" spans="1:14" ht="86.4" customHeight="1" x14ac:dyDescent="0.25">
      <c r="A18" s="91" t="s">
        <v>38</v>
      </c>
      <c r="B18" s="92" t="s">
        <v>39</v>
      </c>
      <c r="C18" s="92"/>
      <c r="D18" s="92"/>
      <c r="E18" s="92"/>
      <c r="F18" s="92"/>
      <c r="G18" s="92"/>
      <c r="H18" s="19" t="s">
        <v>33</v>
      </c>
      <c r="I18" s="19" t="s">
        <v>42</v>
      </c>
      <c r="J18" s="19" t="s">
        <v>56</v>
      </c>
      <c r="K18" s="19" t="s">
        <v>57</v>
      </c>
      <c r="L18" s="19" t="s">
        <v>58</v>
      </c>
      <c r="M18" s="19" t="s">
        <v>59</v>
      </c>
      <c r="N18" s="19" t="s">
        <v>45</v>
      </c>
    </row>
    <row r="19" spans="1:14" ht="24.6" customHeight="1" x14ac:dyDescent="0.25">
      <c r="A19" s="91"/>
      <c r="B19" s="91">
        <v>1</v>
      </c>
      <c r="C19" s="91"/>
      <c r="D19" s="91"/>
      <c r="E19" s="91"/>
      <c r="F19" s="91"/>
      <c r="G19" s="91"/>
      <c r="H19" s="19">
        <v>2</v>
      </c>
      <c r="I19" s="19">
        <v>3</v>
      </c>
      <c r="J19" s="19">
        <v>4</v>
      </c>
      <c r="K19" s="19">
        <v>5</v>
      </c>
      <c r="L19" s="19" t="s">
        <v>44</v>
      </c>
      <c r="M19" s="19" t="s">
        <v>43</v>
      </c>
      <c r="N19" s="19" t="s">
        <v>61</v>
      </c>
    </row>
    <row r="20" spans="1:14" ht="14.4" customHeight="1" x14ac:dyDescent="0.25">
      <c r="A20" s="10">
        <v>1</v>
      </c>
      <c r="B20" s="96" t="s">
        <v>23</v>
      </c>
      <c r="C20" s="96"/>
      <c r="D20" s="96"/>
      <c r="E20" s="96"/>
      <c r="F20" s="96"/>
      <c r="G20" s="96"/>
      <c r="H20" s="10" t="s">
        <v>36</v>
      </c>
      <c r="I20" s="20">
        <v>0.30892494929006087</v>
      </c>
      <c r="J20" s="21">
        <v>12150</v>
      </c>
      <c r="K20" s="21">
        <v>12000</v>
      </c>
      <c r="L20" s="22">
        <f>J20*I20</f>
        <v>3753.4381338742396</v>
      </c>
      <c r="M20" s="22">
        <f>K20*I20</f>
        <v>3707.0993914807304</v>
      </c>
      <c r="N20" s="22">
        <f>(L20+M20)/1642</f>
        <v>4.5435673114220281</v>
      </c>
    </row>
    <row r="21" spans="1:14" x14ac:dyDescent="0.25">
      <c r="A21" s="10">
        <v>2</v>
      </c>
      <c r="B21" s="96" t="s">
        <v>24</v>
      </c>
      <c r="C21" s="96"/>
      <c r="D21" s="96"/>
      <c r="E21" s="96"/>
      <c r="F21" s="96"/>
      <c r="G21" s="96"/>
      <c r="H21" s="10" t="s">
        <v>36</v>
      </c>
      <c r="I21" s="20">
        <v>2.5</v>
      </c>
      <c r="J21" s="21">
        <v>1500</v>
      </c>
      <c r="K21" s="21">
        <v>500</v>
      </c>
      <c r="L21" s="22">
        <f t="shared" ref="L21:L30" si="13">J21*I21</f>
        <v>3750</v>
      </c>
      <c r="M21" s="22">
        <f t="shared" ref="M21:M30" si="14">K21*I21</f>
        <v>1250</v>
      </c>
      <c r="N21" s="22">
        <f t="shared" ref="N21:N30" si="15">(L21+M21)/1642</f>
        <v>3.0450669914738122</v>
      </c>
    </row>
    <row r="22" spans="1:14" x14ac:dyDescent="0.25">
      <c r="A22" s="10">
        <v>3</v>
      </c>
      <c r="B22" s="96" t="s">
        <v>25</v>
      </c>
      <c r="C22" s="96"/>
      <c r="D22" s="96"/>
      <c r="E22" s="96"/>
      <c r="F22" s="96"/>
      <c r="G22" s="96"/>
      <c r="H22" s="10" t="s">
        <v>35</v>
      </c>
      <c r="I22" s="20">
        <v>0.1610498687664042</v>
      </c>
      <c r="J22" s="21">
        <v>27150</v>
      </c>
      <c r="K22" s="21">
        <v>30000</v>
      </c>
      <c r="L22" s="22">
        <f t="shared" si="13"/>
        <v>4372.5039370078739</v>
      </c>
      <c r="M22" s="22">
        <f t="shared" si="14"/>
        <v>4831.4960629921261</v>
      </c>
      <c r="N22" s="22">
        <f t="shared" si="15"/>
        <v>5.6053593179049939</v>
      </c>
    </row>
    <row r="23" spans="1:14" x14ac:dyDescent="0.25">
      <c r="A23" s="10">
        <v>4</v>
      </c>
      <c r="B23" s="96" t="s">
        <v>26</v>
      </c>
      <c r="C23" s="96"/>
      <c r="D23" s="96"/>
      <c r="E23" s="96"/>
      <c r="F23" s="96"/>
      <c r="G23" s="96"/>
      <c r="H23" s="10" t="s">
        <v>35</v>
      </c>
      <c r="I23" s="20">
        <v>3.0798976982097184</v>
      </c>
      <c r="J23" s="21">
        <v>755</v>
      </c>
      <c r="K23" s="21">
        <v>1200</v>
      </c>
      <c r="L23" s="22">
        <f t="shared" si="13"/>
        <v>2325.3227621483375</v>
      </c>
      <c r="M23" s="22">
        <f t="shared" si="14"/>
        <v>3695.8772378516619</v>
      </c>
      <c r="N23" s="22">
        <f t="shared" si="15"/>
        <v>3.6669914738124234</v>
      </c>
    </row>
    <row r="24" spans="1:14" x14ac:dyDescent="0.25">
      <c r="A24" s="10">
        <v>5</v>
      </c>
      <c r="B24" s="96" t="s">
        <v>27</v>
      </c>
      <c r="C24" s="96"/>
      <c r="D24" s="96"/>
      <c r="E24" s="96"/>
      <c r="F24" s="96"/>
      <c r="G24" s="96"/>
      <c r="H24" s="10" t="s">
        <v>36</v>
      </c>
      <c r="I24" s="20">
        <v>1.802806324110672</v>
      </c>
      <c r="J24" s="21">
        <v>1330</v>
      </c>
      <c r="K24" s="21">
        <v>1200</v>
      </c>
      <c r="L24" s="22">
        <f t="shared" si="13"/>
        <v>2397.7324110671939</v>
      </c>
      <c r="M24" s="22">
        <f t="shared" si="14"/>
        <v>2163.3675889328065</v>
      </c>
      <c r="N24" s="22">
        <f t="shared" si="15"/>
        <v>2.7777710109622413</v>
      </c>
    </row>
    <row r="25" spans="1:14" x14ac:dyDescent="0.25">
      <c r="A25" s="10">
        <v>6</v>
      </c>
      <c r="B25" s="96" t="s">
        <v>34</v>
      </c>
      <c r="C25" s="96"/>
      <c r="D25" s="96"/>
      <c r="E25" s="96"/>
      <c r="F25" s="96"/>
      <c r="G25" s="96"/>
      <c r="H25" s="10" t="s">
        <v>35</v>
      </c>
      <c r="I25" s="20">
        <v>0.5</v>
      </c>
      <c r="J25" s="21">
        <v>2820</v>
      </c>
      <c r="K25" s="21">
        <v>1200</v>
      </c>
      <c r="L25" s="22">
        <f t="shared" si="13"/>
        <v>1410</v>
      </c>
      <c r="M25" s="22">
        <f t="shared" si="14"/>
        <v>600</v>
      </c>
      <c r="N25" s="22">
        <f t="shared" si="15"/>
        <v>1.2241169305724726</v>
      </c>
    </row>
    <row r="26" spans="1:14" x14ac:dyDescent="0.25">
      <c r="A26" s="10">
        <v>7</v>
      </c>
      <c r="B26" s="96" t="s">
        <v>28</v>
      </c>
      <c r="C26" s="96"/>
      <c r="D26" s="96"/>
      <c r="E26" s="96"/>
      <c r="F26" s="96"/>
      <c r="G26" s="96"/>
      <c r="H26" s="10" t="s">
        <v>36</v>
      </c>
      <c r="I26" s="20">
        <v>0.12</v>
      </c>
      <c r="J26" s="21">
        <v>2470</v>
      </c>
      <c r="K26" s="21">
        <v>1200</v>
      </c>
      <c r="L26" s="22">
        <f t="shared" si="13"/>
        <v>296.39999999999998</v>
      </c>
      <c r="M26" s="22">
        <f t="shared" si="14"/>
        <v>144</v>
      </c>
      <c r="N26" s="22">
        <f t="shared" si="15"/>
        <v>0.26820950060901338</v>
      </c>
    </row>
    <row r="27" spans="1:14" x14ac:dyDescent="0.25">
      <c r="A27" s="10">
        <v>8</v>
      </c>
      <c r="B27" s="96" t="s">
        <v>29</v>
      </c>
      <c r="C27" s="96"/>
      <c r="D27" s="96"/>
      <c r="E27" s="96"/>
      <c r="F27" s="96"/>
      <c r="G27" s="96"/>
      <c r="H27" s="10" t="s">
        <v>36</v>
      </c>
      <c r="I27" s="20">
        <v>8.0151330798479083</v>
      </c>
      <c r="J27" s="21">
        <v>153</v>
      </c>
      <c r="K27" s="21">
        <v>110</v>
      </c>
      <c r="L27" s="22">
        <f t="shared" si="13"/>
        <v>1226.31536121673</v>
      </c>
      <c r="M27" s="22">
        <f t="shared" si="14"/>
        <v>881.66463878326988</v>
      </c>
      <c r="N27" s="22">
        <f t="shared" si="15"/>
        <v>1.2837880633373935</v>
      </c>
    </row>
    <row r="28" spans="1:14" x14ac:dyDescent="0.25">
      <c r="A28" s="10">
        <v>9</v>
      </c>
      <c r="B28" s="96" t="s">
        <v>30</v>
      </c>
      <c r="C28" s="96"/>
      <c r="D28" s="96"/>
      <c r="E28" s="96"/>
      <c r="F28" s="96"/>
      <c r="G28" s="96"/>
      <c r="H28" s="10" t="s">
        <v>36</v>
      </c>
      <c r="I28" s="20">
        <v>5.2266666666666666</v>
      </c>
      <c r="J28" s="21">
        <v>24</v>
      </c>
      <c r="K28" s="21">
        <v>30</v>
      </c>
      <c r="L28" s="22">
        <f t="shared" si="13"/>
        <v>125.44</v>
      </c>
      <c r="M28" s="22">
        <f t="shared" si="14"/>
        <v>156.80000000000001</v>
      </c>
      <c r="N28" s="22">
        <f t="shared" si="15"/>
        <v>0.17188794153471376</v>
      </c>
    </row>
    <row r="29" spans="1:14" x14ac:dyDescent="0.25">
      <c r="A29" s="10">
        <v>10</v>
      </c>
      <c r="B29" s="96" t="s">
        <v>31</v>
      </c>
      <c r="C29" s="96"/>
      <c r="D29" s="96"/>
      <c r="E29" s="96"/>
      <c r="F29" s="96"/>
      <c r="G29" s="96"/>
      <c r="H29" s="10" t="s">
        <v>37</v>
      </c>
      <c r="I29" s="20">
        <v>6.0968807339449542</v>
      </c>
      <c r="J29" s="21">
        <v>295</v>
      </c>
      <c r="K29" s="21">
        <v>250</v>
      </c>
      <c r="L29" s="22">
        <f t="shared" si="13"/>
        <v>1798.5798165137614</v>
      </c>
      <c r="M29" s="22">
        <f t="shared" si="14"/>
        <v>1524.2201834862385</v>
      </c>
      <c r="N29" s="22">
        <f t="shared" si="15"/>
        <v>2.0236297198538371</v>
      </c>
    </row>
    <row r="30" spans="1:14" x14ac:dyDescent="0.25">
      <c r="A30" s="10">
        <v>11</v>
      </c>
      <c r="B30" s="96" t="s">
        <v>32</v>
      </c>
      <c r="C30" s="96"/>
      <c r="D30" s="96"/>
      <c r="E30" s="96"/>
      <c r="F30" s="96"/>
      <c r="G30" s="96"/>
      <c r="H30" s="10" t="s">
        <v>37</v>
      </c>
      <c r="I30" s="20">
        <v>5.1779069767441861</v>
      </c>
      <c r="J30" s="21">
        <v>345</v>
      </c>
      <c r="K30" s="21">
        <v>300</v>
      </c>
      <c r="L30" s="22">
        <f t="shared" si="13"/>
        <v>1786.3779069767443</v>
      </c>
      <c r="M30" s="22">
        <f t="shared" si="14"/>
        <v>1553.3720930232557</v>
      </c>
      <c r="N30" s="22">
        <f t="shared" si="15"/>
        <v>2.033952496954933</v>
      </c>
    </row>
    <row r="31" spans="1:14" x14ac:dyDescent="0.25">
      <c r="A31" s="3">
        <v>12</v>
      </c>
      <c r="B31" s="93" t="s">
        <v>40</v>
      </c>
      <c r="C31" s="94"/>
      <c r="D31" s="94"/>
      <c r="E31" s="94"/>
      <c r="F31" s="94"/>
      <c r="G31" s="95"/>
      <c r="H31" s="3" t="s">
        <v>41</v>
      </c>
      <c r="I31" s="3" t="s">
        <v>41</v>
      </c>
      <c r="J31" s="23">
        <f>SUM(J20:J30)</f>
        <v>48992</v>
      </c>
      <c r="K31" s="23">
        <f>SUM(K20:K30)</f>
        <v>47990</v>
      </c>
      <c r="L31" s="12">
        <f>SUM(L20:L30)</f>
        <v>23242.11032880488</v>
      </c>
      <c r="M31" s="12">
        <f>SUM(M20:M30)</f>
        <v>20507.89719655009</v>
      </c>
      <c r="N31" s="52">
        <f>SUM(N20:N30)</f>
        <v>26.64434075843786</v>
      </c>
    </row>
    <row r="32" spans="1:14" ht="18" customHeight="1" x14ac:dyDescent="0.25">
      <c r="B32" s="142" t="s">
        <v>54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</row>
    <row r="33" spans="1:19" ht="18" customHeight="1" x14ac:dyDescent="0.25">
      <c r="B33" s="97" t="s">
        <v>55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9" ht="18" customHeight="1" x14ac:dyDescent="0.25">
      <c r="B34" s="97" t="s">
        <v>60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</row>
    <row r="37" spans="1:19" ht="14.4" thickBot="1" x14ac:dyDescent="0.3">
      <c r="L37" s="2" t="s">
        <v>66</v>
      </c>
    </row>
    <row r="38" spans="1:19" x14ac:dyDescent="0.25">
      <c r="H38" s="59"/>
      <c r="I38" s="59"/>
      <c r="J38" s="60" t="s">
        <v>64</v>
      </c>
      <c r="K38" s="60" t="s">
        <v>65</v>
      </c>
      <c r="L38" s="61" t="s">
        <v>64</v>
      </c>
      <c r="M38" s="62" t="s">
        <v>65</v>
      </c>
    </row>
    <row r="39" spans="1:19" ht="14.4" thickBot="1" x14ac:dyDescent="0.3">
      <c r="H39" s="87" t="s">
        <v>63</v>
      </c>
      <c r="I39" s="87"/>
      <c r="J39" s="63">
        <f>F15</f>
        <v>571476</v>
      </c>
      <c r="K39" s="63">
        <f>J39*3</f>
        <v>1714428</v>
      </c>
      <c r="L39" s="64">
        <f>I15</f>
        <v>348539</v>
      </c>
      <c r="M39" s="65">
        <f>L39*3</f>
        <v>1045617</v>
      </c>
      <c r="N39" s="81">
        <f>L39-L40-L44-L46</f>
        <v>0</v>
      </c>
      <c r="O39" s="81">
        <f>M39-M40-M44-M46</f>
        <v>0</v>
      </c>
    </row>
    <row r="40" spans="1:19" ht="14.4" customHeight="1" x14ac:dyDescent="0.25">
      <c r="F40" s="87" t="s">
        <v>67</v>
      </c>
      <c r="G40" s="87"/>
      <c r="H40" s="87"/>
      <c r="I40" s="87"/>
      <c r="J40" s="63">
        <f>ROUND((931+3783)*E12,2=0)+1</f>
        <v>125602</v>
      </c>
      <c r="K40" s="63">
        <f>J40*3</f>
        <v>376806</v>
      </c>
      <c r="L40" s="69">
        <f>J40</f>
        <v>125602</v>
      </c>
      <c r="M40" s="70">
        <f>K40</f>
        <v>376806</v>
      </c>
      <c r="N40" s="81">
        <f>L40-L41-L42-L43</f>
        <v>0</v>
      </c>
      <c r="O40" s="81">
        <f>M40-M41-M42-M43</f>
        <v>0</v>
      </c>
    </row>
    <row r="41" spans="1:19" x14ac:dyDescent="0.25">
      <c r="H41" s="66"/>
      <c r="I41" s="66"/>
      <c r="J41" s="67"/>
      <c r="K41" s="68" t="s">
        <v>69</v>
      </c>
      <c r="L41" s="71">
        <f>ROUND(E12*3783,0)</f>
        <v>100796</v>
      </c>
      <c r="M41" s="72">
        <f>L41*3</f>
        <v>302388</v>
      </c>
      <c r="N41" s="77"/>
      <c r="O41" s="78"/>
      <c r="P41" s="78"/>
      <c r="Q41" s="78"/>
      <c r="R41" s="78"/>
      <c r="S41" s="78"/>
    </row>
    <row r="42" spans="1:19" x14ac:dyDescent="0.25">
      <c r="H42" s="66"/>
      <c r="I42" s="66"/>
      <c r="J42" s="67"/>
      <c r="K42" s="68" t="s">
        <v>70</v>
      </c>
      <c r="L42" s="71">
        <f>ROUND(E12*861,0)</f>
        <v>22941</v>
      </c>
      <c r="M42" s="72">
        <f t="shared" ref="M42:M43" si="16">L42*3</f>
        <v>68823</v>
      </c>
      <c r="N42" s="78">
        <f>ROUND(E12*510,0)</f>
        <v>13589</v>
      </c>
      <c r="O42" s="79">
        <f>N42*3</f>
        <v>40767</v>
      </c>
      <c r="P42" s="80">
        <f>N42+L43</f>
        <v>15454</v>
      </c>
      <c r="Q42" s="80">
        <f>O42+M43</f>
        <v>46362</v>
      </c>
      <c r="R42" s="77">
        <f>M40-Q42-Q43</f>
        <v>0</v>
      </c>
      <c r="S42" s="78"/>
    </row>
    <row r="43" spans="1:19" x14ac:dyDescent="0.25">
      <c r="H43" s="66"/>
      <c r="I43" s="66"/>
      <c r="J43" s="67"/>
      <c r="K43" s="68" t="s">
        <v>71</v>
      </c>
      <c r="L43" s="71">
        <f>ROUND(E12*70,0)</f>
        <v>1865</v>
      </c>
      <c r="M43" s="72">
        <f t="shared" si="16"/>
        <v>5595</v>
      </c>
      <c r="N43" s="77">
        <f>L42-N42</f>
        <v>9352</v>
      </c>
      <c r="O43" s="77">
        <f>M42-O42</f>
        <v>28056</v>
      </c>
      <c r="P43" s="80">
        <f>L41+N43</f>
        <v>110148</v>
      </c>
      <c r="Q43" s="80">
        <f>P43*3</f>
        <v>330444</v>
      </c>
      <c r="R43" s="78"/>
      <c r="S43" s="78"/>
    </row>
    <row r="44" spans="1:19" ht="14.4" customHeight="1" x14ac:dyDescent="0.25">
      <c r="F44" s="86" t="s">
        <v>79</v>
      </c>
      <c r="G44" s="86"/>
      <c r="H44" s="86"/>
      <c r="I44" s="86"/>
      <c r="J44" s="63">
        <f>(J39-J40)/2</f>
        <v>222937</v>
      </c>
      <c r="K44" s="63">
        <f t="shared" ref="K44" si="17">(K39-K40)/2</f>
        <v>668811</v>
      </c>
      <c r="L44" s="69">
        <f>J44</f>
        <v>222937</v>
      </c>
      <c r="M44" s="70">
        <f>L44*3</f>
        <v>668811</v>
      </c>
      <c r="N44" s="78"/>
      <c r="O44" s="78"/>
      <c r="P44" s="78"/>
      <c r="Q44" s="78"/>
      <c r="R44" s="78"/>
      <c r="S44" s="78"/>
    </row>
    <row r="45" spans="1:19" x14ac:dyDescent="0.25">
      <c r="H45" s="73"/>
      <c r="I45" s="73"/>
      <c r="J45" s="67"/>
      <c r="K45" s="68" t="s">
        <v>71</v>
      </c>
      <c r="L45" s="71">
        <f>L44</f>
        <v>222937</v>
      </c>
      <c r="M45" s="72">
        <f>M44</f>
        <v>668811</v>
      </c>
      <c r="N45" s="78"/>
      <c r="O45" s="78"/>
      <c r="P45" s="78"/>
      <c r="Q45" s="78"/>
      <c r="R45" s="78"/>
      <c r="S45" s="78"/>
    </row>
    <row r="46" spans="1:19" x14ac:dyDescent="0.25">
      <c r="H46" s="90" t="s">
        <v>68</v>
      </c>
      <c r="I46" s="90"/>
      <c r="J46" s="67">
        <f>J44</f>
        <v>222937</v>
      </c>
      <c r="K46" s="67">
        <f t="shared" ref="K46" si="18">K44</f>
        <v>668811</v>
      </c>
      <c r="L46" s="71">
        <v>0</v>
      </c>
      <c r="M46" s="72">
        <v>0</v>
      </c>
    </row>
    <row r="47" spans="1:19" s="58" customFormat="1" ht="10.8" thickBot="1" x14ac:dyDescent="0.25">
      <c r="A47" s="56"/>
      <c r="B47" s="57"/>
      <c r="H47" s="88"/>
      <c r="I47" s="88"/>
      <c r="J47" s="74">
        <f>J39-J40-J44-J46</f>
        <v>0</v>
      </c>
      <c r="K47" s="74">
        <f t="shared" ref="K47:M47" si="19">K39-K40-K44-K46</f>
        <v>0</v>
      </c>
      <c r="L47" s="75">
        <f t="shared" si="19"/>
        <v>0</v>
      </c>
      <c r="M47" s="76">
        <f t="shared" si="19"/>
        <v>0</v>
      </c>
    </row>
    <row r="48" spans="1:19" x14ac:dyDescent="0.25">
      <c r="H48" s="89"/>
      <c r="I48" s="89"/>
    </row>
    <row r="49" spans="2:9" x14ac:dyDescent="0.25">
      <c r="H49" s="89"/>
      <c r="I49" s="89"/>
    </row>
    <row r="50" spans="2:9" x14ac:dyDescent="0.25">
      <c r="B50" s="82" t="s">
        <v>72</v>
      </c>
      <c r="H50" s="89"/>
      <c r="I50" s="89"/>
    </row>
    <row r="51" spans="2:9" x14ac:dyDescent="0.25">
      <c r="B51" s="85" t="s">
        <v>76</v>
      </c>
      <c r="H51" s="55"/>
      <c r="I51" s="55"/>
    </row>
    <row r="52" spans="2:9" x14ac:dyDescent="0.25">
      <c r="B52" s="83" t="s">
        <v>73</v>
      </c>
      <c r="H52" s="89"/>
      <c r="I52" s="89"/>
    </row>
    <row r="53" spans="2:9" x14ac:dyDescent="0.25">
      <c r="B53" s="83" t="s">
        <v>74</v>
      </c>
    </row>
    <row r="54" spans="2:9" x14ac:dyDescent="0.25">
      <c r="B54" s="83" t="s">
        <v>77</v>
      </c>
    </row>
    <row r="55" spans="2:9" ht="14.4" x14ac:dyDescent="0.25">
      <c r="B55" s="84" t="s">
        <v>75</v>
      </c>
    </row>
    <row r="56" spans="2:9" x14ac:dyDescent="0.25">
      <c r="B56" s="83"/>
    </row>
    <row r="57" spans="2:9" x14ac:dyDescent="0.25">
      <c r="B57" s="2"/>
    </row>
  </sheetData>
  <mergeCells count="49">
    <mergeCell ref="B33:N33"/>
    <mergeCell ref="C4:C7"/>
    <mergeCell ref="F4:F7"/>
    <mergeCell ref="G4:H4"/>
    <mergeCell ref="G5:G7"/>
    <mergeCell ref="H5:H7"/>
    <mergeCell ref="B19:G19"/>
    <mergeCell ref="B4:B7"/>
    <mergeCell ref="D4:D7"/>
    <mergeCell ref="E4:E7"/>
    <mergeCell ref="B32:N32"/>
    <mergeCell ref="B16:N16"/>
    <mergeCell ref="B30:G30"/>
    <mergeCell ref="A1:N1"/>
    <mergeCell ref="A3:N3"/>
    <mergeCell ref="B25:G25"/>
    <mergeCell ref="B26:G26"/>
    <mergeCell ref="L4:L7"/>
    <mergeCell ref="M4:N4"/>
    <mergeCell ref="M5:M7"/>
    <mergeCell ref="N5:N7"/>
    <mergeCell ref="A17:N17"/>
    <mergeCell ref="I4:I7"/>
    <mergeCell ref="J4:K4"/>
    <mergeCell ref="J5:J7"/>
    <mergeCell ref="K5:K7"/>
    <mergeCell ref="A4:A8"/>
    <mergeCell ref="A2:N2"/>
    <mergeCell ref="H50:I50"/>
    <mergeCell ref="H52:I52"/>
    <mergeCell ref="H39:I39"/>
    <mergeCell ref="H46:I46"/>
    <mergeCell ref="A18:A19"/>
    <mergeCell ref="B18:G18"/>
    <mergeCell ref="B31:G31"/>
    <mergeCell ref="B20:G20"/>
    <mergeCell ref="B21:G21"/>
    <mergeCell ref="B22:G22"/>
    <mergeCell ref="B23:G23"/>
    <mergeCell ref="B24:G24"/>
    <mergeCell ref="B27:G27"/>
    <mergeCell ref="B28:G28"/>
    <mergeCell ref="B29:G29"/>
    <mergeCell ref="B34:N34"/>
    <mergeCell ref="F44:I44"/>
    <mergeCell ref="F40:I40"/>
    <mergeCell ref="H47:I47"/>
    <mergeCell ref="H48:I48"/>
    <mergeCell ref="H49:I49"/>
  </mergeCells>
  <hyperlinks>
    <hyperlink ref="B55" r:id="rId1" display="mailto:Sandra.Strele@lm.gov.lv" xr:uid="{62982861-2D3D-4B32-A06F-B2160C304BFB}"/>
  </hyperlinks>
  <pageMargins left="0.70866141732283472" right="0.70866141732283472" top="1.1417322834645669" bottom="0.47244094488188981" header="0.31496062992125984" footer="0.31496062992125984"/>
  <pageSetup paperSize="9" scale="70" orientation="landscape" horizontalDpi="300" verticalDpi="3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Pielikums_Anot_MKrLNG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2021-02-10T13:01:35Z</dcterms:modified>
</cp:coreProperties>
</file>