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52F5698E-95DA-4EA7-A475-F332B2F94F9E}" xr6:coauthVersionLast="46" xr6:coauthVersionMax="46" xr10:uidLastSave="{00000000-0000-0000-0000-000000000000}"/>
  <bookViews>
    <workbookView xWindow="-110" yWindow="-110" windowWidth="19420" windowHeight="10420" tabRatio="933" xr2:uid="{00000000-000D-0000-FFFF-FFFF00000000}"/>
  </bookViews>
  <sheets>
    <sheet name="KOPSAVILKUMS" sheetId="16" r:id="rId1"/>
    <sheet name="_2022_VB_ar_ izmaiņām_MK+ fin" sheetId="29" r:id="rId2"/>
    <sheet name="_2023_VB_ar_ izmaiņām_MK+fin" sheetId="30" r:id="rId3"/>
    <sheet name="_2024_VB_ar_ izmaiņām_MK+ fin" sheetId="31" r:id="rId4"/>
    <sheet name="_2021_VB_ar_ izmaiņām_MK" sheetId="24" r:id="rId5"/>
    <sheet name="_2022_VB_ar_ izmaiņām_MK" sheetId="25" r:id="rId6"/>
    <sheet name="_2023_VB_ar_ izmaiņām_MK" sheetId="26" r:id="rId7"/>
    <sheet name="_2024_VB_ar_ izmaiņām_MK" sheetId="27" r:id="rId8"/>
    <sheet name="_2021_VB_bez izmaiņām" sheetId="13" r:id="rId9"/>
    <sheet name="_2022_VB_bez izmaiņām" sheetId="14" r:id="rId10"/>
    <sheet name="_2023_VB_bez izmaiņām" sheetId="15" r:id="rId11"/>
    <sheet name="_2024_VB_bez izmaiņām" sheetId="23" r:id="rId12"/>
    <sheet name="Sheet1" sheetId="32" r:id="rId13"/>
  </sheets>
  <definedNames>
    <definedName name="_xlnm._FilterDatabase" localSheetId="4" hidden="1">'_2021_VB_ar_ izmaiņām_MK'!$A$7:$Z$52</definedName>
    <definedName name="_xlnm._FilterDatabase" localSheetId="8" hidden="1">'_2021_VB_bez izmaiņām'!$A$7:$Z$52</definedName>
    <definedName name="_xlnm._FilterDatabase" localSheetId="5" hidden="1">'_2022_VB_ar_ izmaiņām_MK'!$A$7:$Y$52</definedName>
    <definedName name="_xlnm._FilterDatabase" localSheetId="1" hidden="1">'_2022_VB_ar_ izmaiņām_MK+ fin'!$A$7:$Y$52</definedName>
    <definedName name="_xlnm._FilterDatabase" localSheetId="9" hidden="1">'_2022_VB_bez izmaiņām'!$A$7:$Z$52</definedName>
    <definedName name="_xlnm._FilterDatabase" localSheetId="6" hidden="1">'_2023_VB_ar_ izmaiņām_MK'!$A$7:$W$52</definedName>
    <definedName name="_xlnm._FilterDatabase" localSheetId="2" hidden="1">'_2023_VB_ar_ izmaiņām_MK+fin'!$A$7:$W$52</definedName>
    <definedName name="_xlnm._FilterDatabase" localSheetId="10" hidden="1">'_2023_VB_bez izmaiņām'!$A$7:$Z$52</definedName>
    <definedName name="_xlnm._FilterDatabase" localSheetId="7" hidden="1">'_2024_VB_ar_ izmaiņām_MK'!$A$7:$W$52</definedName>
    <definedName name="_xlnm._FilterDatabase" localSheetId="3" hidden="1">'_2024_VB_ar_ izmaiņām_MK+ fin'!$A$7:$W$52</definedName>
    <definedName name="_xlnm._FilterDatabase" localSheetId="11" hidden="1">'_2024_VB_bez izmaiņām'!$A$7:$Z$52</definedName>
    <definedName name="_xlnm.Print_Titles" localSheetId="4">'_2021_VB_ar_ izmaiņām_MK'!$4:$7</definedName>
    <definedName name="_xlnm.Print_Titles" localSheetId="8">'_2021_VB_bez izmaiņām'!$4:$7</definedName>
    <definedName name="_xlnm.Print_Titles" localSheetId="5">'_2022_VB_ar_ izmaiņām_MK'!$4:$7</definedName>
    <definedName name="_xlnm.Print_Titles" localSheetId="1">'_2022_VB_ar_ izmaiņām_MK+ fin'!$4:$7</definedName>
    <definedName name="_xlnm.Print_Titles" localSheetId="9">'_2022_VB_bez izmaiņām'!$4:$7</definedName>
    <definedName name="_xlnm.Print_Titles" localSheetId="6">'_2023_VB_ar_ izmaiņām_MK'!$4:$7</definedName>
    <definedName name="_xlnm.Print_Titles" localSheetId="2">'_2023_VB_ar_ izmaiņām_MK+fin'!$4:$7</definedName>
    <definedName name="_xlnm.Print_Titles" localSheetId="10">'_2023_VB_bez izmaiņām'!$4:$7</definedName>
    <definedName name="_xlnm.Print_Titles" localSheetId="7">'_2024_VB_ar_ izmaiņām_MK'!$4:$7</definedName>
    <definedName name="_xlnm.Print_Titles" localSheetId="3">'_2024_VB_ar_ izmaiņām_MK+ fin'!$4:$7</definedName>
    <definedName name="_xlnm.Print_Titles" localSheetId="11">'_2024_VB_bez izmaiņām'!$4:$7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16" l="1"/>
  <c r="R33" i="16"/>
  <c r="S33" i="16"/>
  <c r="Q34" i="16"/>
  <c r="R34" i="16"/>
  <c r="S34" i="16"/>
  <c r="D9" i="32" l="1"/>
  <c r="E9" i="32"/>
  <c r="C9" i="32"/>
  <c r="D6" i="32"/>
  <c r="E6" i="32"/>
  <c r="D7" i="32"/>
  <c r="E7" i="32" s="1"/>
  <c r="D8" i="32"/>
  <c r="E8" i="32"/>
  <c r="C5" i="32"/>
  <c r="D5" i="32" s="1"/>
  <c r="E5" i="32" s="1"/>
  <c r="C4" i="32"/>
  <c r="D4" i="32" s="1"/>
  <c r="E4" i="32" s="1"/>
  <c r="Q13" i="16" l="1"/>
  <c r="T14" i="16"/>
  <c r="S14" i="16"/>
  <c r="R14" i="16"/>
  <c r="Q14" i="16"/>
  <c r="T13" i="16"/>
  <c r="S13" i="16"/>
  <c r="R13" i="16"/>
  <c r="T34" i="16"/>
  <c r="T33" i="16"/>
  <c r="T54" i="16"/>
  <c r="T53" i="16"/>
  <c r="S54" i="16"/>
  <c r="S53" i="16"/>
  <c r="R54" i="16"/>
  <c r="R53" i="16"/>
  <c r="Q54" i="16"/>
  <c r="Q53" i="16"/>
  <c r="J52" i="16"/>
  <c r="J54" i="16"/>
  <c r="J51" i="16"/>
  <c r="G55" i="16"/>
  <c r="G53" i="16"/>
  <c r="M53" i="16"/>
  <c r="J53" i="16" s="1"/>
  <c r="M52" i="16"/>
  <c r="G52" i="16" s="1"/>
  <c r="M55" i="16"/>
  <c r="J55" i="16" s="1"/>
  <c r="M54" i="16"/>
  <c r="M51" i="16"/>
  <c r="G54" i="16"/>
  <c r="G51" i="16"/>
  <c r="L55" i="16"/>
  <c r="I55" i="16"/>
  <c r="F55" i="16"/>
  <c r="E55" i="16"/>
  <c r="L53" i="16"/>
  <c r="I53" i="16"/>
  <c r="F53" i="16"/>
  <c r="H53" i="16" s="1"/>
  <c r="E53" i="16"/>
  <c r="L52" i="16"/>
  <c r="I52" i="16"/>
  <c r="F52" i="16"/>
  <c r="E52" i="16"/>
  <c r="L35" i="16"/>
  <c r="N35" i="16" s="1"/>
  <c r="I35" i="16"/>
  <c r="K35" i="16" s="1"/>
  <c r="F35" i="16"/>
  <c r="H35" i="16" s="1"/>
  <c r="E35" i="16"/>
  <c r="L33" i="16"/>
  <c r="N33" i="16" s="1"/>
  <c r="I33" i="16"/>
  <c r="K33" i="16" s="1"/>
  <c r="F33" i="16"/>
  <c r="H33" i="16" s="1"/>
  <c r="E33" i="16"/>
  <c r="L32" i="16"/>
  <c r="N32" i="16" s="1"/>
  <c r="I32" i="16"/>
  <c r="K32" i="16" s="1"/>
  <c r="F32" i="16"/>
  <c r="H32" i="16" s="1"/>
  <c r="E32" i="16"/>
  <c r="L12" i="16"/>
  <c r="L13" i="16"/>
  <c r="N13" i="16" s="1"/>
  <c r="L15" i="16"/>
  <c r="N15" i="16" s="1"/>
  <c r="I12" i="16"/>
  <c r="K12" i="16" s="1"/>
  <c r="I13" i="16"/>
  <c r="K13" i="16" s="1"/>
  <c r="I15" i="16"/>
  <c r="K15" i="16" s="1"/>
  <c r="N12" i="16"/>
  <c r="F12" i="16"/>
  <c r="H12" i="16" s="1"/>
  <c r="F13" i="16"/>
  <c r="H13" i="16" s="1"/>
  <c r="F15" i="16"/>
  <c r="H15" i="16" s="1"/>
  <c r="E12" i="16"/>
  <c r="E13" i="16"/>
  <c r="E15" i="16"/>
  <c r="C8" i="16"/>
  <c r="C14" i="16"/>
  <c r="I14" i="16" s="1"/>
  <c r="K14" i="16" s="1"/>
  <c r="C11" i="16"/>
  <c r="E11" i="16" s="1"/>
  <c r="T58" i="29"/>
  <c r="S58" i="29"/>
  <c r="R58" i="29"/>
  <c r="P58" i="29"/>
  <c r="O58" i="29"/>
  <c r="N58" i="29"/>
  <c r="M58" i="29"/>
  <c r="L58" i="29"/>
  <c r="K58" i="29"/>
  <c r="J58" i="29"/>
  <c r="I58" i="29"/>
  <c r="T54" i="29"/>
  <c r="T67" i="29" s="1"/>
  <c r="S54" i="29"/>
  <c r="S67" i="29" s="1"/>
  <c r="R54" i="29"/>
  <c r="R56" i="29" s="1"/>
  <c r="P54" i="29"/>
  <c r="O54" i="29"/>
  <c r="N54" i="29"/>
  <c r="M54" i="29"/>
  <c r="L54" i="29"/>
  <c r="L67" i="29" s="1"/>
  <c r="K54" i="29"/>
  <c r="K67" i="29" s="1"/>
  <c r="J54" i="29"/>
  <c r="I54" i="29"/>
  <c r="T53" i="29"/>
  <c r="S53" i="29"/>
  <c r="R53" i="29"/>
  <c r="P53" i="29"/>
  <c r="O53" i="29"/>
  <c r="N53" i="29"/>
  <c r="M53" i="29"/>
  <c r="L53" i="29"/>
  <c r="K53" i="29"/>
  <c r="J53" i="29"/>
  <c r="I53" i="29"/>
  <c r="T58" i="30"/>
  <c r="S58" i="30"/>
  <c r="R58" i="30"/>
  <c r="P58" i="30"/>
  <c r="O58" i="30"/>
  <c r="N58" i="30"/>
  <c r="M58" i="30"/>
  <c r="L58" i="30"/>
  <c r="K58" i="30"/>
  <c r="J58" i="30"/>
  <c r="I58" i="30"/>
  <c r="R56" i="30"/>
  <c r="T54" i="30"/>
  <c r="S54" i="30"/>
  <c r="R54" i="30"/>
  <c r="P54" i="30"/>
  <c r="O54" i="30"/>
  <c r="O67" i="30" s="1"/>
  <c r="N54" i="30"/>
  <c r="M54" i="30"/>
  <c r="L54" i="30"/>
  <c r="K54" i="30"/>
  <c r="J54" i="30"/>
  <c r="I54" i="30"/>
  <c r="T53" i="30"/>
  <c r="T65" i="30" s="1"/>
  <c r="S53" i="30"/>
  <c r="R53" i="30"/>
  <c r="P53" i="30"/>
  <c r="O53" i="30"/>
  <c r="N53" i="30"/>
  <c r="N65" i="30" s="1"/>
  <c r="M53" i="30"/>
  <c r="M65" i="30" s="1"/>
  <c r="L53" i="30"/>
  <c r="K53" i="30"/>
  <c r="K67" i="30" s="1"/>
  <c r="J53" i="30"/>
  <c r="I53" i="30"/>
  <c r="T58" i="31"/>
  <c r="S58" i="31"/>
  <c r="R58" i="31"/>
  <c r="P58" i="31"/>
  <c r="O58" i="31"/>
  <c r="N58" i="31"/>
  <c r="M58" i="31"/>
  <c r="L58" i="31"/>
  <c r="K58" i="31"/>
  <c r="J58" i="31"/>
  <c r="I58" i="31"/>
  <c r="R56" i="31"/>
  <c r="T54" i="31"/>
  <c r="S54" i="31"/>
  <c r="R54" i="31"/>
  <c r="P54" i="31"/>
  <c r="P67" i="31" s="1"/>
  <c r="O54" i="31"/>
  <c r="O67" i="31" s="1"/>
  <c r="N54" i="31"/>
  <c r="M54" i="31"/>
  <c r="L54" i="31"/>
  <c r="K54" i="31"/>
  <c r="J54" i="31"/>
  <c r="I54" i="31"/>
  <c r="T53" i="31"/>
  <c r="T67" i="31" s="1"/>
  <c r="S53" i="31"/>
  <c r="R53" i="31"/>
  <c r="P53" i="31"/>
  <c r="O53" i="31"/>
  <c r="O65" i="31" s="1"/>
  <c r="N53" i="31"/>
  <c r="N65" i="31" s="1"/>
  <c r="M53" i="31"/>
  <c r="M67" i="31" s="1"/>
  <c r="L53" i="31"/>
  <c r="K53" i="31"/>
  <c r="J53" i="31"/>
  <c r="I53" i="31"/>
  <c r="T58" i="24"/>
  <c r="S58" i="24"/>
  <c r="R58" i="24"/>
  <c r="P58" i="24"/>
  <c r="O58" i="24"/>
  <c r="N58" i="24"/>
  <c r="M58" i="24"/>
  <c r="L58" i="24"/>
  <c r="K58" i="24"/>
  <c r="J58" i="24"/>
  <c r="I58" i="24"/>
  <c r="T54" i="24"/>
  <c r="T67" i="24" s="1"/>
  <c r="S54" i="24"/>
  <c r="S65" i="24" s="1"/>
  <c r="R54" i="24"/>
  <c r="R56" i="24" s="1"/>
  <c r="P54" i="24"/>
  <c r="O54" i="24"/>
  <c r="N54" i="24"/>
  <c r="N67" i="24" s="1"/>
  <c r="M54" i="24"/>
  <c r="L54" i="24"/>
  <c r="L67" i="24" s="1"/>
  <c r="K54" i="24"/>
  <c r="K67" i="24" s="1"/>
  <c r="J54" i="24"/>
  <c r="I54" i="24"/>
  <c r="T53" i="24"/>
  <c r="S53" i="24"/>
  <c r="R53" i="24"/>
  <c r="P53" i="24"/>
  <c r="O53" i="24"/>
  <c r="N53" i="24"/>
  <c r="M53" i="24"/>
  <c r="M65" i="24" s="1"/>
  <c r="L53" i="24"/>
  <c r="L65" i="24" s="1"/>
  <c r="K53" i="24"/>
  <c r="K65" i="24" s="1"/>
  <c r="J53" i="24"/>
  <c r="I53" i="24"/>
  <c r="T58" i="25"/>
  <c r="S58" i="25"/>
  <c r="R58" i="25"/>
  <c r="R60" i="25" s="1"/>
  <c r="R69" i="25" s="1"/>
  <c r="P58" i="25"/>
  <c r="O58" i="25"/>
  <c r="N58" i="25"/>
  <c r="M58" i="25"/>
  <c r="L58" i="25"/>
  <c r="K58" i="25"/>
  <c r="J58" i="25"/>
  <c r="I58" i="25"/>
  <c r="T54" i="25"/>
  <c r="S54" i="25"/>
  <c r="S65" i="25" s="1"/>
  <c r="R54" i="25"/>
  <c r="R56" i="25" s="1"/>
  <c r="P54" i="25"/>
  <c r="P67" i="25" s="1"/>
  <c r="O54" i="25"/>
  <c r="N54" i="25"/>
  <c r="M54" i="25"/>
  <c r="L54" i="25"/>
  <c r="K54" i="25"/>
  <c r="J54" i="25"/>
  <c r="J67" i="25" s="1"/>
  <c r="I54" i="25"/>
  <c r="T53" i="25"/>
  <c r="S53" i="25"/>
  <c r="R53" i="25"/>
  <c r="P53" i="25"/>
  <c r="P65" i="25" s="1"/>
  <c r="O53" i="25"/>
  <c r="N53" i="25"/>
  <c r="M53" i="25"/>
  <c r="M67" i="25" s="1"/>
  <c r="L53" i="25"/>
  <c r="K53" i="25"/>
  <c r="J53" i="25"/>
  <c r="J65" i="25" s="1"/>
  <c r="I53" i="25"/>
  <c r="I67" i="25" s="1"/>
  <c r="T58" i="26"/>
  <c r="S58" i="26"/>
  <c r="R58" i="26"/>
  <c r="R60" i="26" s="1"/>
  <c r="R69" i="26" s="1"/>
  <c r="P58" i="26"/>
  <c r="O58" i="26"/>
  <c r="N58" i="26"/>
  <c r="M58" i="26"/>
  <c r="L58" i="26"/>
  <c r="K58" i="26"/>
  <c r="J58" i="26"/>
  <c r="I58" i="26"/>
  <c r="T54" i="26"/>
  <c r="T67" i="26" s="1"/>
  <c r="S54" i="26"/>
  <c r="R54" i="26"/>
  <c r="R56" i="26" s="1"/>
  <c r="P54" i="26"/>
  <c r="O54" i="26"/>
  <c r="N54" i="26"/>
  <c r="M54" i="26"/>
  <c r="M67" i="26" s="1"/>
  <c r="L54" i="26"/>
  <c r="K54" i="26"/>
  <c r="K67" i="26" s="1"/>
  <c r="J54" i="26"/>
  <c r="J67" i="26" s="1"/>
  <c r="I54" i="26"/>
  <c r="T53" i="26"/>
  <c r="S53" i="26"/>
  <c r="R53" i="26"/>
  <c r="P53" i="26"/>
  <c r="O53" i="26"/>
  <c r="N53" i="26"/>
  <c r="M53" i="26"/>
  <c r="L53" i="26"/>
  <c r="K53" i="26"/>
  <c r="K65" i="26" s="1"/>
  <c r="J53" i="26"/>
  <c r="J65" i="26" s="1"/>
  <c r="I53" i="26"/>
  <c r="I65" i="26" s="1"/>
  <c r="T58" i="27"/>
  <c r="S58" i="27"/>
  <c r="R58" i="27"/>
  <c r="R60" i="27" s="1"/>
  <c r="R69" i="27" s="1"/>
  <c r="P58" i="27"/>
  <c r="O58" i="27"/>
  <c r="N58" i="27"/>
  <c r="M58" i="27"/>
  <c r="L58" i="27"/>
  <c r="K58" i="27"/>
  <c r="J58" i="27"/>
  <c r="I58" i="27"/>
  <c r="T54" i="27"/>
  <c r="S54" i="27"/>
  <c r="R54" i="27"/>
  <c r="R56" i="27" s="1"/>
  <c r="P54" i="27"/>
  <c r="P67" i="27" s="1"/>
  <c r="O54" i="27"/>
  <c r="N54" i="27"/>
  <c r="M54" i="27"/>
  <c r="L54" i="27"/>
  <c r="K54" i="27"/>
  <c r="J54" i="27"/>
  <c r="J67" i="27" s="1"/>
  <c r="I54" i="27"/>
  <c r="T53" i="27"/>
  <c r="S53" i="27"/>
  <c r="R53" i="27"/>
  <c r="P53" i="27"/>
  <c r="P65" i="27" s="1"/>
  <c r="O53" i="27"/>
  <c r="O67" i="27" s="1"/>
  <c r="N53" i="27"/>
  <c r="M53" i="27"/>
  <c r="M65" i="27" s="1"/>
  <c r="L53" i="27"/>
  <c r="K53" i="27"/>
  <c r="J53" i="27"/>
  <c r="J65" i="27" s="1"/>
  <c r="I53" i="27"/>
  <c r="I67" i="27" s="1"/>
  <c r="T58" i="13"/>
  <c r="S58" i="13"/>
  <c r="R58" i="13"/>
  <c r="R60" i="13" s="1"/>
  <c r="P58" i="13"/>
  <c r="O58" i="13"/>
  <c r="N58" i="13"/>
  <c r="M58" i="13"/>
  <c r="L58" i="13"/>
  <c r="K58" i="13"/>
  <c r="J58" i="13"/>
  <c r="I58" i="13"/>
  <c r="T54" i="13"/>
  <c r="T67" i="13" s="1"/>
  <c r="S54" i="13"/>
  <c r="R54" i="13"/>
  <c r="R56" i="13" s="1"/>
  <c r="P54" i="13"/>
  <c r="O54" i="13"/>
  <c r="N54" i="13"/>
  <c r="M54" i="13"/>
  <c r="L54" i="13"/>
  <c r="L67" i="13" s="1"/>
  <c r="K54" i="13"/>
  <c r="K67" i="13" s="1"/>
  <c r="J54" i="13"/>
  <c r="J67" i="13" s="1"/>
  <c r="I54" i="13"/>
  <c r="T53" i="13"/>
  <c r="S53" i="13"/>
  <c r="R53" i="13"/>
  <c r="P53" i="13"/>
  <c r="O53" i="13"/>
  <c r="O65" i="13" s="1"/>
  <c r="N53" i="13"/>
  <c r="M53" i="13"/>
  <c r="L53" i="13"/>
  <c r="L65" i="13" s="1"/>
  <c r="K53" i="13"/>
  <c r="K65" i="13" s="1"/>
  <c r="J53" i="13"/>
  <c r="J65" i="13" s="1"/>
  <c r="I53" i="13"/>
  <c r="T58" i="14"/>
  <c r="S58" i="14"/>
  <c r="R58" i="14"/>
  <c r="P58" i="14"/>
  <c r="O58" i="14"/>
  <c r="N58" i="14"/>
  <c r="M58" i="14"/>
  <c r="L58" i="14"/>
  <c r="K58" i="14"/>
  <c r="J58" i="14"/>
  <c r="I58" i="14"/>
  <c r="T54" i="14"/>
  <c r="S54" i="14"/>
  <c r="S67" i="14" s="1"/>
  <c r="R54" i="14"/>
  <c r="R56" i="14" s="1"/>
  <c r="P54" i="14"/>
  <c r="O54" i="14"/>
  <c r="N54" i="14"/>
  <c r="N65" i="14" s="1"/>
  <c r="M54" i="14"/>
  <c r="M65" i="14" s="1"/>
  <c r="L54" i="14"/>
  <c r="K54" i="14"/>
  <c r="J54" i="14"/>
  <c r="J67" i="14" s="1"/>
  <c r="I54" i="14"/>
  <c r="T53" i="14"/>
  <c r="S53" i="14"/>
  <c r="S65" i="14" s="1"/>
  <c r="R53" i="14"/>
  <c r="R63" i="14" s="1"/>
  <c r="P53" i="14"/>
  <c r="O53" i="14"/>
  <c r="N53" i="14"/>
  <c r="M53" i="14"/>
  <c r="L53" i="14"/>
  <c r="K53" i="14"/>
  <c r="K65" i="14" s="1"/>
  <c r="J53" i="14"/>
  <c r="J65" i="14" s="1"/>
  <c r="I53" i="14"/>
  <c r="I67" i="14" s="1"/>
  <c r="T58" i="15"/>
  <c r="S58" i="15"/>
  <c r="R58" i="15"/>
  <c r="P58" i="15"/>
  <c r="O58" i="15"/>
  <c r="N58" i="15"/>
  <c r="M58" i="15"/>
  <c r="L58" i="15"/>
  <c r="K58" i="15"/>
  <c r="J58" i="15"/>
  <c r="I58" i="15"/>
  <c r="T54" i="15"/>
  <c r="T67" i="15" s="1"/>
  <c r="S54" i="15"/>
  <c r="R54" i="15"/>
  <c r="R56" i="15" s="1"/>
  <c r="P54" i="15"/>
  <c r="P67" i="15" s="1"/>
  <c r="O54" i="15"/>
  <c r="N54" i="15"/>
  <c r="M54" i="15"/>
  <c r="M65" i="15" s="1"/>
  <c r="L54" i="15"/>
  <c r="K54" i="15"/>
  <c r="K67" i="15" s="1"/>
  <c r="J54" i="15"/>
  <c r="J67" i="15" s="1"/>
  <c r="I54" i="15"/>
  <c r="T53" i="15"/>
  <c r="S53" i="15"/>
  <c r="S65" i="15" s="1"/>
  <c r="R53" i="15"/>
  <c r="P53" i="15"/>
  <c r="P65" i="15" s="1"/>
  <c r="O53" i="15"/>
  <c r="O67" i="15" s="1"/>
  <c r="N53" i="15"/>
  <c r="M53" i="15"/>
  <c r="L53" i="15"/>
  <c r="K53" i="15"/>
  <c r="J53" i="15"/>
  <c r="J65" i="15" s="1"/>
  <c r="I53" i="15"/>
  <c r="I67" i="15" s="1"/>
  <c r="T58" i="23"/>
  <c r="S58" i="23"/>
  <c r="J58" i="23"/>
  <c r="K58" i="23"/>
  <c r="L58" i="23"/>
  <c r="L65" i="23" s="1"/>
  <c r="M58" i="23"/>
  <c r="N58" i="23"/>
  <c r="O58" i="23"/>
  <c r="P58" i="23"/>
  <c r="I58" i="23"/>
  <c r="I67" i="23" s="1"/>
  <c r="J54" i="23"/>
  <c r="K54" i="23"/>
  <c r="L54" i="23"/>
  <c r="M54" i="23"/>
  <c r="N54" i="23"/>
  <c r="O54" i="23"/>
  <c r="O67" i="23" s="1"/>
  <c r="P54" i="23"/>
  <c r="R54" i="23"/>
  <c r="S54" i="23"/>
  <c r="T54" i="23"/>
  <c r="T67" i="23" s="1"/>
  <c r="U54" i="23"/>
  <c r="U67" i="23" s="1"/>
  <c r="V54" i="23"/>
  <c r="W54" i="23"/>
  <c r="T53" i="23"/>
  <c r="S53" i="23"/>
  <c r="S65" i="23" s="1"/>
  <c r="P53" i="23"/>
  <c r="O53" i="23"/>
  <c r="K53" i="23"/>
  <c r="L53" i="23"/>
  <c r="M53" i="23"/>
  <c r="M67" i="23" s="1"/>
  <c r="N53" i="23"/>
  <c r="J53" i="23"/>
  <c r="I53" i="23"/>
  <c r="I54" i="23"/>
  <c r="R14" i="23"/>
  <c r="R58" i="23" s="1"/>
  <c r="R60" i="23" s="1"/>
  <c r="R14" i="15"/>
  <c r="T65" i="23"/>
  <c r="R62" i="23"/>
  <c r="S67" i="23"/>
  <c r="R56" i="23"/>
  <c r="J67" i="23"/>
  <c r="K65" i="23"/>
  <c r="T65" i="15"/>
  <c r="L65" i="15"/>
  <c r="R62" i="15"/>
  <c r="R60" i="15"/>
  <c r="S67" i="15"/>
  <c r="L67" i="15"/>
  <c r="N65" i="15"/>
  <c r="N67" i="14"/>
  <c r="T65" i="14"/>
  <c r="R62" i="14"/>
  <c r="R60" i="14"/>
  <c r="T67" i="14"/>
  <c r="P67" i="14"/>
  <c r="M67" i="14"/>
  <c r="L67" i="14"/>
  <c r="K67" i="14"/>
  <c r="P65" i="14"/>
  <c r="O67" i="14"/>
  <c r="L65" i="14"/>
  <c r="M67" i="13"/>
  <c r="T65" i="13"/>
  <c r="S65" i="13"/>
  <c r="M65" i="13"/>
  <c r="R62" i="13"/>
  <c r="S67" i="13"/>
  <c r="P67" i="13"/>
  <c r="O67" i="13"/>
  <c r="I67" i="13"/>
  <c r="R65" i="13"/>
  <c r="P65" i="13"/>
  <c r="N67" i="13"/>
  <c r="I65" i="13"/>
  <c r="T67" i="27"/>
  <c r="T65" i="27"/>
  <c r="S65" i="27"/>
  <c r="L65" i="27"/>
  <c r="R62" i="27"/>
  <c r="R63" i="27" s="1"/>
  <c r="S67" i="27"/>
  <c r="L67" i="27"/>
  <c r="K67" i="27"/>
  <c r="N65" i="27"/>
  <c r="K65" i="27"/>
  <c r="T65" i="26"/>
  <c r="S65" i="26"/>
  <c r="M65" i="26"/>
  <c r="L65" i="26"/>
  <c r="R62" i="26"/>
  <c r="S67" i="26"/>
  <c r="P67" i="26"/>
  <c r="O67" i="26"/>
  <c r="L67" i="26"/>
  <c r="I67" i="26"/>
  <c r="P65" i="26"/>
  <c r="O65" i="26"/>
  <c r="N65" i="26"/>
  <c r="R14" i="25"/>
  <c r="T67" i="25"/>
  <c r="T65" i="25"/>
  <c r="M65" i="25"/>
  <c r="L65" i="25"/>
  <c r="R62" i="25"/>
  <c r="O67" i="25"/>
  <c r="L67" i="25"/>
  <c r="K67" i="25"/>
  <c r="O65" i="25"/>
  <c r="N65" i="25"/>
  <c r="K65" i="25"/>
  <c r="M67" i="24"/>
  <c r="T65" i="24"/>
  <c r="R62" i="24"/>
  <c r="R60" i="24"/>
  <c r="R69" i="24" s="1"/>
  <c r="S67" i="24"/>
  <c r="P67" i="24"/>
  <c r="O67" i="24"/>
  <c r="J67" i="24"/>
  <c r="I67" i="24"/>
  <c r="P65" i="24"/>
  <c r="O65" i="24"/>
  <c r="J65" i="24"/>
  <c r="I65" i="24"/>
  <c r="T65" i="31"/>
  <c r="S65" i="31"/>
  <c r="L65" i="31"/>
  <c r="R62" i="31"/>
  <c r="R60" i="31"/>
  <c r="R69" i="31" s="1"/>
  <c r="S67" i="31"/>
  <c r="L67" i="31"/>
  <c r="K67" i="31"/>
  <c r="J67" i="31"/>
  <c r="I67" i="31"/>
  <c r="K65" i="31"/>
  <c r="J65" i="31"/>
  <c r="I65" i="31"/>
  <c r="S65" i="30"/>
  <c r="L65" i="30"/>
  <c r="R62" i="30"/>
  <c r="R60" i="30"/>
  <c r="S67" i="30"/>
  <c r="P67" i="30"/>
  <c r="L67" i="30"/>
  <c r="J67" i="30"/>
  <c r="I67" i="30"/>
  <c r="R65" i="30"/>
  <c r="P65" i="30"/>
  <c r="O65" i="30"/>
  <c r="J65" i="30"/>
  <c r="I65" i="30"/>
  <c r="R60" i="29"/>
  <c r="R69" i="29" s="1"/>
  <c r="P67" i="29"/>
  <c r="O67" i="29"/>
  <c r="N67" i="29"/>
  <c r="M67" i="29"/>
  <c r="J67" i="29"/>
  <c r="I67" i="29"/>
  <c r="R28" i="26"/>
  <c r="V67" i="23"/>
  <c r="W67" i="23"/>
  <c r="R14" i="24"/>
  <c r="R28" i="24"/>
  <c r="H52" i="16" l="1"/>
  <c r="K53" i="16"/>
  <c r="C54" i="16"/>
  <c r="F54" i="16" s="1"/>
  <c r="H54" i="16" s="1"/>
  <c r="C51" i="16"/>
  <c r="L51" i="16" s="1"/>
  <c r="N53" i="16"/>
  <c r="K55" i="16"/>
  <c r="K52" i="16"/>
  <c r="H55" i="16"/>
  <c r="N52" i="16"/>
  <c r="N55" i="16"/>
  <c r="C34" i="16"/>
  <c r="I34" i="16" s="1"/>
  <c r="K34" i="16" s="1"/>
  <c r="F14" i="16"/>
  <c r="H14" i="16" s="1"/>
  <c r="E14" i="16"/>
  <c r="C31" i="16"/>
  <c r="L31" i="16" s="1"/>
  <c r="L11" i="16"/>
  <c r="N11" i="16" s="1"/>
  <c r="I11" i="16"/>
  <c r="K11" i="16" s="1"/>
  <c r="F11" i="16"/>
  <c r="H11" i="16" s="1"/>
  <c r="L14" i="16"/>
  <c r="N14" i="16" s="1"/>
  <c r="K65" i="30"/>
  <c r="M67" i="30"/>
  <c r="R63" i="30"/>
  <c r="T67" i="30"/>
  <c r="M65" i="31"/>
  <c r="P65" i="31"/>
  <c r="R63" i="24"/>
  <c r="I65" i="25"/>
  <c r="S67" i="25"/>
  <c r="I65" i="27"/>
  <c r="M67" i="27"/>
  <c r="O65" i="27"/>
  <c r="R63" i="13"/>
  <c r="R70" i="13" s="1"/>
  <c r="R65" i="14"/>
  <c r="R67" i="14"/>
  <c r="I65" i="15"/>
  <c r="M67" i="15"/>
  <c r="K65" i="15"/>
  <c r="O65" i="15"/>
  <c r="L67" i="23"/>
  <c r="J65" i="23"/>
  <c r="P65" i="23"/>
  <c r="N65" i="23"/>
  <c r="O65" i="23"/>
  <c r="P67" i="23"/>
  <c r="M65" i="23"/>
  <c r="K67" i="23"/>
  <c r="I65" i="23"/>
  <c r="R69" i="23"/>
  <c r="R68" i="23"/>
  <c r="N67" i="23"/>
  <c r="R69" i="15"/>
  <c r="R68" i="15"/>
  <c r="N67" i="15"/>
  <c r="R69" i="14"/>
  <c r="R64" i="14"/>
  <c r="I65" i="14"/>
  <c r="O65" i="14"/>
  <c r="R69" i="13"/>
  <c r="R64" i="13"/>
  <c r="R68" i="13"/>
  <c r="N65" i="13"/>
  <c r="R67" i="13"/>
  <c r="R68" i="27"/>
  <c r="R70" i="27"/>
  <c r="R64" i="27"/>
  <c r="R67" i="27"/>
  <c r="R65" i="27"/>
  <c r="N67" i="27"/>
  <c r="R68" i="26"/>
  <c r="R64" i="26"/>
  <c r="R67" i="26"/>
  <c r="R65" i="26"/>
  <c r="R63" i="26"/>
  <c r="R70" i="26" s="1"/>
  <c r="N67" i="26"/>
  <c r="R68" i="25"/>
  <c r="N67" i="25"/>
  <c r="R70" i="24"/>
  <c r="R68" i="24"/>
  <c r="R64" i="24"/>
  <c r="R67" i="24"/>
  <c r="R65" i="24"/>
  <c r="N65" i="24"/>
  <c r="R68" i="31"/>
  <c r="R70" i="31"/>
  <c r="R64" i="31"/>
  <c r="R67" i="31"/>
  <c r="R65" i="31"/>
  <c r="R63" i="31"/>
  <c r="N67" i="31"/>
  <c r="R69" i="30"/>
  <c r="R64" i="30"/>
  <c r="R68" i="30"/>
  <c r="R70" i="30"/>
  <c r="R67" i="30"/>
  <c r="N67" i="30"/>
  <c r="R67" i="29"/>
  <c r="L34" i="16" l="1"/>
  <c r="N34" i="16" s="1"/>
  <c r="F34" i="16"/>
  <c r="H34" i="16" s="1"/>
  <c r="L54" i="16"/>
  <c r="N54" i="16" s="1"/>
  <c r="E54" i="16"/>
  <c r="F51" i="16"/>
  <c r="H51" i="16" s="1"/>
  <c r="I51" i="16"/>
  <c r="K51" i="16" s="1"/>
  <c r="E34" i="16"/>
  <c r="I54" i="16"/>
  <c r="K54" i="16" s="1"/>
  <c r="E51" i="16"/>
  <c r="N51" i="16"/>
  <c r="E31" i="16"/>
  <c r="I31" i="16"/>
  <c r="K31" i="16" s="1"/>
  <c r="F31" i="16"/>
  <c r="H31" i="16" s="1"/>
  <c r="N31" i="16"/>
  <c r="R70" i="14"/>
  <c r="R68" i="14"/>
  <c r="R60" i="16"/>
  <c r="Q60" i="16"/>
  <c r="P60" i="16"/>
  <c r="M61" i="16"/>
  <c r="L60" i="16"/>
  <c r="K60" i="16"/>
  <c r="J60" i="16"/>
  <c r="E60" i="16"/>
  <c r="D60" i="16"/>
  <c r="C60" i="16"/>
  <c r="B68" i="16"/>
  <c r="B67" i="16"/>
  <c r="B66" i="16"/>
  <c r="A68" i="16"/>
  <c r="A67" i="16"/>
  <c r="A66" i="16"/>
  <c r="P58" i="16"/>
  <c r="B58" i="16"/>
  <c r="I58" i="16" s="1"/>
  <c r="O58" i="16" s="1"/>
  <c r="D49" i="16"/>
  <c r="D56" i="16" s="1"/>
  <c r="O28" i="30"/>
  <c r="O21" i="30" s="1"/>
  <c r="O28" i="29"/>
  <c r="O28" i="31"/>
  <c r="O50" i="31"/>
  <c r="O18" i="31"/>
  <c r="O15" i="31"/>
  <c r="O13" i="31"/>
  <c r="O8" i="31"/>
  <c r="Q52" i="31"/>
  <c r="K52" i="31"/>
  <c r="Q51" i="31"/>
  <c r="K51" i="31"/>
  <c r="K50" i="31" s="1"/>
  <c r="Q50" i="31"/>
  <c r="Q48" i="31"/>
  <c r="K48" i="31"/>
  <c r="Q47" i="31"/>
  <c r="K47" i="31"/>
  <c r="Q46" i="31"/>
  <c r="K46" i="31"/>
  <c r="Q45" i="31"/>
  <c r="K45" i="31"/>
  <c r="Q44" i="31"/>
  <c r="K44" i="31"/>
  <c r="Q43" i="31"/>
  <c r="K43" i="31"/>
  <c r="Q42" i="31"/>
  <c r="K42" i="31"/>
  <c r="Q41" i="31"/>
  <c r="K41" i="31"/>
  <c r="Q40" i="31"/>
  <c r="K40" i="31"/>
  <c r="Q39" i="31"/>
  <c r="K39" i="31"/>
  <c r="Q38" i="31"/>
  <c r="K38" i="31"/>
  <c r="Q37" i="31"/>
  <c r="K37" i="31"/>
  <c r="Q36" i="31"/>
  <c r="K36" i="31"/>
  <c r="Q35" i="31"/>
  <c r="K35" i="31"/>
  <c r="Q34" i="31"/>
  <c r="K34" i="31"/>
  <c r="Q33" i="31"/>
  <c r="K33" i="31"/>
  <c r="Q32" i="31"/>
  <c r="K32" i="31"/>
  <c r="Q31" i="31"/>
  <c r="K31" i="31"/>
  <c r="Q30" i="31"/>
  <c r="K30" i="31"/>
  <c r="Q29" i="31"/>
  <c r="K29" i="31"/>
  <c r="Q28" i="31"/>
  <c r="K28" i="31"/>
  <c r="Q27" i="31"/>
  <c r="K27" i="31"/>
  <c r="Q26" i="31"/>
  <c r="K26" i="31"/>
  <c r="Q25" i="31"/>
  <c r="K25" i="31"/>
  <c r="Q24" i="31"/>
  <c r="K24" i="31"/>
  <c r="Q23" i="31"/>
  <c r="K23" i="31"/>
  <c r="Q22" i="31"/>
  <c r="K22" i="31"/>
  <c r="Q21" i="31"/>
  <c r="Q20" i="31"/>
  <c r="K20" i="31"/>
  <c r="Q19" i="31"/>
  <c r="K19" i="31"/>
  <c r="K18" i="31" s="1"/>
  <c r="Q18" i="31"/>
  <c r="Q17" i="31"/>
  <c r="K17" i="31"/>
  <c r="K15" i="31" s="1"/>
  <c r="Q16" i="31"/>
  <c r="K16" i="31"/>
  <c r="Q15" i="31"/>
  <c r="Q14" i="31"/>
  <c r="K14" i="31"/>
  <c r="K13" i="31" s="1"/>
  <c r="Q13" i="31"/>
  <c r="Q12" i="31"/>
  <c r="K12" i="31"/>
  <c r="Q11" i="31"/>
  <c r="K11" i="31"/>
  <c r="Q10" i="31"/>
  <c r="K10" i="31"/>
  <c r="Q9" i="31"/>
  <c r="K9" i="31"/>
  <c r="Q8" i="31"/>
  <c r="O50" i="30"/>
  <c r="O18" i="30"/>
  <c r="O15" i="30"/>
  <c r="O13" i="30"/>
  <c r="O8" i="30"/>
  <c r="I12" i="30"/>
  <c r="L61" i="16"/>
  <c r="Q52" i="30"/>
  <c r="K52" i="30"/>
  <c r="Q51" i="30"/>
  <c r="K51" i="30"/>
  <c r="K50" i="30" s="1"/>
  <c r="Q50" i="30"/>
  <c r="Q48" i="30"/>
  <c r="K48" i="30"/>
  <c r="Q47" i="30"/>
  <c r="K47" i="30"/>
  <c r="Q46" i="30"/>
  <c r="K46" i="30"/>
  <c r="Q45" i="30"/>
  <c r="K45" i="30"/>
  <c r="Q44" i="30"/>
  <c r="K44" i="30"/>
  <c r="Q43" i="30"/>
  <c r="K43" i="30"/>
  <c r="Q42" i="30"/>
  <c r="K42" i="30"/>
  <c r="Q41" i="30"/>
  <c r="K41" i="30"/>
  <c r="Q40" i="30"/>
  <c r="K40" i="30"/>
  <c r="Q39" i="30"/>
  <c r="K39" i="30"/>
  <c r="Q38" i="30"/>
  <c r="K38" i="30"/>
  <c r="Q37" i="30"/>
  <c r="K37" i="30"/>
  <c r="Q36" i="30"/>
  <c r="K36" i="30"/>
  <c r="Q35" i="30"/>
  <c r="K35" i="30"/>
  <c r="Q34" i="30"/>
  <c r="K34" i="30"/>
  <c r="Q33" i="30"/>
  <c r="K33" i="30"/>
  <c r="Q32" i="30"/>
  <c r="K32" i="30"/>
  <c r="Q31" i="30"/>
  <c r="K31" i="30"/>
  <c r="Q30" i="30"/>
  <c r="K30" i="30"/>
  <c r="Q29" i="30"/>
  <c r="K29" i="30"/>
  <c r="Q28" i="30"/>
  <c r="K28" i="30"/>
  <c r="Q27" i="30"/>
  <c r="K27" i="30"/>
  <c r="Q26" i="30"/>
  <c r="K26" i="30"/>
  <c r="Q25" i="30"/>
  <c r="K25" i="30"/>
  <c r="Q24" i="30"/>
  <c r="K24" i="30"/>
  <c r="Q23" i="30"/>
  <c r="K23" i="30"/>
  <c r="Q22" i="30"/>
  <c r="K22" i="30"/>
  <c r="Q21" i="30"/>
  <c r="Q20" i="30"/>
  <c r="K20" i="30"/>
  <c r="Q19" i="30"/>
  <c r="K19" i="30"/>
  <c r="Q18" i="30"/>
  <c r="Q17" i="30"/>
  <c r="K17" i="30"/>
  <c r="Q16" i="30"/>
  <c r="K16" i="30"/>
  <c r="Q15" i="30"/>
  <c r="Q14" i="30"/>
  <c r="K14" i="30"/>
  <c r="K13" i="30" s="1"/>
  <c r="Q13" i="30"/>
  <c r="Q12" i="30"/>
  <c r="K12" i="30"/>
  <c r="Q11" i="30"/>
  <c r="K11" i="30"/>
  <c r="Q10" i="30"/>
  <c r="K10" i="30"/>
  <c r="Q9" i="30"/>
  <c r="K9" i="30"/>
  <c r="K8" i="30" s="1"/>
  <c r="Q8" i="30"/>
  <c r="R62" i="29"/>
  <c r="K61" i="16"/>
  <c r="Q52" i="29"/>
  <c r="M52" i="29"/>
  <c r="S52" i="29" s="1"/>
  <c r="I52" i="30" s="1"/>
  <c r="K52" i="29"/>
  <c r="J52" i="29"/>
  <c r="I52" i="29"/>
  <c r="L52" i="29" s="1"/>
  <c r="N52" i="29" s="1"/>
  <c r="Q51" i="29"/>
  <c r="K51" i="29"/>
  <c r="K50" i="29" s="1"/>
  <c r="J51" i="29"/>
  <c r="I51" i="29"/>
  <c r="Q50" i="29"/>
  <c r="O50" i="29"/>
  <c r="J50" i="29"/>
  <c r="I50" i="29"/>
  <c r="Q48" i="29"/>
  <c r="K48" i="29"/>
  <c r="J48" i="29"/>
  <c r="I48" i="29"/>
  <c r="Q47" i="29"/>
  <c r="M47" i="29"/>
  <c r="S47" i="29" s="1"/>
  <c r="I47" i="30" s="1"/>
  <c r="K47" i="29"/>
  <c r="J47" i="29"/>
  <c r="I47" i="29"/>
  <c r="L47" i="29" s="1"/>
  <c r="N47" i="29" s="1"/>
  <c r="Q46" i="29"/>
  <c r="K46" i="29"/>
  <c r="J46" i="29"/>
  <c r="I46" i="29"/>
  <c r="Q45" i="29"/>
  <c r="P45" i="29"/>
  <c r="R45" i="29" s="1"/>
  <c r="L45" i="29"/>
  <c r="N45" i="29" s="1"/>
  <c r="K45" i="29"/>
  <c r="M45" i="29" s="1"/>
  <c r="S45" i="29" s="1"/>
  <c r="I45" i="30" s="1"/>
  <c r="J45" i="29"/>
  <c r="I45" i="29"/>
  <c r="Q44" i="29"/>
  <c r="P44" i="29"/>
  <c r="K44" i="29"/>
  <c r="J44" i="29"/>
  <c r="I44" i="29"/>
  <c r="M44" i="29" s="1"/>
  <c r="S44" i="29" s="1"/>
  <c r="I44" i="30" s="1"/>
  <c r="Q43" i="29"/>
  <c r="K43" i="29"/>
  <c r="J43" i="29"/>
  <c r="I43" i="29"/>
  <c r="Q42" i="29"/>
  <c r="P42" i="29"/>
  <c r="M42" i="29"/>
  <c r="S42" i="29" s="1"/>
  <c r="I42" i="30" s="1"/>
  <c r="M42" i="30" s="1"/>
  <c r="S42" i="30" s="1"/>
  <c r="I42" i="31" s="1"/>
  <c r="L42" i="29"/>
  <c r="N42" i="29" s="1"/>
  <c r="K42" i="29"/>
  <c r="J42" i="29"/>
  <c r="I42" i="29"/>
  <c r="Q41" i="29"/>
  <c r="K41" i="29"/>
  <c r="J41" i="29"/>
  <c r="I41" i="29"/>
  <c r="Q40" i="29"/>
  <c r="K40" i="29"/>
  <c r="M40" i="29" s="1"/>
  <c r="S40" i="29" s="1"/>
  <c r="I40" i="30" s="1"/>
  <c r="J40" i="29"/>
  <c r="I40" i="29"/>
  <c r="P40" i="29" s="1"/>
  <c r="R40" i="29" s="1"/>
  <c r="Q39" i="29"/>
  <c r="P39" i="29"/>
  <c r="M39" i="29"/>
  <c r="S39" i="29" s="1"/>
  <c r="I39" i="30" s="1"/>
  <c r="K39" i="29"/>
  <c r="J39" i="29"/>
  <c r="I39" i="29"/>
  <c r="L39" i="29" s="1"/>
  <c r="N39" i="29" s="1"/>
  <c r="Q38" i="29"/>
  <c r="K38" i="29"/>
  <c r="J38" i="29"/>
  <c r="I38" i="29"/>
  <c r="Q37" i="29"/>
  <c r="P37" i="29"/>
  <c r="R37" i="29" s="1"/>
  <c r="M37" i="29"/>
  <c r="S37" i="29" s="1"/>
  <c r="I37" i="30" s="1"/>
  <c r="K37" i="29"/>
  <c r="L37" i="29" s="1"/>
  <c r="N37" i="29" s="1"/>
  <c r="J37" i="29"/>
  <c r="I37" i="29"/>
  <c r="Q36" i="29"/>
  <c r="P36" i="29"/>
  <c r="K36" i="29"/>
  <c r="J36" i="29"/>
  <c r="I36" i="29"/>
  <c r="M36" i="29" s="1"/>
  <c r="S36" i="29" s="1"/>
  <c r="I36" i="30" s="1"/>
  <c r="M36" i="30" s="1"/>
  <c r="S36" i="30" s="1"/>
  <c r="I36" i="31" s="1"/>
  <c r="Q35" i="29"/>
  <c r="K35" i="29"/>
  <c r="J35" i="29"/>
  <c r="I35" i="29"/>
  <c r="Q34" i="29"/>
  <c r="P34" i="29"/>
  <c r="M34" i="29"/>
  <c r="S34" i="29" s="1"/>
  <c r="I34" i="30" s="1"/>
  <c r="L34" i="29"/>
  <c r="N34" i="29" s="1"/>
  <c r="K34" i="29"/>
  <c r="J34" i="29"/>
  <c r="I34" i="29"/>
  <c r="Q33" i="29"/>
  <c r="K33" i="29"/>
  <c r="J33" i="29"/>
  <c r="I33" i="29"/>
  <c r="Q32" i="29"/>
  <c r="L32" i="29"/>
  <c r="K32" i="29"/>
  <c r="M32" i="29" s="1"/>
  <c r="S32" i="29" s="1"/>
  <c r="I32" i="30" s="1"/>
  <c r="J32" i="29"/>
  <c r="I32" i="29"/>
  <c r="P32" i="29" s="1"/>
  <c r="R32" i="29" s="1"/>
  <c r="Q31" i="29"/>
  <c r="P31" i="29"/>
  <c r="M31" i="29"/>
  <c r="S31" i="29" s="1"/>
  <c r="I31" i="30" s="1"/>
  <c r="K31" i="29"/>
  <c r="J31" i="29"/>
  <c r="I31" i="29"/>
  <c r="L31" i="29" s="1"/>
  <c r="N31" i="29" s="1"/>
  <c r="Q30" i="29"/>
  <c r="K30" i="29"/>
  <c r="J30" i="29"/>
  <c r="I30" i="29"/>
  <c r="Q29" i="29"/>
  <c r="P29" i="29"/>
  <c r="R29" i="29" s="1"/>
  <c r="M29" i="29"/>
  <c r="S29" i="29" s="1"/>
  <c r="I29" i="30" s="1"/>
  <c r="L29" i="29"/>
  <c r="N29" i="29" s="1"/>
  <c r="K29" i="29"/>
  <c r="J29" i="29"/>
  <c r="I29" i="29"/>
  <c r="Q28" i="29"/>
  <c r="K28" i="29"/>
  <c r="J28" i="29"/>
  <c r="I28" i="29"/>
  <c r="M28" i="29" s="1"/>
  <c r="Q27" i="29"/>
  <c r="K27" i="29"/>
  <c r="J27" i="29"/>
  <c r="I27" i="29"/>
  <c r="Q26" i="29"/>
  <c r="P26" i="29"/>
  <c r="M26" i="29"/>
  <c r="S26" i="29" s="1"/>
  <c r="I26" i="30" s="1"/>
  <c r="L26" i="29"/>
  <c r="N26" i="29" s="1"/>
  <c r="K26" i="29"/>
  <c r="J26" i="29"/>
  <c r="I26" i="29"/>
  <c r="Q25" i="29"/>
  <c r="P25" i="29"/>
  <c r="K25" i="29"/>
  <c r="J25" i="29"/>
  <c r="I25" i="29"/>
  <c r="Q24" i="29"/>
  <c r="K24" i="29"/>
  <c r="M24" i="29" s="1"/>
  <c r="S24" i="29" s="1"/>
  <c r="I24" i="30" s="1"/>
  <c r="J24" i="29"/>
  <c r="I24" i="29"/>
  <c r="Q23" i="29"/>
  <c r="P23" i="29"/>
  <c r="M23" i="29"/>
  <c r="S23" i="29" s="1"/>
  <c r="I23" i="30" s="1"/>
  <c r="K23" i="29"/>
  <c r="J23" i="29"/>
  <c r="I23" i="29"/>
  <c r="L23" i="29" s="1"/>
  <c r="N23" i="29" s="1"/>
  <c r="Q22" i="29"/>
  <c r="K22" i="29"/>
  <c r="J22" i="29"/>
  <c r="I22" i="29"/>
  <c r="Q21" i="29"/>
  <c r="Q20" i="29"/>
  <c r="K20" i="29"/>
  <c r="J20" i="29"/>
  <c r="I20" i="29"/>
  <c r="P20" i="29" s="1"/>
  <c r="R20" i="29" s="1"/>
  <c r="Q19" i="29"/>
  <c r="K19" i="29"/>
  <c r="J19" i="29"/>
  <c r="I19" i="29"/>
  <c r="P19" i="29" s="1"/>
  <c r="Q18" i="29"/>
  <c r="O18" i="29"/>
  <c r="J18" i="29"/>
  <c r="I18" i="29"/>
  <c r="Q17" i="29"/>
  <c r="K17" i="29"/>
  <c r="K15" i="29" s="1"/>
  <c r="J17" i="29"/>
  <c r="I17" i="29"/>
  <c r="Q16" i="29"/>
  <c r="P16" i="29"/>
  <c r="M16" i="29"/>
  <c r="L16" i="29"/>
  <c r="N16" i="29" s="1"/>
  <c r="K16" i="29"/>
  <c r="J16" i="29"/>
  <c r="I16" i="29"/>
  <c r="Q15" i="29"/>
  <c r="O15" i="29"/>
  <c r="J15" i="29"/>
  <c r="I15" i="29"/>
  <c r="Q14" i="29"/>
  <c r="P14" i="29"/>
  <c r="P13" i="29" s="1"/>
  <c r="K14" i="29"/>
  <c r="K13" i="29" s="1"/>
  <c r="J14" i="29"/>
  <c r="I14" i="29"/>
  <c r="Q13" i="29"/>
  <c r="O13" i="29"/>
  <c r="J13" i="29"/>
  <c r="I13" i="29"/>
  <c r="Q12" i="29"/>
  <c r="L12" i="29"/>
  <c r="K12" i="29"/>
  <c r="M12" i="29" s="1"/>
  <c r="S12" i="29" s="1"/>
  <c r="J12" i="29"/>
  <c r="I12" i="29"/>
  <c r="P12" i="29" s="1"/>
  <c r="Q11" i="29"/>
  <c r="P11" i="29"/>
  <c r="M11" i="29"/>
  <c r="S11" i="29" s="1"/>
  <c r="I11" i="30" s="1"/>
  <c r="K11" i="29"/>
  <c r="J11" i="29"/>
  <c r="I11" i="29"/>
  <c r="L11" i="29" s="1"/>
  <c r="N11" i="29" s="1"/>
  <c r="Q10" i="29"/>
  <c r="K10" i="29"/>
  <c r="J10" i="29"/>
  <c r="I10" i="29"/>
  <c r="Q9" i="29"/>
  <c r="P9" i="29"/>
  <c r="R9" i="29" s="1"/>
  <c r="M9" i="29"/>
  <c r="L9" i="29"/>
  <c r="K9" i="29"/>
  <c r="J9" i="29"/>
  <c r="I9" i="29"/>
  <c r="Q8" i="29"/>
  <c r="O8" i="29"/>
  <c r="J8" i="29"/>
  <c r="I8" i="29"/>
  <c r="K8" i="31" l="1"/>
  <c r="M60" i="16"/>
  <c r="M62" i="16" s="1"/>
  <c r="L62" i="16"/>
  <c r="K62" i="16"/>
  <c r="O21" i="31"/>
  <c r="M42" i="31"/>
  <c r="S42" i="31" s="1"/>
  <c r="M36" i="31"/>
  <c r="S36" i="31" s="1"/>
  <c r="M37" i="31"/>
  <c r="S37" i="31" s="1"/>
  <c r="M34" i="30"/>
  <c r="S34" i="30" s="1"/>
  <c r="I34" i="31" s="1"/>
  <c r="M26" i="30"/>
  <c r="S26" i="30" s="1"/>
  <c r="I26" i="31" s="1"/>
  <c r="M37" i="30"/>
  <c r="S37" i="30" s="1"/>
  <c r="I37" i="31" s="1"/>
  <c r="M45" i="30"/>
  <c r="S45" i="30" s="1"/>
  <c r="I45" i="31" s="1"/>
  <c r="T42" i="29"/>
  <c r="J42" i="30" s="1"/>
  <c r="L42" i="30" s="1"/>
  <c r="N42" i="30" s="1"/>
  <c r="M29" i="30"/>
  <c r="S29" i="30" s="1"/>
  <c r="I29" i="31" s="1"/>
  <c r="M29" i="31" s="1"/>
  <c r="S29" i="31" s="1"/>
  <c r="M24" i="30"/>
  <c r="S24" i="30" s="1"/>
  <c r="I24" i="31" s="1"/>
  <c r="M32" i="30"/>
  <c r="S32" i="30" s="1"/>
  <c r="I32" i="31" s="1"/>
  <c r="P37" i="30"/>
  <c r="R37" i="30" s="1"/>
  <c r="M12" i="30"/>
  <c r="S12" i="30" s="1"/>
  <c r="I12" i="31" s="1"/>
  <c r="M44" i="30"/>
  <c r="S44" i="30" s="1"/>
  <c r="I44" i="31" s="1"/>
  <c r="M40" i="30"/>
  <c r="S40" i="30" s="1"/>
  <c r="I40" i="31" s="1"/>
  <c r="M40" i="31" s="1"/>
  <c r="S40" i="31" s="1"/>
  <c r="M11" i="30"/>
  <c r="S11" i="30" s="1"/>
  <c r="I11" i="31" s="1"/>
  <c r="M23" i="30"/>
  <c r="S23" i="30" s="1"/>
  <c r="I23" i="31" s="1"/>
  <c r="L26" i="30"/>
  <c r="N26" i="30" s="1"/>
  <c r="M31" i="30"/>
  <c r="S31" i="30" s="1"/>
  <c r="I31" i="31" s="1"/>
  <c r="M39" i="30"/>
  <c r="S39" i="30" s="1"/>
  <c r="I39" i="31" s="1"/>
  <c r="M47" i="30"/>
  <c r="S47" i="30" s="1"/>
  <c r="I47" i="31" s="1"/>
  <c r="M47" i="31" s="1"/>
  <c r="S47" i="31" s="1"/>
  <c r="M52" i="30"/>
  <c r="S52" i="30" s="1"/>
  <c r="I52" i="31" s="1"/>
  <c r="K15" i="30"/>
  <c r="K18" i="30"/>
  <c r="T23" i="29"/>
  <c r="J23" i="30" s="1"/>
  <c r="P23" i="30" s="1"/>
  <c r="R23" i="30" s="1"/>
  <c r="O21" i="29"/>
  <c r="O65" i="29" s="1"/>
  <c r="P28" i="29"/>
  <c r="R28" i="29" s="1"/>
  <c r="S28" i="29"/>
  <c r="I28" i="30" s="1"/>
  <c r="T37" i="29"/>
  <c r="J37" i="30" s="1"/>
  <c r="L37" i="30" s="1"/>
  <c r="N37" i="30" s="1"/>
  <c r="T39" i="29"/>
  <c r="J39" i="30" s="1"/>
  <c r="P39" i="30" s="1"/>
  <c r="R39" i="30" s="1"/>
  <c r="R39" i="29"/>
  <c r="R42" i="29"/>
  <c r="T34" i="29"/>
  <c r="J34" i="30" s="1"/>
  <c r="L34" i="30" s="1"/>
  <c r="N34" i="30" s="1"/>
  <c r="R34" i="29"/>
  <c r="T26" i="29"/>
  <c r="J26" i="30" s="1"/>
  <c r="P26" i="30" s="1"/>
  <c r="R26" i="30" s="1"/>
  <c r="T11" i="29"/>
  <c r="J11" i="30" s="1"/>
  <c r="L11" i="30" s="1"/>
  <c r="N11" i="30" s="1"/>
  <c r="T45" i="29"/>
  <c r="J45" i="30" s="1"/>
  <c r="L45" i="30" s="1"/>
  <c r="N45" i="30" s="1"/>
  <c r="T29" i="29"/>
  <c r="J29" i="30" s="1"/>
  <c r="P29" i="30" s="1"/>
  <c r="R29" i="30" s="1"/>
  <c r="T31" i="29"/>
  <c r="J31" i="30" s="1"/>
  <c r="P18" i="29"/>
  <c r="R25" i="29"/>
  <c r="R26" i="29"/>
  <c r="R16" i="29"/>
  <c r="R12" i="29"/>
  <c r="R14" i="29"/>
  <c r="R13" i="29" s="1"/>
  <c r="L27" i="29"/>
  <c r="P27" i="29"/>
  <c r="M27" i="29"/>
  <c r="M41" i="29"/>
  <c r="S41" i="29" s="1"/>
  <c r="I41" i="30" s="1"/>
  <c r="M41" i="30" s="1"/>
  <c r="S41" i="30" s="1"/>
  <c r="I41" i="31" s="1"/>
  <c r="L41" i="29"/>
  <c r="N41" i="29" s="1"/>
  <c r="R19" i="29"/>
  <c r="R18" i="29" s="1"/>
  <c r="P22" i="29"/>
  <c r="L22" i="29"/>
  <c r="N22" i="29" s="1"/>
  <c r="M22" i="29"/>
  <c r="P43" i="29"/>
  <c r="R43" i="29" s="1"/>
  <c r="L43" i="29"/>
  <c r="N43" i="29" s="1"/>
  <c r="M43" i="29"/>
  <c r="S43" i="29" s="1"/>
  <c r="I43" i="30" s="1"/>
  <c r="M48" i="29"/>
  <c r="S48" i="29" s="1"/>
  <c r="I48" i="30" s="1"/>
  <c r="L48" i="29"/>
  <c r="N48" i="29" s="1"/>
  <c r="P51" i="29"/>
  <c r="R51" i="29" s="1"/>
  <c r="M51" i="29"/>
  <c r="L51" i="29"/>
  <c r="L50" i="29" s="1"/>
  <c r="K8" i="29"/>
  <c r="P35" i="29"/>
  <c r="R35" i="29" s="1"/>
  <c r="M35" i="29"/>
  <c r="S35" i="29" s="1"/>
  <c r="I35" i="30" s="1"/>
  <c r="L35" i="29"/>
  <c r="N35" i="29" s="1"/>
  <c r="S16" i="29"/>
  <c r="I16" i="30" s="1"/>
  <c r="M16" i="30" s="1"/>
  <c r="S16" i="30" s="1"/>
  <c r="I16" i="31" s="1"/>
  <c r="M16" i="31" s="1"/>
  <c r="S16" i="31" s="1"/>
  <c r="M33" i="29"/>
  <c r="S33" i="29" s="1"/>
  <c r="I33" i="30" s="1"/>
  <c r="M33" i="30" s="1"/>
  <c r="S33" i="30" s="1"/>
  <c r="I33" i="31" s="1"/>
  <c r="L33" i="29"/>
  <c r="N33" i="29" s="1"/>
  <c r="R44" i="29"/>
  <c r="P46" i="29"/>
  <c r="R46" i="29" s="1"/>
  <c r="M46" i="29"/>
  <c r="S46" i="29" s="1"/>
  <c r="I46" i="30" s="1"/>
  <c r="L46" i="29"/>
  <c r="N46" i="29" s="1"/>
  <c r="M14" i="29"/>
  <c r="M25" i="29"/>
  <c r="S25" i="29" s="1"/>
  <c r="I25" i="30" s="1"/>
  <c r="M25" i="30" s="1"/>
  <c r="S25" i="30" s="1"/>
  <c r="I25" i="31" s="1"/>
  <c r="L25" i="29"/>
  <c r="N25" i="29" s="1"/>
  <c r="T25" i="29" s="1"/>
  <c r="J25" i="30" s="1"/>
  <c r="L14" i="29"/>
  <c r="R31" i="29"/>
  <c r="R23" i="29"/>
  <c r="N12" i="29"/>
  <c r="T12" i="29" s="1"/>
  <c r="J12" i="30" s="1"/>
  <c r="L12" i="30" s="1"/>
  <c r="N12" i="30" s="1"/>
  <c r="M19" i="29"/>
  <c r="K18" i="29"/>
  <c r="P24" i="29"/>
  <c r="R24" i="29" s="1"/>
  <c r="N32" i="29"/>
  <c r="T32" i="29" s="1"/>
  <c r="J32" i="30" s="1"/>
  <c r="P32" i="30" s="1"/>
  <c r="R32" i="30" s="1"/>
  <c r="R36" i="29"/>
  <c r="P41" i="29"/>
  <c r="R41" i="29" s="1"/>
  <c r="N9" i="29"/>
  <c r="M17" i="29"/>
  <c r="S17" i="29" s="1"/>
  <c r="I17" i="30" s="1"/>
  <c r="L17" i="29"/>
  <c r="L15" i="29" s="1"/>
  <c r="P17" i="29"/>
  <c r="L19" i="29"/>
  <c r="P33" i="29"/>
  <c r="R33" i="29" s="1"/>
  <c r="P38" i="29"/>
  <c r="R38" i="29" s="1"/>
  <c r="M38" i="29"/>
  <c r="S38" i="29" s="1"/>
  <c r="I38" i="30" s="1"/>
  <c r="M38" i="30" s="1"/>
  <c r="S38" i="30" s="1"/>
  <c r="I38" i="31" s="1"/>
  <c r="L38" i="29"/>
  <c r="N38" i="29" s="1"/>
  <c r="L40" i="29"/>
  <c r="N40" i="29" s="1"/>
  <c r="T40" i="29" s="1"/>
  <c r="J40" i="30" s="1"/>
  <c r="P40" i="30" s="1"/>
  <c r="R40" i="30" s="1"/>
  <c r="P48" i="29"/>
  <c r="R48" i="29" s="1"/>
  <c r="M20" i="29"/>
  <c r="S20" i="29" s="1"/>
  <c r="I20" i="30" s="1"/>
  <c r="M20" i="30" s="1"/>
  <c r="S20" i="30" s="1"/>
  <c r="I20" i="31" s="1"/>
  <c r="M20" i="31" s="1"/>
  <c r="S20" i="31" s="1"/>
  <c r="L20" i="29"/>
  <c r="N20" i="29" s="1"/>
  <c r="T20" i="29" s="1"/>
  <c r="J20" i="30" s="1"/>
  <c r="T16" i="29"/>
  <c r="J16" i="30" s="1"/>
  <c r="P30" i="29"/>
  <c r="R30" i="29" s="1"/>
  <c r="M30" i="29"/>
  <c r="S30" i="29" s="1"/>
  <c r="I30" i="30" s="1"/>
  <c r="L30" i="29"/>
  <c r="N30" i="29" s="1"/>
  <c r="S9" i="29"/>
  <c r="I9" i="30" s="1"/>
  <c r="R11" i="29"/>
  <c r="P10" i="29"/>
  <c r="P8" i="29" s="1"/>
  <c r="M10" i="29"/>
  <c r="S10" i="29" s="1"/>
  <c r="I10" i="30" s="1"/>
  <c r="M10" i="30" s="1"/>
  <c r="S10" i="30" s="1"/>
  <c r="I10" i="31" s="1"/>
  <c r="M10" i="31" s="1"/>
  <c r="S10" i="31" s="1"/>
  <c r="L10" i="29"/>
  <c r="L8" i="29" s="1"/>
  <c r="L24" i="29"/>
  <c r="N24" i="29" s="1"/>
  <c r="P47" i="29"/>
  <c r="T47" i="29" s="1"/>
  <c r="J47" i="30" s="1"/>
  <c r="P47" i="30" s="1"/>
  <c r="R47" i="30" s="1"/>
  <c r="P52" i="29"/>
  <c r="T52" i="29" s="1"/>
  <c r="J52" i="30" s="1"/>
  <c r="L52" i="30" s="1"/>
  <c r="N52" i="30" s="1"/>
  <c r="L28" i="29"/>
  <c r="N28" i="29" s="1"/>
  <c r="L36" i="29"/>
  <c r="N36" i="29" s="1"/>
  <c r="T36" i="29" s="1"/>
  <c r="J36" i="30" s="1"/>
  <c r="P36" i="30" s="1"/>
  <c r="R36" i="30" s="1"/>
  <c r="L44" i="29"/>
  <c r="N44" i="29" s="1"/>
  <c r="T44" i="29" s="1"/>
  <c r="J44" i="30" s="1"/>
  <c r="L44" i="30" s="1"/>
  <c r="N44" i="30" s="1"/>
  <c r="S40" i="16"/>
  <c r="R40" i="16"/>
  <c r="Q40" i="16"/>
  <c r="P40" i="16"/>
  <c r="M40" i="16"/>
  <c r="L40" i="16"/>
  <c r="K40" i="16"/>
  <c r="J40" i="16"/>
  <c r="G40" i="16"/>
  <c r="F40" i="16"/>
  <c r="E40" i="16"/>
  <c r="D40" i="16"/>
  <c r="C40" i="16"/>
  <c r="P38" i="16"/>
  <c r="B38" i="16"/>
  <c r="I38" i="16" s="1"/>
  <c r="O38" i="16" s="1"/>
  <c r="M29" i="16"/>
  <c r="M36" i="16" s="1"/>
  <c r="J29" i="16"/>
  <c r="J36" i="16" s="1"/>
  <c r="G29" i="16"/>
  <c r="G36" i="16" s="1"/>
  <c r="D29" i="16"/>
  <c r="D36" i="16" s="1"/>
  <c r="B72" i="16"/>
  <c r="B71" i="16"/>
  <c r="B70" i="16"/>
  <c r="B69" i="16"/>
  <c r="A72" i="16"/>
  <c r="A71" i="16"/>
  <c r="A70" i="16"/>
  <c r="A69" i="16"/>
  <c r="Q52" i="27"/>
  <c r="Q51" i="27"/>
  <c r="Q24" i="27"/>
  <c r="Q25" i="27"/>
  <c r="Q26" i="27"/>
  <c r="Q27" i="27"/>
  <c r="Q28" i="27"/>
  <c r="Q29" i="27"/>
  <c r="Q30" i="27"/>
  <c r="Q31" i="27"/>
  <c r="Q32" i="27"/>
  <c r="Q33" i="27"/>
  <c r="Q34" i="27"/>
  <c r="Q35" i="27"/>
  <c r="Q36" i="27"/>
  <c r="Q37" i="27"/>
  <c r="Q38" i="27"/>
  <c r="Q39" i="27"/>
  <c r="Q40" i="27"/>
  <c r="Q41" i="27"/>
  <c r="Q42" i="27"/>
  <c r="Q43" i="27"/>
  <c r="Q44" i="27"/>
  <c r="Q45" i="27"/>
  <c r="Q46" i="27"/>
  <c r="Q47" i="27"/>
  <c r="Q48" i="27"/>
  <c r="Q23" i="27"/>
  <c r="Q22" i="27"/>
  <c r="Q20" i="27"/>
  <c r="Q19" i="27"/>
  <c r="Q17" i="27"/>
  <c r="Q16" i="27"/>
  <c r="Q14" i="27"/>
  <c r="Q10" i="27"/>
  <c r="Q11" i="27"/>
  <c r="Q12" i="27"/>
  <c r="Q9" i="27"/>
  <c r="K52" i="27"/>
  <c r="K51" i="27"/>
  <c r="K50" i="27" s="1"/>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23" i="27"/>
  <c r="K22" i="27"/>
  <c r="K20" i="27"/>
  <c r="K19" i="27"/>
  <c r="K17" i="27"/>
  <c r="K15" i="27" s="1"/>
  <c r="K16" i="27"/>
  <c r="K14" i="27"/>
  <c r="K10" i="27"/>
  <c r="K11" i="27"/>
  <c r="K12" i="27"/>
  <c r="K9" i="27"/>
  <c r="I9" i="27"/>
  <c r="J9" i="27"/>
  <c r="I10" i="27"/>
  <c r="J10" i="27"/>
  <c r="I11" i="27"/>
  <c r="J11" i="27"/>
  <c r="I12" i="27"/>
  <c r="J12" i="27"/>
  <c r="I13" i="27"/>
  <c r="J13" i="27"/>
  <c r="I14" i="27"/>
  <c r="J14" i="27"/>
  <c r="I15" i="27"/>
  <c r="J15" i="27"/>
  <c r="I16" i="27"/>
  <c r="J16" i="27"/>
  <c r="I17" i="27"/>
  <c r="J17" i="27"/>
  <c r="I18" i="27"/>
  <c r="J18" i="27"/>
  <c r="I19" i="27"/>
  <c r="J19" i="27"/>
  <c r="I20" i="27"/>
  <c r="J20" i="27"/>
  <c r="I22" i="27"/>
  <c r="J22" i="27"/>
  <c r="I23" i="27"/>
  <c r="J23" i="27"/>
  <c r="I24" i="27"/>
  <c r="J24" i="27"/>
  <c r="L24" i="27" s="1"/>
  <c r="N24" i="27" s="1"/>
  <c r="I25" i="27"/>
  <c r="J25" i="27"/>
  <c r="I26" i="27"/>
  <c r="J26" i="27"/>
  <c r="I27" i="27"/>
  <c r="J27" i="27"/>
  <c r="I28" i="27"/>
  <c r="J28" i="27"/>
  <c r="I29" i="27"/>
  <c r="J29" i="27"/>
  <c r="I30" i="27"/>
  <c r="J30" i="27"/>
  <c r="I31" i="27"/>
  <c r="J31" i="27"/>
  <c r="I32" i="27"/>
  <c r="J32" i="27"/>
  <c r="P32" i="27" s="1"/>
  <c r="I33" i="27"/>
  <c r="J33" i="27"/>
  <c r="I34" i="27"/>
  <c r="J34" i="27"/>
  <c r="I35" i="27"/>
  <c r="J35" i="27"/>
  <c r="I36" i="27"/>
  <c r="J36" i="27"/>
  <c r="I37" i="27"/>
  <c r="J37" i="27"/>
  <c r="I38" i="27"/>
  <c r="J38" i="27"/>
  <c r="I39" i="27"/>
  <c r="J39" i="27"/>
  <c r="I40" i="27"/>
  <c r="J40" i="27"/>
  <c r="P40" i="27" s="1"/>
  <c r="I41" i="27"/>
  <c r="J41" i="27"/>
  <c r="I42" i="27"/>
  <c r="J42" i="27"/>
  <c r="I43" i="27"/>
  <c r="J43" i="27"/>
  <c r="I44" i="27"/>
  <c r="J44" i="27"/>
  <c r="I45" i="27"/>
  <c r="J45" i="27"/>
  <c r="I46" i="27"/>
  <c r="J46" i="27"/>
  <c r="I47" i="27"/>
  <c r="J47" i="27"/>
  <c r="I48" i="27"/>
  <c r="J48" i="27"/>
  <c r="P48" i="27" s="1"/>
  <c r="I50" i="27"/>
  <c r="J50" i="27"/>
  <c r="I51" i="27"/>
  <c r="J51" i="27"/>
  <c r="I52" i="27"/>
  <c r="J52" i="27"/>
  <c r="J8" i="27"/>
  <c r="I8" i="27"/>
  <c r="I9" i="26"/>
  <c r="J9" i="26"/>
  <c r="I10" i="26"/>
  <c r="J10" i="26"/>
  <c r="I11" i="26"/>
  <c r="J11" i="26"/>
  <c r="I12" i="26"/>
  <c r="J12" i="26"/>
  <c r="P12" i="26" s="1"/>
  <c r="R12" i="26" s="1"/>
  <c r="I13" i="26"/>
  <c r="J13" i="26"/>
  <c r="I14" i="26"/>
  <c r="J14" i="26"/>
  <c r="I15" i="26"/>
  <c r="J15" i="26"/>
  <c r="I16" i="26"/>
  <c r="J16" i="26"/>
  <c r="I17" i="26"/>
  <c r="J17" i="26"/>
  <c r="I18" i="26"/>
  <c r="J18" i="26"/>
  <c r="I19" i="26"/>
  <c r="J19" i="26"/>
  <c r="I20" i="26"/>
  <c r="J20" i="26"/>
  <c r="L20" i="26" s="1"/>
  <c r="N20" i="26" s="1"/>
  <c r="I22" i="26"/>
  <c r="J22" i="26"/>
  <c r="I23" i="26"/>
  <c r="J23" i="26"/>
  <c r="I24" i="26"/>
  <c r="J24" i="26"/>
  <c r="P24" i="26" s="1"/>
  <c r="R24" i="26" s="1"/>
  <c r="I25" i="26"/>
  <c r="J25" i="26"/>
  <c r="I26" i="26"/>
  <c r="J26" i="26"/>
  <c r="I27" i="26"/>
  <c r="J27" i="26"/>
  <c r="I28" i="26"/>
  <c r="J28" i="26"/>
  <c r="P28" i="26" s="1"/>
  <c r="I29" i="26"/>
  <c r="J29" i="26"/>
  <c r="I30" i="26"/>
  <c r="J30" i="26"/>
  <c r="I31" i="26"/>
  <c r="J31" i="26"/>
  <c r="I32" i="26"/>
  <c r="J32" i="26"/>
  <c r="P32" i="26" s="1"/>
  <c r="R32" i="26" s="1"/>
  <c r="I33" i="26"/>
  <c r="J33" i="26"/>
  <c r="I34" i="26"/>
  <c r="J34" i="26"/>
  <c r="I35" i="26"/>
  <c r="J35" i="26"/>
  <c r="I36" i="26"/>
  <c r="J36" i="26"/>
  <c r="P36" i="26" s="1"/>
  <c r="I37" i="26"/>
  <c r="J37" i="26"/>
  <c r="I38" i="26"/>
  <c r="J38" i="26"/>
  <c r="I39" i="26"/>
  <c r="J39" i="26"/>
  <c r="I40" i="26"/>
  <c r="J40" i="26"/>
  <c r="I41" i="26"/>
  <c r="J41" i="26"/>
  <c r="I42" i="26"/>
  <c r="J42" i="26"/>
  <c r="I43" i="26"/>
  <c r="J43" i="26"/>
  <c r="I44" i="26"/>
  <c r="J44" i="26"/>
  <c r="P44" i="26" s="1"/>
  <c r="I45" i="26"/>
  <c r="J45" i="26"/>
  <c r="I46" i="26"/>
  <c r="J46" i="26"/>
  <c r="I47" i="26"/>
  <c r="J47" i="26"/>
  <c r="I48" i="26"/>
  <c r="J48" i="26"/>
  <c r="P48" i="26" s="1"/>
  <c r="I50" i="26"/>
  <c r="J50" i="26"/>
  <c r="I51" i="26"/>
  <c r="J51" i="26"/>
  <c r="I52" i="26"/>
  <c r="J52" i="26"/>
  <c r="P52" i="26" s="1"/>
  <c r="R52" i="26" s="1"/>
  <c r="J8" i="26"/>
  <c r="I8" i="26"/>
  <c r="M41" i="16"/>
  <c r="P51" i="27"/>
  <c r="Q50" i="27"/>
  <c r="O50" i="27"/>
  <c r="P47" i="27"/>
  <c r="L47" i="27"/>
  <c r="N47" i="27" s="1"/>
  <c r="M47" i="27"/>
  <c r="S47" i="27" s="1"/>
  <c r="P46" i="27"/>
  <c r="L45" i="27"/>
  <c r="N45" i="27" s="1"/>
  <c r="P45" i="27"/>
  <c r="R45" i="27" s="1"/>
  <c r="M43" i="27"/>
  <c r="S43" i="27" s="1"/>
  <c r="P43" i="27"/>
  <c r="M42" i="27"/>
  <c r="S42" i="27" s="1"/>
  <c r="P42" i="27"/>
  <c r="L42" i="27"/>
  <c r="M41" i="27"/>
  <c r="S41" i="27" s="1"/>
  <c r="L41" i="27"/>
  <c r="P39" i="27"/>
  <c r="L39" i="27"/>
  <c r="N39" i="27" s="1"/>
  <c r="M39" i="27"/>
  <c r="S39" i="27" s="1"/>
  <c r="L37" i="27"/>
  <c r="N37" i="27" s="1"/>
  <c r="P37" i="27"/>
  <c r="M35" i="27"/>
  <c r="S35" i="27" s="1"/>
  <c r="P35" i="27"/>
  <c r="M34" i="27"/>
  <c r="S34" i="27" s="1"/>
  <c r="L34" i="27"/>
  <c r="N34" i="27" s="1"/>
  <c r="M33" i="27"/>
  <c r="S33" i="27" s="1"/>
  <c r="L33" i="27"/>
  <c r="P31" i="27"/>
  <c r="L31" i="27"/>
  <c r="N31" i="27" s="1"/>
  <c r="M31" i="27"/>
  <c r="S31" i="27" s="1"/>
  <c r="P30" i="27"/>
  <c r="L29" i="27"/>
  <c r="N29" i="27" s="1"/>
  <c r="P29" i="27"/>
  <c r="R29" i="27" s="1"/>
  <c r="P27" i="27"/>
  <c r="M26" i="27"/>
  <c r="S26" i="27" s="1"/>
  <c r="P26" i="27"/>
  <c r="L26" i="27"/>
  <c r="M25" i="27"/>
  <c r="S25" i="27" s="1"/>
  <c r="L25" i="27"/>
  <c r="P23" i="27"/>
  <c r="L23" i="27"/>
  <c r="N23" i="27" s="1"/>
  <c r="M23" i="27"/>
  <c r="S23" i="27" s="1"/>
  <c r="P22" i="27"/>
  <c r="Q21" i="27"/>
  <c r="O21" i="27"/>
  <c r="P19" i="27"/>
  <c r="Q18" i="27"/>
  <c r="O18" i="27"/>
  <c r="Q15" i="27"/>
  <c r="O15" i="27"/>
  <c r="Q13" i="27"/>
  <c r="O13" i="27"/>
  <c r="P11" i="27"/>
  <c r="P10" i="27"/>
  <c r="Q8" i="27"/>
  <c r="O8" i="27"/>
  <c r="Q52" i="26"/>
  <c r="Q51" i="26"/>
  <c r="Q24" i="26"/>
  <c r="Q25" i="26"/>
  <c r="Q26" i="26"/>
  <c r="Q27" i="26"/>
  <c r="Q28" i="26"/>
  <c r="Q29" i="26"/>
  <c r="Q30" i="26"/>
  <c r="Q31" i="26"/>
  <c r="Q32" i="26"/>
  <c r="Q33" i="26"/>
  <c r="Q34" i="26"/>
  <c r="Q35" i="26"/>
  <c r="Q36" i="26"/>
  <c r="Q37" i="26"/>
  <c r="Q38" i="26"/>
  <c r="Q39" i="26"/>
  <c r="Q40" i="26"/>
  <c r="Q41" i="26"/>
  <c r="Q42" i="26"/>
  <c r="Q43" i="26"/>
  <c r="Q44" i="26"/>
  <c r="Q45" i="26"/>
  <c r="Q46" i="26"/>
  <c r="Q47" i="26"/>
  <c r="Q48" i="26"/>
  <c r="Q23" i="26"/>
  <c r="Q22" i="26"/>
  <c r="Q20" i="26"/>
  <c r="Q19" i="26"/>
  <c r="Q17" i="26"/>
  <c r="Q16" i="26"/>
  <c r="Q14" i="26"/>
  <c r="Q10" i="26"/>
  <c r="Q11" i="26"/>
  <c r="Q12" i="26"/>
  <c r="Q9" i="26"/>
  <c r="K52" i="26"/>
  <c r="K50" i="26" s="1"/>
  <c r="K51" i="26"/>
  <c r="K23" i="26"/>
  <c r="K24" i="26"/>
  <c r="K25" i="26"/>
  <c r="K26" i="26"/>
  <c r="K27" i="26"/>
  <c r="K28" i="26"/>
  <c r="M28" i="26" s="1"/>
  <c r="S28" i="26" s="1"/>
  <c r="K29" i="26"/>
  <c r="K30" i="26"/>
  <c r="K31" i="26"/>
  <c r="K32" i="26"/>
  <c r="K33" i="26"/>
  <c r="K34" i="26"/>
  <c r="K35" i="26"/>
  <c r="K36" i="26"/>
  <c r="M36" i="26" s="1"/>
  <c r="S36" i="26" s="1"/>
  <c r="K37" i="26"/>
  <c r="M37" i="26" s="1"/>
  <c r="S37" i="26" s="1"/>
  <c r="K38" i="26"/>
  <c r="K39" i="26"/>
  <c r="K40" i="26"/>
  <c r="K41" i="26"/>
  <c r="K42" i="26"/>
  <c r="K43" i="26"/>
  <c r="K44" i="26"/>
  <c r="M44" i="26" s="1"/>
  <c r="S44" i="26" s="1"/>
  <c r="K45" i="26"/>
  <c r="M45" i="26" s="1"/>
  <c r="S45" i="26" s="1"/>
  <c r="K46" i="26"/>
  <c r="K47" i="26"/>
  <c r="K48" i="26"/>
  <c r="K22" i="26"/>
  <c r="K20" i="26"/>
  <c r="K19" i="26"/>
  <c r="K17" i="26"/>
  <c r="K16" i="26"/>
  <c r="K14" i="26"/>
  <c r="K13" i="26" s="1"/>
  <c r="K10" i="26"/>
  <c r="K11" i="26"/>
  <c r="K12" i="26"/>
  <c r="K9" i="26"/>
  <c r="M26" i="26"/>
  <c r="S26" i="26" s="1"/>
  <c r="P27" i="26"/>
  <c r="P31" i="26"/>
  <c r="R31" i="26" s="1"/>
  <c r="M34" i="26"/>
  <c r="S34" i="26" s="1"/>
  <c r="P35" i="26"/>
  <c r="R35" i="26" s="1"/>
  <c r="P39" i="26"/>
  <c r="R39" i="26" s="1"/>
  <c r="M42" i="26"/>
  <c r="S42" i="26" s="1"/>
  <c r="P43" i="26"/>
  <c r="R43" i="26" s="1"/>
  <c r="P47" i="26"/>
  <c r="R47" i="26" s="1"/>
  <c r="P19" i="26"/>
  <c r="P14" i="26"/>
  <c r="P13" i="26" s="1"/>
  <c r="P10" i="26"/>
  <c r="P9" i="26"/>
  <c r="L41" i="16"/>
  <c r="P51" i="26"/>
  <c r="Q50" i="26"/>
  <c r="O50" i="26"/>
  <c r="M48" i="26"/>
  <c r="S48" i="26" s="1"/>
  <c r="P45" i="26"/>
  <c r="M43" i="26"/>
  <c r="S43" i="26" s="1"/>
  <c r="L41" i="26"/>
  <c r="N41" i="26" s="1"/>
  <c r="M41" i="26"/>
  <c r="S41" i="26" s="1"/>
  <c r="P40" i="26"/>
  <c r="R40" i="26" s="1"/>
  <c r="M40" i="26"/>
  <c r="S40" i="26" s="1"/>
  <c r="P37" i="26"/>
  <c r="R37" i="26" s="1"/>
  <c r="M35" i="26"/>
  <c r="S35" i="26" s="1"/>
  <c r="L33" i="26"/>
  <c r="N33" i="26" s="1"/>
  <c r="M33" i="26"/>
  <c r="S33" i="26" s="1"/>
  <c r="M32" i="26"/>
  <c r="S32" i="26" s="1"/>
  <c r="P29" i="26"/>
  <c r="L25" i="26"/>
  <c r="N25" i="26" s="1"/>
  <c r="M25" i="26"/>
  <c r="S25" i="26" s="1"/>
  <c r="M24" i="26"/>
  <c r="S24" i="26" s="1"/>
  <c r="P22" i="26"/>
  <c r="Q21" i="26"/>
  <c r="O21" i="26"/>
  <c r="M20" i="26"/>
  <c r="S20" i="26" s="1"/>
  <c r="Q18" i="26"/>
  <c r="O18" i="26"/>
  <c r="Q15" i="26"/>
  <c r="O15" i="26"/>
  <c r="Q13" i="26"/>
  <c r="O13" i="26"/>
  <c r="Q8" i="26"/>
  <c r="O8" i="26"/>
  <c r="L42" i="16" l="1"/>
  <c r="M42" i="16"/>
  <c r="M31" i="31"/>
  <c r="S31" i="31" s="1"/>
  <c r="M26" i="31"/>
  <c r="S26" i="31" s="1"/>
  <c r="M52" i="31"/>
  <c r="S52" i="31" s="1"/>
  <c r="M34" i="31"/>
  <c r="S34" i="31" s="1"/>
  <c r="L34" i="31"/>
  <c r="P34" i="31"/>
  <c r="R34" i="31" s="1"/>
  <c r="M38" i="31"/>
  <c r="S38" i="31" s="1"/>
  <c r="P39" i="31"/>
  <c r="R39" i="31" s="1"/>
  <c r="M39" i="31"/>
  <c r="S39" i="31" s="1"/>
  <c r="L39" i="31"/>
  <c r="M33" i="31"/>
  <c r="S33" i="31" s="1"/>
  <c r="M23" i="31"/>
  <c r="S23" i="31" s="1"/>
  <c r="M41" i="31"/>
  <c r="S41" i="31" s="1"/>
  <c r="M25" i="31"/>
  <c r="S25" i="31" s="1"/>
  <c r="M11" i="31"/>
  <c r="S11" i="31" s="1"/>
  <c r="M45" i="31"/>
  <c r="S45" i="31" s="1"/>
  <c r="M12" i="31"/>
  <c r="S12" i="31" s="1"/>
  <c r="M24" i="31"/>
  <c r="S24" i="31" s="1"/>
  <c r="M32" i="31"/>
  <c r="S32" i="31" s="1"/>
  <c r="M44" i="31"/>
  <c r="S44" i="31" s="1"/>
  <c r="P44" i="30"/>
  <c r="R44" i="30" s="1"/>
  <c r="P25" i="30"/>
  <c r="R25" i="30" s="1"/>
  <c r="T26" i="30"/>
  <c r="J26" i="31" s="1"/>
  <c r="P26" i="31" s="1"/>
  <c r="R26" i="31" s="1"/>
  <c r="T37" i="30"/>
  <c r="J37" i="31" s="1"/>
  <c r="L37" i="31" s="1"/>
  <c r="N37" i="31" s="1"/>
  <c r="P34" i="30"/>
  <c r="R34" i="30" s="1"/>
  <c r="M9" i="30"/>
  <c r="S9" i="30" s="1"/>
  <c r="L39" i="30"/>
  <c r="N39" i="30" s="1"/>
  <c r="T39" i="30" s="1"/>
  <c r="J39" i="31" s="1"/>
  <c r="P45" i="30"/>
  <c r="R45" i="30" s="1"/>
  <c r="M17" i="30"/>
  <c r="S17" i="30" s="1"/>
  <c r="I17" i="31" s="1"/>
  <c r="M46" i="30"/>
  <c r="S46" i="30" s="1"/>
  <c r="I46" i="31" s="1"/>
  <c r="L36" i="30"/>
  <c r="N36" i="30" s="1"/>
  <c r="T36" i="30" s="1"/>
  <c r="J36" i="31" s="1"/>
  <c r="P11" i="30"/>
  <c r="R11" i="30" s="1"/>
  <c r="P9" i="30"/>
  <c r="M48" i="30"/>
  <c r="S48" i="30" s="1"/>
  <c r="I48" i="31" s="1"/>
  <c r="P12" i="30"/>
  <c r="R12" i="30" s="1"/>
  <c r="P10" i="30"/>
  <c r="R10" i="30" s="1"/>
  <c r="L25" i="30"/>
  <c r="N25" i="30" s="1"/>
  <c r="L38" i="30"/>
  <c r="N38" i="30" s="1"/>
  <c r="L32" i="30"/>
  <c r="N32" i="30" s="1"/>
  <c r="T32" i="30" s="1"/>
  <c r="J32" i="31" s="1"/>
  <c r="L32" i="31" s="1"/>
  <c r="N32" i="31" s="1"/>
  <c r="P52" i="30"/>
  <c r="R52" i="30" s="1"/>
  <c r="L23" i="30"/>
  <c r="N23" i="30" s="1"/>
  <c r="T23" i="30" s="1"/>
  <c r="J23" i="31" s="1"/>
  <c r="P23" i="31" s="1"/>
  <c r="R23" i="31" s="1"/>
  <c r="P20" i="30"/>
  <c r="R20" i="30" s="1"/>
  <c r="M35" i="30"/>
  <c r="S35" i="30" s="1"/>
  <c r="I35" i="31" s="1"/>
  <c r="L47" i="30"/>
  <c r="N47" i="30" s="1"/>
  <c r="T47" i="30" s="1"/>
  <c r="J47" i="31" s="1"/>
  <c r="P47" i="31" s="1"/>
  <c r="R47" i="31" s="1"/>
  <c r="L16" i="30"/>
  <c r="L20" i="30"/>
  <c r="N20" i="30" s="1"/>
  <c r="P16" i="30"/>
  <c r="R16" i="30" s="1"/>
  <c r="L29" i="30"/>
  <c r="N29" i="30" s="1"/>
  <c r="T29" i="30" s="1"/>
  <c r="J29" i="31" s="1"/>
  <c r="L29" i="31" s="1"/>
  <c r="N29" i="31" s="1"/>
  <c r="M43" i="30"/>
  <c r="S43" i="30" s="1"/>
  <c r="I43" i="31" s="1"/>
  <c r="P42" i="30"/>
  <c r="R42" i="30" s="1"/>
  <c r="L40" i="30"/>
  <c r="N40" i="30" s="1"/>
  <c r="T40" i="30" s="1"/>
  <c r="J40" i="31" s="1"/>
  <c r="P40" i="31" s="1"/>
  <c r="R40" i="31" s="1"/>
  <c r="L31" i="30"/>
  <c r="N31" i="30" s="1"/>
  <c r="P31" i="30"/>
  <c r="R31" i="30" s="1"/>
  <c r="M30" i="30"/>
  <c r="S30" i="30" s="1"/>
  <c r="I30" i="31" s="1"/>
  <c r="M28" i="30"/>
  <c r="S28" i="30" s="1"/>
  <c r="I28" i="31" s="1"/>
  <c r="R9" i="30"/>
  <c r="N17" i="29"/>
  <c r="T17" i="29" s="1"/>
  <c r="T38" i="29"/>
  <c r="J38" i="30" s="1"/>
  <c r="P38" i="30" s="1"/>
  <c r="R38" i="30" s="1"/>
  <c r="T28" i="29"/>
  <c r="J28" i="30" s="1"/>
  <c r="T30" i="29"/>
  <c r="J30" i="30" s="1"/>
  <c r="P30" i="30" s="1"/>
  <c r="R30" i="30" s="1"/>
  <c r="T35" i="29"/>
  <c r="J35" i="30" s="1"/>
  <c r="L35" i="30" s="1"/>
  <c r="N35" i="30" s="1"/>
  <c r="T33" i="29"/>
  <c r="J33" i="30" s="1"/>
  <c r="L33" i="30" s="1"/>
  <c r="N33" i="30" s="1"/>
  <c r="L18" i="29"/>
  <c r="T48" i="29"/>
  <c r="J48" i="30" s="1"/>
  <c r="L48" i="30" s="1"/>
  <c r="N48" i="30" s="1"/>
  <c r="N10" i="29"/>
  <c r="T10" i="29" s="1"/>
  <c r="J10" i="30" s="1"/>
  <c r="L10" i="30" s="1"/>
  <c r="N10" i="30" s="1"/>
  <c r="S15" i="29"/>
  <c r="I15" i="30" s="1"/>
  <c r="T41" i="29"/>
  <c r="J41" i="30" s="1"/>
  <c r="P41" i="30" s="1"/>
  <c r="R41" i="30" s="1"/>
  <c r="M8" i="29"/>
  <c r="T46" i="29"/>
  <c r="J46" i="30" s="1"/>
  <c r="L46" i="30" s="1"/>
  <c r="N46" i="30" s="1"/>
  <c r="S8" i="29"/>
  <c r="I8" i="30" s="1"/>
  <c r="T9" i="29"/>
  <c r="J9" i="30" s="1"/>
  <c r="N51" i="29"/>
  <c r="R10" i="29"/>
  <c r="N14" i="29"/>
  <c r="L13" i="29"/>
  <c r="R52" i="29"/>
  <c r="R50" i="29" s="1"/>
  <c r="T24" i="29"/>
  <c r="J24" i="30" s="1"/>
  <c r="M18" i="29"/>
  <c r="S19" i="29"/>
  <c r="N27" i="29"/>
  <c r="R47" i="29"/>
  <c r="T43" i="29"/>
  <c r="J43" i="30" s="1"/>
  <c r="P43" i="30" s="1"/>
  <c r="R43" i="30" s="1"/>
  <c r="R22" i="29"/>
  <c r="P15" i="29"/>
  <c r="R17" i="29"/>
  <c r="R15" i="29" s="1"/>
  <c r="S51" i="29"/>
  <c r="M50" i="29"/>
  <c r="S22" i="29"/>
  <c r="I22" i="30" s="1"/>
  <c r="N15" i="29"/>
  <c r="N19" i="29"/>
  <c r="S14" i="29"/>
  <c r="M13" i="29"/>
  <c r="P50" i="29"/>
  <c r="S27" i="29"/>
  <c r="T22" i="29"/>
  <c r="J22" i="30" s="1"/>
  <c r="M15" i="29"/>
  <c r="R27" i="29"/>
  <c r="R68" i="29" s="1"/>
  <c r="T39" i="27"/>
  <c r="K18" i="27"/>
  <c r="P52" i="27"/>
  <c r="P44" i="27"/>
  <c r="P36" i="27"/>
  <c r="R36" i="27" s="1"/>
  <c r="M28" i="27"/>
  <c r="S28" i="27" s="1"/>
  <c r="P24" i="27"/>
  <c r="T24" i="27" s="1"/>
  <c r="L11" i="27"/>
  <c r="N11" i="27" s="1"/>
  <c r="T11" i="27" s="1"/>
  <c r="M14" i="27"/>
  <c r="S14" i="27" s="1"/>
  <c r="S13" i="27" s="1"/>
  <c r="M38" i="27"/>
  <c r="S38" i="27" s="1"/>
  <c r="R46" i="27"/>
  <c r="R30" i="27"/>
  <c r="R37" i="27"/>
  <c r="R10" i="27"/>
  <c r="R39" i="27"/>
  <c r="M20" i="27"/>
  <c r="S20" i="27" s="1"/>
  <c r="L17" i="27"/>
  <c r="N17" i="27" s="1"/>
  <c r="M16" i="27"/>
  <c r="S16" i="27" s="1"/>
  <c r="K13" i="27"/>
  <c r="L14" i="27"/>
  <c r="L13" i="27" s="1"/>
  <c r="M11" i="27"/>
  <c r="S11" i="27" s="1"/>
  <c r="L9" i="27"/>
  <c r="N9" i="27" s="1"/>
  <c r="K8" i="27"/>
  <c r="T31" i="27"/>
  <c r="T47" i="27"/>
  <c r="R31" i="27"/>
  <c r="R27" i="27"/>
  <c r="P16" i="27"/>
  <c r="R16" i="27" s="1"/>
  <c r="M36" i="27"/>
  <c r="S36" i="27" s="1"/>
  <c r="T37" i="27"/>
  <c r="M44" i="27"/>
  <c r="S44" i="27" s="1"/>
  <c r="R47" i="27"/>
  <c r="R52" i="27"/>
  <c r="R11" i="27"/>
  <c r="L28" i="27"/>
  <c r="N28" i="27" s="1"/>
  <c r="L32" i="27"/>
  <c r="N32" i="27" s="1"/>
  <c r="T32" i="27" s="1"/>
  <c r="M40" i="27"/>
  <c r="S40" i="27" s="1"/>
  <c r="M48" i="27"/>
  <c r="S48" i="27" s="1"/>
  <c r="P12" i="27"/>
  <c r="L20" i="27"/>
  <c r="N20" i="27" s="1"/>
  <c r="P28" i="27"/>
  <c r="R28" i="27" s="1"/>
  <c r="R32" i="27"/>
  <c r="L36" i="27"/>
  <c r="N36" i="27" s="1"/>
  <c r="T36" i="27" s="1"/>
  <c r="L44" i="27"/>
  <c r="N44" i="27" s="1"/>
  <c r="T44" i="27" s="1"/>
  <c r="L12" i="27"/>
  <c r="N12" i="27" s="1"/>
  <c r="R42" i="27"/>
  <c r="R12" i="27"/>
  <c r="T23" i="27"/>
  <c r="R44" i="27"/>
  <c r="M52" i="27"/>
  <c r="S52" i="27" s="1"/>
  <c r="L52" i="27"/>
  <c r="N52" i="27" s="1"/>
  <c r="T52" i="27" s="1"/>
  <c r="R23" i="27"/>
  <c r="N33" i="27"/>
  <c r="T29" i="27"/>
  <c r="N41" i="27"/>
  <c r="R19" i="27"/>
  <c r="N25" i="27"/>
  <c r="R26" i="27"/>
  <c r="R43" i="27"/>
  <c r="R48" i="27"/>
  <c r="R22" i="27"/>
  <c r="R35" i="27"/>
  <c r="R40" i="27"/>
  <c r="T45" i="27"/>
  <c r="P50" i="27"/>
  <c r="R51" i="27"/>
  <c r="R50" i="27" s="1"/>
  <c r="P17" i="27"/>
  <c r="P38" i="27"/>
  <c r="R38" i="27" s="1"/>
  <c r="L16" i="27"/>
  <c r="P20" i="27"/>
  <c r="P18" i="27" s="1"/>
  <c r="P25" i="27"/>
  <c r="R25" i="27" s="1"/>
  <c r="P33" i="27"/>
  <c r="R33" i="27" s="1"/>
  <c r="P41" i="27"/>
  <c r="R41" i="27" s="1"/>
  <c r="L40" i="27"/>
  <c r="N40" i="27" s="1"/>
  <c r="T40" i="27" s="1"/>
  <c r="N42" i="27"/>
  <c r="T42" i="27" s="1"/>
  <c r="M45" i="27"/>
  <c r="S45" i="27" s="1"/>
  <c r="L48" i="27"/>
  <c r="N48" i="27" s="1"/>
  <c r="T48" i="27" s="1"/>
  <c r="M29" i="27"/>
  <c r="S29" i="27" s="1"/>
  <c r="M24" i="27"/>
  <c r="S24" i="27" s="1"/>
  <c r="L27" i="27"/>
  <c r="M32" i="27"/>
  <c r="S32" i="27" s="1"/>
  <c r="L35" i="27"/>
  <c r="N35" i="27" s="1"/>
  <c r="T35" i="27" s="1"/>
  <c r="L43" i="27"/>
  <c r="N43" i="27" s="1"/>
  <c r="T43" i="27" s="1"/>
  <c r="M9" i="27"/>
  <c r="M37" i="27"/>
  <c r="S37" i="27" s="1"/>
  <c r="M12" i="27"/>
  <c r="S12" i="27" s="1"/>
  <c r="M19" i="27"/>
  <c r="P34" i="27"/>
  <c r="R34" i="27" s="1"/>
  <c r="P9" i="27"/>
  <c r="L10" i="27"/>
  <c r="N10" i="27" s="1"/>
  <c r="T10" i="27" s="1"/>
  <c r="P14" i="27"/>
  <c r="R14" i="27" s="1"/>
  <c r="M17" i="27"/>
  <c r="S17" i="27" s="1"/>
  <c r="S15" i="27" s="1"/>
  <c r="L22" i="27"/>
  <c r="M27" i="27"/>
  <c r="L30" i="27"/>
  <c r="N30" i="27" s="1"/>
  <c r="T30" i="27" s="1"/>
  <c r="L38" i="27"/>
  <c r="N38" i="27" s="1"/>
  <c r="T38" i="27" s="1"/>
  <c r="L46" i="27"/>
  <c r="N46" i="27" s="1"/>
  <c r="T46" i="27" s="1"/>
  <c r="L51" i="27"/>
  <c r="L19" i="27"/>
  <c r="N26" i="27"/>
  <c r="T26" i="27" s="1"/>
  <c r="M10" i="27"/>
  <c r="S10" i="27" s="1"/>
  <c r="M22" i="27"/>
  <c r="M30" i="27"/>
  <c r="S30" i="27" s="1"/>
  <c r="M46" i="27"/>
  <c r="S46" i="27" s="1"/>
  <c r="M51" i="27"/>
  <c r="P11" i="26"/>
  <c r="R11" i="26" s="1"/>
  <c r="P17" i="26"/>
  <c r="R17" i="26" s="1"/>
  <c r="P46" i="26"/>
  <c r="R46" i="26" s="1"/>
  <c r="P42" i="26"/>
  <c r="R42" i="26" s="1"/>
  <c r="P38" i="26"/>
  <c r="R38" i="26" s="1"/>
  <c r="P34" i="26"/>
  <c r="R34" i="26" s="1"/>
  <c r="P30" i="26"/>
  <c r="R30" i="26" s="1"/>
  <c r="P26" i="26"/>
  <c r="R26" i="26" s="1"/>
  <c r="L52" i="26"/>
  <c r="N52" i="26" s="1"/>
  <c r="T52" i="26" s="1"/>
  <c r="M17" i="26"/>
  <c r="S17" i="26" s="1"/>
  <c r="M29" i="26"/>
  <c r="S29" i="26" s="1"/>
  <c r="L23" i="26"/>
  <c r="N23" i="26" s="1"/>
  <c r="R45" i="26"/>
  <c r="R14" i="26"/>
  <c r="R13" i="26" s="1"/>
  <c r="L45" i="26"/>
  <c r="N45" i="26" s="1"/>
  <c r="T45" i="26" s="1"/>
  <c r="L37" i="26"/>
  <c r="N37" i="26" s="1"/>
  <c r="T37" i="26" s="1"/>
  <c r="L29" i="26"/>
  <c r="N29" i="26" s="1"/>
  <c r="T29" i="26" s="1"/>
  <c r="K18" i="26"/>
  <c r="M19" i="26"/>
  <c r="S19" i="26" s="1"/>
  <c r="S18" i="26" s="1"/>
  <c r="M16" i="26"/>
  <c r="S16" i="26" s="1"/>
  <c r="L11" i="26"/>
  <c r="N11" i="26" s="1"/>
  <c r="K8" i="26"/>
  <c r="R29" i="26"/>
  <c r="R48" i="26"/>
  <c r="R44" i="26"/>
  <c r="R36" i="26"/>
  <c r="L47" i="26"/>
  <c r="N47" i="26" s="1"/>
  <c r="T47" i="26" s="1"/>
  <c r="L39" i="26"/>
  <c r="N39" i="26" s="1"/>
  <c r="T39" i="26" s="1"/>
  <c r="L31" i="26"/>
  <c r="N31" i="26" s="1"/>
  <c r="T31" i="26" s="1"/>
  <c r="R27" i="26"/>
  <c r="P23" i="26"/>
  <c r="R23" i="26" s="1"/>
  <c r="R19" i="26"/>
  <c r="P16" i="26"/>
  <c r="R16" i="26" s="1"/>
  <c r="L14" i="26"/>
  <c r="L13" i="26" s="1"/>
  <c r="M14" i="26"/>
  <c r="S14" i="26" s="1"/>
  <c r="S13" i="26" s="1"/>
  <c r="L9" i="26"/>
  <c r="N9" i="26" s="1"/>
  <c r="M9" i="26"/>
  <c r="S9" i="26" s="1"/>
  <c r="R9" i="26"/>
  <c r="R10" i="26"/>
  <c r="R22" i="26"/>
  <c r="P50" i="26"/>
  <c r="R51" i="26"/>
  <c r="R50" i="26" s="1"/>
  <c r="M11" i="26"/>
  <c r="S11" i="26" s="1"/>
  <c r="L16" i="26"/>
  <c r="P20" i="26"/>
  <c r="M23" i="26"/>
  <c r="S23" i="26" s="1"/>
  <c r="P25" i="26"/>
  <c r="T25" i="26" s="1"/>
  <c r="L26" i="26"/>
  <c r="N26" i="26" s="1"/>
  <c r="M31" i="26"/>
  <c r="S31" i="26" s="1"/>
  <c r="P33" i="26"/>
  <c r="R33" i="26" s="1"/>
  <c r="L34" i="26"/>
  <c r="N34" i="26" s="1"/>
  <c r="M39" i="26"/>
  <c r="S39" i="26" s="1"/>
  <c r="P41" i="26"/>
  <c r="T41" i="26" s="1"/>
  <c r="L42" i="26"/>
  <c r="N42" i="26" s="1"/>
  <c r="T42" i="26" s="1"/>
  <c r="M47" i="26"/>
  <c r="S47" i="26" s="1"/>
  <c r="M52" i="26"/>
  <c r="S52" i="26" s="1"/>
  <c r="L12" i="26"/>
  <c r="N12" i="26" s="1"/>
  <c r="T12" i="26" s="1"/>
  <c r="L24" i="26"/>
  <c r="N24" i="26" s="1"/>
  <c r="T24" i="26" s="1"/>
  <c r="L32" i="26"/>
  <c r="N32" i="26" s="1"/>
  <c r="T32" i="26" s="1"/>
  <c r="L40" i="26"/>
  <c r="N40" i="26" s="1"/>
  <c r="T40" i="26" s="1"/>
  <c r="L48" i="26"/>
  <c r="N48" i="26" s="1"/>
  <c r="T48" i="26" s="1"/>
  <c r="M12" i="26"/>
  <c r="S12" i="26" s="1"/>
  <c r="K15" i="26"/>
  <c r="L17" i="26"/>
  <c r="N17" i="26" s="1"/>
  <c r="L27" i="26"/>
  <c r="N27" i="26" s="1"/>
  <c r="L35" i="26"/>
  <c r="N35" i="26" s="1"/>
  <c r="T35" i="26" s="1"/>
  <c r="L43" i="26"/>
  <c r="N43" i="26" s="1"/>
  <c r="T43" i="26" s="1"/>
  <c r="L19" i="26"/>
  <c r="L10" i="26"/>
  <c r="L22" i="26"/>
  <c r="M27" i="26"/>
  <c r="L30" i="26"/>
  <c r="N30" i="26" s="1"/>
  <c r="L38" i="26"/>
  <c r="N38" i="26" s="1"/>
  <c r="L46" i="26"/>
  <c r="N46" i="26" s="1"/>
  <c r="T46" i="26" s="1"/>
  <c r="L51" i="26"/>
  <c r="M10" i="26"/>
  <c r="S10" i="26" s="1"/>
  <c r="M46" i="26"/>
  <c r="S46" i="26" s="1"/>
  <c r="M51" i="26"/>
  <c r="M38" i="26"/>
  <c r="S38" i="26" s="1"/>
  <c r="L28" i="26"/>
  <c r="N28" i="26" s="1"/>
  <c r="T28" i="26" s="1"/>
  <c r="L36" i="26"/>
  <c r="N36" i="26" s="1"/>
  <c r="T36" i="26" s="1"/>
  <c r="L44" i="26"/>
  <c r="N44" i="26" s="1"/>
  <c r="T44" i="26" s="1"/>
  <c r="M22" i="26"/>
  <c r="M30" i="26"/>
  <c r="S30" i="26" s="1"/>
  <c r="Q34" i="25"/>
  <c r="Q36" i="25"/>
  <c r="Q43" i="25"/>
  <c r="Q44" i="25"/>
  <c r="Q46" i="25"/>
  <c r="O50" i="25"/>
  <c r="O15" i="25"/>
  <c r="O13" i="25"/>
  <c r="K34" i="25"/>
  <c r="K36" i="25"/>
  <c r="K43" i="25"/>
  <c r="K44" i="25"/>
  <c r="K46" i="25"/>
  <c r="Q50" i="25"/>
  <c r="Q21" i="25"/>
  <c r="Q18" i="25"/>
  <c r="Q15" i="25"/>
  <c r="Q13" i="25"/>
  <c r="Q8" i="25"/>
  <c r="N39" i="31" l="1"/>
  <c r="L40" i="31"/>
  <c r="N40" i="31" s="1"/>
  <c r="L23" i="31"/>
  <c r="N23" i="31" s="1"/>
  <c r="T23" i="31"/>
  <c r="T39" i="31"/>
  <c r="T34" i="30"/>
  <c r="J34" i="31" s="1"/>
  <c r="N34" i="31" s="1"/>
  <c r="T34" i="31" s="1"/>
  <c r="P29" i="31"/>
  <c r="R29" i="31" s="1"/>
  <c r="P32" i="31"/>
  <c r="R32" i="31" s="1"/>
  <c r="T29" i="31"/>
  <c r="S15" i="30"/>
  <c r="I15" i="31" s="1"/>
  <c r="P37" i="31"/>
  <c r="R37" i="31" s="1"/>
  <c r="T40" i="31"/>
  <c r="P46" i="30"/>
  <c r="R46" i="30" s="1"/>
  <c r="M35" i="31"/>
  <c r="S35" i="31" s="1"/>
  <c r="M17" i="31"/>
  <c r="L47" i="31"/>
  <c r="N47" i="31" s="1"/>
  <c r="T47" i="31" s="1"/>
  <c r="M43" i="31"/>
  <c r="S43" i="31" s="1"/>
  <c r="M48" i="31"/>
  <c r="S48" i="31" s="1"/>
  <c r="L26" i="31"/>
  <c r="N26" i="31" s="1"/>
  <c r="T26" i="31" s="1"/>
  <c r="M28" i="31"/>
  <c r="S28" i="31" s="1"/>
  <c r="T32" i="31"/>
  <c r="S8" i="30"/>
  <c r="I8" i="31" s="1"/>
  <c r="I9" i="31"/>
  <c r="M46" i="31"/>
  <c r="S46" i="31" s="1"/>
  <c r="M30" i="31"/>
  <c r="S30" i="31" s="1"/>
  <c r="L36" i="31"/>
  <c r="N36" i="31" s="1"/>
  <c r="P36" i="31"/>
  <c r="R36" i="31" s="1"/>
  <c r="T44" i="30"/>
  <c r="J44" i="31" s="1"/>
  <c r="P8" i="30"/>
  <c r="M15" i="30"/>
  <c r="T10" i="30"/>
  <c r="J10" i="31" s="1"/>
  <c r="J17" i="30"/>
  <c r="P17" i="30" s="1"/>
  <c r="R17" i="30" s="1"/>
  <c r="R15" i="30" s="1"/>
  <c r="T15" i="29"/>
  <c r="J15" i="30" s="1"/>
  <c r="P33" i="30"/>
  <c r="R33" i="30" s="1"/>
  <c r="L30" i="30"/>
  <c r="N30" i="30" s="1"/>
  <c r="T30" i="30" s="1"/>
  <c r="J30" i="31" s="1"/>
  <c r="P30" i="31" s="1"/>
  <c r="R30" i="31" s="1"/>
  <c r="T12" i="30"/>
  <c r="J12" i="31" s="1"/>
  <c r="T38" i="30"/>
  <c r="J38" i="31" s="1"/>
  <c r="T25" i="30"/>
  <c r="J25" i="31" s="1"/>
  <c r="L43" i="30"/>
  <c r="N43" i="30" s="1"/>
  <c r="T43" i="30" s="1"/>
  <c r="J43" i="31" s="1"/>
  <c r="P43" i="31" s="1"/>
  <c r="R43" i="31" s="1"/>
  <c r="P22" i="30"/>
  <c r="R22" i="30" s="1"/>
  <c r="L22" i="30"/>
  <c r="N22" i="30" s="1"/>
  <c r="T22" i="30" s="1"/>
  <c r="J22" i="31" s="1"/>
  <c r="M22" i="30"/>
  <c r="S22" i="30" s="1"/>
  <c r="I22" i="31" s="1"/>
  <c r="T45" i="30"/>
  <c r="J45" i="31" s="1"/>
  <c r="P24" i="30"/>
  <c r="R24" i="30" s="1"/>
  <c r="L24" i="30"/>
  <c r="N24" i="30" s="1"/>
  <c r="P48" i="30"/>
  <c r="R48" i="30" s="1"/>
  <c r="I27" i="30"/>
  <c r="N16" i="30"/>
  <c r="S18" i="29"/>
  <c r="I18" i="30" s="1"/>
  <c r="I19" i="30"/>
  <c r="T52" i="30"/>
  <c r="J52" i="31" s="1"/>
  <c r="L41" i="30"/>
  <c r="N41" i="30" s="1"/>
  <c r="T41" i="30" s="1"/>
  <c r="J41" i="31" s="1"/>
  <c r="S50" i="29"/>
  <c r="I50" i="30" s="1"/>
  <c r="I51" i="30"/>
  <c r="L17" i="30"/>
  <c r="L15" i="30" s="1"/>
  <c r="M8" i="30"/>
  <c r="S13" i="29"/>
  <c r="I13" i="30" s="1"/>
  <c r="I14" i="30"/>
  <c r="T20" i="30"/>
  <c r="J20" i="31" s="1"/>
  <c r="P35" i="30"/>
  <c r="R35" i="30" s="1"/>
  <c r="L9" i="30"/>
  <c r="N9" i="30" s="1"/>
  <c r="T11" i="30"/>
  <c r="J11" i="31" s="1"/>
  <c r="T42" i="30"/>
  <c r="J42" i="31" s="1"/>
  <c r="T31" i="30"/>
  <c r="J31" i="31" s="1"/>
  <c r="L28" i="30"/>
  <c r="N28" i="30" s="1"/>
  <c r="P28" i="30"/>
  <c r="R8" i="30"/>
  <c r="N8" i="29"/>
  <c r="T27" i="29"/>
  <c r="R8" i="29"/>
  <c r="T51" i="29"/>
  <c r="N50" i="29"/>
  <c r="T8" i="29"/>
  <c r="J8" i="30" s="1"/>
  <c r="T19" i="29"/>
  <c r="N18" i="29"/>
  <c r="N13" i="29"/>
  <c r="T14" i="29"/>
  <c r="P15" i="27"/>
  <c r="R24" i="27"/>
  <c r="M13" i="27"/>
  <c r="T28" i="27"/>
  <c r="L15" i="27"/>
  <c r="N14" i="27"/>
  <c r="N13" i="27" s="1"/>
  <c r="T12" i="27"/>
  <c r="R20" i="27"/>
  <c r="R18" i="27" s="1"/>
  <c r="N16" i="27"/>
  <c r="N15" i="27" s="1"/>
  <c r="T34" i="27"/>
  <c r="T25" i="27"/>
  <c r="T38" i="26"/>
  <c r="T34" i="26"/>
  <c r="P8" i="26"/>
  <c r="S27" i="27"/>
  <c r="T9" i="27"/>
  <c r="N8" i="27"/>
  <c r="L18" i="27"/>
  <c r="N19" i="27"/>
  <c r="T41" i="27"/>
  <c r="R13" i="27"/>
  <c r="P13" i="27"/>
  <c r="M8" i="27"/>
  <c r="S9" i="27"/>
  <c r="T20" i="27"/>
  <c r="R17" i="27"/>
  <c r="R15" i="27" s="1"/>
  <c r="M50" i="27"/>
  <c r="S51" i="27"/>
  <c r="S50" i="27" s="1"/>
  <c r="N22" i="27"/>
  <c r="N51" i="27"/>
  <c r="L50" i="27"/>
  <c r="N27" i="27"/>
  <c r="R9" i="27"/>
  <c r="P8" i="27"/>
  <c r="L8" i="27"/>
  <c r="T33" i="27"/>
  <c r="S22" i="27"/>
  <c r="M15" i="27"/>
  <c r="M18" i="27"/>
  <c r="S19" i="27"/>
  <c r="S18" i="27" s="1"/>
  <c r="T17" i="27"/>
  <c r="T30" i="26"/>
  <c r="T23" i="26"/>
  <c r="T26" i="26"/>
  <c r="T11" i="26"/>
  <c r="S15" i="26"/>
  <c r="T17" i="26"/>
  <c r="L50" i="26"/>
  <c r="M18" i="26"/>
  <c r="R15" i="26"/>
  <c r="M15" i="26"/>
  <c r="N51" i="26"/>
  <c r="T51" i="26" s="1"/>
  <c r="T50" i="26" s="1"/>
  <c r="T33" i="26"/>
  <c r="P15" i="26"/>
  <c r="M13" i="26"/>
  <c r="N14" i="26"/>
  <c r="N13" i="26" s="1"/>
  <c r="S8" i="26"/>
  <c r="R8" i="26"/>
  <c r="L8" i="26"/>
  <c r="T27" i="26"/>
  <c r="R41" i="26"/>
  <c r="L15" i="26"/>
  <c r="N16" i="26"/>
  <c r="L18" i="26"/>
  <c r="N19" i="26"/>
  <c r="T9" i="26"/>
  <c r="P18" i="26"/>
  <c r="M8" i="26"/>
  <c r="R25" i="26"/>
  <c r="S51" i="26"/>
  <c r="S50" i="26" s="1"/>
  <c r="M50" i="26"/>
  <c r="R20" i="26"/>
  <c r="N22" i="26"/>
  <c r="T20" i="26"/>
  <c r="S22" i="26"/>
  <c r="N10" i="26"/>
  <c r="T10" i="26" s="1"/>
  <c r="S27" i="26"/>
  <c r="M26" i="25"/>
  <c r="S26" i="25" s="1"/>
  <c r="O18" i="25"/>
  <c r="O8" i="25"/>
  <c r="O21" i="25"/>
  <c r="K41" i="16"/>
  <c r="K42" i="16" s="1"/>
  <c r="M41" i="25"/>
  <c r="S41" i="25" s="1"/>
  <c r="Q9" i="24"/>
  <c r="Q9" i="25" s="1"/>
  <c r="Q10" i="24"/>
  <c r="Q10" i="25" s="1"/>
  <c r="Q11" i="24"/>
  <c r="Q11" i="25" s="1"/>
  <c r="Q12" i="24"/>
  <c r="Q12" i="25" s="1"/>
  <c r="Q13" i="24"/>
  <c r="Q14" i="24"/>
  <c r="Q14" i="25" s="1"/>
  <c r="Q15" i="24"/>
  <c r="Q16" i="24"/>
  <c r="Q16" i="25" s="1"/>
  <c r="Q17" i="24"/>
  <c r="Q17" i="25" s="1"/>
  <c r="Q18" i="24"/>
  <c r="Q19" i="24"/>
  <c r="Q19" i="25" s="1"/>
  <c r="Q20" i="24"/>
  <c r="Q20" i="25" s="1"/>
  <c r="Q21" i="24"/>
  <c r="Q22" i="24"/>
  <c r="Q22" i="25" s="1"/>
  <c r="Q23" i="24"/>
  <c r="Q23" i="25" s="1"/>
  <c r="Q24" i="24"/>
  <c r="Q24" i="25" s="1"/>
  <c r="Q25" i="24"/>
  <c r="Q25" i="25" s="1"/>
  <c r="Q26" i="24"/>
  <c r="Q26" i="25" s="1"/>
  <c r="Q27" i="24"/>
  <c r="Q27" i="25" s="1"/>
  <c r="Q28" i="24"/>
  <c r="Q28" i="25" s="1"/>
  <c r="Q29" i="24"/>
  <c r="Q29" i="25" s="1"/>
  <c r="Q30" i="24"/>
  <c r="Q30" i="25" s="1"/>
  <c r="Q31" i="24"/>
  <c r="Q31" i="25" s="1"/>
  <c r="Q32" i="24"/>
  <c r="Q32" i="25" s="1"/>
  <c r="Q33" i="24"/>
  <c r="Q33" i="25" s="1"/>
  <c r="Q35" i="24"/>
  <c r="Q35" i="25" s="1"/>
  <c r="Q37" i="24"/>
  <c r="Q37" i="25" s="1"/>
  <c r="Q38" i="24"/>
  <c r="Q38" i="25" s="1"/>
  <c r="Q39" i="24"/>
  <c r="Q39" i="25" s="1"/>
  <c r="Q40" i="24"/>
  <c r="Q40" i="25" s="1"/>
  <c r="Q41" i="24"/>
  <c r="Q41" i="25" s="1"/>
  <c r="Q42" i="24"/>
  <c r="Q42" i="25" s="1"/>
  <c r="Q45" i="24"/>
  <c r="Q45" i="25" s="1"/>
  <c r="Q47" i="24"/>
  <c r="Q47" i="25" s="1"/>
  <c r="Q48" i="24"/>
  <c r="Q48" i="25" s="1"/>
  <c r="Q49" i="24"/>
  <c r="Q50" i="24"/>
  <c r="Q51" i="24"/>
  <c r="Q51" i="25" s="1"/>
  <c r="Q52" i="24"/>
  <c r="Q52" i="25" s="1"/>
  <c r="Q8" i="24"/>
  <c r="K52" i="24"/>
  <c r="K51" i="24"/>
  <c r="K23" i="24"/>
  <c r="K23" i="25" s="1"/>
  <c r="K24" i="24"/>
  <c r="K24" i="25" s="1"/>
  <c r="K25" i="24"/>
  <c r="K25" i="25" s="1"/>
  <c r="K26" i="24"/>
  <c r="K26" i="25" s="1"/>
  <c r="K27" i="24"/>
  <c r="K27" i="25" s="1"/>
  <c r="K28" i="24"/>
  <c r="K28" i="25" s="1"/>
  <c r="K29" i="24"/>
  <c r="K30" i="24"/>
  <c r="K31" i="24"/>
  <c r="K31" i="25" s="1"/>
  <c r="K32" i="24"/>
  <c r="K32" i="25" s="1"/>
  <c r="K33" i="24"/>
  <c r="K33" i="25" s="1"/>
  <c r="K35" i="24"/>
  <c r="K35" i="25" s="1"/>
  <c r="K37" i="24"/>
  <c r="K38" i="24"/>
  <c r="K39" i="24"/>
  <c r="K39" i="25" s="1"/>
  <c r="K40" i="24"/>
  <c r="K40" i="25" s="1"/>
  <c r="K41" i="24"/>
  <c r="K41" i="25" s="1"/>
  <c r="K42" i="24"/>
  <c r="K42" i="25" s="1"/>
  <c r="K45" i="24"/>
  <c r="K47" i="24"/>
  <c r="K47" i="25" s="1"/>
  <c r="K48" i="24"/>
  <c r="K48" i="25" s="1"/>
  <c r="K22" i="24"/>
  <c r="K20" i="24"/>
  <c r="K20" i="25" s="1"/>
  <c r="K19" i="24"/>
  <c r="K19" i="25" s="1"/>
  <c r="K18" i="25" s="1"/>
  <c r="K17" i="24"/>
  <c r="K17" i="25" s="1"/>
  <c r="K15" i="25" s="1"/>
  <c r="K16" i="24"/>
  <c r="K16" i="25" s="1"/>
  <c r="K14" i="24"/>
  <c r="K10" i="24"/>
  <c r="K10" i="25" s="1"/>
  <c r="K11" i="24"/>
  <c r="K12" i="24"/>
  <c r="K12" i="25" s="1"/>
  <c r="K9" i="24"/>
  <c r="J9" i="24"/>
  <c r="J10" i="24"/>
  <c r="P10" i="24" s="1"/>
  <c r="J11" i="24"/>
  <c r="J12" i="24"/>
  <c r="J13" i="24"/>
  <c r="J14" i="24"/>
  <c r="J15" i="24"/>
  <c r="J16" i="24"/>
  <c r="J17" i="24"/>
  <c r="P17" i="24" s="1"/>
  <c r="J18" i="24"/>
  <c r="J19" i="24"/>
  <c r="J20" i="24"/>
  <c r="J22" i="24"/>
  <c r="J23" i="24"/>
  <c r="J24" i="24"/>
  <c r="J25" i="24"/>
  <c r="J26" i="24"/>
  <c r="J27" i="24"/>
  <c r="J28" i="24"/>
  <c r="J29" i="24"/>
  <c r="J30" i="24"/>
  <c r="J31" i="24"/>
  <c r="J32" i="24"/>
  <c r="J33" i="24"/>
  <c r="P33" i="24" s="1"/>
  <c r="R33" i="24" s="1"/>
  <c r="J34" i="24"/>
  <c r="N34" i="24" s="1"/>
  <c r="J35" i="24"/>
  <c r="J36" i="24"/>
  <c r="J37" i="24"/>
  <c r="J38" i="24"/>
  <c r="J39" i="24"/>
  <c r="J40" i="24"/>
  <c r="J41" i="24"/>
  <c r="P41" i="24" s="1"/>
  <c r="R41" i="24" s="1"/>
  <c r="J42" i="24"/>
  <c r="J43" i="24"/>
  <c r="J44" i="24"/>
  <c r="N44" i="24" s="1"/>
  <c r="J45" i="24"/>
  <c r="J46" i="24"/>
  <c r="N46" i="24" s="1"/>
  <c r="J47" i="24"/>
  <c r="J48" i="24"/>
  <c r="J49" i="24"/>
  <c r="J50" i="24"/>
  <c r="J51" i="24"/>
  <c r="J52" i="24"/>
  <c r="J8" i="24"/>
  <c r="I9" i="24"/>
  <c r="I10" i="24"/>
  <c r="I11" i="24"/>
  <c r="I12" i="24"/>
  <c r="M12" i="24" s="1"/>
  <c r="S12" i="24" s="1"/>
  <c r="I12" i="25" s="1"/>
  <c r="I13" i="24"/>
  <c r="I14" i="24"/>
  <c r="I15" i="24"/>
  <c r="I16" i="24"/>
  <c r="I17" i="24"/>
  <c r="I18" i="24"/>
  <c r="I19" i="24"/>
  <c r="I20" i="24"/>
  <c r="M20" i="24" s="1"/>
  <c r="S20" i="24" s="1"/>
  <c r="I20" i="25" s="1"/>
  <c r="I22" i="24"/>
  <c r="I23" i="24"/>
  <c r="M23" i="24" s="1"/>
  <c r="S23" i="24" s="1"/>
  <c r="I23" i="25" s="1"/>
  <c r="I24" i="24"/>
  <c r="I25" i="24"/>
  <c r="I26" i="24"/>
  <c r="I27" i="24"/>
  <c r="I28" i="24"/>
  <c r="M28" i="24" s="1"/>
  <c r="S28" i="24" s="1"/>
  <c r="I28" i="25" s="1"/>
  <c r="I29" i="24"/>
  <c r="L29" i="24" s="1"/>
  <c r="N29" i="24" s="1"/>
  <c r="I30" i="24"/>
  <c r="I31" i="24"/>
  <c r="P31" i="24" s="1"/>
  <c r="R31" i="24" s="1"/>
  <c r="I32" i="24"/>
  <c r="I33" i="24"/>
  <c r="I34" i="24"/>
  <c r="L34" i="24" s="1"/>
  <c r="I35" i="24"/>
  <c r="I36" i="24"/>
  <c r="P36" i="24" s="1"/>
  <c r="R36" i="24" s="1"/>
  <c r="I37" i="24"/>
  <c r="I38" i="24"/>
  <c r="I39" i="24"/>
  <c r="I40" i="24"/>
  <c r="I41" i="24"/>
  <c r="I42" i="24"/>
  <c r="M42" i="24" s="1"/>
  <c r="S42" i="24" s="1"/>
  <c r="I42" i="25" s="1"/>
  <c r="I43" i="24"/>
  <c r="L43" i="24" s="1"/>
  <c r="I44" i="24"/>
  <c r="L44" i="24" s="1"/>
  <c r="I45" i="24"/>
  <c r="P45" i="24" s="1"/>
  <c r="R45" i="24" s="1"/>
  <c r="I46" i="24"/>
  <c r="I47" i="24"/>
  <c r="M47" i="24" s="1"/>
  <c r="S47" i="24" s="1"/>
  <c r="I47" i="25" s="1"/>
  <c r="P47" i="25" s="1"/>
  <c r="R47" i="25" s="1"/>
  <c r="I48" i="24"/>
  <c r="I49" i="24"/>
  <c r="P49" i="24" s="1"/>
  <c r="R49" i="24" s="1"/>
  <c r="I50" i="24"/>
  <c r="I51" i="24"/>
  <c r="I52" i="24"/>
  <c r="P52" i="24" s="1"/>
  <c r="R52" i="24" s="1"/>
  <c r="I8" i="24"/>
  <c r="O50" i="24"/>
  <c r="P46" i="24"/>
  <c r="R46" i="24" s="1"/>
  <c r="P43" i="24"/>
  <c r="R43" i="24" s="1"/>
  <c r="M43" i="24"/>
  <c r="S43" i="24" s="1"/>
  <c r="I43" i="25" s="1"/>
  <c r="N43" i="24"/>
  <c r="P42" i="24"/>
  <c r="R42" i="24" s="1"/>
  <c r="M41" i="24"/>
  <c r="S41" i="24" s="1"/>
  <c r="I41" i="25" s="1"/>
  <c r="L41" i="24"/>
  <c r="N41" i="24" s="1"/>
  <c r="M39" i="24"/>
  <c r="S39" i="24" s="1"/>
  <c r="I39" i="25" s="1"/>
  <c r="P37" i="24"/>
  <c r="R37" i="24" s="1"/>
  <c r="P35" i="24"/>
  <c r="R35" i="24" s="1"/>
  <c r="M35" i="24"/>
  <c r="S35" i="24" s="1"/>
  <c r="I35" i="25" s="1"/>
  <c r="M35" i="25" s="1"/>
  <c r="S35" i="25" s="1"/>
  <c r="L35" i="24"/>
  <c r="N35" i="24" s="1"/>
  <c r="P34" i="24"/>
  <c r="R34" i="24" s="1"/>
  <c r="M34" i="24"/>
  <c r="S34" i="24" s="1"/>
  <c r="I34" i="25" s="1"/>
  <c r="M34" i="25" s="1"/>
  <c r="S34" i="25" s="1"/>
  <c r="P30" i="24"/>
  <c r="R30" i="24" s="1"/>
  <c r="P29" i="24"/>
  <c r="R29" i="24" s="1"/>
  <c r="P28" i="24"/>
  <c r="P27" i="24"/>
  <c r="R27" i="24" s="1"/>
  <c r="P26" i="24"/>
  <c r="R26" i="24" s="1"/>
  <c r="M26" i="24"/>
  <c r="S26" i="24" s="1"/>
  <c r="I26" i="25" s="1"/>
  <c r="L26" i="24"/>
  <c r="N26" i="24" s="1"/>
  <c r="P25" i="24"/>
  <c r="R25" i="24" s="1"/>
  <c r="P22" i="24"/>
  <c r="R22" i="24" s="1"/>
  <c r="O21" i="24"/>
  <c r="P20" i="24"/>
  <c r="R20" i="24" s="1"/>
  <c r="P19" i="24"/>
  <c r="R19" i="24" s="1"/>
  <c r="L19" i="24"/>
  <c r="N19" i="24" s="1"/>
  <c r="O18" i="24"/>
  <c r="M17" i="24"/>
  <c r="S17" i="24" s="1"/>
  <c r="I17" i="25" s="1"/>
  <c r="O15" i="24"/>
  <c r="P14" i="24"/>
  <c r="O13" i="24"/>
  <c r="P12" i="24"/>
  <c r="L12" i="24"/>
  <c r="N12" i="24" s="1"/>
  <c r="P11" i="24"/>
  <c r="R11" i="24" s="1"/>
  <c r="L11" i="24"/>
  <c r="N11" i="24" s="1"/>
  <c r="M10" i="24"/>
  <c r="P9" i="24"/>
  <c r="O8" i="24"/>
  <c r="B76" i="16"/>
  <c r="A76" i="16"/>
  <c r="L43" i="31" l="1"/>
  <c r="N43" i="31" s="1"/>
  <c r="J61" i="16"/>
  <c r="J62" i="16" s="1"/>
  <c r="J41" i="16"/>
  <c r="J42" i="16" s="1"/>
  <c r="L49" i="24"/>
  <c r="N49" i="24" s="1"/>
  <c r="T49" i="24" s="1"/>
  <c r="M49" i="24"/>
  <c r="S49" i="24" s="1"/>
  <c r="I49" i="29" s="1"/>
  <c r="Q49" i="25"/>
  <c r="Q49" i="29"/>
  <c r="K49" i="29"/>
  <c r="T43" i="31"/>
  <c r="T36" i="31"/>
  <c r="L30" i="31"/>
  <c r="N30" i="31" s="1"/>
  <c r="T30" i="31" s="1"/>
  <c r="T37" i="31"/>
  <c r="T46" i="30"/>
  <c r="J46" i="31" s="1"/>
  <c r="L31" i="31"/>
  <c r="N31" i="31" s="1"/>
  <c r="P31" i="31"/>
  <c r="R31" i="31" s="1"/>
  <c r="P20" i="31"/>
  <c r="R20" i="31" s="1"/>
  <c r="L20" i="31"/>
  <c r="N20" i="31" s="1"/>
  <c r="P52" i="31"/>
  <c r="R52" i="31" s="1"/>
  <c r="L52" i="31"/>
  <c r="N52" i="31" s="1"/>
  <c r="L12" i="31"/>
  <c r="N12" i="31" s="1"/>
  <c r="P12" i="31"/>
  <c r="R12" i="31" s="1"/>
  <c r="P44" i="31"/>
  <c r="R44" i="31" s="1"/>
  <c r="L44" i="31"/>
  <c r="N44" i="31" s="1"/>
  <c r="L45" i="31"/>
  <c r="N45" i="31" s="1"/>
  <c r="P45" i="31"/>
  <c r="R45" i="31" s="1"/>
  <c r="P22" i="31"/>
  <c r="M22" i="31"/>
  <c r="L22" i="31"/>
  <c r="N22" i="31" s="1"/>
  <c r="M9" i="31"/>
  <c r="S17" i="31"/>
  <c r="S15" i="31" s="1"/>
  <c r="M15" i="31"/>
  <c r="L42" i="31"/>
  <c r="N42" i="31" s="1"/>
  <c r="P42" i="31"/>
  <c r="R42" i="31" s="1"/>
  <c r="P11" i="31"/>
  <c r="R11" i="31" s="1"/>
  <c r="L11" i="31"/>
  <c r="N11" i="31" s="1"/>
  <c r="L10" i="31"/>
  <c r="N10" i="31" s="1"/>
  <c r="P10" i="31"/>
  <c r="R10" i="31" s="1"/>
  <c r="P25" i="31"/>
  <c r="R25" i="31" s="1"/>
  <c r="L25" i="31"/>
  <c r="N25" i="31" s="1"/>
  <c r="L41" i="31"/>
  <c r="N41" i="31" s="1"/>
  <c r="P41" i="31"/>
  <c r="R41" i="31" s="1"/>
  <c r="P38" i="31"/>
  <c r="R38" i="31" s="1"/>
  <c r="L38" i="31"/>
  <c r="N38" i="31" s="1"/>
  <c r="T38" i="31" s="1"/>
  <c r="T33" i="30"/>
  <c r="J33" i="31" s="1"/>
  <c r="P15" i="30"/>
  <c r="T48" i="30"/>
  <c r="J48" i="31" s="1"/>
  <c r="N17" i="30"/>
  <c r="T17" i="30" s="1"/>
  <c r="J17" i="31" s="1"/>
  <c r="T35" i="30"/>
  <c r="J35" i="31" s="1"/>
  <c r="T24" i="30"/>
  <c r="J24" i="31" s="1"/>
  <c r="N8" i="30"/>
  <c r="T9" i="30"/>
  <c r="P51" i="30"/>
  <c r="L51" i="30"/>
  <c r="L50" i="30" s="1"/>
  <c r="M51" i="30"/>
  <c r="T16" i="30"/>
  <c r="J16" i="31" s="1"/>
  <c r="T13" i="29"/>
  <c r="J13" i="30" s="1"/>
  <c r="J14" i="30"/>
  <c r="L14" i="30" s="1"/>
  <c r="L13" i="30" s="1"/>
  <c r="T50" i="29"/>
  <c r="J50" i="30" s="1"/>
  <c r="J51" i="30"/>
  <c r="M14" i="30"/>
  <c r="M27" i="30"/>
  <c r="L8" i="30"/>
  <c r="T18" i="29"/>
  <c r="J18" i="30" s="1"/>
  <c r="J19" i="30"/>
  <c r="L19" i="30" s="1"/>
  <c r="J27" i="30"/>
  <c r="P19" i="30"/>
  <c r="M19" i="30"/>
  <c r="T28" i="30"/>
  <c r="J28" i="31" s="1"/>
  <c r="R28" i="30"/>
  <c r="T16" i="27"/>
  <c r="T15" i="27" s="1"/>
  <c r="T14" i="27"/>
  <c r="T13" i="27" s="1"/>
  <c r="N50" i="26"/>
  <c r="T19" i="27"/>
  <c r="T18" i="27" s="1"/>
  <c r="N18" i="27"/>
  <c r="T22" i="27"/>
  <c r="S8" i="27"/>
  <c r="R8" i="27"/>
  <c r="T51" i="27"/>
  <c r="T50" i="27" s="1"/>
  <c r="N50" i="27"/>
  <c r="T8" i="27"/>
  <c r="T27" i="27"/>
  <c r="N8" i="26"/>
  <c r="T14" i="26"/>
  <c r="T13" i="26" s="1"/>
  <c r="T8" i="26"/>
  <c r="T16" i="26"/>
  <c r="T15" i="26" s="1"/>
  <c r="N15" i="26"/>
  <c r="T22" i="26"/>
  <c r="R18" i="26"/>
  <c r="T19" i="26"/>
  <c r="T18" i="26" s="1"/>
  <c r="N18" i="26"/>
  <c r="M12" i="25"/>
  <c r="S12" i="25" s="1"/>
  <c r="R26" i="25"/>
  <c r="M42" i="25"/>
  <c r="S42" i="25" s="1"/>
  <c r="M20" i="25"/>
  <c r="S20" i="25" s="1"/>
  <c r="M28" i="25"/>
  <c r="S28" i="25" s="1"/>
  <c r="L28" i="25"/>
  <c r="P26" i="25"/>
  <c r="M23" i="25"/>
  <c r="S23" i="25" s="1"/>
  <c r="K13" i="24"/>
  <c r="K14" i="25"/>
  <c r="K13" i="25" s="1"/>
  <c r="M37" i="24"/>
  <c r="S37" i="24" s="1"/>
  <c r="I37" i="25" s="1"/>
  <c r="K37" i="25"/>
  <c r="P43" i="25"/>
  <c r="R43" i="25" s="1"/>
  <c r="M39" i="25"/>
  <c r="S39" i="25" s="1"/>
  <c r="K21" i="24"/>
  <c r="L39" i="24"/>
  <c r="N39" i="24" s="1"/>
  <c r="M43" i="25"/>
  <c r="S43" i="25" s="1"/>
  <c r="M45" i="24"/>
  <c r="S45" i="24" s="1"/>
  <c r="I45" i="25" s="1"/>
  <c r="K45" i="25"/>
  <c r="L47" i="25"/>
  <c r="N47" i="25" s="1"/>
  <c r="T47" i="25" s="1"/>
  <c r="M19" i="24"/>
  <c r="S19" i="24" s="1"/>
  <c r="I19" i="25" s="1"/>
  <c r="M27" i="24"/>
  <c r="S27" i="24" s="1"/>
  <c r="I27" i="25" s="1"/>
  <c r="L33" i="24"/>
  <c r="N33" i="24" s="1"/>
  <c r="M9" i="24"/>
  <c r="S9" i="24" s="1"/>
  <c r="I9" i="25" s="1"/>
  <c r="K9" i="25"/>
  <c r="L10" i="24"/>
  <c r="N10" i="24" s="1"/>
  <c r="T10" i="24" s="1"/>
  <c r="J10" i="25" s="1"/>
  <c r="L27" i="24"/>
  <c r="L25" i="24"/>
  <c r="N25" i="24" s="1"/>
  <c r="L36" i="24"/>
  <c r="N36" i="24" s="1"/>
  <c r="T36" i="24" s="1"/>
  <c r="J36" i="25" s="1"/>
  <c r="M44" i="24"/>
  <c r="S44" i="24" s="1"/>
  <c r="I44" i="25" s="1"/>
  <c r="L52" i="24"/>
  <c r="N52" i="24" s="1"/>
  <c r="P47" i="24"/>
  <c r="P23" i="24"/>
  <c r="M22" i="24"/>
  <c r="S22" i="24" s="1"/>
  <c r="I22" i="25" s="1"/>
  <c r="K22" i="25"/>
  <c r="M30" i="24"/>
  <c r="S30" i="24" s="1"/>
  <c r="I30" i="25" s="1"/>
  <c r="K30" i="25"/>
  <c r="L51" i="24"/>
  <c r="N51" i="24" s="1"/>
  <c r="K51" i="25"/>
  <c r="L26" i="25"/>
  <c r="N26" i="25" s="1"/>
  <c r="L14" i="24"/>
  <c r="N14" i="24" s="1"/>
  <c r="N13" i="24" s="1"/>
  <c r="L20" i="24"/>
  <c r="N20" i="24" s="1"/>
  <c r="N18" i="24" s="1"/>
  <c r="M25" i="24"/>
  <c r="S25" i="24" s="1"/>
  <c r="I25" i="25" s="1"/>
  <c r="L28" i="24"/>
  <c r="N28" i="24" s="1"/>
  <c r="M36" i="24"/>
  <c r="S36" i="24" s="1"/>
  <c r="I36" i="25" s="1"/>
  <c r="L42" i="24"/>
  <c r="N42" i="24" s="1"/>
  <c r="P44" i="24"/>
  <c r="R44" i="24" s="1"/>
  <c r="P38" i="24"/>
  <c r="R38" i="24" s="1"/>
  <c r="M11" i="24"/>
  <c r="S11" i="24" s="1"/>
  <c r="I11" i="25" s="1"/>
  <c r="K11" i="25"/>
  <c r="K29" i="25"/>
  <c r="M52" i="24"/>
  <c r="S52" i="24" s="1"/>
  <c r="I52" i="25" s="1"/>
  <c r="K52" i="25"/>
  <c r="M17" i="25"/>
  <c r="S17" i="25" s="1"/>
  <c r="M33" i="24"/>
  <c r="S33" i="24" s="1"/>
  <c r="I33" i="25" s="1"/>
  <c r="L17" i="24"/>
  <c r="N17" i="24" s="1"/>
  <c r="M32" i="24"/>
  <c r="S32" i="24" s="1"/>
  <c r="I32" i="25" s="1"/>
  <c r="M38" i="24"/>
  <c r="S38" i="24" s="1"/>
  <c r="I38" i="25" s="1"/>
  <c r="K38" i="25"/>
  <c r="M47" i="25"/>
  <c r="S47" i="25" s="1"/>
  <c r="T43" i="24"/>
  <c r="J43" i="25" s="1"/>
  <c r="L43" i="25" s="1"/>
  <c r="N43" i="25" s="1"/>
  <c r="T43" i="25" s="1"/>
  <c r="T35" i="24"/>
  <c r="J35" i="25" s="1"/>
  <c r="R13" i="24"/>
  <c r="R47" i="24"/>
  <c r="R12" i="24"/>
  <c r="R10" i="24"/>
  <c r="K50" i="24"/>
  <c r="M29" i="24"/>
  <c r="S29" i="24" s="1"/>
  <c r="I29" i="25" s="1"/>
  <c r="M46" i="24"/>
  <c r="S46" i="24" s="1"/>
  <c r="I46" i="25" s="1"/>
  <c r="L37" i="24"/>
  <c r="N37" i="24" s="1"/>
  <c r="T37" i="24" s="1"/>
  <c r="J37" i="25" s="1"/>
  <c r="L30" i="24"/>
  <c r="N30" i="24" s="1"/>
  <c r="T30" i="24" s="1"/>
  <c r="J30" i="25" s="1"/>
  <c r="L45" i="24"/>
  <c r="N45" i="24" s="1"/>
  <c r="T45" i="24" s="1"/>
  <c r="J45" i="25" s="1"/>
  <c r="L22" i="24"/>
  <c r="N22" i="24" s="1"/>
  <c r="T22" i="24" s="1"/>
  <c r="J22" i="25" s="1"/>
  <c r="K18" i="24"/>
  <c r="K15" i="24"/>
  <c r="M14" i="24"/>
  <c r="M13" i="24" s="1"/>
  <c r="K8" i="24"/>
  <c r="L9" i="24"/>
  <c r="T33" i="24"/>
  <c r="J33" i="25" s="1"/>
  <c r="T11" i="24"/>
  <c r="J11" i="25" s="1"/>
  <c r="T41" i="24"/>
  <c r="J41" i="25" s="1"/>
  <c r="L41" i="25" s="1"/>
  <c r="T52" i="24"/>
  <c r="J52" i="25" s="1"/>
  <c r="P48" i="24"/>
  <c r="R48" i="24" s="1"/>
  <c r="P40" i="24"/>
  <c r="R40" i="24" s="1"/>
  <c r="P24" i="24"/>
  <c r="R24" i="24" s="1"/>
  <c r="L23" i="24"/>
  <c r="N23" i="24" s="1"/>
  <c r="L38" i="24"/>
  <c r="N38" i="24" s="1"/>
  <c r="T38" i="24" s="1"/>
  <c r="J38" i="25" s="1"/>
  <c r="T34" i="24"/>
  <c r="J34" i="25" s="1"/>
  <c r="P34" i="25" s="1"/>
  <c r="T42" i="24"/>
  <c r="J42" i="25" s="1"/>
  <c r="L42" i="25" s="1"/>
  <c r="T12" i="24"/>
  <c r="J12" i="25" s="1"/>
  <c r="L12" i="25" s="1"/>
  <c r="T28" i="24"/>
  <c r="J28" i="25" s="1"/>
  <c r="P28" i="25" s="1"/>
  <c r="R28" i="25" s="1"/>
  <c r="S18" i="24"/>
  <c r="I18" i="25" s="1"/>
  <c r="T17" i="24"/>
  <c r="J17" i="25" s="1"/>
  <c r="L17" i="25" s="1"/>
  <c r="N17" i="25" s="1"/>
  <c r="T25" i="24"/>
  <c r="J25" i="25" s="1"/>
  <c r="T46" i="24"/>
  <c r="J46" i="25" s="1"/>
  <c r="P32" i="24"/>
  <c r="R32" i="24" s="1"/>
  <c r="L48" i="24"/>
  <c r="N48" i="24" s="1"/>
  <c r="P39" i="24"/>
  <c r="R39" i="24" s="1"/>
  <c r="M48" i="24"/>
  <c r="S48" i="24" s="1"/>
  <c r="I48" i="25" s="1"/>
  <c r="L16" i="24"/>
  <c r="N16" i="24" s="1"/>
  <c r="N15" i="24" s="1"/>
  <c r="R18" i="24"/>
  <c r="L31" i="24"/>
  <c r="N31" i="24" s="1"/>
  <c r="T31" i="24" s="1"/>
  <c r="J31" i="25" s="1"/>
  <c r="L40" i="24"/>
  <c r="N40" i="24" s="1"/>
  <c r="M16" i="24"/>
  <c r="L24" i="24"/>
  <c r="N24" i="24" s="1"/>
  <c r="N27" i="24"/>
  <c r="T29" i="24"/>
  <c r="J29" i="25" s="1"/>
  <c r="M31" i="24"/>
  <c r="S31" i="24" s="1"/>
  <c r="I31" i="25" s="1"/>
  <c r="M40" i="24"/>
  <c r="S40" i="24" s="1"/>
  <c r="I40" i="25" s="1"/>
  <c r="M24" i="24"/>
  <c r="S24" i="24" s="1"/>
  <c r="I24" i="25" s="1"/>
  <c r="P16" i="24"/>
  <c r="R16" i="24" s="1"/>
  <c r="T26" i="24"/>
  <c r="J26" i="25" s="1"/>
  <c r="L32" i="24"/>
  <c r="N32" i="24" s="1"/>
  <c r="L47" i="24"/>
  <c r="N47" i="24" s="1"/>
  <c r="T47" i="24" s="1"/>
  <c r="J47" i="25" s="1"/>
  <c r="L18" i="24"/>
  <c r="T44" i="24"/>
  <c r="J44" i="25" s="1"/>
  <c r="T19" i="24"/>
  <c r="J19" i="25" s="1"/>
  <c r="N50" i="24"/>
  <c r="L50" i="24"/>
  <c r="P13" i="24"/>
  <c r="P8" i="24"/>
  <c r="R9" i="24"/>
  <c r="S10" i="24"/>
  <c r="R17" i="24"/>
  <c r="M51" i="24"/>
  <c r="P18" i="24"/>
  <c r="R23" i="24"/>
  <c r="P51" i="24"/>
  <c r="M18" i="24"/>
  <c r="K52" i="14"/>
  <c r="K52" i="15" s="1"/>
  <c r="K52" i="23" s="1"/>
  <c r="K51" i="14"/>
  <c r="K51" i="15" s="1"/>
  <c r="K51" i="23" s="1"/>
  <c r="K24" i="14"/>
  <c r="K24" i="15" s="1"/>
  <c r="K24" i="23" s="1"/>
  <c r="K25" i="14"/>
  <c r="K25" i="15" s="1"/>
  <c r="K25" i="23" s="1"/>
  <c r="K26" i="14"/>
  <c r="K26" i="15" s="1"/>
  <c r="K26" i="23" s="1"/>
  <c r="K27" i="14"/>
  <c r="K27" i="15" s="1"/>
  <c r="K27" i="23" s="1"/>
  <c r="K28" i="14"/>
  <c r="K28" i="15" s="1"/>
  <c r="K28" i="23" s="1"/>
  <c r="K29" i="14"/>
  <c r="K29" i="15" s="1"/>
  <c r="K29" i="23" s="1"/>
  <c r="K30" i="14"/>
  <c r="K30" i="15" s="1"/>
  <c r="K30" i="23" s="1"/>
  <c r="K31" i="14"/>
  <c r="K31" i="15" s="1"/>
  <c r="K31" i="23" s="1"/>
  <c r="K32" i="14"/>
  <c r="K32" i="15" s="1"/>
  <c r="K32" i="23" s="1"/>
  <c r="K33" i="14"/>
  <c r="K33" i="15" s="1"/>
  <c r="K33" i="23" s="1"/>
  <c r="K34" i="14"/>
  <c r="K34" i="15" s="1"/>
  <c r="K34" i="23" s="1"/>
  <c r="K35" i="14"/>
  <c r="K35" i="15" s="1"/>
  <c r="K35" i="23" s="1"/>
  <c r="K36" i="14"/>
  <c r="K36" i="15" s="1"/>
  <c r="K36" i="23" s="1"/>
  <c r="K37" i="14"/>
  <c r="K37" i="15" s="1"/>
  <c r="K37" i="23" s="1"/>
  <c r="K38" i="14"/>
  <c r="K38" i="15" s="1"/>
  <c r="K38" i="23" s="1"/>
  <c r="K39" i="14"/>
  <c r="K39" i="15" s="1"/>
  <c r="K39" i="23" s="1"/>
  <c r="K40" i="14"/>
  <c r="K40" i="15" s="1"/>
  <c r="K40" i="23" s="1"/>
  <c r="K41" i="14"/>
  <c r="K41" i="15" s="1"/>
  <c r="K41" i="23" s="1"/>
  <c r="K42" i="14"/>
  <c r="K42" i="15" s="1"/>
  <c r="K42" i="23" s="1"/>
  <c r="K43" i="14"/>
  <c r="K43" i="15" s="1"/>
  <c r="K43" i="23" s="1"/>
  <c r="K44" i="14"/>
  <c r="K44" i="15" s="1"/>
  <c r="K44" i="23" s="1"/>
  <c r="K45" i="14"/>
  <c r="K45" i="15" s="1"/>
  <c r="K45" i="23" s="1"/>
  <c r="K46" i="14"/>
  <c r="K46" i="15" s="1"/>
  <c r="K46" i="23" s="1"/>
  <c r="K47" i="14"/>
  <c r="K47" i="15" s="1"/>
  <c r="K47" i="23" s="1"/>
  <c r="K48" i="14"/>
  <c r="K48" i="15" s="1"/>
  <c r="K48" i="23" s="1"/>
  <c r="K49" i="14"/>
  <c r="K49" i="15" s="1"/>
  <c r="K49" i="23" s="1"/>
  <c r="K23" i="14"/>
  <c r="K23" i="15" s="1"/>
  <c r="K23" i="23" s="1"/>
  <c r="K22" i="14"/>
  <c r="K22" i="15" s="1"/>
  <c r="K22" i="23" s="1"/>
  <c r="K20" i="14"/>
  <c r="K20" i="15" s="1"/>
  <c r="K20" i="23" s="1"/>
  <c r="K19" i="14"/>
  <c r="K19" i="15" s="1"/>
  <c r="K19" i="23" s="1"/>
  <c r="K14" i="14"/>
  <c r="K14" i="15" s="1"/>
  <c r="K14" i="23" s="1"/>
  <c r="K17" i="14"/>
  <c r="K17" i="15" s="1"/>
  <c r="K17" i="23" s="1"/>
  <c r="K16" i="14"/>
  <c r="K16" i="15" s="1"/>
  <c r="K16" i="23" s="1"/>
  <c r="K10" i="14"/>
  <c r="K10" i="15" s="1"/>
  <c r="K10" i="23" s="1"/>
  <c r="K11" i="14"/>
  <c r="K11" i="15" s="1"/>
  <c r="K11" i="23" s="1"/>
  <c r="K12" i="14"/>
  <c r="K12" i="15" s="1"/>
  <c r="K12" i="23" s="1"/>
  <c r="K9" i="14"/>
  <c r="K9" i="15" s="1"/>
  <c r="K9" i="23" s="1"/>
  <c r="C28" i="16"/>
  <c r="C48" i="16" s="1"/>
  <c r="M9" i="16"/>
  <c r="M16" i="16" s="1"/>
  <c r="T11" i="31" l="1"/>
  <c r="I49" i="25"/>
  <c r="C61" i="16"/>
  <c r="C62" i="16" s="1"/>
  <c r="C41" i="16"/>
  <c r="C42" i="16" s="1"/>
  <c r="Q49" i="30"/>
  <c r="Q49" i="26"/>
  <c r="K49" i="30"/>
  <c r="K49" i="26"/>
  <c r="M49" i="25"/>
  <c r="S49" i="25" s="1"/>
  <c r="I49" i="26" s="1"/>
  <c r="M49" i="29"/>
  <c r="D61" i="16"/>
  <c r="D62" i="16" s="1"/>
  <c r="K21" i="29"/>
  <c r="J49" i="25"/>
  <c r="J49" i="29"/>
  <c r="E48" i="16"/>
  <c r="F48" i="16"/>
  <c r="T41" i="31"/>
  <c r="T31" i="31"/>
  <c r="T42" i="31"/>
  <c r="T44" i="31"/>
  <c r="T12" i="31"/>
  <c r="L46" i="31"/>
  <c r="N46" i="31" s="1"/>
  <c r="P46" i="31"/>
  <c r="R46" i="31" s="1"/>
  <c r="T20" i="31"/>
  <c r="T22" i="31"/>
  <c r="P28" i="31"/>
  <c r="R28" i="31" s="1"/>
  <c r="L28" i="31"/>
  <c r="N28" i="31" s="1"/>
  <c r="L16" i="31"/>
  <c r="N16" i="31" s="1"/>
  <c r="P16" i="31"/>
  <c r="P17" i="31"/>
  <c r="R17" i="31" s="1"/>
  <c r="L17" i="31"/>
  <c r="N17" i="31" s="1"/>
  <c r="S22" i="31"/>
  <c r="P48" i="31"/>
  <c r="R48" i="31" s="1"/>
  <c r="L48" i="31"/>
  <c r="N48" i="31" s="1"/>
  <c r="T10" i="31"/>
  <c r="R22" i="31"/>
  <c r="T52" i="31"/>
  <c r="P33" i="31"/>
  <c r="R33" i="31" s="1"/>
  <c r="L33" i="31"/>
  <c r="N33" i="31" s="1"/>
  <c r="T45" i="31"/>
  <c r="P35" i="31"/>
  <c r="R35" i="31" s="1"/>
  <c r="L35" i="31"/>
  <c r="N35" i="31" s="1"/>
  <c r="T8" i="30"/>
  <c r="J8" i="31" s="1"/>
  <c r="J9" i="31"/>
  <c r="S9" i="31"/>
  <c r="M8" i="31"/>
  <c r="L24" i="31"/>
  <c r="N24" i="31" s="1"/>
  <c r="P24" i="31"/>
  <c r="R24" i="31" s="1"/>
  <c r="T25" i="31"/>
  <c r="T15" i="30"/>
  <c r="J15" i="31" s="1"/>
  <c r="L27" i="30"/>
  <c r="N27" i="30" s="1"/>
  <c r="N15" i="30"/>
  <c r="R51" i="30"/>
  <c r="R50" i="30" s="1"/>
  <c r="P50" i="30"/>
  <c r="S19" i="30"/>
  <c r="M18" i="30"/>
  <c r="S14" i="30"/>
  <c r="I14" i="31" s="1"/>
  <c r="M13" i="30"/>
  <c r="M50" i="30"/>
  <c r="S51" i="30"/>
  <c r="P27" i="30"/>
  <c r="N19" i="30"/>
  <c r="L18" i="30"/>
  <c r="S27" i="30"/>
  <c r="I27" i="31" s="1"/>
  <c r="N14" i="30"/>
  <c r="N51" i="30"/>
  <c r="T27" i="30"/>
  <c r="P14" i="30"/>
  <c r="R19" i="30"/>
  <c r="R18" i="30" s="1"/>
  <c r="P18" i="30"/>
  <c r="F28" i="16"/>
  <c r="E28" i="16"/>
  <c r="N36" i="25"/>
  <c r="T36" i="25" s="1"/>
  <c r="K8" i="25"/>
  <c r="P45" i="25"/>
  <c r="R45" i="25" s="1"/>
  <c r="M45" i="25"/>
  <c r="S45" i="25" s="1"/>
  <c r="L45" i="25"/>
  <c r="N45" i="25" s="1"/>
  <c r="T45" i="25" s="1"/>
  <c r="T14" i="24"/>
  <c r="L8" i="24"/>
  <c r="T20" i="24"/>
  <c r="J20" i="25" s="1"/>
  <c r="N28" i="25"/>
  <c r="P52" i="25"/>
  <c r="R52" i="25" s="1"/>
  <c r="L52" i="25"/>
  <c r="N52" i="25" s="1"/>
  <c r="T52" i="25" s="1"/>
  <c r="M52" i="25"/>
  <c r="S52" i="25" s="1"/>
  <c r="L44" i="25"/>
  <c r="P44" i="25"/>
  <c r="R44" i="25" s="1"/>
  <c r="M44" i="25"/>
  <c r="S44" i="25" s="1"/>
  <c r="P41" i="25"/>
  <c r="R41" i="25" s="1"/>
  <c r="P22" i="25"/>
  <c r="R22" i="25" s="1"/>
  <c r="L48" i="25"/>
  <c r="M48" i="25"/>
  <c r="S48" i="25" s="1"/>
  <c r="P48" i="25"/>
  <c r="R48" i="25" s="1"/>
  <c r="L13" i="24"/>
  <c r="S8" i="24"/>
  <c r="I8" i="25" s="1"/>
  <c r="I10" i="25"/>
  <c r="L24" i="25"/>
  <c r="N24" i="25" s="1"/>
  <c r="M24" i="25"/>
  <c r="S24" i="25" s="1"/>
  <c r="N12" i="25"/>
  <c r="L46" i="25"/>
  <c r="N46" i="25" s="1"/>
  <c r="P46" i="25"/>
  <c r="R46" i="25" s="1"/>
  <c r="M46" i="25"/>
  <c r="S46" i="25" s="1"/>
  <c r="P35" i="25"/>
  <c r="R35" i="25" s="1"/>
  <c r="N35" i="25"/>
  <c r="T35" i="25" s="1"/>
  <c r="L32" i="25"/>
  <c r="N32" i="25" s="1"/>
  <c r="P32" i="25"/>
  <c r="R32" i="25" s="1"/>
  <c r="M32" i="25"/>
  <c r="S32" i="25" s="1"/>
  <c r="L36" i="25"/>
  <c r="P36" i="25"/>
  <c r="R36" i="25" s="1"/>
  <c r="M36" i="25"/>
  <c r="S36" i="25" s="1"/>
  <c r="L35" i="25"/>
  <c r="M8" i="24"/>
  <c r="P29" i="25"/>
  <c r="R29" i="25" s="1"/>
  <c r="M29" i="25"/>
  <c r="S29" i="25" s="1"/>
  <c r="L29" i="25"/>
  <c r="N29" i="25" s="1"/>
  <c r="T29" i="25" s="1"/>
  <c r="P30" i="25"/>
  <c r="R30" i="25" s="1"/>
  <c r="L30" i="25"/>
  <c r="N30" i="25" s="1"/>
  <c r="T30" i="25" s="1"/>
  <c r="M30" i="25"/>
  <c r="S30" i="25" s="1"/>
  <c r="M27" i="25"/>
  <c r="P17" i="25"/>
  <c r="R17" i="25" s="1"/>
  <c r="N44" i="25"/>
  <c r="T44" i="25" s="1"/>
  <c r="M40" i="25"/>
  <c r="S40" i="25" s="1"/>
  <c r="N31" i="25"/>
  <c r="T31" i="25" s="1"/>
  <c r="N42" i="25"/>
  <c r="T42" i="25" s="1"/>
  <c r="M33" i="25"/>
  <c r="S33" i="25" s="1"/>
  <c r="L33" i="25"/>
  <c r="N33" i="25" s="1"/>
  <c r="T33" i="25" s="1"/>
  <c r="P33" i="25"/>
  <c r="R33" i="25" s="1"/>
  <c r="M25" i="25"/>
  <c r="S25" i="25" s="1"/>
  <c r="P25" i="25"/>
  <c r="R25" i="25" s="1"/>
  <c r="L25" i="25"/>
  <c r="N25" i="25" s="1"/>
  <c r="T25" i="25" s="1"/>
  <c r="K21" i="25"/>
  <c r="L19" i="25"/>
  <c r="P19" i="25"/>
  <c r="M19" i="25"/>
  <c r="M37" i="25"/>
  <c r="S37" i="25" s="1"/>
  <c r="L37" i="25"/>
  <c r="N37" i="25" s="1"/>
  <c r="T37" i="25" s="1"/>
  <c r="P37" i="25"/>
  <c r="R37" i="25" s="1"/>
  <c r="P42" i="25"/>
  <c r="R42" i="25" s="1"/>
  <c r="P11" i="25"/>
  <c r="R11" i="25" s="1"/>
  <c r="L11" i="25"/>
  <c r="N11" i="25" s="1"/>
  <c r="T11" i="25" s="1"/>
  <c r="M11" i="25"/>
  <c r="S11" i="25" s="1"/>
  <c r="N41" i="25"/>
  <c r="T41" i="25" s="1"/>
  <c r="L31" i="25"/>
  <c r="P31" i="25"/>
  <c r="R31" i="25" s="1"/>
  <c r="M31" i="25"/>
  <c r="S31" i="25" s="1"/>
  <c r="L22" i="25"/>
  <c r="N22" i="25" s="1"/>
  <c r="T22" i="25" s="1"/>
  <c r="M22" i="25"/>
  <c r="T23" i="24"/>
  <c r="J23" i="25" s="1"/>
  <c r="T26" i="25"/>
  <c r="M9" i="25"/>
  <c r="L38" i="25"/>
  <c r="N38" i="25" s="1"/>
  <c r="T38" i="25" s="1"/>
  <c r="M38" i="25"/>
  <c r="S38" i="25" s="1"/>
  <c r="P38" i="25"/>
  <c r="R38" i="25" s="1"/>
  <c r="K50" i="25"/>
  <c r="P12" i="25"/>
  <c r="R12" i="25" s="1"/>
  <c r="R34" i="25"/>
  <c r="L34" i="25"/>
  <c r="T28" i="25"/>
  <c r="S14" i="24"/>
  <c r="T40" i="24"/>
  <c r="J40" i="25" s="1"/>
  <c r="T39" i="24"/>
  <c r="J39" i="25" s="1"/>
  <c r="S21" i="24"/>
  <c r="T18" i="24"/>
  <c r="J18" i="25" s="1"/>
  <c r="N9" i="24"/>
  <c r="T9" i="24" s="1"/>
  <c r="P21" i="24"/>
  <c r="L15" i="24"/>
  <c r="T48" i="24"/>
  <c r="J48" i="25" s="1"/>
  <c r="T24" i="24"/>
  <c r="J24" i="25" s="1"/>
  <c r="P24" i="25" s="1"/>
  <c r="R24" i="25" s="1"/>
  <c r="P15" i="24"/>
  <c r="T27" i="24"/>
  <c r="J27" i="25" s="1"/>
  <c r="M21" i="24"/>
  <c r="L21" i="24"/>
  <c r="R21" i="24"/>
  <c r="R15" i="24"/>
  <c r="S16" i="24"/>
  <c r="M15" i="24"/>
  <c r="T16" i="24"/>
  <c r="N21" i="24"/>
  <c r="T32" i="24"/>
  <c r="J32" i="25" s="1"/>
  <c r="S51" i="24"/>
  <c r="I51" i="25" s="1"/>
  <c r="M50" i="24"/>
  <c r="R51" i="24"/>
  <c r="R50" i="24" s="1"/>
  <c r="P50" i="24"/>
  <c r="T51" i="24"/>
  <c r="R8" i="24"/>
  <c r="O50" i="23"/>
  <c r="O21" i="23"/>
  <c r="O18" i="23"/>
  <c r="O15" i="23"/>
  <c r="O13" i="23"/>
  <c r="O8" i="23"/>
  <c r="K15" i="23"/>
  <c r="M21" i="16"/>
  <c r="M20" i="16"/>
  <c r="O50" i="15"/>
  <c r="O21" i="15"/>
  <c r="O18" i="15"/>
  <c r="O15" i="15"/>
  <c r="O13" i="15"/>
  <c r="O8" i="15"/>
  <c r="Q52" i="14"/>
  <c r="Q52" i="15" s="1"/>
  <c r="Q51" i="14"/>
  <c r="Q24" i="14"/>
  <c r="Q25" i="14"/>
  <c r="Q26" i="14"/>
  <c r="Q26" i="15" s="1"/>
  <c r="Q27" i="14"/>
  <c r="Q28" i="14"/>
  <c r="Q28" i="15" s="1"/>
  <c r="Q28" i="23" s="1"/>
  <c r="Q29" i="14"/>
  <c r="Q30" i="14"/>
  <c r="Q31" i="14"/>
  <c r="Q32" i="14"/>
  <c r="Q33" i="14"/>
  <c r="Q34" i="14"/>
  <c r="Q35" i="14"/>
  <c r="Q35" i="15" s="1"/>
  <c r="Q36" i="14"/>
  <c r="Q37" i="14"/>
  <c r="Q38" i="14"/>
  <c r="Q39" i="14"/>
  <c r="Q40" i="14"/>
  <c r="Q41" i="14"/>
  <c r="Q42" i="14"/>
  <c r="Q42" i="15" s="1"/>
  <c r="Q43" i="14"/>
  <c r="Q44" i="14"/>
  <c r="Q44" i="15" s="1"/>
  <c r="Q45" i="14"/>
  <c r="Q46" i="14"/>
  <c r="Q47" i="14"/>
  <c r="Q48" i="14"/>
  <c r="Q49" i="14"/>
  <c r="Q23" i="14"/>
  <c r="Q22" i="14"/>
  <c r="Q22" i="15" s="1"/>
  <c r="Q20" i="14"/>
  <c r="Q20" i="15" s="1"/>
  <c r="Q19" i="14"/>
  <c r="Q17" i="14"/>
  <c r="Q17" i="15" s="1"/>
  <c r="Q17" i="23" s="1"/>
  <c r="Q16" i="14"/>
  <c r="Q14" i="14"/>
  <c r="Q14" i="15" s="1"/>
  <c r="Q14" i="23" s="1"/>
  <c r="Q10" i="14"/>
  <c r="Q11" i="14"/>
  <c r="Q12" i="14"/>
  <c r="Q9" i="14"/>
  <c r="Q9" i="15" s="1"/>
  <c r="Q9" i="23" s="1"/>
  <c r="T17" i="31" l="1"/>
  <c r="P49" i="25"/>
  <c r="R49" i="25" s="1"/>
  <c r="P49" i="29"/>
  <c r="R49" i="29" s="1"/>
  <c r="L49" i="25"/>
  <c r="L49" i="29"/>
  <c r="P61" i="16"/>
  <c r="P62" i="16" s="1"/>
  <c r="P41" i="16"/>
  <c r="P42" i="16" s="1"/>
  <c r="Q49" i="31"/>
  <c r="Q49" i="27"/>
  <c r="N49" i="25"/>
  <c r="K21" i="30"/>
  <c r="M49" i="26"/>
  <c r="E41" i="16"/>
  <c r="E42" i="16" s="1"/>
  <c r="I21" i="25"/>
  <c r="I21" i="29"/>
  <c r="I65" i="29" s="1"/>
  <c r="K49" i="31"/>
  <c r="K49" i="27"/>
  <c r="K21" i="26"/>
  <c r="K65" i="29"/>
  <c r="S49" i="29"/>
  <c r="M21" i="29"/>
  <c r="I48" i="16"/>
  <c r="T46" i="31"/>
  <c r="T35" i="31"/>
  <c r="T48" i="31"/>
  <c r="S50" i="30"/>
  <c r="I50" i="31" s="1"/>
  <c r="I51" i="31"/>
  <c r="J27" i="31"/>
  <c r="S18" i="30"/>
  <c r="I18" i="31" s="1"/>
  <c r="I19" i="31"/>
  <c r="R16" i="31"/>
  <c r="R15" i="31" s="1"/>
  <c r="P15" i="31"/>
  <c r="T24" i="31"/>
  <c r="T16" i="31"/>
  <c r="N15" i="31"/>
  <c r="T33" i="31"/>
  <c r="T28" i="31"/>
  <c r="P27" i="31"/>
  <c r="L27" i="31"/>
  <c r="M27" i="31"/>
  <c r="M14" i="31"/>
  <c r="S8" i="31"/>
  <c r="L15" i="31"/>
  <c r="P9" i="31"/>
  <c r="L9" i="31"/>
  <c r="N9" i="31" s="1"/>
  <c r="S13" i="30"/>
  <c r="I13" i="31" s="1"/>
  <c r="R14" i="30"/>
  <c r="P13" i="30"/>
  <c r="T51" i="30"/>
  <c r="N50" i="30"/>
  <c r="T19" i="30"/>
  <c r="N18" i="30"/>
  <c r="R27" i="30"/>
  <c r="T14" i="30"/>
  <c r="J14" i="31" s="1"/>
  <c r="L14" i="31" s="1"/>
  <c r="L13" i="31" s="1"/>
  <c r="N13" i="30"/>
  <c r="I28" i="16"/>
  <c r="H28" i="16"/>
  <c r="T8" i="24"/>
  <c r="J8" i="25" s="1"/>
  <c r="J9" i="25"/>
  <c r="T12" i="25"/>
  <c r="T49" i="25"/>
  <c r="J49" i="26" s="1"/>
  <c r="S22" i="25"/>
  <c r="M21" i="25"/>
  <c r="P27" i="25"/>
  <c r="T32" i="25"/>
  <c r="T24" i="25"/>
  <c r="M51" i="25"/>
  <c r="P40" i="25"/>
  <c r="R40" i="25" s="1"/>
  <c r="T17" i="25"/>
  <c r="N48" i="25"/>
  <c r="T48" i="25" s="1"/>
  <c r="S13" i="24"/>
  <c r="I13" i="25" s="1"/>
  <c r="I14" i="25"/>
  <c r="L27" i="25"/>
  <c r="P10" i="25"/>
  <c r="R10" i="25" s="1"/>
  <c r="L10" i="25"/>
  <c r="N10" i="25" s="1"/>
  <c r="T10" i="25" s="1"/>
  <c r="M10" i="25"/>
  <c r="S10" i="25" s="1"/>
  <c r="D41" i="16"/>
  <c r="D42" i="16" s="1"/>
  <c r="R19" i="25"/>
  <c r="S15" i="24"/>
  <c r="I15" i="25" s="1"/>
  <c r="I16" i="25"/>
  <c r="L23" i="25"/>
  <c r="N23" i="25" s="1"/>
  <c r="P23" i="25"/>
  <c r="N19" i="25"/>
  <c r="L18" i="25"/>
  <c r="S27" i="25"/>
  <c r="L40" i="25"/>
  <c r="N40" i="25" s="1"/>
  <c r="T40" i="25" s="1"/>
  <c r="P20" i="25"/>
  <c r="R20" i="25" s="1"/>
  <c r="L20" i="25"/>
  <c r="N20" i="25" s="1"/>
  <c r="T50" i="24"/>
  <c r="J50" i="25" s="1"/>
  <c r="J51" i="25"/>
  <c r="P51" i="25" s="1"/>
  <c r="L39" i="25"/>
  <c r="N39" i="25" s="1"/>
  <c r="P39" i="25"/>
  <c r="R39" i="25" s="1"/>
  <c r="S9" i="25"/>
  <c r="T15" i="24"/>
  <c r="J15" i="25" s="1"/>
  <c r="J16" i="25"/>
  <c r="M18" i="25"/>
  <c r="S19" i="25"/>
  <c r="S18" i="25" s="1"/>
  <c r="T46" i="25"/>
  <c r="T13" i="24"/>
  <c r="J13" i="25" s="1"/>
  <c r="J14" i="25"/>
  <c r="L21" i="25"/>
  <c r="N34" i="25"/>
  <c r="N8" i="24"/>
  <c r="T21" i="24"/>
  <c r="J21" i="29" s="1"/>
  <c r="J65" i="29" s="1"/>
  <c r="S50" i="24"/>
  <c r="M22" i="16"/>
  <c r="Q22" i="23"/>
  <c r="Q42" i="23"/>
  <c r="Q26" i="23"/>
  <c r="Q35" i="23"/>
  <c r="Q20" i="23"/>
  <c r="Q44" i="23"/>
  <c r="Q11" i="15"/>
  <c r="Q49" i="15"/>
  <c r="Q41" i="15"/>
  <c r="Q33" i="15"/>
  <c r="Q25" i="15"/>
  <c r="Q37" i="15"/>
  <c r="Q43" i="15"/>
  <c r="Q27" i="15"/>
  <c r="Q10" i="15"/>
  <c r="Q48" i="15"/>
  <c r="Q40" i="15"/>
  <c r="Q32" i="15"/>
  <c r="Q24" i="15"/>
  <c r="Q45" i="15"/>
  <c r="Q19" i="15"/>
  <c r="Q52" i="23"/>
  <c r="Q47" i="15"/>
  <c r="Q39" i="15"/>
  <c r="Q31" i="15"/>
  <c r="Q23" i="15"/>
  <c r="Q29" i="15"/>
  <c r="Q36" i="15"/>
  <c r="Q12" i="15"/>
  <c r="Q34" i="15"/>
  <c r="Q16" i="15"/>
  <c r="Q46" i="15"/>
  <c r="Q38" i="15"/>
  <c r="Q30" i="15"/>
  <c r="Q51" i="15"/>
  <c r="K50" i="23"/>
  <c r="K8" i="23"/>
  <c r="K13" i="23"/>
  <c r="F60" i="16" l="1"/>
  <c r="T15" i="31"/>
  <c r="Q61" i="16"/>
  <c r="Q62" i="16" s="1"/>
  <c r="L49" i="26"/>
  <c r="N49" i="26" s="1"/>
  <c r="N49" i="29"/>
  <c r="N21" i="29" s="1"/>
  <c r="L21" i="29"/>
  <c r="L65" i="29" s="1"/>
  <c r="P21" i="29"/>
  <c r="P49" i="26"/>
  <c r="R49" i="26" s="1"/>
  <c r="I49" i="30"/>
  <c r="S21" i="29"/>
  <c r="R21" i="29"/>
  <c r="K21" i="27"/>
  <c r="S49" i="26"/>
  <c r="M21" i="26"/>
  <c r="M65" i="29"/>
  <c r="K21" i="31"/>
  <c r="T49" i="29"/>
  <c r="L48" i="16"/>
  <c r="P14" i="31"/>
  <c r="R9" i="31"/>
  <c r="P8" i="31"/>
  <c r="T18" i="30"/>
  <c r="J18" i="31" s="1"/>
  <c r="J19" i="31"/>
  <c r="L19" i="31" s="1"/>
  <c r="L18" i="31" s="1"/>
  <c r="N27" i="31"/>
  <c r="R27" i="31"/>
  <c r="M51" i="31"/>
  <c r="N8" i="31"/>
  <c r="T9" i="31"/>
  <c r="S27" i="31"/>
  <c r="T50" i="30"/>
  <c r="J50" i="31" s="1"/>
  <c r="J51" i="31"/>
  <c r="M19" i="31"/>
  <c r="N14" i="31"/>
  <c r="L8" i="31"/>
  <c r="M13" i="31"/>
  <c r="S14" i="31"/>
  <c r="R13" i="30"/>
  <c r="T13" i="30"/>
  <c r="K28" i="16"/>
  <c r="L28" i="16"/>
  <c r="N28" i="16" s="1"/>
  <c r="P50" i="25"/>
  <c r="R51" i="25"/>
  <c r="R50" i="25" s="1"/>
  <c r="T19" i="25"/>
  <c r="N18" i="25"/>
  <c r="R23" i="25"/>
  <c r="P21" i="25"/>
  <c r="S21" i="25"/>
  <c r="I21" i="26" s="1"/>
  <c r="M8" i="25"/>
  <c r="T20" i="25"/>
  <c r="T23" i="25"/>
  <c r="S51" i="25"/>
  <c r="S50" i="25" s="1"/>
  <c r="M50" i="25"/>
  <c r="R27" i="25"/>
  <c r="P9" i="25"/>
  <c r="L9" i="25"/>
  <c r="S8" i="25"/>
  <c r="R18" i="25"/>
  <c r="P16" i="25"/>
  <c r="L16" i="25"/>
  <c r="L15" i="25" s="1"/>
  <c r="M16" i="25"/>
  <c r="N27" i="25"/>
  <c r="L51" i="25"/>
  <c r="P14" i="25"/>
  <c r="L14" i="25"/>
  <c r="L13" i="25" s="1"/>
  <c r="M14" i="25"/>
  <c r="I50" i="25"/>
  <c r="T39" i="25"/>
  <c r="P18" i="25"/>
  <c r="J21" i="25"/>
  <c r="T34" i="25"/>
  <c r="N21" i="25"/>
  <c r="Q51" i="23"/>
  <c r="Q29" i="23"/>
  <c r="Q45" i="23"/>
  <c r="Q37" i="23"/>
  <c r="Q30" i="23"/>
  <c r="Q32" i="23"/>
  <c r="Q23" i="23"/>
  <c r="Q16" i="23"/>
  <c r="Q39" i="23"/>
  <c r="Q40" i="23"/>
  <c r="Q27" i="23"/>
  <c r="Q41" i="23"/>
  <c r="Q34" i="23"/>
  <c r="Q24" i="23"/>
  <c r="Q12" i="23"/>
  <c r="Q33" i="23"/>
  <c r="Q47" i="23"/>
  <c r="Q48" i="23"/>
  <c r="Q43" i="23"/>
  <c r="Q49" i="23"/>
  <c r="Q38" i="23"/>
  <c r="Q25" i="23"/>
  <c r="Q46" i="23"/>
  <c r="Q31" i="23"/>
  <c r="Q36" i="23"/>
  <c r="Q19" i="23"/>
  <c r="Q10" i="23"/>
  <c r="Q11" i="23"/>
  <c r="K21" i="23"/>
  <c r="K18" i="23"/>
  <c r="S60" i="16" l="1"/>
  <c r="P13" i="31"/>
  <c r="R14" i="31"/>
  <c r="R13" i="31" s="1"/>
  <c r="P65" i="29"/>
  <c r="L21" i="26"/>
  <c r="R41" i="16"/>
  <c r="R42" i="16" s="1"/>
  <c r="P21" i="26"/>
  <c r="T49" i="26"/>
  <c r="N21" i="26"/>
  <c r="I49" i="27"/>
  <c r="S21" i="26"/>
  <c r="N65" i="29"/>
  <c r="R21" i="26"/>
  <c r="J49" i="30"/>
  <c r="L49" i="30" s="1"/>
  <c r="T21" i="29"/>
  <c r="S65" i="29"/>
  <c r="I21" i="30"/>
  <c r="R63" i="29"/>
  <c r="R70" i="29" s="1"/>
  <c r="R65" i="29"/>
  <c r="R64" i="29"/>
  <c r="M49" i="30"/>
  <c r="E61" i="16"/>
  <c r="E62" i="16" s="1"/>
  <c r="T8" i="31"/>
  <c r="R8" i="31"/>
  <c r="S19" i="31"/>
  <c r="S18" i="31" s="1"/>
  <c r="M18" i="31"/>
  <c r="T27" i="31"/>
  <c r="J13" i="31"/>
  <c r="L51" i="31"/>
  <c r="N51" i="31" s="1"/>
  <c r="N13" i="31"/>
  <c r="T14" i="31"/>
  <c r="T13" i="31" s="1"/>
  <c r="S13" i="31"/>
  <c r="S51" i="31"/>
  <c r="S50" i="31" s="1"/>
  <c r="M50" i="31"/>
  <c r="P19" i="31"/>
  <c r="N19" i="31"/>
  <c r="P51" i="31"/>
  <c r="M13" i="25"/>
  <c r="S14" i="25"/>
  <c r="R16" i="25"/>
  <c r="R15" i="25" s="1"/>
  <c r="P15" i="25"/>
  <c r="N16" i="25"/>
  <c r="R21" i="25"/>
  <c r="P13" i="25"/>
  <c r="R13" i="25"/>
  <c r="N51" i="25"/>
  <c r="L50" i="25"/>
  <c r="N14" i="25"/>
  <c r="T27" i="25"/>
  <c r="N9" i="25"/>
  <c r="L8" i="25"/>
  <c r="T18" i="25"/>
  <c r="S16" i="25"/>
  <c r="S15" i="25" s="1"/>
  <c r="M15" i="25"/>
  <c r="R9" i="25"/>
  <c r="P8" i="25"/>
  <c r="Q41" i="16"/>
  <c r="Q42" i="16" s="1"/>
  <c r="T21" i="25"/>
  <c r="J21" i="26" s="1"/>
  <c r="R64" i="25" l="1"/>
  <c r="R67" i="25"/>
  <c r="R65" i="25"/>
  <c r="R63" i="25"/>
  <c r="R70" i="25" s="1"/>
  <c r="G60" i="16"/>
  <c r="J47" i="16"/>
  <c r="G47" i="16"/>
  <c r="M47" i="16"/>
  <c r="S49" i="30"/>
  <c r="M21" i="30"/>
  <c r="T65" i="29"/>
  <c r="J21" i="30"/>
  <c r="N49" i="30"/>
  <c r="L21" i="30"/>
  <c r="P49" i="30"/>
  <c r="J49" i="27"/>
  <c r="L49" i="27" s="1"/>
  <c r="T21" i="26"/>
  <c r="M49" i="27"/>
  <c r="F41" i="16"/>
  <c r="F42" i="16" s="1"/>
  <c r="I21" i="27"/>
  <c r="T51" i="31"/>
  <c r="T50" i="31" s="1"/>
  <c r="N50" i="31"/>
  <c r="P18" i="31"/>
  <c r="R19" i="31"/>
  <c r="P50" i="31"/>
  <c r="R51" i="31"/>
  <c r="R50" i="31" s="1"/>
  <c r="N18" i="31"/>
  <c r="T19" i="31"/>
  <c r="T18" i="31" s="1"/>
  <c r="L50" i="31"/>
  <c r="T9" i="25"/>
  <c r="N8" i="25"/>
  <c r="S13" i="25"/>
  <c r="R8" i="25"/>
  <c r="T51" i="25"/>
  <c r="T50" i="25" s="1"/>
  <c r="N50" i="25"/>
  <c r="N13" i="25"/>
  <c r="T14" i="25"/>
  <c r="T13" i="25" s="1"/>
  <c r="T16" i="25"/>
  <c r="T15" i="25" s="1"/>
  <c r="N15" i="25"/>
  <c r="I51" i="13"/>
  <c r="P44" i="13"/>
  <c r="R44" i="13" s="1"/>
  <c r="M44" i="13"/>
  <c r="S44" i="13" s="1"/>
  <c r="L44" i="13"/>
  <c r="N44" i="13" s="1"/>
  <c r="P43" i="13"/>
  <c r="R43" i="13" s="1"/>
  <c r="M43" i="13"/>
  <c r="S43" i="13" s="1"/>
  <c r="L43" i="13"/>
  <c r="N43" i="13" s="1"/>
  <c r="P36" i="13"/>
  <c r="R36" i="13" s="1"/>
  <c r="M36" i="13"/>
  <c r="S36" i="13" s="1"/>
  <c r="I36" i="14" s="1"/>
  <c r="L36" i="13"/>
  <c r="N36" i="13" s="1"/>
  <c r="L27" i="13"/>
  <c r="N27" i="13" s="1"/>
  <c r="P52" i="13"/>
  <c r="R52" i="13" s="1"/>
  <c r="M52" i="13"/>
  <c r="S52" i="13" s="1"/>
  <c r="L52" i="13"/>
  <c r="N52" i="13" s="1"/>
  <c r="P51" i="13"/>
  <c r="R51" i="13" s="1"/>
  <c r="M51" i="13"/>
  <c r="S51" i="13" s="1"/>
  <c r="L49" i="13"/>
  <c r="N49" i="13" s="1"/>
  <c r="M49" i="13"/>
  <c r="S49" i="13" s="1"/>
  <c r="P49" i="13"/>
  <c r="R49" i="13" s="1"/>
  <c r="L37" i="13"/>
  <c r="N37" i="13" s="1"/>
  <c r="M37" i="13"/>
  <c r="S37" i="13" s="1"/>
  <c r="I37" i="14" s="1"/>
  <c r="P37" i="13"/>
  <c r="R37" i="13" s="1"/>
  <c r="L38" i="13"/>
  <c r="N38" i="13" s="1"/>
  <c r="M38" i="13"/>
  <c r="S38" i="13" s="1"/>
  <c r="P38" i="13"/>
  <c r="R38" i="13" s="1"/>
  <c r="L39" i="13"/>
  <c r="N39" i="13" s="1"/>
  <c r="M39" i="13"/>
  <c r="S39" i="13" s="1"/>
  <c r="P39" i="13"/>
  <c r="R39" i="13" s="1"/>
  <c r="L40" i="13"/>
  <c r="N40" i="13" s="1"/>
  <c r="M40" i="13"/>
  <c r="S40" i="13" s="1"/>
  <c r="P40" i="13"/>
  <c r="R40" i="13" s="1"/>
  <c r="L41" i="13"/>
  <c r="N41" i="13" s="1"/>
  <c r="M41" i="13"/>
  <c r="S41" i="13" s="1"/>
  <c r="P41" i="13"/>
  <c r="R41" i="13" s="1"/>
  <c r="L42" i="13"/>
  <c r="N42" i="13" s="1"/>
  <c r="M42" i="13"/>
  <c r="S42" i="13" s="1"/>
  <c r="P42" i="13"/>
  <c r="R42" i="13" s="1"/>
  <c r="L45" i="13"/>
  <c r="N45" i="13" s="1"/>
  <c r="M45" i="13"/>
  <c r="S45" i="13" s="1"/>
  <c r="P45" i="13"/>
  <c r="R45" i="13" s="1"/>
  <c r="L46" i="13"/>
  <c r="N46" i="13" s="1"/>
  <c r="M46" i="13"/>
  <c r="S46" i="13" s="1"/>
  <c r="P46" i="13"/>
  <c r="R46" i="13" s="1"/>
  <c r="L47" i="13"/>
  <c r="N47" i="13" s="1"/>
  <c r="M47" i="13"/>
  <c r="S47" i="13" s="1"/>
  <c r="P47" i="13"/>
  <c r="R47" i="13" s="1"/>
  <c r="L48" i="13"/>
  <c r="N48" i="13" s="1"/>
  <c r="M48" i="13"/>
  <c r="S48" i="13" s="1"/>
  <c r="P48" i="13"/>
  <c r="R48" i="13" s="1"/>
  <c r="L24" i="13"/>
  <c r="N24" i="13" s="1"/>
  <c r="M24" i="13"/>
  <c r="S24" i="13" s="1"/>
  <c r="P24" i="13"/>
  <c r="R24" i="13" s="1"/>
  <c r="L25" i="13"/>
  <c r="N25" i="13" s="1"/>
  <c r="M25" i="13"/>
  <c r="S25" i="13" s="1"/>
  <c r="P25" i="13"/>
  <c r="R25" i="13" s="1"/>
  <c r="L26" i="13"/>
  <c r="N26" i="13" s="1"/>
  <c r="M26" i="13"/>
  <c r="S26" i="13" s="1"/>
  <c r="P26" i="13"/>
  <c r="R26" i="13" s="1"/>
  <c r="M27" i="13"/>
  <c r="S27" i="13" s="1"/>
  <c r="P27" i="13"/>
  <c r="R27" i="13" s="1"/>
  <c r="L28" i="13"/>
  <c r="N28" i="13" s="1"/>
  <c r="M28" i="13"/>
  <c r="S28" i="13" s="1"/>
  <c r="P28" i="13"/>
  <c r="R28" i="13" s="1"/>
  <c r="L29" i="13"/>
  <c r="N29" i="13" s="1"/>
  <c r="M29" i="13"/>
  <c r="S29" i="13" s="1"/>
  <c r="P29" i="13"/>
  <c r="R29" i="13" s="1"/>
  <c r="L30" i="13"/>
  <c r="N30" i="13" s="1"/>
  <c r="M30" i="13"/>
  <c r="S30" i="13" s="1"/>
  <c r="P30" i="13"/>
  <c r="R30" i="13" s="1"/>
  <c r="L31" i="13"/>
  <c r="N31" i="13" s="1"/>
  <c r="M31" i="13"/>
  <c r="S31" i="13" s="1"/>
  <c r="P31" i="13"/>
  <c r="R31" i="13" s="1"/>
  <c r="L32" i="13"/>
  <c r="N32" i="13" s="1"/>
  <c r="M32" i="13"/>
  <c r="S32" i="13" s="1"/>
  <c r="P32" i="13"/>
  <c r="R32" i="13" s="1"/>
  <c r="L33" i="13"/>
  <c r="N33" i="13" s="1"/>
  <c r="M33" i="13"/>
  <c r="S33" i="13" s="1"/>
  <c r="P33" i="13"/>
  <c r="R33" i="13" s="1"/>
  <c r="L34" i="13"/>
  <c r="N34" i="13" s="1"/>
  <c r="M34" i="13"/>
  <c r="S34" i="13" s="1"/>
  <c r="P34" i="13"/>
  <c r="R34" i="13" s="1"/>
  <c r="L35" i="13"/>
  <c r="N35" i="13" s="1"/>
  <c r="M35" i="13"/>
  <c r="S35" i="13" s="1"/>
  <c r="P35" i="13"/>
  <c r="R35" i="13" s="1"/>
  <c r="P23" i="13"/>
  <c r="R23" i="13" s="1"/>
  <c r="M23" i="13"/>
  <c r="S23" i="13" s="1"/>
  <c r="L23" i="13"/>
  <c r="N23" i="13" s="1"/>
  <c r="P22" i="13"/>
  <c r="R22" i="13" s="1"/>
  <c r="M22" i="13"/>
  <c r="S22" i="13" s="1"/>
  <c r="L22" i="13"/>
  <c r="N22" i="13" s="1"/>
  <c r="P20" i="13"/>
  <c r="R20" i="13" s="1"/>
  <c r="M20" i="13"/>
  <c r="S20" i="13" s="1"/>
  <c r="L20" i="13"/>
  <c r="N20" i="13" s="1"/>
  <c r="P19" i="13"/>
  <c r="R19" i="13" s="1"/>
  <c r="M19" i="13"/>
  <c r="S19" i="13" s="1"/>
  <c r="L19" i="13"/>
  <c r="N19" i="13" s="1"/>
  <c r="L17" i="13"/>
  <c r="N17" i="13" s="1"/>
  <c r="M17" i="13"/>
  <c r="S17" i="13" s="1"/>
  <c r="P17" i="13"/>
  <c r="R17" i="13" s="1"/>
  <c r="P16" i="13"/>
  <c r="R16" i="13" s="1"/>
  <c r="M16" i="13"/>
  <c r="S16" i="13" s="1"/>
  <c r="L16" i="13"/>
  <c r="N16" i="13" s="1"/>
  <c r="P14" i="13"/>
  <c r="M14" i="13"/>
  <c r="S14" i="13" s="1"/>
  <c r="L14" i="13"/>
  <c r="N14" i="13" s="1"/>
  <c r="L11" i="13"/>
  <c r="N11" i="13" s="1"/>
  <c r="M11" i="13"/>
  <c r="S11" i="13" s="1"/>
  <c r="P11" i="13"/>
  <c r="R11" i="13" s="1"/>
  <c r="L12" i="13"/>
  <c r="N12" i="13" s="1"/>
  <c r="M12" i="13"/>
  <c r="S12" i="13" s="1"/>
  <c r="P12" i="13"/>
  <c r="R12" i="13" s="1"/>
  <c r="P10" i="13"/>
  <c r="R10" i="13" s="1"/>
  <c r="M10" i="13"/>
  <c r="S10" i="13" s="1"/>
  <c r="L10" i="13"/>
  <c r="N10" i="13" s="1"/>
  <c r="P9" i="13"/>
  <c r="R9" i="13" s="1"/>
  <c r="L9" i="13"/>
  <c r="P49" i="27" l="1"/>
  <c r="R49" i="27" s="1"/>
  <c r="T49" i="30"/>
  <c r="N21" i="30"/>
  <c r="J21" i="27"/>
  <c r="N49" i="27"/>
  <c r="R49" i="30"/>
  <c r="P21" i="30"/>
  <c r="R61" i="16"/>
  <c r="R62" i="16" s="1"/>
  <c r="L21" i="27"/>
  <c r="S49" i="27"/>
  <c r="M21" i="27"/>
  <c r="I49" i="31"/>
  <c r="S21" i="30"/>
  <c r="R18" i="31"/>
  <c r="T8" i="25"/>
  <c r="T44" i="13"/>
  <c r="R14" i="13"/>
  <c r="R13" i="13" s="1"/>
  <c r="R8" i="13"/>
  <c r="R50" i="13"/>
  <c r="T43" i="13"/>
  <c r="T36" i="13"/>
  <c r="J36" i="14" s="1"/>
  <c r="M36" i="14"/>
  <c r="S36" i="14" s="1"/>
  <c r="I36" i="15" s="1"/>
  <c r="P36" i="14"/>
  <c r="R36" i="14" s="1"/>
  <c r="L36" i="14"/>
  <c r="R21" i="13"/>
  <c r="R18" i="13"/>
  <c r="M37" i="14"/>
  <c r="S37" i="14" s="1"/>
  <c r="I37" i="15" s="1"/>
  <c r="R15" i="13"/>
  <c r="T40" i="13"/>
  <c r="T27" i="13"/>
  <c r="T28" i="13"/>
  <c r="T41" i="13"/>
  <c r="T37" i="13"/>
  <c r="J37" i="14" s="1"/>
  <c r="P37" i="14" s="1"/>
  <c r="R37" i="14" s="1"/>
  <c r="T46" i="13"/>
  <c r="T31" i="13"/>
  <c r="T30" i="13"/>
  <c r="T16" i="13"/>
  <c r="L51" i="13"/>
  <c r="N51" i="13" s="1"/>
  <c r="T51" i="13" s="1"/>
  <c r="T22" i="13"/>
  <c r="T39" i="13"/>
  <c r="T12" i="13"/>
  <c r="T29" i="13"/>
  <c r="T33" i="13"/>
  <c r="T24" i="13"/>
  <c r="T45" i="13"/>
  <c r="T38" i="13"/>
  <c r="T52" i="13"/>
  <c r="T49" i="13"/>
  <c r="T48" i="13"/>
  <c r="T47" i="13"/>
  <c r="T42" i="13"/>
  <c r="T35" i="13"/>
  <c r="T34" i="13"/>
  <c r="T32" i="13"/>
  <c r="T26" i="13"/>
  <c r="T25" i="13"/>
  <c r="T23" i="13"/>
  <c r="T20" i="13"/>
  <c r="T19" i="13"/>
  <c r="T17" i="13"/>
  <c r="T14" i="13"/>
  <c r="T11" i="13"/>
  <c r="T10" i="13"/>
  <c r="S41" i="16" l="1"/>
  <c r="S42" i="16" s="1"/>
  <c r="P21" i="27"/>
  <c r="I21" i="31"/>
  <c r="R21" i="27"/>
  <c r="M49" i="31"/>
  <c r="T49" i="27"/>
  <c r="N21" i="27"/>
  <c r="R21" i="30"/>
  <c r="S21" i="27"/>
  <c r="G41" i="16"/>
  <c r="G42" i="16" s="1"/>
  <c r="J49" i="31"/>
  <c r="T21" i="30"/>
  <c r="M37" i="15"/>
  <c r="S37" i="15" s="1"/>
  <c r="I37" i="23" s="1"/>
  <c r="L36" i="15"/>
  <c r="M36" i="15"/>
  <c r="S36" i="15" s="1"/>
  <c r="I36" i="23" s="1"/>
  <c r="P36" i="15"/>
  <c r="R36" i="15" s="1"/>
  <c r="L37" i="14"/>
  <c r="N37" i="14" s="1"/>
  <c r="T37" i="14" s="1"/>
  <c r="J37" i="15" s="1"/>
  <c r="N36" i="14"/>
  <c r="T36" i="14" s="1"/>
  <c r="J36" i="15" s="1"/>
  <c r="F61" i="16" l="1"/>
  <c r="F62" i="16" s="1"/>
  <c r="L49" i="31"/>
  <c r="N49" i="31" s="1"/>
  <c r="S49" i="31"/>
  <c r="M21" i="31"/>
  <c r="T21" i="27"/>
  <c r="J21" i="31"/>
  <c r="P49" i="31"/>
  <c r="N36" i="15"/>
  <c r="T36" i="15"/>
  <c r="J36" i="23" s="1"/>
  <c r="P37" i="15"/>
  <c r="R37" i="15" s="1"/>
  <c r="L37" i="15"/>
  <c r="N37" i="15" s="1"/>
  <c r="M36" i="23"/>
  <c r="S36" i="23" s="1"/>
  <c r="P36" i="23"/>
  <c r="R36" i="23" s="1"/>
  <c r="L36" i="23"/>
  <c r="M37" i="23"/>
  <c r="S37" i="23" s="1"/>
  <c r="B75" i="16"/>
  <c r="B74" i="16"/>
  <c r="B73" i="16"/>
  <c r="A75" i="16"/>
  <c r="A74" i="16"/>
  <c r="A73" i="16"/>
  <c r="L21" i="31" l="1"/>
  <c r="T49" i="31"/>
  <c r="N21" i="31"/>
  <c r="R49" i="31"/>
  <c r="P21" i="31"/>
  <c r="S21" i="31"/>
  <c r="N36" i="23"/>
  <c r="T36" i="23" s="1"/>
  <c r="T37" i="15"/>
  <c r="J37" i="23" s="1"/>
  <c r="P37" i="23" s="1"/>
  <c r="R37" i="23" s="1"/>
  <c r="S61" i="16" l="1"/>
  <c r="S62" i="16" s="1"/>
  <c r="G61" i="16"/>
  <c r="G62" i="16" s="1"/>
  <c r="R21" i="31"/>
  <c r="T21" i="31"/>
  <c r="L37" i="23"/>
  <c r="N37" i="23" s="1"/>
  <c r="T37" i="23" s="1"/>
  <c r="C7" i="16"/>
  <c r="P18" i="16"/>
  <c r="B18" i="16"/>
  <c r="I18" i="16" s="1"/>
  <c r="O18" i="16" s="1"/>
  <c r="J9" i="16"/>
  <c r="J16" i="16" s="1"/>
  <c r="G9" i="16"/>
  <c r="G16" i="16" s="1"/>
  <c r="D9" i="16"/>
  <c r="D16" i="16" s="1"/>
  <c r="O13" i="14"/>
  <c r="J50" i="13"/>
  <c r="J13" i="13"/>
  <c r="L13" i="13"/>
  <c r="M48" i="16" l="1"/>
  <c r="G48" i="16"/>
  <c r="J48" i="16"/>
  <c r="F7" i="16"/>
  <c r="I7" i="16" s="1"/>
  <c r="L7" i="16" s="1"/>
  <c r="N7" i="16" s="1"/>
  <c r="C27" i="16"/>
  <c r="C47" i="16" s="1"/>
  <c r="L50" i="13"/>
  <c r="J15" i="13"/>
  <c r="L18" i="13"/>
  <c r="K20" i="16"/>
  <c r="P18" i="13"/>
  <c r="P20" i="16"/>
  <c r="J18" i="13"/>
  <c r="O50" i="14"/>
  <c r="P13" i="13"/>
  <c r="K15" i="14"/>
  <c r="K8" i="14"/>
  <c r="K21" i="14"/>
  <c r="K18" i="14"/>
  <c r="O15" i="14"/>
  <c r="K50" i="14"/>
  <c r="O18" i="14"/>
  <c r="O8" i="14"/>
  <c r="K13" i="15"/>
  <c r="K13" i="14"/>
  <c r="O21" i="14"/>
  <c r="P50" i="13"/>
  <c r="P15" i="13"/>
  <c r="J8" i="13"/>
  <c r="L15" i="13"/>
  <c r="F8" i="16"/>
  <c r="C9" i="16"/>
  <c r="C16" i="16" s="1"/>
  <c r="E7" i="16"/>
  <c r="E8" i="16"/>
  <c r="L21" i="13"/>
  <c r="J21" i="13"/>
  <c r="J21" i="24" s="1"/>
  <c r="P21" i="13"/>
  <c r="P8" i="13"/>
  <c r="C21" i="16"/>
  <c r="C20" i="16"/>
  <c r="J52" i="14"/>
  <c r="I52" i="14"/>
  <c r="O50" i="13"/>
  <c r="J51" i="14"/>
  <c r="I51" i="14"/>
  <c r="K50" i="13"/>
  <c r="I50" i="13"/>
  <c r="J49" i="14"/>
  <c r="I49" i="14"/>
  <c r="J48" i="14"/>
  <c r="I48" i="14"/>
  <c r="J47" i="14"/>
  <c r="I46" i="14"/>
  <c r="J45" i="14"/>
  <c r="I45" i="14"/>
  <c r="J44" i="14"/>
  <c r="I44" i="14"/>
  <c r="J43" i="14"/>
  <c r="I43" i="14"/>
  <c r="J42" i="14"/>
  <c r="I42" i="14"/>
  <c r="I41" i="14"/>
  <c r="J41" i="14"/>
  <c r="J40" i="14"/>
  <c r="J39" i="14"/>
  <c r="I39" i="14"/>
  <c r="J38" i="14"/>
  <c r="I38" i="14"/>
  <c r="J35" i="14"/>
  <c r="I35" i="14"/>
  <c r="J34" i="14"/>
  <c r="I33" i="14"/>
  <c r="J32" i="14"/>
  <c r="I32" i="14"/>
  <c r="J31" i="14"/>
  <c r="I31" i="14"/>
  <c r="J30" i="14"/>
  <c r="I30" i="14"/>
  <c r="J29" i="14"/>
  <c r="I29" i="14"/>
  <c r="J28" i="14"/>
  <c r="J20" i="16"/>
  <c r="J26" i="14"/>
  <c r="I26" i="14"/>
  <c r="J25" i="14"/>
  <c r="I25" i="14"/>
  <c r="J24" i="14"/>
  <c r="I24" i="14"/>
  <c r="J23" i="14"/>
  <c r="I23" i="14"/>
  <c r="O21" i="13"/>
  <c r="J22" i="14"/>
  <c r="K21" i="13"/>
  <c r="I21" i="13"/>
  <c r="I21" i="24" s="1"/>
  <c r="O18" i="13"/>
  <c r="J20" i="14"/>
  <c r="I19" i="14"/>
  <c r="K18" i="13"/>
  <c r="I18" i="13"/>
  <c r="I17" i="14"/>
  <c r="I16" i="14"/>
  <c r="O15" i="13"/>
  <c r="K15" i="13"/>
  <c r="I15" i="13"/>
  <c r="O13" i="13"/>
  <c r="K13" i="13"/>
  <c r="I13" i="13"/>
  <c r="J12" i="14"/>
  <c r="I12" i="14"/>
  <c r="J11" i="14"/>
  <c r="I11" i="14"/>
  <c r="J10" i="14"/>
  <c r="I10" i="14"/>
  <c r="J21" i="16"/>
  <c r="N9" i="13"/>
  <c r="M9" i="13"/>
  <c r="O8" i="13"/>
  <c r="K8" i="13"/>
  <c r="I8" i="13"/>
  <c r="H7" i="16" l="1"/>
  <c r="G49" i="16"/>
  <c r="G56" i="16" s="1"/>
  <c r="H48" i="16"/>
  <c r="J49" i="16"/>
  <c r="J56" i="16" s="1"/>
  <c r="K48" i="16"/>
  <c r="M49" i="16"/>
  <c r="M56" i="16" s="1"/>
  <c r="N48" i="16"/>
  <c r="E47" i="16"/>
  <c r="E49" i="16" s="1"/>
  <c r="E56" i="16" s="1"/>
  <c r="C49" i="16"/>
  <c r="C56" i="16" s="1"/>
  <c r="F47" i="16"/>
  <c r="F9" i="16"/>
  <c r="K7" i="16"/>
  <c r="F27" i="16"/>
  <c r="E27" i="16"/>
  <c r="E29" i="16" s="1"/>
  <c r="E36" i="16" s="1"/>
  <c r="C29" i="16"/>
  <c r="C36" i="16" s="1"/>
  <c r="M11" i="14"/>
  <c r="S11" i="14" s="1"/>
  <c r="I11" i="15" s="1"/>
  <c r="M11" i="15" s="1"/>
  <c r="S11" i="15" s="1"/>
  <c r="I11" i="23" s="1"/>
  <c r="P11" i="14"/>
  <c r="R11" i="14" s="1"/>
  <c r="L11" i="14"/>
  <c r="N11" i="14" s="1"/>
  <c r="M45" i="14"/>
  <c r="S45" i="14" s="1"/>
  <c r="I45" i="15" s="1"/>
  <c r="M45" i="15" s="1"/>
  <c r="S45" i="15" s="1"/>
  <c r="I45" i="23" s="1"/>
  <c r="P45" i="14"/>
  <c r="R45" i="14" s="1"/>
  <c r="L45" i="14"/>
  <c r="N45" i="14" s="1"/>
  <c r="M41" i="14"/>
  <c r="S41" i="14" s="1"/>
  <c r="I41" i="15" s="1"/>
  <c r="M41" i="15" s="1"/>
  <c r="S41" i="15" s="1"/>
  <c r="I41" i="23" s="1"/>
  <c r="P41" i="14"/>
  <c r="R41" i="14" s="1"/>
  <c r="L41" i="14"/>
  <c r="N41" i="14" s="1"/>
  <c r="M12" i="14"/>
  <c r="S12" i="14" s="1"/>
  <c r="I12" i="15" s="1"/>
  <c r="M12" i="15" s="1"/>
  <c r="S12" i="15" s="1"/>
  <c r="I12" i="23" s="1"/>
  <c r="L12" i="14"/>
  <c r="N12" i="14" s="1"/>
  <c r="P12" i="14"/>
  <c r="R12" i="14" s="1"/>
  <c r="M42" i="14"/>
  <c r="S42" i="14" s="1"/>
  <c r="I42" i="15" s="1"/>
  <c r="M42" i="15" s="1"/>
  <c r="S42" i="15" s="1"/>
  <c r="I42" i="23" s="1"/>
  <c r="L42" i="14"/>
  <c r="N42" i="14" s="1"/>
  <c r="P42" i="14"/>
  <c r="R42" i="14" s="1"/>
  <c r="M46" i="14"/>
  <c r="S46" i="14" s="1"/>
  <c r="I46" i="15" s="1"/>
  <c r="L46" i="15" s="1"/>
  <c r="L46" i="14"/>
  <c r="P46" i="14"/>
  <c r="R46" i="14" s="1"/>
  <c r="L51" i="14"/>
  <c r="P51" i="14"/>
  <c r="R51" i="14" s="1"/>
  <c r="M17" i="14"/>
  <c r="S17" i="14" s="1"/>
  <c r="I17" i="15" s="1"/>
  <c r="M31" i="14"/>
  <c r="S31" i="14" s="1"/>
  <c r="I31" i="15" s="1"/>
  <c r="M31" i="15" s="1"/>
  <c r="S31" i="15" s="1"/>
  <c r="I31" i="23" s="1"/>
  <c r="L31" i="14"/>
  <c r="N31" i="14" s="1"/>
  <c r="P31" i="14"/>
  <c r="R31" i="14" s="1"/>
  <c r="M38" i="14"/>
  <c r="S38" i="14" s="1"/>
  <c r="I38" i="15" s="1"/>
  <c r="M38" i="15" s="1"/>
  <c r="S38" i="15" s="1"/>
  <c r="I38" i="23" s="1"/>
  <c r="L38" i="14"/>
  <c r="P38" i="14"/>
  <c r="R38" i="14" s="1"/>
  <c r="M30" i="14"/>
  <c r="S30" i="14" s="1"/>
  <c r="I30" i="15" s="1"/>
  <c r="M30" i="15" s="1"/>
  <c r="S30" i="15" s="1"/>
  <c r="I30" i="23" s="1"/>
  <c r="L30" i="14"/>
  <c r="N30" i="14" s="1"/>
  <c r="P30" i="14"/>
  <c r="R30" i="14" s="1"/>
  <c r="M43" i="14"/>
  <c r="S43" i="14" s="1"/>
  <c r="I43" i="15" s="1"/>
  <c r="P43" i="15" s="1"/>
  <c r="R43" i="15" s="1"/>
  <c r="L43" i="14"/>
  <c r="N43" i="14" s="1"/>
  <c r="P43" i="14"/>
  <c r="R43" i="14" s="1"/>
  <c r="M48" i="14"/>
  <c r="S48" i="14" s="1"/>
  <c r="I48" i="15" s="1"/>
  <c r="M48" i="15" s="1"/>
  <c r="S48" i="15" s="1"/>
  <c r="I48" i="23" s="1"/>
  <c r="P48" i="14"/>
  <c r="R48" i="14" s="1"/>
  <c r="L48" i="14"/>
  <c r="N48" i="14" s="1"/>
  <c r="L23" i="14"/>
  <c r="P23" i="14"/>
  <c r="R23" i="14" s="1"/>
  <c r="M32" i="14"/>
  <c r="S32" i="14" s="1"/>
  <c r="I32" i="15" s="1"/>
  <c r="P32" i="15" s="1"/>
  <c r="R32" i="15" s="1"/>
  <c r="L32" i="14"/>
  <c r="N32" i="14" s="1"/>
  <c r="P32" i="14"/>
  <c r="R32" i="14" s="1"/>
  <c r="M39" i="14"/>
  <c r="S39" i="14" s="1"/>
  <c r="I39" i="15" s="1"/>
  <c r="L39" i="14"/>
  <c r="N39" i="14" s="1"/>
  <c r="P39" i="14"/>
  <c r="R39" i="14" s="1"/>
  <c r="M52" i="14"/>
  <c r="S52" i="14" s="1"/>
  <c r="I52" i="15" s="1"/>
  <c r="M52" i="15" s="1"/>
  <c r="S52" i="15" s="1"/>
  <c r="I52" i="23" s="1"/>
  <c r="P52" i="14"/>
  <c r="R52" i="14" s="1"/>
  <c r="L52" i="14"/>
  <c r="N52" i="14" s="1"/>
  <c r="M35" i="14"/>
  <c r="S35" i="14" s="1"/>
  <c r="I35" i="15" s="1"/>
  <c r="M35" i="15" s="1"/>
  <c r="S35" i="15" s="1"/>
  <c r="I35" i="23" s="1"/>
  <c r="P35" i="14"/>
  <c r="R35" i="14" s="1"/>
  <c r="L35" i="14"/>
  <c r="N35" i="14" s="1"/>
  <c r="M26" i="14"/>
  <c r="S26" i="14" s="1"/>
  <c r="I26" i="15" s="1"/>
  <c r="M26" i="15" s="1"/>
  <c r="S26" i="15" s="1"/>
  <c r="I26" i="23" s="1"/>
  <c r="P26" i="14"/>
  <c r="R26" i="14" s="1"/>
  <c r="L26" i="14"/>
  <c r="N26" i="14" s="1"/>
  <c r="M10" i="14"/>
  <c r="S10" i="14" s="1"/>
  <c r="I10" i="15" s="1"/>
  <c r="P10" i="14"/>
  <c r="R10" i="14" s="1"/>
  <c r="L10" i="14"/>
  <c r="N10" i="14" s="1"/>
  <c r="M44" i="14"/>
  <c r="S44" i="14" s="1"/>
  <c r="I44" i="15" s="1"/>
  <c r="P44" i="15" s="1"/>
  <c r="R44" i="15" s="1"/>
  <c r="L44" i="14"/>
  <c r="P44" i="14"/>
  <c r="R44" i="14" s="1"/>
  <c r="M49" i="14"/>
  <c r="S49" i="14" s="1"/>
  <c r="I49" i="15" s="1"/>
  <c r="M49" i="15" s="1"/>
  <c r="S49" i="15" s="1"/>
  <c r="I49" i="23" s="1"/>
  <c r="P49" i="14"/>
  <c r="R49" i="14" s="1"/>
  <c r="L49" i="14"/>
  <c r="N49" i="14" s="1"/>
  <c r="M25" i="14"/>
  <c r="S25" i="14" s="1"/>
  <c r="I25" i="15" s="1"/>
  <c r="M25" i="15" s="1"/>
  <c r="S25" i="15" s="1"/>
  <c r="I25" i="23" s="1"/>
  <c r="P25" i="14"/>
  <c r="R25" i="14" s="1"/>
  <c r="L25" i="14"/>
  <c r="M24" i="14"/>
  <c r="S24" i="14" s="1"/>
  <c r="I24" i="15" s="1"/>
  <c r="M24" i="15" s="1"/>
  <c r="S24" i="15" s="1"/>
  <c r="I24" i="23" s="1"/>
  <c r="P24" i="14"/>
  <c r="R24" i="14" s="1"/>
  <c r="L24" i="14"/>
  <c r="N24" i="14" s="1"/>
  <c r="M29" i="14"/>
  <c r="S29" i="14" s="1"/>
  <c r="I29" i="15" s="1"/>
  <c r="M29" i="15" s="1"/>
  <c r="S29" i="15" s="1"/>
  <c r="I29" i="23" s="1"/>
  <c r="L29" i="14"/>
  <c r="N29" i="14" s="1"/>
  <c r="P29" i="14"/>
  <c r="R29" i="14" s="1"/>
  <c r="M33" i="14"/>
  <c r="S33" i="14" s="1"/>
  <c r="I33" i="15" s="1"/>
  <c r="L44" i="15"/>
  <c r="M39" i="15"/>
  <c r="S39" i="15" s="1"/>
  <c r="I39" i="23" s="1"/>
  <c r="J16" i="14"/>
  <c r="P16" i="14" s="1"/>
  <c r="N38" i="14"/>
  <c r="N44" i="14"/>
  <c r="T44" i="14" s="1"/>
  <c r="J44" i="15" s="1"/>
  <c r="M23" i="14"/>
  <c r="S23" i="14" s="1"/>
  <c r="I23" i="15" s="1"/>
  <c r="L20" i="16"/>
  <c r="H8" i="16"/>
  <c r="H9" i="16" s="1"/>
  <c r="H16" i="16" s="1"/>
  <c r="K21" i="16"/>
  <c r="K22" i="16" s="1"/>
  <c r="T9" i="13"/>
  <c r="M51" i="14"/>
  <c r="I50" i="14"/>
  <c r="M16" i="14"/>
  <c r="I15" i="14"/>
  <c r="J50" i="14"/>
  <c r="M19" i="14"/>
  <c r="N25" i="14"/>
  <c r="K50" i="15"/>
  <c r="K21" i="15"/>
  <c r="K15" i="15"/>
  <c r="K18" i="15"/>
  <c r="C22" i="16"/>
  <c r="L8" i="13"/>
  <c r="J22" i="16"/>
  <c r="I8" i="16"/>
  <c r="E9" i="16"/>
  <c r="E16" i="16" s="1"/>
  <c r="T13" i="13"/>
  <c r="J14" i="14"/>
  <c r="J13" i="14" s="1"/>
  <c r="S13" i="13"/>
  <c r="I14" i="14"/>
  <c r="N18" i="13"/>
  <c r="J46" i="14"/>
  <c r="N46" i="14" s="1"/>
  <c r="N13" i="13"/>
  <c r="M18" i="13"/>
  <c r="J33" i="14"/>
  <c r="S50" i="13"/>
  <c r="I34" i="14"/>
  <c r="T50" i="13"/>
  <c r="I28" i="14"/>
  <c r="I47" i="14"/>
  <c r="S15" i="13"/>
  <c r="N50" i="13"/>
  <c r="M13" i="13"/>
  <c r="M15" i="13"/>
  <c r="I22" i="14"/>
  <c r="M21" i="13"/>
  <c r="M8" i="13"/>
  <c r="S9" i="13"/>
  <c r="N21" i="13"/>
  <c r="P21" i="16"/>
  <c r="P22" i="16" s="1"/>
  <c r="N8" i="13"/>
  <c r="M50" i="13"/>
  <c r="F16" i="16" l="1"/>
  <c r="F49" i="16"/>
  <c r="F56" i="16" s="1"/>
  <c r="H47" i="16"/>
  <c r="H49" i="16" s="1"/>
  <c r="H56" i="16" s="1"/>
  <c r="I47" i="16"/>
  <c r="I27" i="16"/>
  <c r="F29" i="16"/>
  <c r="F36" i="16" s="1"/>
  <c r="H27" i="16"/>
  <c r="H29" i="16" s="1"/>
  <c r="H36" i="16" s="1"/>
  <c r="T46" i="14"/>
  <c r="J46" i="15" s="1"/>
  <c r="N46" i="15" s="1"/>
  <c r="T11" i="14"/>
  <c r="J11" i="15" s="1"/>
  <c r="M44" i="15"/>
  <c r="S44" i="15" s="1"/>
  <c r="I44" i="23" s="1"/>
  <c r="L44" i="23" s="1"/>
  <c r="T29" i="14"/>
  <c r="J29" i="15" s="1"/>
  <c r="L29" i="15" s="1"/>
  <c r="N29" i="15" s="1"/>
  <c r="M32" i="15"/>
  <c r="S32" i="15" s="1"/>
  <c r="I32" i="23" s="1"/>
  <c r="L32" i="23" s="1"/>
  <c r="T10" i="14"/>
  <c r="J10" i="15" s="1"/>
  <c r="P10" i="15" s="1"/>
  <c r="R10" i="15" s="1"/>
  <c r="T32" i="14"/>
  <c r="J32" i="15" s="1"/>
  <c r="L32" i="15"/>
  <c r="T31" i="14"/>
  <c r="J31" i="15" s="1"/>
  <c r="L31" i="15" s="1"/>
  <c r="T26" i="14"/>
  <c r="J26" i="15" s="1"/>
  <c r="P26" i="15" s="1"/>
  <c r="R26" i="15" s="1"/>
  <c r="P46" i="15"/>
  <c r="R46" i="15" s="1"/>
  <c r="M46" i="15"/>
  <c r="S46" i="15" s="1"/>
  <c r="I46" i="23" s="1"/>
  <c r="M46" i="23" s="1"/>
  <c r="S46" i="23" s="1"/>
  <c r="L50" i="14"/>
  <c r="T12" i="14"/>
  <c r="J12" i="15" s="1"/>
  <c r="P12" i="15" s="1"/>
  <c r="R12" i="15" s="1"/>
  <c r="P11" i="15"/>
  <c r="R11" i="15" s="1"/>
  <c r="L11" i="15"/>
  <c r="N11" i="15" s="1"/>
  <c r="T48" i="14"/>
  <c r="J48" i="15" s="1"/>
  <c r="L48" i="15" s="1"/>
  <c r="N48" i="15" s="1"/>
  <c r="T38" i="14"/>
  <c r="J38" i="15" s="1"/>
  <c r="L38" i="15" s="1"/>
  <c r="N38" i="15" s="1"/>
  <c r="T43" i="14"/>
  <c r="J43" i="15" s="1"/>
  <c r="T39" i="14"/>
  <c r="J39" i="15" s="1"/>
  <c r="P39" i="15" s="1"/>
  <c r="R39" i="15" s="1"/>
  <c r="T25" i="14"/>
  <c r="J25" i="15" s="1"/>
  <c r="L25" i="15" s="1"/>
  <c r="T30" i="14"/>
  <c r="J30" i="15" s="1"/>
  <c r="P30" i="15" s="1"/>
  <c r="R30" i="15" s="1"/>
  <c r="L16" i="14"/>
  <c r="N16" i="14" s="1"/>
  <c r="T16" i="14" s="1"/>
  <c r="J16" i="15" s="1"/>
  <c r="T52" i="14"/>
  <c r="J52" i="15" s="1"/>
  <c r="P52" i="15" s="1"/>
  <c r="R52" i="15" s="1"/>
  <c r="T42" i="14"/>
  <c r="J42" i="15" s="1"/>
  <c r="L42" i="15" s="1"/>
  <c r="N42" i="15" s="1"/>
  <c r="T49" i="14"/>
  <c r="J49" i="15" s="1"/>
  <c r="L49" i="15" s="1"/>
  <c r="R16" i="14"/>
  <c r="M10" i="15"/>
  <c r="S10" i="15" s="1"/>
  <c r="I10" i="23" s="1"/>
  <c r="M10" i="23" s="1"/>
  <c r="S10" i="23" s="1"/>
  <c r="M33" i="15"/>
  <c r="S33" i="15" s="1"/>
  <c r="I33" i="23" s="1"/>
  <c r="M33" i="23" s="1"/>
  <c r="S33" i="23" s="1"/>
  <c r="L33" i="14"/>
  <c r="N33" i="14" s="1"/>
  <c r="T24" i="14"/>
  <c r="J24" i="15" s="1"/>
  <c r="L24" i="15" s="1"/>
  <c r="N44" i="15"/>
  <c r="T44" i="15" s="1"/>
  <c r="J44" i="23" s="1"/>
  <c r="P33" i="14"/>
  <c r="R33" i="14" s="1"/>
  <c r="R50" i="14"/>
  <c r="T35" i="14"/>
  <c r="J35" i="15" s="1"/>
  <c r="L43" i="15"/>
  <c r="P22" i="14"/>
  <c r="R22" i="14" s="1"/>
  <c r="L22" i="14"/>
  <c r="N22" i="14" s="1"/>
  <c r="N51" i="14"/>
  <c r="N50" i="14" s="1"/>
  <c r="M43" i="15"/>
  <c r="S43" i="15" s="1"/>
  <c r="I43" i="23" s="1"/>
  <c r="P43" i="23" s="1"/>
  <c r="R43" i="23" s="1"/>
  <c r="T45" i="14"/>
  <c r="J45" i="15" s="1"/>
  <c r="P50" i="14"/>
  <c r="M47" i="14"/>
  <c r="S47" i="14" s="1"/>
  <c r="I47" i="15" s="1"/>
  <c r="M47" i="15" s="1"/>
  <c r="S47" i="15" s="1"/>
  <c r="I47" i="23" s="1"/>
  <c r="L47" i="14"/>
  <c r="N47" i="14" s="1"/>
  <c r="P47" i="14"/>
  <c r="R47" i="14" s="1"/>
  <c r="M34" i="14"/>
  <c r="S34" i="14" s="1"/>
  <c r="I34" i="15" s="1"/>
  <c r="L34" i="15" s="1"/>
  <c r="P34" i="14"/>
  <c r="R34" i="14" s="1"/>
  <c r="L34" i="14"/>
  <c r="N34" i="14" s="1"/>
  <c r="T41" i="14"/>
  <c r="J41" i="15" s="1"/>
  <c r="L41" i="15" s="1"/>
  <c r="N41" i="15" s="1"/>
  <c r="L14" i="14"/>
  <c r="L13" i="14" s="1"/>
  <c r="P14" i="14"/>
  <c r="R14" i="14" s="1"/>
  <c r="M28" i="14"/>
  <c r="S28" i="14" s="1"/>
  <c r="I28" i="15" s="1"/>
  <c r="M28" i="15" s="1"/>
  <c r="S28" i="15" s="1"/>
  <c r="I28" i="23" s="1"/>
  <c r="L28" i="14"/>
  <c r="P28" i="14"/>
  <c r="R28" i="14" s="1"/>
  <c r="M52" i="23"/>
  <c r="S52" i="23" s="1"/>
  <c r="M41" i="23"/>
  <c r="S41" i="23" s="1"/>
  <c r="M26" i="23"/>
  <c r="S26" i="23" s="1"/>
  <c r="M25" i="23"/>
  <c r="S25" i="23" s="1"/>
  <c r="M30" i="23"/>
  <c r="S30" i="23" s="1"/>
  <c r="M48" i="23"/>
  <c r="S48" i="23" s="1"/>
  <c r="M31" i="23"/>
  <c r="S31" i="23" s="1"/>
  <c r="M35" i="23"/>
  <c r="S35" i="23" s="1"/>
  <c r="M24" i="23"/>
  <c r="S24" i="23" s="1"/>
  <c r="M39" i="23"/>
  <c r="S39" i="23" s="1"/>
  <c r="M38" i="23"/>
  <c r="S38" i="23" s="1"/>
  <c r="M29" i="23"/>
  <c r="S29" i="23" s="1"/>
  <c r="M44" i="23"/>
  <c r="S44" i="23" s="1"/>
  <c r="M45" i="23"/>
  <c r="S45" i="23" s="1"/>
  <c r="M49" i="23"/>
  <c r="S49" i="23" s="1"/>
  <c r="M42" i="23"/>
  <c r="S42" i="23" s="1"/>
  <c r="M23" i="15"/>
  <c r="S23" i="15" s="1"/>
  <c r="I23" i="23" s="1"/>
  <c r="M17" i="15"/>
  <c r="S17" i="15" s="1"/>
  <c r="I17" i="23" s="1"/>
  <c r="M11" i="23"/>
  <c r="S11" i="23" s="1"/>
  <c r="M12" i="23"/>
  <c r="S12" i="23" s="1"/>
  <c r="K8" i="16"/>
  <c r="K9" i="16" s="1"/>
  <c r="K16" i="16" s="1"/>
  <c r="L8" i="16"/>
  <c r="N23" i="14"/>
  <c r="T23" i="14" s="1"/>
  <c r="J23" i="15" s="1"/>
  <c r="L23" i="15" s="1"/>
  <c r="N23" i="15" s="1"/>
  <c r="T8" i="13"/>
  <c r="N15" i="13"/>
  <c r="K8" i="15"/>
  <c r="L21" i="16"/>
  <c r="L22" i="16" s="1"/>
  <c r="I27" i="14"/>
  <c r="J9" i="14"/>
  <c r="I9" i="14"/>
  <c r="S19" i="14"/>
  <c r="I19" i="15" s="1"/>
  <c r="M14" i="14"/>
  <c r="M13" i="14" s="1"/>
  <c r="I13" i="14"/>
  <c r="S51" i="14"/>
  <c r="I51" i="15" s="1"/>
  <c r="M50" i="14"/>
  <c r="S16" i="14"/>
  <c r="I16" i="15" s="1"/>
  <c r="M15" i="14"/>
  <c r="M22" i="14"/>
  <c r="S22" i="14" s="1"/>
  <c r="I22" i="15" s="1"/>
  <c r="I9" i="16"/>
  <c r="T18" i="13"/>
  <c r="J19" i="14"/>
  <c r="T15" i="13"/>
  <c r="J17" i="14"/>
  <c r="J27" i="14"/>
  <c r="I40" i="14"/>
  <c r="S18" i="13"/>
  <c r="I20" i="14"/>
  <c r="S21" i="13"/>
  <c r="S8" i="13"/>
  <c r="T21" i="13"/>
  <c r="I16" i="16" l="1"/>
  <c r="L47" i="16"/>
  <c r="K47" i="16"/>
  <c r="K49" i="16" s="1"/>
  <c r="K56" i="16" s="1"/>
  <c r="I49" i="16"/>
  <c r="I56" i="16" s="1"/>
  <c r="I29" i="16"/>
  <c r="I36" i="16" s="1"/>
  <c r="L27" i="16"/>
  <c r="K27" i="16"/>
  <c r="K29" i="16" s="1"/>
  <c r="K36" i="16" s="1"/>
  <c r="T11" i="15"/>
  <c r="J11" i="23" s="1"/>
  <c r="L11" i="23" s="1"/>
  <c r="N11" i="23" s="1"/>
  <c r="P44" i="23"/>
  <c r="R44" i="23" s="1"/>
  <c r="M32" i="23"/>
  <c r="S32" i="23" s="1"/>
  <c r="P32" i="23"/>
  <c r="R32" i="23" s="1"/>
  <c r="L10" i="15"/>
  <c r="N10" i="15" s="1"/>
  <c r="T10" i="15" s="1"/>
  <c r="J10" i="23" s="1"/>
  <c r="P10" i="23" s="1"/>
  <c r="R10" i="23" s="1"/>
  <c r="L39" i="15"/>
  <c r="N39" i="15" s="1"/>
  <c r="T39" i="15" s="1"/>
  <c r="J39" i="23" s="1"/>
  <c r="P39" i="23" s="1"/>
  <c r="R39" i="23" s="1"/>
  <c r="N32" i="15"/>
  <c r="T32" i="15" s="1"/>
  <c r="J32" i="23" s="1"/>
  <c r="N32" i="23" s="1"/>
  <c r="P29" i="15"/>
  <c r="R29" i="15" s="1"/>
  <c r="L30" i="15"/>
  <c r="N30" i="15" s="1"/>
  <c r="T30" i="15" s="1"/>
  <c r="J30" i="23" s="1"/>
  <c r="L30" i="23" s="1"/>
  <c r="N30" i="23" s="1"/>
  <c r="L46" i="23"/>
  <c r="P46" i="23"/>
  <c r="R46" i="23" s="1"/>
  <c r="P31" i="15"/>
  <c r="R31" i="15" s="1"/>
  <c r="N31" i="15"/>
  <c r="T22" i="14"/>
  <c r="J22" i="15" s="1"/>
  <c r="P38" i="15"/>
  <c r="R38" i="15" s="1"/>
  <c r="P42" i="15"/>
  <c r="R42" i="15" s="1"/>
  <c r="P48" i="15"/>
  <c r="R48" i="15" s="1"/>
  <c r="T46" i="15"/>
  <c r="J46" i="23" s="1"/>
  <c r="L26" i="15"/>
  <c r="N26" i="15" s="1"/>
  <c r="T26" i="15" s="1"/>
  <c r="J26" i="23" s="1"/>
  <c r="L52" i="15"/>
  <c r="N52" i="15" s="1"/>
  <c r="T52" i="15" s="1"/>
  <c r="J52" i="23" s="1"/>
  <c r="L52" i="23" s="1"/>
  <c r="N52" i="23" s="1"/>
  <c r="P49" i="15"/>
  <c r="R49" i="15" s="1"/>
  <c r="N43" i="15"/>
  <c r="T43" i="15" s="1"/>
  <c r="J43" i="23" s="1"/>
  <c r="L12" i="15"/>
  <c r="N12" i="15" s="1"/>
  <c r="T12" i="15" s="1"/>
  <c r="J12" i="23" s="1"/>
  <c r="N25" i="15"/>
  <c r="P25" i="15"/>
  <c r="R25" i="15" s="1"/>
  <c r="T51" i="14"/>
  <c r="J51" i="15" s="1"/>
  <c r="N49" i="15"/>
  <c r="P41" i="15"/>
  <c r="R41" i="15" s="1"/>
  <c r="T33" i="14"/>
  <c r="J33" i="15" s="1"/>
  <c r="P33" i="15" s="1"/>
  <c r="R33" i="15" s="1"/>
  <c r="L20" i="14"/>
  <c r="N20" i="14" s="1"/>
  <c r="P20" i="14"/>
  <c r="R20" i="14" s="1"/>
  <c r="M43" i="23"/>
  <c r="S43" i="23" s="1"/>
  <c r="P24" i="15"/>
  <c r="R24" i="15" s="1"/>
  <c r="N44" i="23"/>
  <c r="N24" i="15"/>
  <c r="T47" i="14"/>
  <c r="J47" i="15" s="1"/>
  <c r="P17" i="14"/>
  <c r="L17" i="14"/>
  <c r="L15" i="14" s="1"/>
  <c r="L27" i="14"/>
  <c r="P27" i="14"/>
  <c r="R27" i="14" s="1"/>
  <c r="P34" i="15"/>
  <c r="R34" i="15" s="1"/>
  <c r="L43" i="23"/>
  <c r="P19" i="14"/>
  <c r="L19" i="14"/>
  <c r="M34" i="15"/>
  <c r="S34" i="15" s="1"/>
  <c r="I34" i="23" s="1"/>
  <c r="P34" i="23" s="1"/>
  <c r="R34" i="23" s="1"/>
  <c r="L40" i="14"/>
  <c r="N40" i="14" s="1"/>
  <c r="P40" i="14"/>
  <c r="R40" i="14" s="1"/>
  <c r="T34" i="14"/>
  <c r="J34" i="15" s="1"/>
  <c r="N34" i="15" s="1"/>
  <c r="L45" i="15"/>
  <c r="N45" i="15" s="1"/>
  <c r="P45" i="15"/>
  <c r="R45" i="15" s="1"/>
  <c r="P35" i="15"/>
  <c r="R35" i="15" s="1"/>
  <c r="L35" i="15"/>
  <c r="N35" i="15" s="1"/>
  <c r="I8" i="14"/>
  <c r="P9" i="14"/>
  <c r="L9" i="14"/>
  <c r="L8" i="14" s="1"/>
  <c r="N14" i="14"/>
  <c r="N13" i="14" s="1"/>
  <c r="P13" i="14"/>
  <c r="N28" i="14"/>
  <c r="T28" i="14" s="1"/>
  <c r="J28" i="15" s="1"/>
  <c r="M51" i="15"/>
  <c r="S51" i="15" s="1"/>
  <c r="I51" i="23" s="1"/>
  <c r="L51" i="15"/>
  <c r="P51" i="15"/>
  <c r="R51" i="15" s="1"/>
  <c r="R50" i="15" s="1"/>
  <c r="M28" i="23"/>
  <c r="S28" i="23" s="1"/>
  <c r="M47" i="23"/>
  <c r="S47" i="23" s="1"/>
  <c r="M22" i="15"/>
  <c r="S22" i="15" s="1"/>
  <c r="I22" i="23" s="1"/>
  <c r="L22" i="15"/>
  <c r="N22" i="15" s="1"/>
  <c r="P22" i="15"/>
  <c r="R22" i="15" s="1"/>
  <c r="M23" i="23"/>
  <c r="S23" i="23" s="1"/>
  <c r="P23" i="15"/>
  <c r="R23" i="15" s="1"/>
  <c r="M19" i="15"/>
  <c r="S19" i="15" s="1"/>
  <c r="I19" i="23" s="1"/>
  <c r="P16" i="15"/>
  <c r="R16" i="15" s="1"/>
  <c r="M16" i="15"/>
  <c r="S16" i="15" s="1"/>
  <c r="I16" i="23" s="1"/>
  <c r="L16" i="15"/>
  <c r="N16" i="15" s="1"/>
  <c r="M17" i="23"/>
  <c r="S17" i="23" s="1"/>
  <c r="P11" i="23"/>
  <c r="R11" i="23" s="1"/>
  <c r="N8" i="16"/>
  <c r="N9" i="16" s="1"/>
  <c r="N16" i="16" s="1"/>
  <c r="L9" i="16"/>
  <c r="L16" i="16" s="1"/>
  <c r="S15" i="14"/>
  <c r="I21" i="14"/>
  <c r="D21" i="16"/>
  <c r="M9" i="14"/>
  <c r="M8" i="14" s="1"/>
  <c r="S14" i="14"/>
  <c r="M27" i="14"/>
  <c r="D20" i="16"/>
  <c r="J8" i="14"/>
  <c r="S50" i="14"/>
  <c r="J15" i="14"/>
  <c r="J21" i="14"/>
  <c r="M20" i="14"/>
  <c r="M18" i="14" s="1"/>
  <c r="I18" i="14"/>
  <c r="J18" i="14"/>
  <c r="I15" i="15"/>
  <c r="M40" i="14"/>
  <c r="L49" i="16" l="1"/>
  <c r="L56" i="16" s="1"/>
  <c r="N47" i="16"/>
  <c r="N49" i="16" s="1"/>
  <c r="N56" i="16" s="1"/>
  <c r="L29" i="16"/>
  <c r="L36" i="16" s="1"/>
  <c r="N27" i="16"/>
  <c r="N29" i="16" s="1"/>
  <c r="N36" i="16" s="1"/>
  <c r="T44" i="23"/>
  <c r="T32" i="23"/>
  <c r="T14" i="14"/>
  <c r="J14" i="15" s="1"/>
  <c r="T42" i="15"/>
  <c r="J42" i="23" s="1"/>
  <c r="P30" i="23"/>
  <c r="R30" i="23" s="1"/>
  <c r="T38" i="15"/>
  <c r="J38" i="23" s="1"/>
  <c r="L38" i="23" s="1"/>
  <c r="N38" i="23" s="1"/>
  <c r="T49" i="15"/>
  <c r="J49" i="23" s="1"/>
  <c r="L49" i="23" s="1"/>
  <c r="N49" i="23" s="1"/>
  <c r="T31" i="15"/>
  <c r="J31" i="23" s="1"/>
  <c r="P31" i="23" s="1"/>
  <c r="R31" i="23" s="1"/>
  <c r="L39" i="23"/>
  <c r="N39" i="23" s="1"/>
  <c r="T39" i="23" s="1"/>
  <c r="N46" i="23"/>
  <c r="T46" i="23" s="1"/>
  <c r="T29" i="15"/>
  <c r="J29" i="23" s="1"/>
  <c r="T48" i="15"/>
  <c r="J48" i="23" s="1"/>
  <c r="L48" i="23" s="1"/>
  <c r="N48" i="23" s="1"/>
  <c r="L26" i="23"/>
  <c r="N26" i="23" s="1"/>
  <c r="P26" i="23"/>
  <c r="R26" i="23" s="1"/>
  <c r="T25" i="15"/>
  <c r="J25" i="23" s="1"/>
  <c r="P25" i="23" s="1"/>
  <c r="R25" i="23" s="1"/>
  <c r="L18" i="14"/>
  <c r="N43" i="23"/>
  <c r="T43" i="23" s="1"/>
  <c r="P52" i="23"/>
  <c r="R52" i="23" s="1"/>
  <c r="T40" i="14"/>
  <c r="J40" i="15" s="1"/>
  <c r="N51" i="15"/>
  <c r="T51" i="15" s="1"/>
  <c r="J51" i="23" s="1"/>
  <c r="J50" i="23" s="1"/>
  <c r="L10" i="23"/>
  <c r="N10" i="23" s="1"/>
  <c r="T10" i="23" s="1"/>
  <c r="P12" i="23"/>
  <c r="R12" i="23" s="1"/>
  <c r="L12" i="23"/>
  <c r="N12" i="23" s="1"/>
  <c r="T50" i="14"/>
  <c r="T41" i="15"/>
  <c r="J41" i="23" s="1"/>
  <c r="L41" i="23" s="1"/>
  <c r="N41" i="23" s="1"/>
  <c r="P21" i="14"/>
  <c r="Q20" i="16"/>
  <c r="L33" i="15"/>
  <c r="N33" i="15" s="1"/>
  <c r="T33" i="15" s="1"/>
  <c r="J33" i="23" s="1"/>
  <c r="L33" i="23" s="1"/>
  <c r="N33" i="23" s="1"/>
  <c r="T34" i="15"/>
  <c r="J34" i="23" s="1"/>
  <c r="L21" i="14"/>
  <c r="T35" i="15"/>
  <c r="J35" i="23" s="1"/>
  <c r="P35" i="23" s="1"/>
  <c r="R35" i="23" s="1"/>
  <c r="M34" i="23"/>
  <c r="S34" i="23" s="1"/>
  <c r="N27" i="14"/>
  <c r="N19" i="14"/>
  <c r="N18" i="14" s="1"/>
  <c r="Q21" i="16"/>
  <c r="L34" i="23"/>
  <c r="T24" i="15"/>
  <c r="J24" i="23" s="1"/>
  <c r="L24" i="23" s="1"/>
  <c r="N24" i="23" s="1"/>
  <c r="R17" i="14"/>
  <c r="R15" i="14" s="1"/>
  <c r="P15" i="14"/>
  <c r="R19" i="14"/>
  <c r="R18" i="14" s="1"/>
  <c r="P18" i="14"/>
  <c r="N9" i="14"/>
  <c r="N8" i="14" s="1"/>
  <c r="T16" i="15"/>
  <c r="J16" i="23" s="1"/>
  <c r="P16" i="23" s="1"/>
  <c r="T45" i="15"/>
  <c r="J45" i="23" s="1"/>
  <c r="P47" i="15"/>
  <c r="R47" i="15" s="1"/>
  <c r="L47" i="15"/>
  <c r="N47" i="15" s="1"/>
  <c r="T20" i="14"/>
  <c r="J20" i="15" s="1"/>
  <c r="N17" i="14"/>
  <c r="N15" i="14" s="1"/>
  <c r="S9" i="14"/>
  <c r="I9" i="15" s="1"/>
  <c r="M9" i="15" s="1"/>
  <c r="S9" i="15" s="1"/>
  <c r="I9" i="23" s="1"/>
  <c r="R9" i="14"/>
  <c r="R8" i="14" s="1"/>
  <c r="P8" i="14"/>
  <c r="R13" i="14"/>
  <c r="P28" i="15"/>
  <c r="R28" i="15" s="1"/>
  <c r="L28" i="15"/>
  <c r="N28" i="15" s="1"/>
  <c r="R21" i="14"/>
  <c r="L51" i="23"/>
  <c r="L50" i="23" s="1"/>
  <c r="M51" i="23"/>
  <c r="I50" i="23"/>
  <c r="P51" i="23"/>
  <c r="L42" i="23"/>
  <c r="N42" i="23" s="1"/>
  <c r="P42" i="23"/>
  <c r="R42" i="23" s="1"/>
  <c r="T23" i="15"/>
  <c r="J23" i="23" s="1"/>
  <c r="L22" i="23"/>
  <c r="M22" i="23"/>
  <c r="P22" i="23"/>
  <c r="T22" i="15"/>
  <c r="J22" i="23" s="1"/>
  <c r="M19" i="23"/>
  <c r="S13" i="14"/>
  <c r="I14" i="15"/>
  <c r="M16" i="23"/>
  <c r="I15" i="23"/>
  <c r="T11" i="23"/>
  <c r="M15" i="15"/>
  <c r="L50" i="15"/>
  <c r="S15" i="15"/>
  <c r="S27" i="14"/>
  <c r="I27" i="15" s="1"/>
  <c r="S20" i="14"/>
  <c r="J50" i="15"/>
  <c r="M21" i="14"/>
  <c r="I50" i="15"/>
  <c r="J13" i="15"/>
  <c r="D22" i="16"/>
  <c r="S40" i="14"/>
  <c r="I40" i="15" s="1"/>
  <c r="T13" i="14"/>
  <c r="P49" i="23" l="1"/>
  <c r="R49" i="23" s="1"/>
  <c r="P38" i="23"/>
  <c r="R38" i="23" s="1"/>
  <c r="L31" i="23"/>
  <c r="N31" i="23" s="1"/>
  <c r="T31" i="23" s="1"/>
  <c r="T30" i="23"/>
  <c r="P33" i="23"/>
  <c r="R33" i="23" s="1"/>
  <c r="T26" i="23"/>
  <c r="P48" i="23"/>
  <c r="R48" i="23" s="1"/>
  <c r="L25" i="23"/>
  <c r="N25" i="23" s="1"/>
  <c r="T25" i="23" s="1"/>
  <c r="P29" i="23"/>
  <c r="R29" i="23" s="1"/>
  <c r="L29" i="23"/>
  <c r="N29" i="23" s="1"/>
  <c r="T52" i="23"/>
  <c r="T27" i="14"/>
  <c r="P41" i="23"/>
  <c r="R41" i="23" s="1"/>
  <c r="N21" i="14"/>
  <c r="T19" i="14"/>
  <c r="J19" i="15" s="1"/>
  <c r="L35" i="23"/>
  <c r="N35" i="23" s="1"/>
  <c r="T35" i="23" s="1"/>
  <c r="Q22" i="16"/>
  <c r="N34" i="23"/>
  <c r="T34" i="23" s="1"/>
  <c r="T12" i="23"/>
  <c r="T9" i="14"/>
  <c r="J9" i="15" s="1"/>
  <c r="L9" i="15" s="1"/>
  <c r="T17" i="14"/>
  <c r="J17" i="15" s="1"/>
  <c r="L16" i="23"/>
  <c r="N16" i="23" s="1"/>
  <c r="P24" i="23"/>
  <c r="R24" i="23" s="1"/>
  <c r="T47" i="15"/>
  <c r="J47" i="23" s="1"/>
  <c r="S8" i="14"/>
  <c r="L45" i="23"/>
  <c r="N45" i="23" s="1"/>
  <c r="P45" i="23"/>
  <c r="R45" i="23" s="1"/>
  <c r="T28" i="15"/>
  <c r="J28" i="23" s="1"/>
  <c r="R51" i="23"/>
  <c r="R50" i="23" s="1"/>
  <c r="P50" i="23"/>
  <c r="S51" i="23"/>
  <c r="S50" i="23" s="1"/>
  <c r="M50" i="23"/>
  <c r="N51" i="23"/>
  <c r="M27" i="15"/>
  <c r="S27" i="15" s="1"/>
  <c r="I27" i="23" s="1"/>
  <c r="L40" i="15"/>
  <c r="N40" i="15" s="1"/>
  <c r="M40" i="15"/>
  <c r="S40" i="15" s="1"/>
  <c r="I40" i="23" s="1"/>
  <c r="P40" i="15"/>
  <c r="R40" i="15" s="1"/>
  <c r="T42" i="23"/>
  <c r="R22" i="23"/>
  <c r="N22" i="23"/>
  <c r="S22" i="23"/>
  <c r="L23" i="23"/>
  <c r="N23" i="23" s="1"/>
  <c r="P23" i="23"/>
  <c r="R23" i="23" s="1"/>
  <c r="S18" i="14"/>
  <c r="I20" i="15"/>
  <c r="S19" i="23"/>
  <c r="P14" i="15"/>
  <c r="M14" i="15"/>
  <c r="L14" i="15"/>
  <c r="N14" i="15" s="1"/>
  <c r="R16" i="23"/>
  <c r="S16" i="23"/>
  <c r="S15" i="23" s="1"/>
  <c r="M15" i="23"/>
  <c r="M9" i="23"/>
  <c r="I8" i="23"/>
  <c r="I13" i="15"/>
  <c r="N50" i="15"/>
  <c r="P50" i="15"/>
  <c r="I8" i="15"/>
  <c r="M8" i="15"/>
  <c r="T50" i="15"/>
  <c r="S50" i="15"/>
  <c r="M50" i="15"/>
  <c r="S21" i="14"/>
  <c r="R13" i="15" l="1"/>
  <c r="T49" i="23"/>
  <c r="T38" i="23"/>
  <c r="T48" i="23"/>
  <c r="T33" i="23"/>
  <c r="T29" i="23"/>
  <c r="T18" i="14"/>
  <c r="T21" i="14"/>
  <c r="J27" i="15"/>
  <c r="L27" i="15" s="1"/>
  <c r="N27" i="15" s="1"/>
  <c r="T41" i="23"/>
  <c r="T15" i="14"/>
  <c r="P9" i="15"/>
  <c r="R9" i="15" s="1"/>
  <c r="R8" i="15" s="1"/>
  <c r="N9" i="15"/>
  <c r="T8" i="14"/>
  <c r="T45" i="23"/>
  <c r="T40" i="15"/>
  <c r="J40" i="23" s="1"/>
  <c r="L40" i="23" s="1"/>
  <c r="N40" i="23" s="1"/>
  <c r="T24" i="23"/>
  <c r="T14" i="15"/>
  <c r="J14" i="23" s="1"/>
  <c r="J13" i="23" s="1"/>
  <c r="L47" i="23"/>
  <c r="N47" i="23" s="1"/>
  <c r="P47" i="23"/>
  <c r="R47" i="23" s="1"/>
  <c r="P28" i="23"/>
  <c r="R28" i="23" s="1"/>
  <c r="L28" i="23"/>
  <c r="N28" i="23" s="1"/>
  <c r="T23" i="23"/>
  <c r="T51" i="23"/>
  <c r="T50" i="23" s="1"/>
  <c r="N50" i="23"/>
  <c r="M40" i="23"/>
  <c r="S40" i="23" s="1"/>
  <c r="M27" i="23"/>
  <c r="I21" i="23"/>
  <c r="T22" i="23"/>
  <c r="P20" i="15"/>
  <c r="R20" i="15" s="1"/>
  <c r="M20" i="15"/>
  <c r="S20" i="15" s="1"/>
  <c r="I20" i="23" s="1"/>
  <c r="L20" i="15"/>
  <c r="N20" i="15" s="1"/>
  <c r="L19" i="15"/>
  <c r="N19" i="15" s="1"/>
  <c r="P19" i="15"/>
  <c r="R19" i="15" s="1"/>
  <c r="S14" i="15"/>
  <c r="M13" i="15"/>
  <c r="T16" i="23"/>
  <c r="P17" i="15"/>
  <c r="R17" i="15" s="1"/>
  <c r="R15" i="15" s="1"/>
  <c r="L17" i="15"/>
  <c r="N17" i="15" s="1"/>
  <c r="S9" i="23"/>
  <c r="M8" i="23"/>
  <c r="I18" i="15"/>
  <c r="J18" i="15"/>
  <c r="P13" i="15"/>
  <c r="L13" i="15"/>
  <c r="L8" i="15"/>
  <c r="S8" i="15"/>
  <c r="J15" i="15"/>
  <c r="E21" i="16"/>
  <c r="I21" i="15"/>
  <c r="E20" i="16"/>
  <c r="J8" i="15"/>
  <c r="R65" i="15" l="1"/>
  <c r="R67" i="15"/>
  <c r="R64" i="15"/>
  <c r="R63" i="15"/>
  <c r="R70" i="15" s="1"/>
  <c r="J21" i="15"/>
  <c r="P27" i="15"/>
  <c r="R27" i="15" s="1"/>
  <c r="R21" i="15" s="1"/>
  <c r="T9" i="15"/>
  <c r="J9" i="23" s="1"/>
  <c r="J8" i="23" s="1"/>
  <c r="T28" i="23"/>
  <c r="T20" i="15"/>
  <c r="J20" i="23" s="1"/>
  <c r="L20" i="23" s="1"/>
  <c r="N20" i="23" s="1"/>
  <c r="M18" i="15"/>
  <c r="R18" i="15"/>
  <c r="P40" i="23"/>
  <c r="R40" i="23" s="1"/>
  <c r="L15" i="15"/>
  <c r="T47" i="23"/>
  <c r="S27" i="23"/>
  <c r="M21" i="23"/>
  <c r="T19" i="15"/>
  <c r="J19" i="23" s="1"/>
  <c r="M20" i="23"/>
  <c r="I18" i="23"/>
  <c r="I14" i="23"/>
  <c r="S13" i="15"/>
  <c r="T17" i="15"/>
  <c r="J17" i="23" s="1"/>
  <c r="S8" i="23"/>
  <c r="L21" i="15"/>
  <c r="L18" i="15"/>
  <c r="P18" i="15"/>
  <c r="P15" i="15"/>
  <c r="N13" i="15"/>
  <c r="T13" i="15"/>
  <c r="R21" i="16"/>
  <c r="P8" i="15"/>
  <c r="S18" i="15"/>
  <c r="M21" i="15"/>
  <c r="E22" i="16"/>
  <c r="N8" i="15"/>
  <c r="P20" i="23" l="1"/>
  <c r="R20" i="23" s="1"/>
  <c r="P9" i="23"/>
  <c r="R9" i="23" s="1"/>
  <c r="R8" i="23" s="1"/>
  <c r="L9" i="23"/>
  <c r="N9" i="23" s="1"/>
  <c r="P21" i="15"/>
  <c r="R20" i="16"/>
  <c r="R22" i="16" s="1"/>
  <c r="T27" i="15"/>
  <c r="J27" i="23" s="1"/>
  <c r="T40" i="23"/>
  <c r="G20" i="16"/>
  <c r="S21" i="23"/>
  <c r="S20" i="23"/>
  <c r="S18" i="23" s="1"/>
  <c r="M18" i="23"/>
  <c r="J18" i="23"/>
  <c r="P19" i="23"/>
  <c r="L19" i="23"/>
  <c r="L18" i="23" s="1"/>
  <c r="P14" i="23"/>
  <c r="M14" i="23"/>
  <c r="I13" i="23"/>
  <c r="L14" i="23"/>
  <c r="P17" i="23"/>
  <c r="L17" i="23"/>
  <c r="J15" i="23"/>
  <c r="F21" i="16"/>
  <c r="N21" i="15"/>
  <c r="N18" i="15"/>
  <c r="T18" i="15"/>
  <c r="N15" i="15"/>
  <c r="T15" i="15"/>
  <c r="F20" i="16"/>
  <c r="S21" i="15"/>
  <c r="T8" i="15"/>
  <c r="P8" i="23" l="1"/>
  <c r="T9" i="23"/>
  <c r="N8" i="23"/>
  <c r="T20" i="23"/>
  <c r="L8" i="23"/>
  <c r="P27" i="23"/>
  <c r="L27" i="23"/>
  <c r="N27" i="23" s="1"/>
  <c r="J21" i="23"/>
  <c r="R19" i="23"/>
  <c r="R18" i="23" s="1"/>
  <c r="P18" i="23"/>
  <c r="N19" i="23"/>
  <c r="P13" i="23"/>
  <c r="R13" i="23"/>
  <c r="R53" i="23" s="1"/>
  <c r="L13" i="23"/>
  <c r="N14" i="23"/>
  <c r="S14" i="23"/>
  <c r="M13" i="23"/>
  <c r="N17" i="23"/>
  <c r="L15" i="23"/>
  <c r="R17" i="23"/>
  <c r="P15" i="23"/>
  <c r="S21" i="16"/>
  <c r="T8" i="23"/>
  <c r="F22" i="16"/>
  <c r="T21" i="15"/>
  <c r="R65" i="23" l="1"/>
  <c r="R63" i="23"/>
  <c r="R70" i="23" s="1"/>
  <c r="R67" i="23"/>
  <c r="R64" i="23"/>
  <c r="S20" i="16"/>
  <c r="S22" i="16" s="1"/>
  <c r="R27" i="23"/>
  <c r="L21" i="23"/>
  <c r="P21" i="23"/>
  <c r="T27" i="23"/>
  <c r="N21" i="23"/>
  <c r="T19" i="23"/>
  <c r="T18" i="23" s="1"/>
  <c r="N18" i="23"/>
  <c r="T14" i="23"/>
  <c r="T13" i="23" s="1"/>
  <c r="N13" i="23"/>
  <c r="S13" i="23"/>
  <c r="G21" i="16"/>
  <c r="G22" i="16" s="1"/>
  <c r="R15" i="23"/>
  <c r="T17" i="23"/>
  <c r="N15" i="23"/>
  <c r="R21" i="23" l="1"/>
  <c r="T21" i="23"/>
  <c r="T15" i="23"/>
</calcChain>
</file>

<file path=xl/sharedStrings.xml><?xml version="1.0" encoding="utf-8"?>
<sst xmlns="http://schemas.openxmlformats.org/spreadsheetml/2006/main" count="3097" uniqueCount="266">
  <si>
    <t>Vispārēja iepirkumu klasifikatora (CPV) kods</t>
  </si>
  <si>
    <t>Tehnisko palīglīdzekļu grupa un apakšgrupa</t>
  </si>
  <si>
    <t>Nodošanas veids (patapinājumā vai īpašumā)</t>
  </si>
  <si>
    <t>Laiks, pēc kura beigām persona var tikt uzņemta rindā jauna tehniskā palīglīdzekļa saņemšanai (gadi)</t>
  </si>
  <si>
    <t>Piezīmes</t>
  </si>
  <si>
    <t>Personīgās medicīniskās aprūpes palīglīdzekļi</t>
  </si>
  <si>
    <t>33196200-2</t>
  </si>
  <si>
    <t>04 24 09</t>
  </si>
  <si>
    <t>Asinsspiediena mērītāji ar runas funkciju</t>
  </si>
  <si>
    <t>Īpašumā</t>
  </si>
  <si>
    <t>Neredzīgām un vājredzīgām personām</t>
  </si>
  <si>
    <t>04 24 12</t>
  </si>
  <si>
    <t>Glikometri ar runas funkciju</t>
  </si>
  <si>
    <t>38412000-6</t>
  </si>
  <si>
    <t>04 24 24</t>
  </si>
  <si>
    <t>Ķermeņa termometri ar runas funkciju</t>
  </si>
  <si>
    <t>38311000-8</t>
  </si>
  <si>
    <t>04 24 27</t>
  </si>
  <si>
    <t>Ķermeņa svari ar runas funkciju</t>
  </si>
  <si>
    <t>Ortozes un protēzes</t>
  </si>
  <si>
    <t>33184600-9</t>
  </si>
  <si>
    <t>06 30 21</t>
  </si>
  <si>
    <t>Acu protēzes</t>
  </si>
  <si>
    <t>Individuāli pielāgots tehniskais palīglīdzeklis neredzīgām un vājredzīgām personām</t>
  </si>
  <si>
    <t>Personīgās pārvietošanās palīglīdzekļi</t>
  </si>
  <si>
    <t>39295400-0</t>
  </si>
  <si>
    <t>12 39 03</t>
  </si>
  <si>
    <t>Taktilie jeb baltie spieķi (nesalokāmi)</t>
  </si>
  <si>
    <t>Taktilie jeb baltie spieķi (salokāmi)</t>
  </si>
  <si>
    <t>Mājsaimniecības palīglīdzekļi</t>
  </si>
  <si>
    <t>15 03 03</t>
  </si>
  <si>
    <t>Pārtikas svari ar runas funkciju</t>
  </si>
  <si>
    <t>Šķidruma līmeņa noteicēji ar skaņas funkciju</t>
  </si>
  <si>
    <t>Saziņas un signalizēšanas palīglīdzekļi</t>
  </si>
  <si>
    <t>38624000-5</t>
  </si>
  <si>
    <t>22 03 03</t>
  </si>
  <si>
    <t>Gaismas (absorbcijas) filtri</t>
  </si>
  <si>
    <t>Vājredzīgām personām</t>
  </si>
  <si>
    <t>22 03 09</t>
  </si>
  <si>
    <t>Palielināmie stikli ar gaismas avotu vai bez tā</t>
  </si>
  <si>
    <t>38600000-1</t>
  </si>
  <si>
    <t>22 03 12</t>
  </si>
  <si>
    <t>Binokulārās vai teleskopiskās brilles</t>
  </si>
  <si>
    <t>Individuāli pielāgots palīglīdzeklis vājredzīgām personām</t>
  </si>
  <si>
    <t>22 03 18</t>
  </si>
  <si>
    <t>Elektroniski palielinošie palīglīdzekļi</t>
  </si>
  <si>
    <t>22 06 06</t>
  </si>
  <si>
    <t>Vājdzirdīgām personām</t>
  </si>
  <si>
    <t>33185000-0</t>
  </si>
  <si>
    <t>22 06 15</t>
  </si>
  <si>
    <t>32343100-0</t>
  </si>
  <si>
    <t>22 18 24</t>
  </si>
  <si>
    <t>Vājdzirdīgām personām, kuras lieto dzirdes aparātu un nav saņēmušas pielikuma 22.punktā minēto FM radiofrekvenču pārraides sistēmu</t>
  </si>
  <si>
    <t>32344200-8</t>
  </si>
  <si>
    <t>FM radiofrekvenču pārraides sistēmas (raidītājs un uztvērējs)</t>
  </si>
  <si>
    <t>Vājdzirdīgām personām, kuras lieto dzirdes aparātu un kurām tehniskais palīglīdzeklis nepieciešams izglītības iegūšanai vai darbam</t>
  </si>
  <si>
    <t>22 12 09</t>
  </si>
  <si>
    <t>Braila raksta rāmji (komplektā grifele)</t>
  </si>
  <si>
    <t>22 12 15</t>
  </si>
  <si>
    <t>Braila rakstāmmašīnas</t>
  </si>
  <si>
    <t>32332000-9</t>
  </si>
  <si>
    <t>22 18 03</t>
  </si>
  <si>
    <t>Atskaņotāji</t>
  </si>
  <si>
    <t>Diktofoni</t>
  </si>
  <si>
    <t>Neredzīgām un vājredzīgām personām, kurām tehniskais palīglīdzeklis nepieciešams izglītības iegūšanai vai darbam</t>
  </si>
  <si>
    <t>22 24 06</t>
  </si>
  <si>
    <t>Mobilā tīkla telefons</t>
  </si>
  <si>
    <t>22 33 06</t>
  </si>
  <si>
    <t>Digitālās vizuālās saziņas ierīces</t>
  </si>
  <si>
    <t>Nedzirdīgām un vājdzirdīgām personām, kuras izmanto šajos noteikumos minētos sociālās rehabilitācijas vai surdotulka pakalpojumus</t>
  </si>
  <si>
    <t>32522000-8</t>
  </si>
  <si>
    <t>31521310-0</t>
  </si>
  <si>
    <t>22 27 04</t>
  </si>
  <si>
    <t>Signalizēšanas ierīces ar vibrāciju un/vai gaismas signālu</t>
  </si>
  <si>
    <t>Nedzirdīgām un vājdzirdīgām personām</t>
  </si>
  <si>
    <t>Signalizēšanas ierīces ar vibrāciju un/vai gaismas signālu bērnu un kopjamu personu uzraudzībai</t>
  </si>
  <si>
    <t>Personām, kuru aprūpē un uzraudzībā ir bērns līdz 2 gadu vecumam un personām, kuru parūpē un uzraudzībā ir persona, kurai ir nepieciešama kopšana un šo nepieciešamību apliecina VDEĀVK lēmums par īpašas kopšanas nepieciešamību vai ģimenes (vispārējās prakses) ārsta atzinums par pastāvīgas uzraudzības un kopšanas nepieciešamību.</t>
  </si>
  <si>
    <t>39254100-8</t>
  </si>
  <si>
    <t>22 27 12</t>
  </si>
  <si>
    <t>22 30 21</t>
  </si>
  <si>
    <t>Rakstu zīmju lasīšanas aparāts</t>
  </si>
  <si>
    <t>22 39 05</t>
  </si>
  <si>
    <t>Taktils datora displejs</t>
  </si>
  <si>
    <t>Laikrāži ar vibrāciju un/vai gaismas signālu</t>
  </si>
  <si>
    <t>30216110-0</t>
  </si>
  <si>
    <t>Pildspalvas ar runas funkciju teksta nolasīšanai no speciālām uzlīmēm (komplektā pildspalva un uzlīmes teksta attēlošanai)</t>
  </si>
  <si>
    <t>Neredzīgām un vājredzīgām personām. Ja nepieciešams, persona pērk papildu uzlīmes par saviem līdzekļiem</t>
  </si>
  <si>
    <t>48000000-8</t>
  </si>
  <si>
    <t>22 39 12</t>
  </si>
  <si>
    <t xml:space="preserve">Specializētās datorprogrammas teksta palielināšanai un/vai pārvēršanai skaņā </t>
  </si>
  <si>
    <t>22 39 07</t>
  </si>
  <si>
    <t>Palīglīdzekļi vides uzlabošanai un novērtēšanai</t>
  </si>
  <si>
    <t>27 06 21</t>
  </si>
  <si>
    <t>Termometri klimatisko apstākļu mērīšanai ar runas funkciju</t>
  </si>
  <si>
    <t>27 06 24</t>
  </si>
  <si>
    <t>Krāsu noteicēji ar runas funkciju</t>
  </si>
  <si>
    <t>Nr. p. k.</t>
  </si>
  <si>
    <t>3 </t>
  </si>
  <si>
    <t>2 </t>
  </si>
  <si>
    <t>Laikrāži (rokas  un galda ar runas funkciju, braila, vājredzīgo) </t>
  </si>
  <si>
    <t>Tehniskie palīglīdzekļi – tiflotehnika un surdotehnika</t>
  </si>
  <si>
    <t>ISO kods/ identifikācijas numurs</t>
  </si>
  <si>
    <t>Lietošanas laiku mainām no 5 uz 3</t>
  </si>
  <si>
    <t>Lietošanas laiku mainām no 2 uz 1</t>
  </si>
  <si>
    <t>1 </t>
  </si>
  <si>
    <t>Lietošanas laiku mainām no 3 uz 2</t>
  </si>
  <si>
    <t>Monokulārs </t>
  </si>
  <si>
    <t>Mainām nosaukumu no “Optiskie palīglīdzekļi” uz “Monokulārs”</t>
  </si>
  <si>
    <t>Skaņas ierakstīšanas un atskaņošanas ierīce (Daisy) </t>
  </si>
  <si>
    <t>papildināts/ precizēts TPL nosaukums</t>
  </si>
  <si>
    <t>Neredzīgām un vājredzīgām personām </t>
  </si>
  <si>
    <t>Iepriekš bija laikrāži ar runas funkciju, bet tā kā zem šī nosaukuma ir arī braila un vājredzīgo pulksteņi, tad mainām nosaukumu uz “Laikrāži”</t>
  </si>
  <si>
    <t>Neredzīgām personām ar sociālā darbinieka izsniegtu atzinumu par braila raksta prasmi. </t>
  </si>
  <si>
    <t xml:space="preserve">Datoru displeji ar skaņu  </t>
  </si>
  <si>
    <t>Grozījumi/komentāri</t>
  </si>
  <si>
    <t>LNS</t>
  </si>
  <si>
    <t>LNB</t>
  </si>
  <si>
    <t>Personu skaits</t>
  </si>
  <si>
    <t>TPL skaits</t>
  </si>
  <si>
    <t>x</t>
  </si>
  <si>
    <t xml:space="preserve">Savienotājvienības radio un televīzijas uztvērējiem </t>
  </si>
  <si>
    <t>22 24 03</t>
  </si>
  <si>
    <t>Tālruņi ar pastiprinātāju</t>
  </si>
  <si>
    <t>Apkalpoto personu skaits</t>
  </si>
  <si>
    <t>Izniegto TPL skaits</t>
  </si>
  <si>
    <t>Rinda uz 01.01.2021.</t>
  </si>
  <si>
    <t>Jauns</t>
  </si>
  <si>
    <r>
      <t xml:space="preserve">Plānotais </t>
    </r>
    <r>
      <rPr>
        <b/>
        <u/>
        <sz val="8"/>
        <rFont val="Times New Roman"/>
        <family val="1"/>
        <charset val="186"/>
      </rPr>
      <t xml:space="preserve">personu skaits </t>
    </r>
    <r>
      <rPr>
        <sz val="8"/>
        <rFont val="Times New Roman"/>
        <family val="1"/>
        <charset val="186"/>
      </rPr>
      <t>rindā pēc 4. kolonā norādītā TPL</t>
    </r>
  </si>
  <si>
    <r>
      <t xml:space="preserve">Vidējā TPL </t>
    </r>
    <r>
      <rPr>
        <u/>
        <sz val="8"/>
        <rFont val="Times New Roman"/>
        <family val="1"/>
        <charset val="186"/>
      </rPr>
      <t xml:space="preserve">vienas vienības cena, </t>
    </r>
    <r>
      <rPr>
        <b/>
        <u/>
        <sz val="8"/>
        <rFont val="Times New Roman"/>
        <family val="1"/>
        <charset val="186"/>
      </rPr>
      <t>euro</t>
    </r>
  </si>
  <si>
    <r>
      <t xml:space="preserve">Plānotais </t>
    </r>
    <r>
      <rPr>
        <b/>
        <u/>
        <sz val="8"/>
        <rFont val="Times New Roman"/>
        <family val="1"/>
        <charset val="186"/>
      </rPr>
      <t>TPL skaits</t>
    </r>
    <r>
      <rPr>
        <sz val="8"/>
        <rFont val="Times New Roman"/>
        <family val="1"/>
        <charset val="186"/>
      </rPr>
      <t>, lai apmierinātu 18. kolonā norādīto personu skaitu</t>
    </r>
  </si>
  <si>
    <t>LNS bāze</t>
  </si>
  <si>
    <t>LNS papildu</t>
  </si>
  <si>
    <t>LNB papildu</t>
  </si>
  <si>
    <t>Rinda uz 01.01.2022.</t>
  </si>
  <si>
    <t>Rinda uz 01.01.2023.</t>
  </si>
  <si>
    <t>Pieprasījums  KOPĀ 2022. gadā</t>
  </si>
  <si>
    <r>
      <t xml:space="preserve">Plānotais </t>
    </r>
    <r>
      <rPr>
        <b/>
        <u/>
        <sz val="8"/>
        <rFont val="Times New Roman"/>
        <family val="1"/>
        <charset val="186"/>
      </rPr>
      <t>personu skaits</t>
    </r>
    <r>
      <rPr>
        <sz val="8"/>
        <rFont val="Times New Roman"/>
        <family val="1"/>
        <charset val="186"/>
      </rPr>
      <t>, kuras vidēji mēnesī 2022. gadā stāsies rindā pēc 4. kolonā norādītā TPL</t>
    </r>
  </si>
  <si>
    <t>Pieprasījums  KOPĀ 2021. gadā</t>
  </si>
  <si>
    <t>Ietekme uz budžetu 2021. gadā, euro</t>
  </si>
  <si>
    <r>
      <t xml:space="preserve">Plānotais </t>
    </r>
    <r>
      <rPr>
        <b/>
        <u/>
        <sz val="8"/>
        <rFont val="Times New Roman"/>
        <family val="1"/>
        <charset val="186"/>
      </rPr>
      <t>personu skaits</t>
    </r>
    <r>
      <rPr>
        <sz val="8"/>
        <rFont val="Times New Roman"/>
        <family val="1"/>
        <charset val="186"/>
      </rPr>
      <t>, kuras vidēji mēnesī 2021. gadā stāsies rindā pēc 4. kolonā norādītā TPL</t>
    </r>
  </si>
  <si>
    <t>Ietekme uz budžetu 2022. gadā, euro</t>
  </si>
  <si>
    <t>32250000-0</t>
  </si>
  <si>
    <t>38520000-6</t>
  </si>
  <si>
    <t>Kopā</t>
  </si>
  <si>
    <t>KOPĀ</t>
  </si>
  <si>
    <t>2021.gads</t>
  </si>
  <si>
    <t>2022.gads</t>
  </si>
  <si>
    <t>Personu skaits rindā</t>
  </si>
  <si>
    <t>01.01.2021.</t>
  </si>
  <si>
    <t>01.01.2022.</t>
  </si>
  <si>
    <t>01.01.2023.</t>
  </si>
  <si>
    <t>Plānotais personu skaits rindā</t>
  </si>
  <si>
    <t>2021.gadā</t>
  </si>
  <si>
    <t>2022.gadā</t>
  </si>
  <si>
    <t>Izsniegtais TPL skaits</t>
  </si>
  <si>
    <t>Plānotais personu skaits, kuras saņem TPL</t>
  </si>
  <si>
    <t>2023.gads</t>
  </si>
  <si>
    <t>01.01.2024.</t>
  </si>
  <si>
    <t>2023.gadā</t>
  </si>
  <si>
    <r>
      <t xml:space="preserve">Plānotais </t>
    </r>
    <r>
      <rPr>
        <b/>
        <u/>
        <sz val="8"/>
        <rFont val="Times New Roman"/>
        <family val="1"/>
        <charset val="186"/>
      </rPr>
      <t>personu skaits</t>
    </r>
    <r>
      <rPr>
        <sz val="8"/>
        <rFont val="Times New Roman"/>
        <family val="1"/>
        <charset val="186"/>
      </rPr>
      <t>, kuras vidēji mēnesī 2023. gadā stāsies rindā pēc 4. kolonā norādītā TPL</t>
    </r>
  </si>
  <si>
    <t>Pieprasījums  KOPĀ 2023. gadā</t>
  </si>
  <si>
    <t>Ietekme uz budžetu 2023. gadā, euro</t>
  </si>
  <si>
    <t>Rinda uz 01.01.2024.</t>
  </si>
  <si>
    <t>Surdotehnika</t>
  </si>
  <si>
    <t>Tiflotehnika</t>
  </si>
  <si>
    <t>TPL veids</t>
  </si>
  <si>
    <t>32343000-9</t>
  </si>
  <si>
    <t>Valkājami dzirdes palīglīdzekļi (komunikatori)</t>
  </si>
  <si>
    <t>32510000-1</t>
  </si>
  <si>
    <t>31625100-4</t>
  </si>
  <si>
    <t>22 27 21</t>
  </si>
  <si>
    <t>Vides avārijas signalizācijas sistēmas</t>
  </si>
  <si>
    <t>Nedzirdīgām un vājdzirdīgām personām no 7 gadu vecuma</t>
  </si>
  <si>
    <t>Izmaiņas</t>
  </si>
  <si>
    <r>
      <t xml:space="preserve">Plānotais </t>
    </r>
    <r>
      <rPr>
        <b/>
        <u/>
        <sz val="8"/>
        <rFont val="Times New Roman"/>
        <family val="1"/>
        <charset val="186"/>
      </rPr>
      <t>TPL skaits</t>
    </r>
    <r>
      <rPr>
        <sz val="8"/>
        <rFont val="Times New Roman"/>
        <family val="1"/>
        <charset val="186"/>
      </rPr>
      <t>, lai apmierinātu 8. kolonā norādīto personu skaitu</t>
    </r>
  </si>
  <si>
    <r>
      <t xml:space="preserve">Plānotais </t>
    </r>
    <r>
      <rPr>
        <b/>
        <u/>
        <sz val="8"/>
        <rFont val="Times New Roman"/>
        <family val="1"/>
        <charset val="186"/>
      </rPr>
      <t>TPL skaits</t>
    </r>
    <r>
      <rPr>
        <sz val="8"/>
        <rFont val="Times New Roman"/>
        <family val="1"/>
        <charset val="186"/>
      </rPr>
      <t>, lai apmierinātu 10. kolonā norādīto personu skaitu</t>
    </r>
  </si>
  <si>
    <t>papildināts/ precizēts TPL nosaukums/jauns</t>
  </si>
  <si>
    <t>2022. gads</t>
  </si>
  <si>
    <t>2021. gads</t>
  </si>
  <si>
    <t>2023. gads</t>
  </si>
  <si>
    <t>22 18 27</t>
  </si>
  <si>
    <t>Aizauss dzirdes aparāti ar kaula vadāmības stīpu/Aizauss dzirdes aparāti/Kabatas dzirdes aparāti</t>
  </si>
  <si>
    <t>16/17/18</t>
  </si>
  <si>
    <t>48000000-0</t>
  </si>
  <si>
    <t>22 24 24</t>
  </si>
  <si>
    <t>Specializētas palīgprogrammas mobilajiem tālruņiem teksta palielināšanai vai pārvēršanai skaņās</t>
  </si>
  <si>
    <t>2.Pielikums</t>
  </si>
  <si>
    <t>Ministru kabineta noteikumu projekta „Kārtība, kādā Latvijas Neredzīgo biedrība un Latvijas Nedzirdīgo savienība sniedz sociālās rehabilitācijas pakalpojumus un nodrošina tehniskos palīglīdzekļus – tiflotehniku un surdotehniku” sākotnējās ietekmes novērtējuma ziņojumam (anotācijai)</t>
  </si>
  <si>
    <t>Ministru kabineta noteikumu projekta „Kārtība, kādā Latvijas Neredzīgo biedrība un Latvijas Nedzirdīgo savienība sniedz sociālās rehabilitācijas pakalpojumus un nodrošina tehniskos palīglīdzekļus – tiflotehniku un surdotehniku” ietekme uz valsts budžetu un pakalpojuma izpildes rādītājiem/ KOPSAVILKUMS</t>
  </si>
  <si>
    <t>2. Pielikuma 1. tabula</t>
  </si>
  <si>
    <t>2. Pielikuma 2. tabula</t>
  </si>
  <si>
    <t>2. Pielikuma 3. tabula</t>
  </si>
  <si>
    <t>2. Pielikuma 4. tabula</t>
  </si>
  <si>
    <t>2. Pielikuma 5. tabula</t>
  </si>
  <si>
    <t>2. Pielikuma 6. tabula</t>
  </si>
  <si>
    <t>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2021. gadā</t>
  </si>
  <si>
    <t>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2022. gadā</t>
  </si>
  <si>
    <t>2. Pielikuma 7. tabula</t>
  </si>
  <si>
    <t>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2023. gadā</t>
  </si>
  <si>
    <t>Detalizēti aprēķinus skat. 2.pielikuma aprēķina tabulās:</t>
  </si>
  <si>
    <t>vecākā eksperte</t>
  </si>
  <si>
    <t>Sandra.Strele@lm.gov.lv</t>
  </si>
  <si>
    <t>Sandra Strēle</t>
  </si>
  <si>
    <t xml:space="preserve">LM Sociālo pakalpojumu departamenta </t>
  </si>
  <si>
    <t>Tālr. 64331831</t>
  </si>
  <si>
    <t>Kopā*</t>
  </si>
  <si>
    <r>
      <rPr>
        <b/>
        <sz val="8"/>
        <rFont val="Times New Roman"/>
        <family val="1"/>
        <charset val="186"/>
      </rPr>
      <t xml:space="preserve">Faktiskais </t>
    </r>
    <r>
      <rPr>
        <b/>
        <u/>
        <sz val="8"/>
        <rFont val="Times New Roman"/>
        <family val="1"/>
        <charset val="186"/>
      </rPr>
      <t xml:space="preserve">personu skaits </t>
    </r>
    <r>
      <rPr>
        <sz val="8"/>
        <rFont val="Times New Roman"/>
        <family val="1"/>
        <charset val="186"/>
      </rPr>
      <t>rindā pēc 4. kolonā norādītā TPL</t>
    </r>
  </si>
  <si>
    <t>2. Pielikuma 8. tabula</t>
  </si>
  <si>
    <t>2. Pielikuma 9. tabula</t>
  </si>
  <si>
    <t>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2024. gadā</t>
  </si>
  <si>
    <t>2024. gads</t>
  </si>
  <si>
    <t>Pieprasījums  KOPĀ 2024. gadā</t>
  </si>
  <si>
    <t>Rinda uz 01.01.2025.</t>
  </si>
  <si>
    <r>
      <t xml:space="preserve">Plānotais </t>
    </r>
    <r>
      <rPr>
        <b/>
        <u/>
        <sz val="8"/>
        <rFont val="Times New Roman"/>
        <family val="1"/>
        <charset val="186"/>
      </rPr>
      <t>personu skaits</t>
    </r>
    <r>
      <rPr>
        <sz val="8"/>
        <rFont val="Times New Roman"/>
        <family val="1"/>
        <charset val="186"/>
      </rPr>
      <t>, kuras vidēji mēnesī 2024. gadā stāsies rindā pēc 4. kolonā norādītā TPL</t>
    </r>
  </si>
  <si>
    <t>Ietekme uz budžetu 2024. gadā, euro</t>
  </si>
  <si>
    <t>Personu skaits, kuras saņem TPL (apkalpoto pers.sk.)</t>
  </si>
  <si>
    <t>2024.gads</t>
  </si>
  <si>
    <r>
      <t xml:space="preserve">Pakalpojuma izpildes rādītāji atbilstošoi </t>
    </r>
    <r>
      <rPr>
        <b/>
        <sz val="10"/>
        <rFont val="Times New Roman"/>
        <family val="1"/>
        <charset val="186"/>
      </rPr>
      <t>Ministru kabineta 15.12.2009. noteikumiem Nr.1472</t>
    </r>
    <r>
      <rPr>
        <sz val="8"/>
        <rFont val="Times New Roman"/>
        <family val="1"/>
        <charset val="186"/>
      </rPr>
      <t xml:space="preserve"> "Kārtība, kādā Latvijas Neredzīgo biedrība un Latvijas Nedzirdīgo savienība sniedz sociālās rehabilitācijas pakalpojumus un nodrošina tehniskos palīglīdzekļus – tiflotehniku un surdotehniku"</t>
    </r>
  </si>
  <si>
    <t>Pakalpojumam pieejamie resursi, t.sk. administrēšana un pakalpojuma nodrošināšana</t>
  </si>
  <si>
    <t>01.01.2025.</t>
  </si>
  <si>
    <t>2024.gadā</t>
  </si>
  <si>
    <t>2. Pielikuma 10. tabula</t>
  </si>
  <si>
    <t>2. Pielikuma 11. tabula</t>
  </si>
  <si>
    <t>Ministru kabineta noteikumu projekta „Kārtība, kādā Latvijas Neredzīgo biedrība un Latvijas Nedzirdīgo savienība sniedz sociālās rehabilitācijas pakalpojumus un nodrošina tehniskos palīglīdzekļus – tiflotehniku un surdotehniku” izpildes rādītāji 2021. gadā (esošā budžeta ietvaros)</t>
  </si>
  <si>
    <t>Ministru kabineta noteikumu projekta „Kārtība, kādā Latvijas Neredzīgo biedrība un Latvijas Nedzirdīgo savienība sniedz sociālās rehabilitācijas pakalpojumus un nodrošina tehniskos palīglīdzekļus – tiflotehniku un surdotehniku” izpildes rādītāji 2022. gadā  (esošā budžeta ietvaros)</t>
  </si>
  <si>
    <t xml:space="preserve">Ministru kabineta noteikumu projekta „Kārtība, kādā Latvijas Neredzīgo biedrība un Latvijas Nedzirdīgo savienība sniedz sociālās rehabilitācijas pakalpojumus un nodrošina tehniskos palīglīdzekļus – tiflotehniku un surdotehniku” sākotnējās ietekmes novērtējuma ziņojumam (anotācijai) </t>
  </si>
  <si>
    <t>Ministru kabineta noteikumu projekta „Kārtība, kādā Latvijas Neredzīgo biedrība un Latvijas Nedzirdīgo savienība sniedz sociālās rehabilitācijas pakalpojumus un nodrošina tehniskos palīglīdzekļus – tiflotehniku un surdotehniku” izpildes rādītāji 2024. gadā  (esošā budžeta ietvaros)</t>
  </si>
  <si>
    <t xml:space="preserve">Ministru kabineta noteikumu projekta „Kārtība, kādā Latvijas Neredzīgo biedrība un Latvijas Nedzirdīgo savienība sniedz sociālās rehabilitācijas pakalpojumus un nodrošina tehniskos palīglīdzekļus – tiflotehniku un surdotehniku” sākotnējās ietekmes novērtējuma ziņojumam (anotācijai)  </t>
  </si>
  <si>
    <t>Ministru kabineta noteikumu projekta „Kārtība, kādā Latvijas Neredzīgo biedrība un Latvijas Nedzirdīgo savienība sniedz sociālās rehabilitācijas pakalpojumus un nodrošina tehniskos palīglīdzekļus – tiflotehniku un surdotehniku” izpildes rādītāji 2023. gadā (esošā budžeta ietvaros)</t>
  </si>
  <si>
    <r>
      <t>Ministru kabineta noteikumu projekta „Kārtība, kādā Latvijas Neredzīgo biedrība un Latvijas Nedzirdīgo savienība sniedz sociālās rehabilitācijas pakalpojumus un nodrošina tehniskos palīglīdzekļus – tiflotehniku un surdotehniku” ietekme uz valsts budžetu un pakalpojuma izpildes rādītājiem</t>
    </r>
    <r>
      <rPr>
        <b/>
        <sz val="10"/>
        <rFont val="Times New Roman"/>
        <family val="1"/>
        <charset val="186"/>
      </rPr>
      <t xml:space="preserve"> bez papildu finansējuma</t>
    </r>
  </si>
  <si>
    <t>Plāns</t>
  </si>
  <si>
    <t>LNS izdevumu plāns</t>
  </si>
  <si>
    <t>LNB izdevumu plāns</t>
  </si>
  <si>
    <t>izdevumi TPL</t>
  </si>
  <si>
    <t>papildu finansējums 2021.gadā</t>
  </si>
  <si>
    <t>papildu nepieciešamais finansējums 2022.gadā TPL iegādei un pielāgošanai</t>
  </si>
  <si>
    <t>papildu nepieciešamais finansējums 2023.gadā TPL iegādei un pielāgošanai</t>
  </si>
  <si>
    <t>papildu nepieciešamais finansējums 2024.gadā TPL iegādei un pielāgošanai</t>
  </si>
  <si>
    <t>2024. gads vidēji mēnesī</t>
  </si>
  <si>
    <t>2023. gads vidēji mēnesī</t>
  </si>
  <si>
    <t>2022. gads vidēji mēnesī</t>
  </si>
  <si>
    <t>2021. gads vidēji mēnesī</t>
  </si>
  <si>
    <t>Iestādes kapacitāte</t>
  </si>
  <si>
    <t xml:space="preserve">papildu finansējums 2022.gadā </t>
  </si>
  <si>
    <t xml:space="preserve">papildu finansējums 2023.gadā </t>
  </si>
  <si>
    <t xml:space="preserve">papildu finansējums 2024.gadā </t>
  </si>
  <si>
    <t>*t.sk.:</t>
  </si>
  <si>
    <t>LNB tiflotehnikas izdevumi</t>
  </si>
  <si>
    <t>LNB pakalpojuma nodrošināšanas izdevumi</t>
  </si>
  <si>
    <t>LNB administrēšanas izdevumi</t>
  </si>
  <si>
    <t>LNS surdotehnikas izdevumi</t>
  </si>
  <si>
    <t>LNS administrēšanas izdevumi</t>
  </si>
  <si>
    <t>Administrēšanas izdevumi, %</t>
  </si>
  <si>
    <t>euro</t>
  </si>
  <si>
    <t>Surdotehnikas nodrošināšanas pakalpojums</t>
  </si>
  <si>
    <t>Tifotehnikas nodrošināšanas pakalpojums</t>
  </si>
  <si>
    <t xml:space="preserve">Latvijas Neredzīgo biedrības sociālās rehabilitācijas pakalpojumu sniegšana redzes invalīdiem </t>
  </si>
  <si>
    <t>Latvijas Nedzirdīgo savienības sociālās rehabilitācijas pakalpojumu sniegšana dzirdes invalīdiem</t>
  </si>
  <si>
    <t>Latvijas Nedzirdīgo savienība/ surdotulka pakalpojumi personām ar dzirdes invaliditāti</t>
  </si>
  <si>
    <r>
      <t xml:space="preserve">Apakšprogramma 05.01.00 "Sociālās rehabilitācijas valsts programma" KOPĀ, </t>
    </r>
    <r>
      <rPr>
        <sz val="11"/>
        <color theme="1"/>
        <rFont val="Times New Roman"/>
        <family val="1"/>
        <charset val="186"/>
      </rPr>
      <t>t.sk.:</t>
    </r>
  </si>
  <si>
    <t>LNS/LNB KOPĀ</t>
  </si>
  <si>
    <r>
      <t xml:space="preserve">Ministru kabineta noteikumu projekta „Kārtība, kādā Latvijas Neredzīgo biedrība un Latvijas Nedzirdīgo savienība sniedz sociālās rehabilitācijas pakalpojumus un nodrošina tehniskos palīglīdzekļus – tiflotehniku un surdotehniku” izpildes rādītāji 2024. gadā  </t>
    </r>
    <r>
      <rPr>
        <b/>
        <sz val="14"/>
        <color rgb="FFFF0000"/>
        <rFont val="Times New Roman"/>
        <family val="1"/>
        <charset val="186"/>
      </rPr>
      <t xml:space="preserve"> </t>
    </r>
    <r>
      <rPr>
        <b/>
        <sz val="14"/>
        <rFont val="Times New Roman"/>
        <family val="1"/>
        <charset val="186"/>
      </rPr>
      <t>(ar papildu finansējumu)</t>
    </r>
  </si>
  <si>
    <t>Ministru kabineta noteikumu projekta „Kārtība, kādā Latvijas Neredzīgo biedrība un Latvijas Nedzirdīgo savienība sniedz sociālās rehabilitācijas pakalpojumus un nodrošina tehniskos palīglīdzekļus – tiflotehniku un surdotehniku” izpildes rādītāji 2023. gadā (ar papildu finansējumu)</t>
  </si>
  <si>
    <t>Ministru kabineta noteikumu projekta „Kārtība, kādā Latvijas Neredzīgo biedrība un Latvijas Nedzirdīgo savienība sniedz sociālās rehabilitācijas pakalpojumus un nodrošina tehniskos palīglīdzekļus – tiflotehniku un surdotehniku” izpildes rādītāji 2022. gadā  (ar papildu finansējumu)</t>
  </si>
  <si>
    <r>
      <t xml:space="preserve">2024.gads </t>
    </r>
    <r>
      <rPr>
        <i/>
        <sz val="12"/>
        <rFont val="Times New Roman"/>
        <family val="1"/>
        <charset val="186"/>
      </rPr>
      <t>(turpmāk ik gadu)</t>
    </r>
  </si>
  <si>
    <r>
      <t>Ministru kabineta noteikumu projekta „Kārtība, kādā Latvijas Neredzīgo biedrība un Latvijas Nedzirdīgo savienība sniedz sociālās rehabilitācijas pakalpojumus un nodrošina tehniskos palīglīdzekļus – tiflotehniku un surdotehniku” ietekme uz valsts budžetu un pakalpojuma izpildes rādītājiem</t>
    </r>
    <r>
      <rPr>
        <b/>
        <sz val="8"/>
        <rFont val="Times New Roman"/>
        <family val="1"/>
        <charset val="186"/>
      </rPr>
      <t xml:space="preserve"> </t>
    </r>
    <r>
      <rPr>
        <b/>
        <sz val="10"/>
        <rFont val="Times New Roman"/>
        <family val="1"/>
        <charset val="186"/>
      </rPr>
      <t>ar papildu finansējumu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</si>
</sst>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name val="Times New Roman"/>
      <family val="1"/>
      <charset val="186"/>
    </font>
    <font>
      <b/>
      <sz val="11"/>
      <name val="Times New Roman"/>
      <family val="1"/>
      <charset val="186"/>
    </font>
    <font>
      <b/>
      <sz val="14"/>
      <name val="Times New Roman"/>
      <family val="1"/>
      <charset val="186"/>
    </font>
    <font>
      <i/>
      <sz val="11"/>
      <name val="Times New Roman"/>
      <family val="1"/>
      <charset val="186"/>
    </font>
    <font>
      <sz val="8"/>
      <name val="Times New Roman"/>
      <family val="1"/>
      <charset val="186"/>
    </font>
    <font>
      <b/>
      <sz val="8"/>
      <name val="Times New Roman"/>
      <family val="1"/>
      <charset val="186"/>
    </font>
    <font>
      <b/>
      <u/>
      <sz val="8"/>
      <name val="Times New Roman"/>
      <family val="1"/>
      <charset val="186"/>
    </font>
    <font>
      <i/>
      <sz val="8"/>
      <name val="Times New Roman"/>
      <family val="1"/>
      <charset val="186"/>
    </font>
    <font>
      <u/>
      <sz val="8"/>
      <name val="Times New Roman"/>
      <family val="1"/>
      <charset val="186"/>
    </font>
    <font>
      <i/>
      <sz val="9"/>
      <name val="Times New Roman"/>
      <family val="1"/>
      <charset val="186"/>
    </font>
    <font>
      <sz val="10"/>
      <name val="Times New Roman"/>
      <family val="1"/>
      <charset val="186"/>
    </font>
    <font>
      <i/>
      <sz val="14"/>
      <name val="Times New Roman"/>
      <family val="1"/>
      <charset val="186"/>
    </font>
    <font>
      <u/>
      <sz val="11"/>
      <color theme="10"/>
      <name val="Calibri"/>
      <family val="2"/>
      <scheme val="minor"/>
    </font>
    <font>
      <sz val="11"/>
      <color rgb="FFFF0000"/>
      <name val="Times New Roman"/>
      <family val="1"/>
      <charset val="186"/>
    </font>
    <font>
      <sz val="8"/>
      <color rgb="FFFF0000"/>
      <name val="Times New Roman"/>
      <family val="1"/>
      <charset val="186"/>
    </font>
    <font>
      <i/>
      <sz val="9"/>
      <color rgb="FFFF0000"/>
      <name val="Times New Roman"/>
      <family val="1"/>
      <charset val="186"/>
    </font>
    <font>
      <b/>
      <sz val="14"/>
      <color rgb="FFFF0000"/>
      <name val="Times New Roman"/>
      <family val="1"/>
      <charset val="186"/>
    </font>
    <font>
      <i/>
      <sz val="8"/>
      <color rgb="FFFF0000"/>
      <name val="Times New Roman"/>
      <family val="1"/>
      <charset val="186"/>
    </font>
    <font>
      <b/>
      <sz val="11"/>
      <color rgb="FFFF0000"/>
      <name val="Times New Roman"/>
      <family val="1"/>
      <charset val="186"/>
    </font>
    <font>
      <b/>
      <i/>
      <sz val="14"/>
      <color rgb="FFFF0000"/>
      <name val="Times New Roman"/>
      <family val="1"/>
      <charset val="186"/>
    </font>
    <font>
      <b/>
      <sz val="9"/>
      <name val="Times New Roman"/>
      <family val="1"/>
      <charset val="186"/>
    </font>
    <font>
      <sz val="9"/>
      <name val="Times New Roman"/>
      <family val="1"/>
      <charset val="186"/>
    </font>
    <font>
      <b/>
      <sz val="10"/>
      <name val="Times New Roman"/>
      <family val="1"/>
      <charset val="186"/>
    </font>
    <font>
      <i/>
      <sz val="20"/>
      <name val="Times New Roman"/>
      <family val="1"/>
      <charset val="186"/>
    </font>
    <font>
      <i/>
      <sz val="20"/>
      <color rgb="FFFF0000"/>
      <name val="Times New Roman"/>
      <family val="1"/>
      <charset val="186"/>
    </font>
    <font>
      <b/>
      <sz val="12"/>
      <name val="Times New Roman"/>
      <family val="1"/>
      <charset val="186"/>
    </font>
    <font>
      <b/>
      <sz val="10"/>
      <name val="Arial"/>
      <family val="2"/>
      <charset val="186"/>
    </font>
    <font>
      <sz val="10"/>
      <name val="Arial"/>
      <family val="2"/>
      <charset val="186"/>
    </font>
    <font>
      <u/>
      <sz val="11"/>
      <name val="Calibri"/>
      <family val="2"/>
      <scheme val="minor"/>
    </font>
    <font>
      <sz val="7"/>
      <name val="Times New Roman"/>
      <family val="1"/>
      <charset val="186"/>
    </font>
    <font>
      <i/>
      <sz val="8"/>
      <color theme="0" tint="-0.34998626667073579"/>
      <name val="Times New Roman"/>
      <family val="1"/>
      <charset val="186"/>
    </font>
    <font>
      <i/>
      <sz val="8"/>
      <color theme="0" tint="-0.499984740745262"/>
      <name val="Times New Roman"/>
      <family val="1"/>
      <charset val="186"/>
    </font>
    <font>
      <i/>
      <sz val="7"/>
      <color theme="1"/>
      <name val="Calibri"/>
      <family val="2"/>
      <charset val="186"/>
      <scheme val="minor"/>
    </font>
    <font>
      <sz val="11"/>
      <color theme="1"/>
      <name val="Times New Roman"/>
      <family val="1"/>
      <charset val="186"/>
    </font>
    <font>
      <b/>
      <sz val="11"/>
      <color theme="1"/>
      <name val="Times New Roman"/>
      <family val="1"/>
      <charset val="186"/>
    </font>
    <font>
      <i/>
      <sz val="11"/>
      <color theme="1"/>
      <name val="Times New Roman"/>
      <family val="1"/>
      <charset val="186"/>
    </font>
    <font>
      <i/>
      <sz val="11"/>
      <color theme="1"/>
      <name val="Calibri"/>
      <family val="2"/>
      <charset val="186"/>
      <scheme val="minor"/>
    </font>
    <font>
      <b/>
      <sz val="10"/>
      <color theme="1"/>
      <name val="Times New Roman"/>
      <family val="1"/>
      <charset val="186"/>
    </font>
    <font>
      <i/>
      <sz val="12"/>
      <name val="Times New Roman"/>
      <family val="1"/>
      <charset val="186"/>
    </font>
  </fonts>
  <fills count="6">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13" fillId="0" borderId="0" applyNumberFormat="0" applyFill="0" applyBorder="0" applyAlignment="0" applyProtection="0"/>
    <xf numFmtId="0" fontId="28" fillId="0" borderId="0"/>
  </cellStyleXfs>
  <cellXfs count="206">
    <xf numFmtId="0" fontId="0" fillId="0" borderId="0" xfId="0"/>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4" fontId="2" fillId="2" borderId="2" xfId="0" applyNumberFormat="1" applyFont="1" applyFill="1" applyBorder="1" applyAlignment="1" applyProtection="1">
      <alignment horizontal="right" vertical="center" wrapText="1"/>
    </xf>
    <xf numFmtId="4" fontId="2" fillId="0" borderId="2" xfId="0" applyNumberFormat="1" applyFont="1" applyBorder="1" applyAlignment="1" applyProtection="1">
      <alignment horizontal="right" vertical="center"/>
    </xf>
    <xf numFmtId="4" fontId="2" fillId="2" borderId="2" xfId="0" applyNumberFormat="1" applyFont="1" applyFill="1" applyBorder="1" applyAlignment="1">
      <alignment horizontal="right" vertical="center" wrapText="1"/>
    </xf>
    <xf numFmtId="0" fontId="6" fillId="0" borderId="0" xfId="0" applyFont="1" applyAlignment="1" applyProtection="1">
      <alignment horizontal="center" vertical="center"/>
    </xf>
    <xf numFmtId="0" fontId="6" fillId="2" borderId="0" xfId="0" applyFont="1" applyFill="1" applyBorder="1" applyAlignment="1" applyProtection="1">
      <alignment horizontal="center" vertical="center" wrapText="1"/>
    </xf>
    <xf numFmtId="0" fontId="5" fillId="0" borderId="0" xfId="0" applyFont="1" applyAlignment="1" applyProtection="1">
      <alignment horizontal="center" vertical="center"/>
    </xf>
    <xf numFmtId="3" fontId="2" fillId="2" borderId="1" xfId="0" applyNumberFormat="1"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wrapText="1"/>
      <protection locked="0"/>
    </xf>
    <xf numFmtId="3" fontId="1" fillId="3" borderId="1" xfId="0" applyNumberFormat="1" applyFont="1" applyFill="1" applyBorder="1" applyAlignment="1" applyProtection="1">
      <alignment horizontal="center" vertical="center"/>
      <protection locked="0"/>
    </xf>
    <xf numFmtId="3" fontId="1" fillId="0" borderId="1" xfId="0" applyNumberFormat="1" applyFont="1" applyBorder="1" applyAlignment="1" applyProtection="1">
      <alignment horizontal="center" vertical="center"/>
    </xf>
    <xf numFmtId="3" fontId="2"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1" fillId="0" borderId="1" xfId="0" applyNumberFormat="1" applyFont="1" applyFill="1" applyBorder="1" applyAlignment="1" applyProtection="1">
      <alignment horizontal="center" vertical="center" wrapText="1"/>
    </xf>
    <xf numFmtId="3" fontId="1" fillId="0" borderId="1"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xf>
    <xf numFmtId="3" fontId="8" fillId="0" borderId="0" xfId="0" applyNumberFormat="1" applyFont="1" applyAlignment="1" applyProtection="1">
      <alignment vertical="center"/>
    </xf>
    <xf numFmtId="0" fontId="5" fillId="0" borderId="0" xfId="0"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xf numFmtId="4" fontId="2" fillId="0" borderId="0" xfId="0" applyNumberFormat="1" applyFont="1" applyAlignment="1" applyProtection="1">
      <alignment horizontal="center" vertical="center"/>
    </xf>
    <xf numFmtId="4" fontId="1" fillId="3" borderId="1" xfId="0" applyNumberFormat="1" applyFont="1" applyFill="1" applyBorder="1" applyAlignment="1" applyProtection="1">
      <alignment vertical="center"/>
      <protection locked="0"/>
    </xf>
    <xf numFmtId="3" fontId="5" fillId="0" borderId="0" xfId="0" applyNumberFormat="1" applyFont="1" applyBorder="1" applyAlignment="1" applyProtection="1">
      <alignment horizontal="center" vertical="center" wrapText="1"/>
    </xf>
    <xf numFmtId="4" fontId="2" fillId="2" borderId="1" xfId="0" applyNumberFormat="1" applyFont="1" applyFill="1" applyBorder="1" applyAlignment="1">
      <alignment horizontal="center" vertical="center" wrapText="1"/>
    </xf>
    <xf numFmtId="0" fontId="5" fillId="0" borderId="0" xfId="0" applyFont="1" applyFill="1" applyAlignment="1" applyProtection="1">
      <alignment horizontal="center" vertical="center" wrapText="1"/>
    </xf>
    <xf numFmtId="0" fontId="10" fillId="0" borderId="0" xfId="0" applyFont="1" applyFill="1" applyAlignment="1" applyProtection="1">
      <alignment vertical="center" wrapText="1"/>
    </xf>
    <xf numFmtId="0" fontId="10" fillId="0" borderId="0" xfId="0" applyFont="1" applyAlignment="1" applyProtection="1">
      <alignment vertical="center" wrapText="1"/>
    </xf>
    <xf numFmtId="0" fontId="10" fillId="0" borderId="0" xfId="0" applyFont="1" applyAlignment="1" applyProtection="1">
      <alignment horizontal="center" wrapText="1"/>
    </xf>
    <xf numFmtId="0" fontId="1"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justify" vertical="center" wrapText="1"/>
    </xf>
    <xf numFmtId="0" fontId="1" fillId="0" borderId="1" xfId="0" applyFont="1" applyBorder="1" applyAlignment="1" applyProtection="1">
      <alignment horizontal="center" vertical="center" wrapText="1"/>
    </xf>
    <xf numFmtId="4" fontId="1" fillId="0" borderId="2" xfId="0" applyNumberFormat="1" applyFont="1" applyBorder="1" applyAlignment="1" applyProtection="1">
      <alignment horizontal="right" vertic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xf>
    <xf numFmtId="0" fontId="11" fillId="0" borderId="0" xfId="0" applyFont="1" applyFill="1" applyAlignment="1" applyProtection="1">
      <alignment horizontal="right" vertical="center" wrapText="1"/>
    </xf>
    <xf numFmtId="0" fontId="5" fillId="0" borderId="1" xfId="0" applyFont="1" applyBorder="1" applyAlignment="1" applyProtection="1">
      <alignment horizontal="justify" vertical="center" wrapText="1"/>
    </xf>
    <xf numFmtId="0" fontId="8" fillId="0" borderId="1" xfId="0" applyFont="1" applyBorder="1" applyAlignment="1" applyProtection="1">
      <alignment horizontal="center" vertical="center" wrapText="1"/>
    </xf>
    <xf numFmtId="0" fontId="1" fillId="2" borderId="1" xfId="0" applyFont="1" applyFill="1" applyBorder="1" applyAlignment="1" applyProtection="1">
      <alignment horizontal="justify" vertical="center" wrapText="1"/>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8" fillId="0" borderId="1" xfId="0" applyFont="1" applyBorder="1" applyAlignment="1" applyProtection="1">
      <alignment horizontal="justify" vertical="center" wrapText="1"/>
    </xf>
    <xf numFmtId="0" fontId="8" fillId="0" borderId="1" xfId="0" applyFont="1" applyFill="1" applyBorder="1" applyAlignment="1" applyProtection="1">
      <alignment horizontal="justify" vertical="center" wrapText="1"/>
    </xf>
    <xf numFmtId="0" fontId="1" fillId="0" borderId="0" xfId="0" applyFont="1" applyAlignment="1" applyProtection="1">
      <alignment vertical="center"/>
    </xf>
    <xf numFmtId="0" fontId="1"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horizontal="justify" vertical="center" wrapText="1"/>
    </xf>
    <xf numFmtId="0" fontId="8" fillId="0" borderId="0" xfId="0" applyFont="1" applyFill="1" applyBorder="1" applyAlignment="1" applyProtection="1">
      <alignment horizontal="justify" vertical="center" wrapText="1"/>
    </xf>
    <xf numFmtId="0" fontId="1" fillId="0" borderId="6" xfId="0" applyFont="1" applyFill="1" applyBorder="1" applyAlignment="1" applyProtection="1">
      <alignment horizontal="left" vertical="center" wrapText="1"/>
    </xf>
    <xf numFmtId="0" fontId="1" fillId="0" borderId="6"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protection locked="0"/>
    </xf>
    <xf numFmtId="3" fontId="1" fillId="0" borderId="1" xfId="0" applyNumberFormat="1" applyFont="1" applyFill="1" applyBorder="1" applyAlignment="1">
      <alignment horizontal="center" vertical="center"/>
    </xf>
    <xf numFmtId="4" fontId="10" fillId="0" borderId="0" xfId="0" applyNumberFormat="1" applyFont="1" applyAlignment="1" applyProtection="1">
      <alignment vertical="center" wrapText="1"/>
    </xf>
    <xf numFmtId="4" fontId="1" fillId="0" borderId="0" xfId="0" applyNumberFormat="1" applyFont="1" applyAlignment="1" applyProtection="1">
      <alignment vertical="center"/>
    </xf>
    <xf numFmtId="3" fontId="1" fillId="0" borderId="0" xfId="0" applyNumberFormat="1" applyFont="1" applyAlignment="1" applyProtection="1">
      <alignment vertical="center"/>
    </xf>
    <xf numFmtId="3" fontId="11" fillId="0" borderId="0" xfId="0" applyNumberFormat="1" applyFont="1" applyFill="1" applyAlignment="1" applyProtection="1">
      <alignment horizontal="right" vertical="center" wrapText="1"/>
    </xf>
    <xf numFmtId="4" fontId="10" fillId="0" borderId="0" xfId="0" applyNumberFormat="1" applyFont="1" applyFill="1" applyAlignment="1" applyProtection="1">
      <alignment vertical="center" wrapText="1"/>
    </xf>
    <xf numFmtId="0" fontId="1" fillId="0" borderId="0" xfId="0" applyFont="1" applyFill="1" applyAlignment="1" applyProtection="1">
      <alignment horizontal="right" vertical="center"/>
    </xf>
    <xf numFmtId="4" fontId="1" fillId="0" borderId="0" xfId="0" applyNumberFormat="1" applyFont="1" applyFill="1" applyAlignment="1" applyProtection="1">
      <alignment vertical="center"/>
    </xf>
    <xf numFmtId="0" fontId="8" fillId="0" borderId="0" xfId="0" applyFont="1" applyBorder="1" applyAlignment="1" applyProtection="1">
      <alignment horizontal="center" vertical="center" wrapText="1"/>
    </xf>
    <xf numFmtId="0" fontId="2" fillId="2" borderId="0" xfId="0" applyFont="1" applyFill="1" applyBorder="1" applyAlignment="1" applyProtection="1">
      <alignment horizontal="justify" vertical="center" wrapText="1"/>
    </xf>
    <xf numFmtId="0" fontId="4" fillId="0" borderId="0" xfId="0" applyFont="1" applyAlignment="1" applyProtection="1">
      <alignment horizontal="left" vertical="center" wrapText="1"/>
    </xf>
    <xf numFmtId="4" fontId="8" fillId="0" borderId="0" xfId="0" applyNumberFormat="1" applyFont="1" applyAlignment="1" applyProtection="1">
      <alignment vertical="center"/>
    </xf>
    <xf numFmtId="0" fontId="12" fillId="0" borderId="0" xfId="0" applyFont="1" applyAlignment="1" applyProtection="1">
      <alignment vertical="center"/>
    </xf>
    <xf numFmtId="4" fontId="12" fillId="0" borderId="0" xfId="0" applyNumberFormat="1" applyFont="1" applyAlignment="1" applyProtection="1">
      <alignment horizontal="right" vertical="center"/>
    </xf>
    <xf numFmtId="3" fontId="1" fillId="0" borderId="0" xfId="0" applyNumberFormat="1" applyFont="1" applyFill="1" applyAlignment="1" applyProtection="1">
      <alignment vertical="center"/>
    </xf>
    <xf numFmtId="0" fontId="6" fillId="0" borderId="1" xfId="0" applyFont="1" applyBorder="1" applyAlignment="1" applyProtection="1">
      <alignment horizontal="center" vertical="center" wrapText="1"/>
    </xf>
    <xf numFmtId="3" fontId="2" fillId="2" borderId="2" xfId="0" applyNumberFormat="1" applyFont="1" applyFill="1" applyBorder="1" applyAlignment="1" applyProtection="1">
      <alignment horizontal="center" vertical="center" wrapText="1"/>
    </xf>
    <xf numFmtId="0" fontId="1" fillId="0" borderId="0" xfId="0" applyFont="1" applyAlignment="1" applyProtection="1">
      <alignment horizontal="right" vertical="center"/>
    </xf>
    <xf numFmtId="0" fontId="14" fillId="0" borderId="0" xfId="0" applyFont="1" applyAlignment="1" applyProtection="1">
      <alignment vertical="center"/>
    </xf>
    <xf numFmtId="3" fontId="14" fillId="0" borderId="0" xfId="0" applyNumberFormat="1" applyFont="1" applyAlignment="1" applyProtection="1">
      <alignment vertical="center"/>
    </xf>
    <xf numFmtId="4" fontId="16" fillId="0" borderId="0" xfId="0" applyNumberFormat="1" applyFont="1" applyAlignment="1" applyProtection="1">
      <alignment vertical="center" wrapText="1"/>
    </xf>
    <xf numFmtId="0" fontId="18" fillId="0" borderId="0" xfId="0" applyFont="1" applyAlignment="1" applyProtection="1">
      <alignment vertical="center"/>
    </xf>
    <xf numFmtId="4" fontId="18" fillId="0" borderId="0" xfId="0" applyNumberFormat="1" applyFont="1" applyAlignment="1" applyProtection="1">
      <alignment vertical="center"/>
    </xf>
    <xf numFmtId="3" fontId="20" fillId="0" borderId="0" xfId="0" applyNumberFormat="1" applyFont="1" applyAlignment="1" applyProtection="1">
      <alignment vertical="center"/>
    </xf>
    <xf numFmtId="0" fontId="14" fillId="0" borderId="0" xfId="0" applyFont="1"/>
    <xf numFmtId="0" fontId="15" fillId="0" borderId="7" xfId="0" applyFont="1" applyBorder="1"/>
    <xf numFmtId="0" fontId="14" fillId="0" borderId="8" xfId="0" applyFont="1" applyBorder="1"/>
    <xf numFmtId="0" fontId="14" fillId="0" borderId="9" xfId="0" applyFont="1" applyBorder="1"/>
    <xf numFmtId="0" fontId="14" fillId="0" borderId="0" xfId="0" applyFont="1" applyBorder="1"/>
    <xf numFmtId="0" fontId="14" fillId="0" borderId="11" xfId="0" applyFont="1" applyBorder="1"/>
    <xf numFmtId="0" fontId="14" fillId="0" borderId="0" xfId="0" applyFont="1" applyBorder="1" applyAlignment="1">
      <alignment horizontal="center" wrapText="1"/>
    </xf>
    <xf numFmtId="0" fontId="14" fillId="0" borderId="11" xfId="0" applyFont="1" applyBorder="1" applyAlignment="1">
      <alignment horizontal="center" wrapText="1"/>
    </xf>
    <xf numFmtId="0" fontId="14" fillId="0" borderId="0" xfId="0" applyFont="1" applyAlignment="1">
      <alignment horizontal="center" wrapText="1"/>
    </xf>
    <xf numFmtId="0" fontId="19" fillId="0" borderId="0" xfId="0" applyFont="1" applyBorder="1"/>
    <xf numFmtId="0" fontId="19" fillId="0" borderId="11" xfId="0" applyFont="1" applyBorder="1"/>
    <xf numFmtId="0" fontId="19" fillId="0" borderId="0" xfId="0" applyFont="1"/>
    <xf numFmtId="0" fontId="15" fillId="0" borderId="12" xfId="0" applyFont="1" applyBorder="1"/>
    <xf numFmtId="0" fontId="14" fillId="0" borderId="13" xfId="0" applyFont="1" applyBorder="1"/>
    <xf numFmtId="0" fontId="14" fillId="0" borderId="13" xfId="0" applyFont="1" applyFill="1" applyBorder="1"/>
    <xf numFmtId="0" fontId="14" fillId="0" borderId="14" xfId="0" applyFont="1" applyBorder="1"/>
    <xf numFmtId="0" fontId="15" fillId="0" borderId="10" xfId="0" applyFont="1" applyBorder="1"/>
    <xf numFmtId="0" fontId="14" fillId="0" borderId="12" xfId="0" applyFont="1" applyBorder="1"/>
    <xf numFmtId="0" fontId="1" fillId="5" borderId="1" xfId="0" applyFont="1" applyFill="1" applyBorder="1" applyAlignment="1" applyProtection="1">
      <alignment horizontal="justify" vertical="center" wrapText="1"/>
    </xf>
    <xf numFmtId="0" fontId="1" fillId="5" borderId="1" xfId="0" applyFont="1" applyFill="1" applyBorder="1" applyAlignment="1" applyProtection="1">
      <alignment horizontal="center" vertical="center" wrapText="1"/>
    </xf>
    <xf numFmtId="0" fontId="8" fillId="5" borderId="1" xfId="0" applyFont="1" applyFill="1" applyBorder="1" applyAlignment="1" applyProtection="1">
      <alignment horizontal="justify" vertical="center" wrapText="1"/>
    </xf>
    <xf numFmtId="3" fontId="1" fillId="5" borderId="1" xfId="0" applyNumberFormat="1" applyFont="1" applyFill="1" applyBorder="1" applyAlignment="1">
      <alignment horizontal="center" vertical="center"/>
    </xf>
    <xf numFmtId="3" fontId="1" fillId="5" borderId="1" xfId="0" applyNumberFormat="1" applyFont="1" applyFill="1" applyBorder="1" applyAlignment="1" applyProtection="1">
      <alignment horizontal="center" vertical="center"/>
    </xf>
    <xf numFmtId="3" fontId="1" fillId="5" borderId="1" xfId="0" applyNumberFormat="1" applyFont="1" applyFill="1" applyBorder="1" applyAlignment="1" applyProtection="1">
      <alignment horizontal="center" vertical="center" wrapText="1"/>
    </xf>
    <xf numFmtId="0" fontId="8" fillId="5" borderId="0" xfId="0" applyFont="1" applyFill="1" applyBorder="1" applyAlignment="1" applyProtection="1">
      <alignment horizontal="justify" vertical="center" wrapText="1"/>
    </xf>
    <xf numFmtId="3" fontId="1" fillId="5" borderId="1" xfId="0" applyNumberFormat="1" applyFont="1" applyFill="1" applyBorder="1" applyAlignment="1" applyProtection="1">
      <alignment horizontal="center" vertical="center" wrapText="1"/>
      <protection locked="0"/>
    </xf>
    <xf numFmtId="3" fontId="1" fillId="5" borderId="1" xfId="0" applyNumberFormat="1" applyFont="1" applyFill="1" applyBorder="1" applyAlignment="1" applyProtection="1">
      <alignment horizontal="center" vertical="center"/>
      <protection locked="0"/>
    </xf>
    <xf numFmtId="4" fontId="1" fillId="5" borderId="1" xfId="0" applyNumberFormat="1" applyFont="1" applyFill="1" applyBorder="1" applyAlignment="1" applyProtection="1">
      <alignment vertical="center"/>
      <protection locked="0"/>
    </xf>
    <xf numFmtId="3" fontId="2" fillId="5" borderId="0" xfId="0" applyNumberFormat="1" applyFont="1" applyFill="1" applyAlignment="1" applyProtection="1">
      <alignment horizontal="center" vertical="center"/>
    </xf>
    <xf numFmtId="0" fontId="21" fillId="0" borderId="8" xfId="0" applyFont="1" applyBorder="1"/>
    <xf numFmtId="0" fontId="22" fillId="0" borderId="8" xfId="0" applyFont="1" applyBorder="1"/>
    <xf numFmtId="0" fontId="1" fillId="0" borderId="8" xfId="0" applyFont="1" applyBorder="1"/>
    <xf numFmtId="0" fontId="22" fillId="4" borderId="1" xfId="0" applyFont="1" applyFill="1" applyBorder="1" applyAlignment="1">
      <alignment horizontal="center" wrapText="1"/>
    </xf>
    <xf numFmtId="0" fontId="22" fillId="0" borderId="1" xfId="0" applyFont="1" applyBorder="1"/>
    <xf numFmtId="3" fontId="22" fillId="0" borderId="1" xfId="0" applyNumberFormat="1" applyFont="1" applyBorder="1"/>
    <xf numFmtId="3" fontId="22" fillId="4" borderId="1" xfId="0" applyNumberFormat="1" applyFont="1" applyFill="1" applyBorder="1"/>
    <xf numFmtId="0" fontId="21" fillId="4" borderId="1" xfId="0" applyFont="1" applyFill="1" applyBorder="1" applyAlignment="1">
      <alignment horizontal="right"/>
    </xf>
    <xf numFmtId="3" fontId="21" fillId="4" borderId="1" xfId="0" applyNumberFormat="1" applyFont="1" applyFill="1" applyBorder="1"/>
    <xf numFmtId="0" fontId="1" fillId="0" borderId="0" xfId="0" applyFont="1" applyBorder="1"/>
    <xf numFmtId="0" fontId="2" fillId="0" borderId="0" xfId="0" applyFont="1" applyBorder="1"/>
    <xf numFmtId="0" fontId="1" fillId="0" borderId="0" xfId="0" applyFont="1" applyFill="1" applyBorder="1"/>
    <xf numFmtId="3" fontId="1" fillId="0" borderId="1" xfId="0" applyNumberFormat="1" applyFont="1" applyBorder="1" applyAlignment="1">
      <alignment horizontal="center"/>
    </xf>
    <xf numFmtId="0" fontId="2" fillId="4" borderId="1" xfId="0" applyFont="1" applyFill="1" applyBorder="1" applyAlignment="1">
      <alignment horizontal="right"/>
    </xf>
    <xf numFmtId="3" fontId="2" fillId="4" borderId="1" xfId="0" applyNumberFormat="1" applyFont="1" applyFill="1" applyBorder="1" applyAlignment="1">
      <alignment horizontal="center"/>
    </xf>
    <xf numFmtId="0" fontId="2" fillId="0" borderId="16" xfId="0" applyFont="1" applyBorder="1"/>
    <xf numFmtId="0" fontId="1" fillId="0" borderId="16" xfId="0" applyFont="1" applyBorder="1"/>
    <xf numFmtId="0" fontId="1" fillId="0" borderId="16" xfId="0" applyFont="1" applyFill="1" applyBorder="1"/>
    <xf numFmtId="0" fontId="1" fillId="0" borderId="0" xfId="0" applyFont="1"/>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 fontId="25" fillId="0" borderId="0" xfId="0" applyNumberFormat="1" applyFont="1" applyFill="1" applyAlignment="1" applyProtection="1">
      <alignment vertical="center" wrapText="1"/>
    </xf>
    <xf numFmtId="4" fontId="24" fillId="0" borderId="0" xfId="0" applyNumberFormat="1" applyFont="1" applyAlignment="1" applyProtection="1">
      <alignment vertical="center" wrapText="1"/>
    </xf>
    <xf numFmtId="4" fontId="24" fillId="0" borderId="0" xfId="0" applyNumberFormat="1" applyFont="1" applyFill="1" applyAlignment="1" applyProtection="1">
      <alignment vertical="center" wrapText="1"/>
    </xf>
    <xf numFmtId="0" fontId="4" fillId="0" borderId="0" xfId="0" applyFont="1" applyAlignment="1">
      <alignment horizontal="right" vertical="top" wrapText="1"/>
    </xf>
    <xf numFmtId="3" fontId="1" fillId="0" borderId="1" xfId="0" applyNumberFormat="1" applyFont="1" applyFill="1" applyBorder="1" applyAlignment="1" applyProtection="1">
      <alignment horizontal="center" vertical="center"/>
    </xf>
    <xf numFmtId="4" fontId="1" fillId="0" borderId="1" xfId="0" applyNumberFormat="1" applyFont="1" applyFill="1" applyBorder="1" applyAlignment="1" applyProtection="1">
      <alignment horizontal="right" vertical="center" wrapText="1"/>
    </xf>
    <xf numFmtId="4" fontId="1" fillId="5" borderId="1" xfId="0" applyNumberFormat="1" applyFont="1" applyFill="1" applyBorder="1" applyAlignment="1" applyProtection="1">
      <alignment horizontal="right" vertical="center" wrapText="1"/>
    </xf>
    <xf numFmtId="0" fontId="6" fillId="0" borderId="1" xfId="0" applyFont="1" applyBorder="1" applyAlignment="1" applyProtection="1">
      <alignment horizontal="center" vertical="center" wrapText="1"/>
    </xf>
    <xf numFmtId="0" fontId="4" fillId="0" borderId="0" xfId="0" applyFont="1"/>
    <xf numFmtId="0" fontId="6" fillId="4" borderId="1" xfId="0" applyFont="1" applyFill="1" applyBorder="1" applyAlignment="1">
      <alignment horizontal="center" wrapText="1"/>
    </xf>
    <xf numFmtId="3" fontId="14" fillId="0" borderId="0" xfId="0" applyNumberFormat="1" applyFont="1" applyAlignment="1" applyProtection="1">
      <alignment horizontal="left" vertical="center"/>
    </xf>
    <xf numFmtId="0" fontId="27" fillId="0" borderId="0" xfId="0" applyFont="1" applyAlignment="1">
      <alignment vertical="center"/>
    </xf>
    <xf numFmtId="0" fontId="28" fillId="0" borderId="0" xfId="0" applyFont="1" applyAlignment="1">
      <alignment vertical="center"/>
    </xf>
    <xf numFmtId="0" fontId="29" fillId="0" borderId="0" xfId="1" applyFont="1" applyAlignment="1">
      <alignment vertical="center"/>
    </xf>
    <xf numFmtId="3" fontId="10" fillId="0" borderId="0" xfId="0" applyNumberFormat="1" applyFont="1" applyBorder="1"/>
    <xf numFmtId="3" fontId="1" fillId="0" borderId="0" xfId="0" applyNumberFormat="1" applyFont="1" applyBorder="1"/>
    <xf numFmtId="0" fontId="10" fillId="0" borderId="15" xfId="0" applyFont="1" applyBorder="1" applyAlignment="1">
      <alignment vertical="top" wrapText="1"/>
    </xf>
    <xf numFmtId="0" fontId="10" fillId="0" borderId="0" xfId="0" applyFont="1" applyBorder="1" applyAlignment="1">
      <alignment vertical="top" wrapText="1"/>
    </xf>
    <xf numFmtId="3" fontId="30" fillId="0" borderId="0" xfId="0" applyNumberFormat="1" applyFont="1" applyBorder="1" applyAlignment="1">
      <alignment vertical="top"/>
    </xf>
    <xf numFmtId="3" fontId="16" fillId="0" borderId="17" xfId="0" applyNumberFormat="1" applyFont="1" applyBorder="1"/>
    <xf numFmtId="0" fontId="10" fillId="0" borderId="15" xfId="0" applyFont="1" applyBorder="1"/>
    <xf numFmtId="3" fontId="10" fillId="0" borderId="18" xfId="0" applyNumberFormat="1" applyFont="1" applyBorder="1"/>
    <xf numFmtId="3" fontId="10" fillId="0" borderId="19" xfId="0" applyNumberFormat="1" applyFont="1" applyBorder="1"/>
    <xf numFmtId="3" fontId="10" fillId="0" borderId="20" xfId="0" applyNumberFormat="1" applyFont="1" applyBorder="1"/>
    <xf numFmtId="3" fontId="30" fillId="0" borderId="19" xfId="0" applyNumberFormat="1" applyFont="1" applyBorder="1" applyAlignment="1">
      <alignment vertical="top"/>
    </xf>
    <xf numFmtId="3" fontId="30" fillId="0" borderId="20" xfId="0" applyNumberFormat="1" applyFont="1" applyBorder="1" applyAlignment="1">
      <alignment vertical="top"/>
    </xf>
    <xf numFmtId="3" fontId="10" fillId="0" borderId="17" xfId="0" applyNumberFormat="1" applyFont="1" applyBorder="1"/>
    <xf numFmtId="3" fontId="10" fillId="0" borderId="15" xfId="0" applyNumberFormat="1" applyFont="1" applyBorder="1"/>
    <xf numFmtId="0" fontId="15" fillId="0" borderId="0" xfId="0" applyFont="1" applyBorder="1"/>
    <xf numFmtId="0" fontId="15" fillId="0" borderId="11" xfId="0" applyFont="1" applyBorder="1"/>
    <xf numFmtId="0" fontId="31" fillId="0" borderId="0" xfId="0" applyFont="1" applyBorder="1"/>
    <xf numFmtId="0" fontId="31" fillId="0" borderId="11" xfId="0" applyFont="1" applyBorder="1"/>
    <xf numFmtId="0" fontId="32" fillId="0" borderId="0" xfId="0" applyFont="1" applyBorder="1"/>
    <xf numFmtId="0" fontId="32" fillId="0" borderId="11" xfId="0" applyFont="1" applyBorder="1"/>
    <xf numFmtId="0" fontId="32" fillId="0" borderId="0" xfId="0" applyFont="1" applyBorder="1" applyAlignment="1">
      <alignment horizontal="center"/>
    </xf>
    <xf numFmtId="0" fontId="32" fillId="0" borderId="11" xfId="0" applyFont="1" applyBorder="1" applyAlignment="1">
      <alignment horizontal="center"/>
    </xf>
    <xf numFmtId="0" fontId="32" fillId="0" borderId="0" xfId="0" applyFont="1" applyBorder="1" applyAlignment="1">
      <alignment horizontal="right"/>
    </xf>
    <xf numFmtId="1" fontId="32" fillId="0" borderId="0" xfId="0" applyNumberFormat="1" applyFont="1" applyBorder="1" applyAlignment="1">
      <alignment horizontal="center"/>
    </xf>
    <xf numFmtId="1" fontId="32" fillId="0" borderId="11" xfId="0" applyNumberFormat="1" applyFont="1" applyBorder="1" applyAlignment="1">
      <alignment horizontal="center"/>
    </xf>
    <xf numFmtId="0" fontId="34" fillId="0" borderId="1" xfId="0" applyFont="1" applyBorder="1" applyAlignment="1">
      <alignment wrapText="1"/>
    </xf>
    <xf numFmtId="3" fontId="34" fillId="0" borderId="1" xfId="0" applyNumberFormat="1" applyFont="1" applyFill="1" applyBorder="1"/>
    <xf numFmtId="0" fontId="35" fillId="4" borderId="1" xfId="0" applyFont="1" applyFill="1" applyBorder="1" applyAlignment="1">
      <alignment horizontal="center"/>
    </xf>
    <xf numFmtId="0" fontId="36" fillId="0" borderId="21" xfId="0" applyFont="1" applyFill="1" applyBorder="1" applyAlignment="1">
      <alignment horizontal="right" wrapText="1"/>
    </xf>
    <xf numFmtId="3" fontId="37" fillId="0" borderId="0" xfId="0" applyNumberFormat="1" applyFont="1" applyAlignment="1">
      <alignment horizontal="right"/>
    </xf>
    <xf numFmtId="3" fontId="38" fillId="0" borderId="1" xfId="0" applyNumberFormat="1" applyFont="1" applyBorder="1" applyAlignment="1">
      <alignment horizontal="right" vertical="center"/>
    </xf>
    <xf numFmtId="0" fontId="4" fillId="0" borderId="0" xfId="0" applyFont="1" applyAlignment="1">
      <alignment horizontal="left" vertical="top" wrapText="1"/>
    </xf>
    <xf numFmtId="0" fontId="5" fillId="0" borderId="10" xfId="0" applyFont="1" applyBorder="1" applyAlignment="1">
      <alignment horizontal="right" vertical="center" wrapText="1"/>
    </xf>
    <xf numFmtId="0" fontId="4" fillId="4" borderId="1" xfId="0" applyFont="1" applyFill="1" applyBorder="1" applyAlignment="1">
      <alignment horizontal="center"/>
    </xf>
    <xf numFmtId="0" fontId="10" fillId="4" borderId="1" xfId="0" applyFont="1" applyFill="1" applyBorder="1" applyAlignment="1">
      <alignment horizontal="center"/>
    </xf>
    <xf numFmtId="0" fontId="2" fillId="4" borderId="1" xfId="0" applyFont="1" applyFill="1" applyBorder="1" applyAlignment="1">
      <alignment horizontal="center"/>
    </xf>
    <xf numFmtId="0" fontId="4" fillId="4" borderId="6" xfId="0" applyFont="1" applyFill="1" applyBorder="1" applyAlignment="1">
      <alignment horizontal="center"/>
    </xf>
    <xf numFmtId="0" fontId="4" fillId="4" borderId="3" xfId="0" applyFont="1" applyFill="1" applyBorder="1" applyAlignment="1">
      <alignment horizontal="center"/>
    </xf>
    <xf numFmtId="0" fontId="26" fillId="4" borderId="1" xfId="0" applyFont="1" applyFill="1" applyBorder="1" applyAlignment="1">
      <alignment horizontal="center"/>
    </xf>
    <xf numFmtId="0" fontId="1" fillId="0" borderId="0" xfId="0" applyFont="1" applyAlignment="1">
      <alignment horizontal="right"/>
    </xf>
    <xf numFmtId="0" fontId="1" fillId="0" borderId="0" xfId="0" applyFont="1" applyAlignment="1">
      <alignment horizontal="right" vertical="top" wrapText="1"/>
    </xf>
    <xf numFmtId="0" fontId="2" fillId="0" borderId="0" xfId="0" applyFont="1" applyAlignment="1">
      <alignment horizontal="center" vertical="center" wrapText="1"/>
    </xf>
    <xf numFmtId="0" fontId="8" fillId="0" borderId="0" xfId="0" applyFont="1" applyAlignment="1" applyProtection="1">
      <alignment horizontal="right" vertical="center"/>
    </xf>
    <xf numFmtId="4" fontId="8" fillId="0" borderId="0" xfId="0" applyNumberFormat="1" applyFont="1" applyAlignment="1" applyProtection="1">
      <alignment horizontal="right" vertical="center"/>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2" fillId="2" borderId="1" xfId="0" applyFont="1" applyFill="1" applyBorder="1" applyAlignment="1" applyProtection="1">
      <alignment horizontal="justify" vertical="center" wrapText="1"/>
    </xf>
    <xf numFmtId="0" fontId="1" fillId="0" borderId="0" xfId="0" applyFont="1" applyAlignment="1" applyProtection="1">
      <alignment horizontal="right" vertical="center"/>
    </xf>
    <xf numFmtId="0" fontId="1" fillId="0" borderId="0" xfId="0" applyFont="1" applyAlignment="1" applyProtection="1">
      <alignment horizontal="right" vertical="center" wrapText="1"/>
    </xf>
    <xf numFmtId="0" fontId="3" fillId="0" borderId="0" xfId="0" applyFont="1" applyFill="1" applyAlignment="1" applyProtection="1">
      <alignment horizontal="center" vertical="center" wrapText="1"/>
    </xf>
    <xf numFmtId="0" fontId="3" fillId="0" borderId="4" xfId="0" applyFont="1" applyFill="1" applyBorder="1" applyAlignment="1" applyProtection="1">
      <alignment horizontal="center"/>
    </xf>
    <xf numFmtId="0" fontId="3" fillId="0" borderId="3" xfId="0" applyFont="1" applyFill="1" applyBorder="1" applyAlignment="1" applyProtection="1">
      <alignment horizontal="center"/>
    </xf>
    <xf numFmtId="4" fontId="3" fillId="0" borderId="3" xfId="0" applyNumberFormat="1" applyFont="1" applyFill="1" applyBorder="1" applyAlignment="1" applyProtection="1">
      <alignment horizontal="center"/>
    </xf>
    <xf numFmtId="0" fontId="3" fillId="0" borderId="5" xfId="0" applyFont="1" applyFill="1" applyBorder="1" applyAlignment="1" applyProtection="1">
      <alignment horizontal="center"/>
    </xf>
    <xf numFmtId="0" fontId="3"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4" fontId="5" fillId="0" borderId="1" xfId="0" applyNumberFormat="1" applyFont="1" applyBorder="1" applyAlignment="1" applyProtection="1">
      <alignment horizontal="center" vertical="center" wrapText="1"/>
    </xf>
    <xf numFmtId="0" fontId="14" fillId="0" borderId="0" xfId="0" applyFont="1" applyAlignment="1" applyProtection="1">
      <alignment horizontal="right" vertical="center"/>
    </xf>
    <xf numFmtId="0" fontId="14" fillId="0" borderId="0" xfId="0" applyFont="1" applyAlignment="1" applyProtection="1">
      <alignment horizontal="right" vertical="center" wrapText="1"/>
    </xf>
    <xf numFmtId="0" fontId="17" fillId="0" borderId="0" xfId="0" applyFont="1" applyFill="1" applyAlignment="1" applyProtection="1">
      <alignment horizontal="center" vertical="center" wrapText="1"/>
    </xf>
    <xf numFmtId="0" fontId="17" fillId="0" borderId="3" xfId="0" applyFont="1" applyFill="1" applyBorder="1" applyAlignment="1" applyProtection="1">
      <alignment horizontal="center"/>
    </xf>
    <xf numFmtId="0" fontId="35" fillId="4" borderId="1" xfId="0" applyFont="1" applyFill="1" applyBorder="1" applyAlignment="1">
      <alignment horizontal="right" wrapText="1"/>
    </xf>
    <xf numFmtId="0" fontId="33" fillId="0" borderId="16" xfId="0" applyFont="1" applyBorder="1" applyAlignment="1">
      <alignment horizontal="right"/>
    </xf>
    <xf numFmtId="3" fontId="26" fillId="4" borderId="1" xfId="0" applyNumberFormat="1" applyFont="1" applyFill="1" applyBorder="1"/>
  </cellXfs>
  <cellStyles count="3">
    <cellStyle name="Hyperlink" xfId="1" builtinId="8"/>
    <cellStyle name="Normal" xfId="0" builtinId="0"/>
    <cellStyle name="Normal 2 2" xfId="2" xr:uid="{B3EE8346-751C-4537-9E41-1F6C2B853F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Strele@lm.gov.l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337A-0624-41DD-B1BE-3CE03A655E59}">
  <sheetPr>
    <tabColor theme="1" tint="0.14999847407452621"/>
  </sheetPr>
  <dimension ref="A1:T85"/>
  <sheetViews>
    <sheetView tabSelected="1" zoomScale="80" zoomScaleNormal="80" workbookViewId="0">
      <selection activeCell="A45" sqref="A45:A62"/>
    </sheetView>
  </sheetViews>
  <sheetFormatPr defaultColWidth="9.08984375" defaultRowHeight="14" x14ac:dyDescent="0.3"/>
  <cols>
    <col min="1" max="1" width="16.54296875" style="78" customWidth="1"/>
    <col min="2" max="2" width="32.1796875" style="78" customWidth="1"/>
    <col min="3" max="6" width="10.54296875" style="78" customWidth="1"/>
    <col min="7" max="7" width="10.81640625" style="78" customWidth="1"/>
    <col min="8" max="11" width="10.54296875" style="78" customWidth="1"/>
    <col min="12" max="12" width="11.1796875" style="78" customWidth="1"/>
    <col min="13" max="19" width="10.54296875" style="78" customWidth="1"/>
    <col min="20" max="16384" width="9.08984375" style="78"/>
  </cols>
  <sheetData>
    <row r="1" spans="1:20" s="125" customFormat="1" ht="13.75" customHeight="1" x14ac:dyDescent="0.3">
      <c r="A1" s="181" t="s">
        <v>186</v>
      </c>
      <c r="B1" s="181"/>
      <c r="C1" s="181"/>
      <c r="D1" s="181"/>
      <c r="E1" s="181"/>
      <c r="F1" s="181"/>
      <c r="G1" s="181"/>
      <c r="H1" s="181"/>
      <c r="I1" s="181"/>
      <c r="J1" s="181"/>
      <c r="K1" s="181"/>
      <c r="L1" s="181"/>
      <c r="M1" s="181"/>
      <c r="N1" s="181"/>
      <c r="O1" s="181"/>
      <c r="P1" s="181"/>
      <c r="Q1" s="181"/>
      <c r="R1" s="181"/>
      <c r="S1" s="181"/>
      <c r="T1" s="181"/>
    </row>
    <row r="2" spans="1:20" s="125" customFormat="1" ht="33.65" customHeight="1" x14ac:dyDescent="0.3">
      <c r="A2" s="182" t="s">
        <v>187</v>
      </c>
      <c r="B2" s="182"/>
      <c r="C2" s="182"/>
      <c r="D2" s="182"/>
      <c r="E2" s="182"/>
      <c r="F2" s="182"/>
      <c r="G2" s="182"/>
      <c r="H2" s="182"/>
      <c r="I2" s="182"/>
      <c r="J2" s="182"/>
      <c r="K2" s="182"/>
      <c r="L2" s="182"/>
      <c r="M2" s="182"/>
      <c r="N2" s="182"/>
      <c r="O2" s="182"/>
      <c r="P2" s="182"/>
      <c r="Q2" s="182"/>
      <c r="R2" s="182"/>
      <c r="S2" s="182"/>
      <c r="T2" s="182"/>
    </row>
    <row r="3" spans="1:20" s="125" customFormat="1" ht="40.75" customHeight="1" thickBot="1" x14ac:dyDescent="0.35">
      <c r="A3" s="183" t="s">
        <v>188</v>
      </c>
      <c r="B3" s="183"/>
      <c r="C3" s="183"/>
      <c r="D3" s="183"/>
      <c r="E3" s="183"/>
      <c r="F3" s="183"/>
      <c r="G3" s="183"/>
      <c r="H3" s="183"/>
      <c r="I3" s="183"/>
      <c r="J3" s="183"/>
      <c r="K3" s="183"/>
      <c r="L3" s="183"/>
      <c r="M3" s="183"/>
      <c r="N3" s="183"/>
      <c r="O3" s="183"/>
      <c r="P3" s="183"/>
      <c r="Q3" s="183"/>
      <c r="R3" s="183"/>
      <c r="S3" s="183"/>
      <c r="T3" s="183"/>
    </row>
    <row r="4" spans="1:20" ht="15" customHeight="1" x14ac:dyDescent="0.3">
      <c r="A4" s="79"/>
      <c r="B4" s="107" t="s">
        <v>218</v>
      </c>
      <c r="C4" s="108"/>
      <c r="D4" s="108"/>
      <c r="E4" s="108"/>
      <c r="F4" s="108"/>
      <c r="G4" s="108"/>
      <c r="H4" s="108"/>
      <c r="I4" s="108"/>
      <c r="J4" s="108"/>
      <c r="K4" s="108"/>
      <c r="L4" s="109"/>
      <c r="M4" s="109"/>
      <c r="N4" s="109"/>
      <c r="O4" s="80"/>
      <c r="P4" s="80"/>
      <c r="Q4" s="80"/>
      <c r="R4" s="80"/>
      <c r="S4" s="80"/>
      <c r="T4" s="81"/>
    </row>
    <row r="5" spans="1:20" ht="15" x14ac:dyDescent="0.3">
      <c r="A5" s="174" t="s">
        <v>217</v>
      </c>
      <c r="B5" s="176" t="s">
        <v>165</v>
      </c>
      <c r="C5" s="180" t="s">
        <v>145</v>
      </c>
      <c r="D5" s="180"/>
      <c r="E5" s="180"/>
      <c r="F5" s="180" t="s">
        <v>146</v>
      </c>
      <c r="G5" s="180"/>
      <c r="H5" s="180"/>
      <c r="I5" s="180" t="s">
        <v>156</v>
      </c>
      <c r="J5" s="180"/>
      <c r="K5" s="180"/>
      <c r="L5" s="180" t="s">
        <v>216</v>
      </c>
      <c r="M5" s="180"/>
      <c r="N5" s="180"/>
      <c r="O5" s="82"/>
      <c r="P5" s="82"/>
      <c r="Q5" s="82"/>
      <c r="R5" s="82"/>
      <c r="S5" s="82"/>
      <c r="T5" s="83"/>
    </row>
    <row r="6" spans="1:20" s="86" customFormat="1" x14ac:dyDescent="0.3">
      <c r="A6" s="174"/>
      <c r="B6" s="176"/>
      <c r="C6" s="110" t="s">
        <v>230</v>
      </c>
      <c r="D6" s="110" t="s">
        <v>173</v>
      </c>
      <c r="E6" s="110" t="s">
        <v>144</v>
      </c>
      <c r="F6" s="110" t="s">
        <v>230</v>
      </c>
      <c r="G6" s="110" t="s">
        <v>173</v>
      </c>
      <c r="H6" s="110" t="s">
        <v>144</v>
      </c>
      <c r="I6" s="110" t="s">
        <v>230</v>
      </c>
      <c r="J6" s="110" t="s">
        <v>173</v>
      </c>
      <c r="K6" s="110" t="s">
        <v>144</v>
      </c>
      <c r="L6" s="110" t="s">
        <v>230</v>
      </c>
      <c r="M6" s="110" t="s">
        <v>173</v>
      </c>
      <c r="N6" s="110" t="s">
        <v>144</v>
      </c>
      <c r="O6" s="84"/>
      <c r="P6" s="84"/>
      <c r="Q6" s="84"/>
      <c r="R6" s="84"/>
      <c r="S6" s="84"/>
      <c r="T6" s="85"/>
    </row>
    <row r="7" spans="1:20" x14ac:dyDescent="0.3">
      <c r="A7" s="174"/>
      <c r="B7" s="111" t="s">
        <v>163</v>
      </c>
      <c r="C7" s="112">
        <f>'_2021_VB_bez izmaiņām'!R55+93612</f>
        <v>1260593</v>
      </c>
      <c r="D7" s="112">
        <v>0</v>
      </c>
      <c r="E7" s="113">
        <f>C7+D7</f>
        <v>1260593</v>
      </c>
      <c r="F7" s="112">
        <f>C7</f>
        <v>1260593</v>
      </c>
      <c r="G7" s="112">
        <v>0</v>
      </c>
      <c r="H7" s="113">
        <f>F7+G7</f>
        <v>1260593</v>
      </c>
      <c r="I7" s="112">
        <f>F7</f>
        <v>1260593</v>
      </c>
      <c r="J7" s="112">
        <v>0</v>
      </c>
      <c r="K7" s="113">
        <f>I7+J7</f>
        <v>1260593</v>
      </c>
      <c r="L7" s="112">
        <f>I7</f>
        <v>1260593</v>
      </c>
      <c r="M7" s="112">
        <v>0</v>
      </c>
      <c r="N7" s="113">
        <f>L7+M7</f>
        <v>1260593</v>
      </c>
      <c r="O7" s="82"/>
      <c r="P7" s="82"/>
      <c r="Q7" s="82"/>
      <c r="R7" s="82"/>
      <c r="S7" s="82"/>
      <c r="T7" s="83"/>
    </row>
    <row r="8" spans="1:20" x14ac:dyDescent="0.3">
      <c r="A8" s="174"/>
      <c r="B8" s="111" t="s">
        <v>164</v>
      </c>
      <c r="C8" s="112">
        <f>'_2021_VB_bez izmaiņām'!R59+33245+65188</f>
        <v>776302</v>
      </c>
      <c r="D8" s="112">
        <v>0</v>
      </c>
      <c r="E8" s="113">
        <f>C8+D8</f>
        <v>776302</v>
      </c>
      <c r="F8" s="112">
        <f>C8</f>
        <v>776302</v>
      </c>
      <c r="G8" s="112">
        <v>0</v>
      </c>
      <c r="H8" s="113">
        <f>F8+G8</f>
        <v>776302</v>
      </c>
      <c r="I8" s="112">
        <f>F8</f>
        <v>776302</v>
      </c>
      <c r="J8" s="112">
        <v>0</v>
      </c>
      <c r="K8" s="113">
        <f>I8+J8</f>
        <v>776302</v>
      </c>
      <c r="L8" s="112">
        <f>I8</f>
        <v>776302</v>
      </c>
      <c r="M8" s="112">
        <v>0</v>
      </c>
      <c r="N8" s="113">
        <f>L8+M8</f>
        <v>776302</v>
      </c>
      <c r="O8" s="82"/>
      <c r="P8" s="82"/>
      <c r="Q8" s="82"/>
      <c r="R8" s="82"/>
      <c r="S8" s="82"/>
      <c r="T8" s="83"/>
    </row>
    <row r="9" spans="1:20" s="89" customFormat="1" x14ac:dyDescent="0.3">
      <c r="A9" s="174"/>
      <c r="B9" s="114" t="s">
        <v>205</v>
      </c>
      <c r="C9" s="115">
        <f>C7+C8</f>
        <v>2036895</v>
      </c>
      <c r="D9" s="115">
        <f t="shared" ref="D9:E9" si="0">D7+D8</f>
        <v>0</v>
      </c>
      <c r="E9" s="115">
        <f t="shared" si="0"/>
        <v>2036895</v>
      </c>
      <c r="F9" s="115">
        <f>F7+F8</f>
        <v>2036895</v>
      </c>
      <c r="G9" s="115">
        <f t="shared" ref="G9:H9" si="1">G7+G8</f>
        <v>0</v>
      </c>
      <c r="H9" s="115">
        <f t="shared" si="1"/>
        <v>2036895</v>
      </c>
      <c r="I9" s="115">
        <f>I7+I8</f>
        <v>2036895</v>
      </c>
      <c r="J9" s="115">
        <f t="shared" ref="J9:K9" si="2">J7+J8</f>
        <v>0</v>
      </c>
      <c r="K9" s="115">
        <f t="shared" si="2"/>
        <v>2036895</v>
      </c>
      <c r="L9" s="115">
        <f>L7+L8</f>
        <v>2036895</v>
      </c>
      <c r="M9" s="115">
        <f t="shared" ref="M9:N9" si="3">M7+M8</f>
        <v>0</v>
      </c>
      <c r="N9" s="115">
        <f t="shared" si="3"/>
        <v>2036895</v>
      </c>
      <c r="O9" s="87"/>
      <c r="P9" s="87"/>
      <c r="Q9" s="87"/>
      <c r="R9" s="87"/>
      <c r="S9" s="87"/>
      <c r="T9" s="88"/>
    </row>
    <row r="10" spans="1:20" ht="10.75" customHeight="1" x14ac:dyDescent="0.3">
      <c r="A10" s="174"/>
      <c r="B10" s="144" t="s">
        <v>246</v>
      </c>
      <c r="C10" s="147"/>
      <c r="D10" s="148"/>
      <c r="E10" s="149"/>
      <c r="F10" s="142"/>
      <c r="G10" s="142"/>
      <c r="H10" s="142"/>
      <c r="I10" s="154"/>
      <c r="J10" s="155"/>
      <c r="K10" s="149"/>
      <c r="L10" s="142"/>
      <c r="M10" s="142"/>
      <c r="N10" s="142"/>
      <c r="O10" s="82"/>
      <c r="P10" s="82"/>
      <c r="Q10" s="82"/>
      <c r="R10" s="82"/>
      <c r="S10" s="82"/>
      <c r="T10" s="83"/>
    </row>
    <row r="11" spans="1:20" ht="10.75" customHeight="1" x14ac:dyDescent="0.3">
      <c r="A11" s="174"/>
      <c r="B11" s="145" t="s">
        <v>247</v>
      </c>
      <c r="C11" s="150">
        <f>'_2021_VB_bez izmaiņām'!R59</f>
        <v>677869</v>
      </c>
      <c r="D11" s="142">
        <v>0</v>
      </c>
      <c r="E11" s="151">
        <f>C11+D11</f>
        <v>677869</v>
      </c>
      <c r="F11" s="142">
        <f>C11</f>
        <v>677869</v>
      </c>
      <c r="G11" s="142">
        <v>0</v>
      </c>
      <c r="H11" s="142">
        <f>F11+G11</f>
        <v>677869</v>
      </c>
      <c r="I11" s="150">
        <f>C11</f>
        <v>677869</v>
      </c>
      <c r="J11" s="142">
        <v>0</v>
      </c>
      <c r="K11" s="151">
        <f>I11+J11</f>
        <v>677869</v>
      </c>
      <c r="L11" s="142">
        <f>C11</f>
        <v>677869</v>
      </c>
      <c r="M11" s="142">
        <v>0</v>
      </c>
      <c r="N11" s="142">
        <f>L11+M11</f>
        <v>677869</v>
      </c>
      <c r="O11" s="82"/>
      <c r="P11" s="160" t="s">
        <v>252</v>
      </c>
      <c r="Q11" s="160"/>
      <c r="R11" s="160"/>
      <c r="S11" s="160"/>
      <c r="T11" s="161"/>
    </row>
    <row r="12" spans="1:20" ht="10.75" customHeight="1" x14ac:dyDescent="0.3">
      <c r="A12" s="174"/>
      <c r="B12" s="145" t="s">
        <v>248</v>
      </c>
      <c r="C12" s="150">
        <v>33245</v>
      </c>
      <c r="D12" s="142">
        <v>0</v>
      </c>
      <c r="E12" s="151">
        <f t="shared" ref="E12:E15" si="4">C12+D12</f>
        <v>33245</v>
      </c>
      <c r="F12" s="142">
        <f t="shared" ref="F12:F15" si="5">C12</f>
        <v>33245</v>
      </c>
      <c r="G12" s="142">
        <v>0</v>
      </c>
      <c r="H12" s="142">
        <f t="shared" ref="H12:H15" si="6">F12+G12</f>
        <v>33245</v>
      </c>
      <c r="I12" s="150">
        <f t="shared" ref="I12:I15" si="7">C12</f>
        <v>33245</v>
      </c>
      <c r="J12" s="142">
        <v>0</v>
      </c>
      <c r="K12" s="151">
        <f t="shared" ref="K12:K15" si="8">I12+J12</f>
        <v>33245</v>
      </c>
      <c r="L12" s="142">
        <f t="shared" ref="L12:L15" si="9">C12</f>
        <v>33245</v>
      </c>
      <c r="M12" s="142">
        <v>0</v>
      </c>
      <c r="N12" s="142">
        <f t="shared" ref="N12:N15" si="10">L12+M12</f>
        <v>33245</v>
      </c>
      <c r="O12" s="82"/>
      <c r="P12" s="160"/>
      <c r="Q12" s="162">
        <v>2021</v>
      </c>
      <c r="R12" s="162">
        <v>2022</v>
      </c>
      <c r="S12" s="162">
        <v>2023</v>
      </c>
      <c r="T12" s="163">
        <v>2024</v>
      </c>
    </row>
    <row r="13" spans="1:20" ht="10.75" customHeight="1" x14ac:dyDescent="0.3">
      <c r="A13" s="174"/>
      <c r="B13" s="145" t="s">
        <v>249</v>
      </c>
      <c r="C13" s="150">
        <v>65188</v>
      </c>
      <c r="D13" s="142">
        <v>0</v>
      </c>
      <c r="E13" s="151">
        <f t="shared" si="4"/>
        <v>65188</v>
      </c>
      <c r="F13" s="142">
        <f t="shared" si="5"/>
        <v>65188</v>
      </c>
      <c r="G13" s="142">
        <v>0</v>
      </c>
      <c r="H13" s="142">
        <f t="shared" si="6"/>
        <v>65188</v>
      </c>
      <c r="I13" s="150">
        <f t="shared" si="7"/>
        <v>65188</v>
      </c>
      <c r="J13" s="142">
        <v>0</v>
      </c>
      <c r="K13" s="151">
        <f t="shared" si="8"/>
        <v>65188</v>
      </c>
      <c r="L13" s="142">
        <f t="shared" si="9"/>
        <v>65188</v>
      </c>
      <c r="M13" s="142">
        <v>0</v>
      </c>
      <c r="N13" s="142">
        <f t="shared" si="10"/>
        <v>65188</v>
      </c>
      <c r="O13" s="82"/>
      <c r="P13" s="164" t="s">
        <v>115</v>
      </c>
      <c r="Q13" s="165">
        <f>E15*100/E7</f>
        <v>7.4260288610201703</v>
      </c>
      <c r="R13" s="165">
        <f>H15*100/H7</f>
        <v>7.4260288610201703</v>
      </c>
      <c r="S13" s="165">
        <f>K15*100/K7</f>
        <v>7.4260288610201703</v>
      </c>
      <c r="T13" s="166">
        <f>N15*100/N7</f>
        <v>7.4260288610201703</v>
      </c>
    </row>
    <row r="14" spans="1:20" ht="10.75" customHeight="1" x14ac:dyDescent="0.3">
      <c r="A14" s="174"/>
      <c r="B14" s="145" t="s">
        <v>250</v>
      </c>
      <c r="C14" s="150">
        <f>'_2021_VB_bez izmaiņām'!R55</f>
        <v>1166981</v>
      </c>
      <c r="D14" s="142">
        <v>0</v>
      </c>
      <c r="E14" s="151">
        <f t="shared" si="4"/>
        <v>1166981</v>
      </c>
      <c r="F14" s="142">
        <f t="shared" si="5"/>
        <v>1166981</v>
      </c>
      <c r="G14" s="142">
        <v>0</v>
      </c>
      <c r="H14" s="142">
        <f t="shared" si="6"/>
        <v>1166981</v>
      </c>
      <c r="I14" s="150">
        <f t="shared" si="7"/>
        <v>1166981</v>
      </c>
      <c r="J14" s="142">
        <v>0</v>
      </c>
      <c r="K14" s="151">
        <f t="shared" si="8"/>
        <v>1166981</v>
      </c>
      <c r="L14" s="142">
        <f t="shared" si="9"/>
        <v>1166981</v>
      </c>
      <c r="M14" s="142">
        <v>0</v>
      </c>
      <c r="N14" s="142">
        <f t="shared" si="10"/>
        <v>1166981</v>
      </c>
      <c r="O14" s="82"/>
      <c r="P14" s="164" t="s">
        <v>116</v>
      </c>
      <c r="Q14" s="165">
        <f>E13*100/E8</f>
        <v>8.397247462971885</v>
      </c>
      <c r="R14" s="165">
        <f>H13*100/H8</f>
        <v>8.397247462971885</v>
      </c>
      <c r="S14" s="165">
        <f>K13*100/K8</f>
        <v>8.397247462971885</v>
      </c>
      <c r="T14" s="166">
        <f>N13*100/N8</f>
        <v>8.397247462971885</v>
      </c>
    </row>
    <row r="15" spans="1:20" ht="10.75" customHeight="1" x14ac:dyDescent="0.3">
      <c r="A15" s="174"/>
      <c r="B15" s="145" t="s">
        <v>251</v>
      </c>
      <c r="C15" s="150">
        <v>93612</v>
      </c>
      <c r="D15" s="142">
        <v>0</v>
      </c>
      <c r="E15" s="151">
        <f t="shared" si="4"/>
        <v>93612</v>
      </c>
      <c r="F15" s="142">
        <f t="shared" si="5"/>
        <v>93612</v>
      </c>
      <c r="G15" s="142">
        <v>0</v>
      </c>
      <c r="H15" s="142">
        <f t="shared" si="6"/>
        <v>93612</v>
      </c>
      <c r="I15" s="150">
        <f t="shared" si="7"/>
        <v>93612</v>
      </c>
      <c r="J15" s="142">
        <v>0</v>
      </c>
      <c r="K15" s="151">
        <f t="shared" si="8"/>
        <v>93612</v>
      </c>
      <c r="L15" s="142">
        <f t="shared" si="9"/>
        <v>93612</v>
      </c>
      <c r="M15" s="142">
        <v>0</v>
      </c>
      <c r="N15" s="142">
        <f t="shared" si="10"/>
        <v>93612</v>
      </c>
      <c r="O15" s="82"/>
      <c r="P15" s="82"/>
      <c r="Q15" s="82"/>
      <c r="R15" s="82"/>
      <c r="S15" s="82"/>
      <c r="T15" s="83"/>
    </row>
    <row r="16" spans="1:20" ht="10.75" customHeight="1" x14ac:dyDescent="0.3">
      <c r="A16" s="174"/>
      <c r="B16" s="145"/>
      <c r="C16" s="152">
        <f>C9-C11-C12-C13-C14-C15</f>
        <v>0</v>
      </c>
      <c r="D16" s="146">
        <f t="shared" ref="D16:N16" si="11">D9-D11-D12-D13-D14-D15</f>
        <v>0</v>
      </c>
      <c r="E16" s="153">
        <f t="shared" si="11"/>
        <v>0</v>
      </c>
      <c r="F16" s="152">
        <f t="shared" si="11"/>
        <v>0</v>
      </c>
      <c r="G16" s="146">
        <f t="shared" si="11"/>
        <v>0</v>
      </c>
      <c r="H16" s="153">
        <f t="shared" si="11"/>
        <v>0</v>
      </c>
      <c r="I16" s="152">
        <f t="shared" si="11"/>
        <v>0</v>
      </c>
      <c r="J16" s="146">
        <f t="shared" si="11"/>
        <v>0</v>
      </c>
      <c r="K16" s="153">
        <f t="shared" si="11"/>
        <v>0</v>
      </c>
      <c r="L16" s="152">
        <f t="shared" si="11"/>
        <v>0</v>
      </c>
      <c r="M16" s="146">
        <f t="shared" si="11"/>
        <v>0</v>
      </c>
      <c r="N16" s="153">
        <f t="shared" si="11"/>
        <v>0</v>
      </c>
      <c r="O16" s="82"/>
      <c r="P16" s="82"/>
      <c r="Q16" s="82"/>
      <c r="R16" s="82"/>
      <c r="S16" s="82"/>
      <c r="T16" s="83"/>
    </row>
    <row r="17" spans="1:20" ht="20.25" customHeight="1" x14ac:dyDescent="0.3">
      <c r="A17" s="174"/>
      <c r="B17" s="117" t="s">
        <v>147</v>
      </c>
      <c r="C17" s="116"/>
      <c r="D17" s="116"/>
      <c r="E17" s="116"/>
      <c r="F17" s="118"/>
      <c r="G17" s="118"/>
      <c r="I17" s="122" t="s">
        <v>215</v>
      </c>
      <c r="J17" s="123"/>
      <c r="K17" s="123"/>
      <c r="L17" s="123"/>
      <c r="M17" s="124"/>
      <c r="O17" s="117" t="s">
        <v>154</v>
      </c>
      <c r="P17" s="116"/>
      <c r="Q17" s="116"/>
      <c r="R17" s="116"/>
      <c r="S17" s="116"/>
      <c r="T17" s="83"/>
    </row>
    <row r="18" spans="1:20" x14ac:dyDescent="0.3">
      <c r="A18" s="174"/>
      <c r="B18" s="175" t="str">
        <f>B5</f>
        <v>TPL veids</v>
      </c>
      <c r="C18" s="177" t="s">
        <v>151</v>
      </c>
      <c r="D18" s="177"/>
      <c r="E18" s="177"/>
      <c r="F18" s="177"/>
      <c r="G18" s="177"/>
      <c r="I18" s="175" t="str">
        <f>B18</f>
        <v>TPL veids</v>
      </c>
      <c r="J18" s="177" t="s">
        <v>155</v>
      </c>
      <c r="K18" s="177"/>
      <c r="L18" s="177"/>
      <c r="M18" s="177"/>
      <c r="O18" s="178" t="str">
        <f>I18</f>
        <v>TPL veids</v>
      </c>
      <c r="P18" s="177" t="str">
        <f>O17</f>
        <v>Izsniegtais TPL skaits</v>
      </c>
      <c r="Q18" s="177"/>
      <c r="R18" s="177"/>
      <c r="S18" s="177"/>
      <c r="T18" s="83"/>
    </row>
    <row r="19" spans="1:20" s="86" customFormat="1" x14ac:dyDescent="0.3">
      <c r="A19" s="174"/>
      <c r="B19" s="175"/>
      <c r="C19" s="137" t="s">
        <v>148</v>
      </c>
      <c r="D19" s="137" t="s">
        <v>149</v>
      </c>
      <c r="E19" s="137" t="s">
        <v>150</v>
      </c>
      <c r="F19" s="137" t="s">
        <v>157</v>
      </c>
      <c r="G19" s="137" t="s">
        <v>219</v>
      </c>
      <c r="I19" s="175"/>
      <c r="J19" s="137" t="s">
        <v>152</v>
      </c>
      <c r="K19" s="137" t="s">
        <v>153</v>
      </c>
      <c r="L19" s="137" t="s">
        <v>158</v>
      </c>
      <c r="M19" s="137" t="s">
        <v>220</v>
      </c>
      <c r="O19" s="179"/>
      <c r="P19" s="137" t="s">
        <v>152</v>
      </c>
      <c r="Q19" s="137" t="s">
        <v>153</v>
      </c>
      <c r="R19" s="137" t="s">
        <v>158</v>
      </c>
      <c r="S19" s="137" t="s">
        <v>220</v>
      </c>
      <c r="T19" s="85"/>
    </row>
    <row r="20" spans="1:20" x14ac:dyDescent="0.3">
      <c r="A20" s="174"/>
      <c r="B20" s="111" t="s">
        <v>163</v>
      </c>
      <c r="C20" s="119">
        <f>'_2021_VB_bez izmaiņām'!I54</f>
        <v>3803</v>
      </c>
      <c r="D20" s="119">
        <f>'_2022_VB_bez izmaiņām'!I54</f>
        <v>5183</v>
      </c>
      <c r="E20" s="119">
        <f>'_2023_VB_bez izmaiņām'!I54</f>
        <v>6580</v>
      </c>
      <c r="F20" s="119">
        <f>'_2023_VB_bez izmaiņām'!S54</f>
        <v>8263</v>
      </c>
      <c r="G20" s="119">
        <f>'_2024_VB_bez izmaiņām'!S54</f>
        <v>10132</v>
      </c>
      <c r="I20" s="111" t="s">
        <v>163</v>
      </c>
      <c r="J20" s="119">
        <f>'_2021_VB_bez izmaiņām'!O54</f>
        <v>3108</v>
      </c>
      <c r="K20" s="119">
        <f>'_2022_VB_bez izmaiņām'!O54</f>
        <v>3199</v>
      </c>
      <c r="L20" s="119">
        <f>'_2023_VB_bez izmaiņām'!O54</f>
        <v>3021</v>
      </c>
      <c r="M20" s="119">
        <f>'_2024_VB_bez izmaiņām'!O54</f>
        <v>2943</v>
      </c>
      <c r="O20" s="111" t="s">
        <v>163</v>
      </c>
      <c r="P20" s="119">
        <f>'_2021_VB_bez izmaiņām'!P54</f>
        <v>4429</v>
      </c>
      <c r="Q20" s="119">
        <f>'_2022_VB_bez izmaiņām'!P54</f>
        <v>4730</v>
      </c>
      <c r="R20" s="119">
        <f>'_2023_VB_bez izmaiņām'!P54</f>
        <v>4493</v>
      </c>
      <c r="S20" s="119">
        <f>'_2024_VB_bez izmaiņām'!P54</f>
        <v>4415</v>
      </c>
      <c r="T20" s="83"/>
    </row>
    <row r="21" spans="1:20" ht="12.65" customHeight="1" x14ac:dyDescent="0.3">
      <c r="A21" s="174"/>
      <c r="B21" s="111" t="s">
        <v>164</v>
      </c>
      <c r="C21" s="119">
        <f>'_2021_VB_bez izmaiņām'!I58</f>
        <v>318</v>
      </c>
      <c r="D21" s="119">
        <f>'_2022_VB_bez izmaiņām'!I58</f>
        <v>451</v>
      </c>
      <c r="E21" s="119">
        <f>'_2023_VB_bez izmaiņām'!I58</f>
        <v>721</v>
      </c>
      <c r="F21" s="119">
        <f>'_2023_VB_bez izmaiņām'!S58</f>
        <v>1086</v>
      </c>
      <c r="G21" s="119">
        <f>'_2024_VB_bez izmaiņām'!S58</f>
        <v>1557</v>
      </c>
      <c r="I21" s="111" t="s">
        <v>164</v>
      </c>
      <c r="J21" s="119">
        <f>'_2021_VB_bez izmaiņām'!O58</f>
        <v>3191</v>
      </c>
      <c r="K21" s="119">
        <f>'_2022_VB_bez izmaiņām'!O58</f>
        <v>3102</v>
      </c>
      <c r="L21" s="119">
        <f>'_2023_VB_bez izmaiņām'!O58</f>
        <v>3055</v>
      </c>
      <c r="M21" s="119">
        <f>'_2024_VB_bez izmaiņām'!O58</f>
        <v>2997</v>
      </c>
      <c r="O21" s="111" t="s">
        <v>164</v>
      </c>
      <c r="P21" s="119">
        <f>'_2021_VB_bez izmaiņām'!P58</f>
        <v>3191</v>
      </c>
      <c r="Q21" s="119">
        <f>'_2022_VB_bez izmaiņām'!P58</f>
        <v>3102</v>
      </c>
      <c r="R21" s="119">
        <f>'_2023_VB_bez izmaiņām'!P58</f>
        <v>3055</v>
      </c>
      <c r="S21" s="119">
        <f>'_2024_VB_bez izmaiņām'!P58</f>
        <v>2997</v>
      </c>
      <c r="T21" s="83"/>
    </row>
    <row r="22" spans="1:20" s="89" customFormat="1" x14ac:dyDescent="0.3">
      <c r="A22" s="174"/>
      <c r="B22" s="120" t="s">
        <v>143</v>
      </c>
      <c r="C22" s="121">
        <f>C20+C21</f>
        <v>4121</v>
      </c>
      <c r="D22" s="121">
        <f t="shared" ref="D22:F22" si="12">D20+D21</f>
        <v>5634</v>
      </c>
      <c r="E22" s="121">
        <f t="shared" si="12"/>
        <v>7301</v>
      </c>
      <c r="F22" s="121">
        <f t="shared" si="12"/>
        <v>9349</v>
      </c>
      <c r="G22" s="121">
        <f t="shared" ref="G22" si="13">G20+G21</f>
        <v>11689</v>
      </c>
      <c r="I22" s="120" t="s">
        <v>143</v>
      </c>
      <c r="J22" s="121">
        <f>J20+J21</f>
        <v>6299</v>
      </c>
      <c r="K22" s="121">
        <f t="shared" ref="K22:L22" si="14">K20+K21</f>
        <v>6301</v>
      </c>
      <c r="L22" s="121">
        <f t="shared" si="14"/>
        <v>6076</v>
      </c>
      <c r="M22" s="121">
        <f t="shared" ref="M22" si="15">M20+M21</f>
        <v>5940</v>
      </c>
      <c r="O22" s="120" t="s">
        <v>143</v>
      </c>
      <c r="P22" s="121">
        <f>P20+P21</f>
        <v>7620</v>
      </c>
      <c r="Q22" s="121">
        <f t="shared" ref="Q22:R22" si="16">Q20+Q21</f>
        <v>7832</v>
      </c>
      <c r="R22" s="121">
        <f t="shared" si="16"/>
        <v>7548</v>
      </c>
      <c r="S22" s="121">
        <f t="shared" ref="S22" si="17">S20+S21</f>
        <v>7412</v>
      </c>
      <c r="T22" s="88"/>
    </row>
    <row r="23" spans="1:20" ht="14.5" thickBot="1" x14ac:dyDescent="0.35">
      <c r="A23" s="90"/>
      <c r="B23" s="91"/>
      <c r="C23" s="91"/>
      <c r="D23" s="91"/>
      <c r="E23" s="91"/>
      <c r="F23" s="92"/>
      <c r="G23" s="92"/>
      <c r="H23" s="92"/>
      <c r="I23" s="92"/>
      <c r="J23" s="92"/>
      <c r="K23" s="92"/>
      <c r="L23" s="92"/>
      <c r="M23" s="91"/>
      <c r="N23" s="91"/>
      <c r="O23" s="91"/>
      <c r="P23" s="91"/>
      <c r="Q23" s="91"/>
      <c r="R23" s="91"/>
      <c r="S23" s="91"/>
      <c r="T23" s="93"/>
    </row>
    <row r="24" spans="1:20" ht="15.65" customHeight="1" x14ac:dyDescent="0.3">
      <c r="A24" s="94"/>
      <c r="B24" s="107" t="s">
        <v>218</v>
      </c>
      <c r="C24" s="108"/>
      <c r="D24" s="108"/>
      <c r="E24" s="108"/>
      <c r="F24" s="108"/>
      <c r="G24" s="108"/>
      <c r="H24" s="108"/>
      <c r="I24" s="108"/>
      <c r="J24" s="108"/>
      <c r="K24" s="108"/>
      <c r="L24" s="109"/>
      <c r="M24" s="109"/>
      <c r="N24" s="109"/>
      <c r="O24" s="80"/>
      <c r="P24" s="80"/>
      <c r="Q24" s="80"/>
      <c r="R24" s="80"/>
      <c r="S24" s="80"/>
      <c r="T24" s="83"/>
    </row>
    <row r="25" spans="1:20" ht="15" x14ac:dyDescent="0.3">
      <c r="A25" s="174" t="s">
        <v>229</v>
      </c>
      <c r="B25" s="176" t="s">
        <v>165</v>
      </c>
      <c r="C25" s="180" t="s">
        <v>145</v>
      </c>
      <c r="D25" s="180"/>
      <c r="E25" s="180"/>
      <c r="F25" s="180" t="s">
        <v>146</v>
      </c>
      <c r="G25" s="180"/>
      <c r="H25" s="180"/>
      <c r="I25" s="180" t="s">
        <v>156</v>
      </c>
      <c r="J25" s="180"/>
      <c r="K25" s="180"/>
      <c r="L25" s="180" t="s">
        <v>216</v>
      </c>
      <c r="M25" s="180"/>
      <c r="N25" s="180"/>
      <c r="O25" s="82"/>
      <c r="P25" s="82"/>
      <c r="Q25" s="82"/>
      <c r="R25" s="82"/>
      <c r="S25" s="82"/>
      <c r="T25" s="83"/>
    </row>
    <row r="26" spans="1:20" s="86" customFormat="1" ht="18" customHeight="1" x14ac:dyDescent="0.3">
      <c r="A26" s="174"/>
      <c r="B26" s="176"/>
      <c r="C26" s="110" t="s">
        <v>230</v>
      </c>
      <c r="D26" s="110" t="s">
        <v>173</v>
      </c>
      <c r="E26" s="110" t="s">
        <v>144</v>
      </c>
      <c r="F26" s="110" t="s">
        <v>230</v>
      </c>
      <c r="G26" s="110" t="s">
        <v>173</v>
      </c>
      <c r="H26" s="110" t="s">
        <v>144</v>
      </c>
      <c r="I26" s="110" t="s">
        <v>230</v>
      </c>
      <c r="J26" s="110" t="s">
        <v>173</v>
      </c>
      <c r="K26" s="110" t="s">
        <v>144</v>
      </c>
      <c r="L26" s="110" t="s">
        <v>230</v>
      </c>
      <c r="M26" s="110" t="s">
        <v>173</v>
      </c>
      <c r="N26" s="110" t="s">
        <v>144</v>
      </c>
      <c r="O26" s="84"/>
      <c r="P26" s="84"/>
      <c r="Q26" s="84"/>
      <c r="R26" s="84"/>
      <c r="S26" s="84"/>
      <c r="T26" s="85"/>
    </row>
    <row r="27" spans="1:20" ht="13.75" customHeight="1" x14ac:dyDescent="0.3">
      <c r="A27" s="174"/>
      <c r="B27" s="111" t="s">
        <v>163</v>
      </c>
      <c r="C27" s="112">
        <f>C7</f>
        <v>1260593</v>
      </c>
      <c r="D27" s="112">
        <v>0</v>
      </c>
      <c r="E27" s="113">
        <f>C27+D27</f>
        <v>1260593</v>
      </c>
      <c r="F27" s="112">
        <f>C27</f>
        <v>1260593</v>
      </c>
      <c r="G27" s="112">
        <v>0</v>
      </c>
      <c r="H27" s="113">
        <f>F27+G27</f>
        <v>1260593</v>
      </c>
      <c r="I27" s="112">
        <f>F27</f>
        <v>1260593</v>
      </c>
      <c r="J27" s="112">
        <v>0</v>
      </c>
      <c r="K27" s="113">
        <f>I27+J27</f>
        <v>1260593</v>
      </c>
      <c r="L27" s="112">
        <f>I27</f>
        <v>1260593</v>
      </c>
      <c r="M27" s="112">
        <v>0</v>
      </c>
      <c r="N27" s="113">
        <f>L27+M27</f>
        <v>1260593</v>
      </c>
      <c r="O27" s="82"/>
      <c r="P27" s="82"/>
      <c r="Q27" s="82"/>
      <c r="R27" s="82"/>
      <c r="S27" s="82"/>
      <c r="T27" s="83"/>
    </row>
    <row r="28" spans="1:20" x14ac:dyDescent="0.3">
      <c r="A28" s="174"/>
      <c r="B28" s="111" t="s">
        <v>164</v>
      </c>
      <c r="C28" s="112">
        <f>C8</f>
        <v>776302</v>
      </c>
      <c r="D28" s="112">
        <v>0</v>
      </c>
      <c r="E28" s="113">
        <f>C28+D28</f>
        <v>776302</v>
      </c>
      <c r="F28" s="112">
        <f>C28</f>
        <v>776302</v>
      </c>
      <c r="G28" s="112">
        <v>0</v>
      </c>
      <c r="H28" s="113">
        <f>F28+G28</f>
        <v>776302</v>
      </c>
      <c r="I28" s="112">
        <f>F28</f>
        <v>776302</v>
      </c>
      <c r="J28" s="112">
        <v>0</v>
      </c>
      <c r="K28" s="113">
        <f>I28+J28</f>
        <v>776302</v>
      </c>
      <c r="L28" s="112">
        <f>I28</f>
        <v>776302</v>
      </c>
      <c r="M28" s="112">
        <v>0</v>
      </c>
      <c r="N28" s="113">
        <f>L28+M28</f>
        <v>776302</v>
      </c>
      <c r="O28" s="82"/>
      <c r="P28" s="82"/>
      <c r="Q28" s="82"/>
      <c r="R28" s="82"/>
      <c r="S28" s="82"/>
      <c r="T28" s="83"/>
    </row>
    <row r="29" spans="1:20" s="89" customFormat="1" x14ac:dyDescent="0.3">
      <c r="A29" s="174"/>
      <c r="B29" s="114" t="s">
        <v>205</v>
      </c>
      <c r="C29" s="115">
        <f>C27+C28</f>
        <v>2036895</v>
      </c>
      <c r="D29" s="115">
        <f t="shared" ref="D29:E29" si="18">D27+D28</f>
        <v>0</v>
      </c>
      <c r="E29" s="115">
        <f t="shared" si="18"/>
        <v>2036895</v>
      </c>
      <c r="F29" s="115">
        <f>F27+F28</f>
        <v>2036895</v>
      </c>
      <c r="G29" s="115">
        <f t="shared" ref="G29:H29" si="19">G27+G28</f>
        <v>0</v>
      </c>
      <c r="H29" s="115">
        <f t="shared" si="19"/>
        <v>2036895</v>
      </c>
      <c r="I29" s="115">
        <f>I27+I28</f>
        <v>2036895</v>
      </c>
      <c r="J29" s="115">
        <f t="shared" ref="J29:K29" si="20">J27+J28</f>
        <v>0</v>
      </c>
      <c r="K29" s="115">
        <f t="shared" si="20"/>
        <v>2036895</v>
      </c>
      <c r="L29" s="115">
        <f>L27+L28</f>
        <v>2036895</v>
      </c>
      <c r="M29" s="115">
        <f t="shared" ref="M29:N29" si="21">M27+M28</f>
        <v>0</v>
      </c>
      <c r="N29" s="115">
        <f t="shared" si="21"/>
        <v>2036895</v>
      </c>
      <c r="O29" s="87"/>
      <c r="P29" s="87"/>
      <c r="Q29" s="87"/>
      <c r="R29" s="87"/>
      <c r="S29" s="87"/>
      <c r="T29" s="88"/>
    </row>
    <row r="30" spans="1:20" ht="13.75" customHeight="1" x14ac:dyDescent="0.3">
      <c r="A30" s="174"/>
      <c r="B30" s="144" t="s">
        <v>246</v>
      </c>
      <c r="C30" s="147"/>
      <c r="D30" s="148"/>
      <c r="E30" s="149"/>
      <c r="F30" s="142"/>
      <c r="G30" s="142"/>
      <c r="H30" s="142"/>
      <c r="I30" s="154"/>
      <c r="J30" s="155"/>
      <c r="K30" s="149"/>
      <c r="L30" s="142"/>
      <c r="M30" s="142"/>
      <c r="N30" s="142"/>
      <c r="O30" s="82"/>
      <c r="P30" s="82"/>
      <c r="Q30" s="82"/>
      <c r="R30" s="82"/>
      <c r="S30" s="82"/>
      <c r="T30" s="83"/>
    </row>
    <row r="31" spans="1:20" ht="11.4" customHeight="1" x14ac:dyDescent="0.3">
      <c r="A31" s="174"/>
      <c r="B31" s="145" t="s">
        <v>247</v>
      </c>
      <c r="C31" s="150">
        <f>C11</f>
        <v>677869</v>
      </c>
      <c r="D31" s="142">
        <v>0</v>
      </c>
      <c r="E31" s="151">
        <f>C31+D31</f>
        <v>677869</v>
      </c>
      <c r="F31" s="142">
        <f>C31</f>
        <v>677869</v>
      </c>
      <c r="G31" s="142">
        <v>0</v>
      </c>
      <c r="H31" s="142">
        <f>F31+G31</f>
        <v>677869</v>
      </c>
      <c r="I31" s="150">
        <f>C31</f>
        <v>677869</v>
      </c>
      <c r="J31" s="142">
        <v>0</v>
      </c>
      <c r="K31" s="151">
        <f>I31+J31</f>
        <v>677869</v>
      </c>
      <c r="L31" s="142">
        <f>C31</f>
        <v>677869</v>
      </c>
      <c r="M31" s="142">
        <v>0</v>
      </c>
      <c r="N31" s="142">
        <f>L31+M31</f>
        <v>677869</v>
      </c>
      <c r="O31" s="82"/>
      <c r="P31" s="160" t="s">
        <v>252</v>
      </c>
      <c r="Q31" s="160"/>
      <c r="R31" s="160"/>
      <c r="S31" s="160"/>
      <c r="T31" s="161"/>
    </row>
    <row r="32" spans="1:20" ht="11.4" customHeight="1" x14ac:dyDescent="0.3">
      <c r="A32" s="174"/>
      <c r="B32" s="145" t="s">
        <v>248</v>
      </c>
      <c r="C32" s="150">
        <v>33245</v>
      </c>
      <c r="D32" s="142">
        <v>0</v>
      </c>
      <c r="E32" s="151">
        <f t="shared" ref="E32:E35" si="22">C32+D32</f>
        <v>33245</v>
      </c>
      <c r="F32" s="142">
        <f t="shared" ref="F32:F35" si="23">C32</f>
        <v>33245</v>
      </c>
      <c r="G32" s="142">
        <v>0</v>
      </c>
      <c r="H32" s="142">
        <f t="shared" ref="H32:H35" si="24">F32+G32</f>
        <v>33245</v>
      </c>
      <c r="I32" s="150">
        <f t="shared" ref="I32:I35" si="25">C32</f>
        <v>33245</v>
      </c>
      <c r="J32" s="142">
        <v>0</v>
      </c>
      <c r="K32" s="151">
        <f t="shared" ref="K32:K35" si="26">I32+J32</f>
        <v>33245</v>
      </c>
      <c r="L32" s="142">
        <f t="shared" ref="L32:L35" si="27">C32</f>
        <v>33245</v>
      </c>
      <c r="M32" s="142">
        <v>0</v>
      </c>
      <c r="N32" s="142">
        <f t="shared" ref="N32:N35" si="28">L32+M32</f>
        <v>33245</v>
      </c>
      <c r="O32" s="82"/>
      <c r="P32" s="160"/>
      <c r="Q32" s="162">
        <v>2021</v>
      </c>
      <c r="R32" s="162">
        <v>2022</v>
      </c>
      <c r="S32" s="162">
        <v>2023</v>
      </c>
      <c r="T32" s="163">
        <v>2024</v>
      </c>
    </row>
    <row r="33" spans="1:20" ht="11.4" customHeight="1" x14ac:dyDescent="0.3">
      <c r="A33" s="174"/>
      <c r="B33" s="145" t="s">
        <v>249</v>
      </c>
      <c r="C33" s="150">
        <v>65188</v>
      </c>
      <c r="D33" s="142">
        <v>0</v>
      </c>
      <c r="E33" s="151">
        <f t="shared" si="22"/>
        <v>65188</v>
      </c>
      <c r="F33" s="142">
        <f t="shared" si="23"/>
        <v>65188</v>
      </c>
      <c r="G33" s="142">
        <v>0</v>
      </c>
      <c r="H33" s="142">
        <f t="shared" si="24"/>
        <v>65188</v>
      </c>
      <c r="I33" s="150">
        <f t="shared" si="25"/>
        <v>65188</v>
      </c>
      <c r="J33" s="142">
        <v>0</v>
      </c>
      <c r="K33" s="151">
        <f t="shared" si="26"/>
        <v>65188</v>
      </c>
      <c r="L33" s="142">
        <f t="shared" si="27"/>
        <v>65188</v>
      </c>
      <c r="M33" s="142">
        <v>0</v>
      </c>
      <c r="N33" s="142">
        <f t="shared" si="28"/>
        <v>65188</v>
      </c>
      <c r="O33" s="82"/>
      <c r="P33" s="164" t="s">
        <v>115</v>
      </c>
      <c r="Q33" s="165">
        <f>E35*100/E27</f>
        <v>7.4260288610201703</v>
      </c>
      <c r="R33" s="165">
        <f>H35*100/H27</f>
        <v>7.4260288610201703</v>
      </c>
      <c r="S33" s="165">
        <f>K35*100/K27</f>
        <v>7.4260288610201703</v>
      </c>
      <c r="T33" s="166">
        <f>N35*100/N27</f>
        <v>7.4260288610201703</v>
      </c>
    </row>
    <row r="34" spans="1:20" ht="11.4" customHeight="1" x14ac:dyDescent="0.3">
      <c r="A34" s="174"/>
      <c r="B34" s="145" t="s">
        <v>250</v>
      </c>
      <c r="C34" s="150">
        <f>C14</f>
        <v>1166981</v>
      </c>
      <c r="D34" s="142">
        <v>0</v>
      </c>
      <c r="E34" s="151">
        <f t="shared" si="22"/>
        <v>1166981</v>
      </c>
      <c r="F34" s="142">
        <f t="shared" si="23"/>
        <v>1166981</v>
      </c>
      <c r="G34" s="142">
        <v>0</v>
      </c>
      <c r="H34" s="142">
        <f t="shared" si="24"/>
        <v>1166981</v>
      </c>
      <c r="I34" s="150">
        <f t="shared" si="25"/>
        <v>1166981</v>
      </c>
      <c r="J34" s="142">
        <v>0</v>
      </c>
      <c r="K34" s="151">
        <f t="shared" si="26"/>
        <v>1166981</v>
      </c>
      <c r="L34" s="142">
        <f t="shared" si="27"/>
        <v>1166981</v>
      </c>
      <c r="M34" s="142">
        <v>0</v>
      </c>
      <c r="N34" s="142">
        <f t="shared" si="28"/>
        <v>1166981</v>
      </c>
      <c r="O34" s="82"/>
      <c r="P34" s="164" t="s">
        <v>116</v>
      </c>
      <c r="Q34" s="165">
        <f>E33*100/E28</f>
        <v>8.397247462971885</v>
      </c>
      <c r="R34" s="165">
        <f>H33*100/H28</f>
        <v>8.397247462971885</v>
      </c>
      <c r="S34" s="165">
        <f>K33*100/K28</f>
        <v>8.397247462971885</v>
      </c>
      <c r="T34" s="166">
        <f>N33*100/N28</f>
        <v>8.397247462971885</v>
      </c>
    </row>
    <row r="35" spans="1:20" ht="11.4" customHeight="1" x14ac:dyDescent="0.3">
      <c r="A35" s="174"/>
      <c r="B35" s="145" t="s">
        <v>251</v>
      </c>
      <c r="C35" s="150">
        <v>93612</v>
      </c>
      <c r="D35" s="142">
        <v>0</v>
      </c>
      <c r="E35" s="151">
        <f t="shared" si="22"/>
        <v>93612</v>
      </c>
      <c r="F35" s="142">
        <f t="shared" si="23"/>
        <v>93612</v>
      </c>
      <c r="G35" s="142">
        <v>0</v>
      </c>
      <c r="H35" s="142">
        <f t="shared" si="24"/>
        <v>93612</v>
      </c>
      <c r="I35" s="150">
        <f t="shared" si="25"/>
        <v>93612</v>
      </c>
      <c r="J35" s="142">
        <v>0</v>
      </c>
      <c r="K35" s="151">
        <f t="shared" si="26"/>
        <v>93612</v>
      </c>
      <c r="L35" s="142">
        <f t="shared" si="27"/>
        <v>93612</v>
      </c>
      <c r="M35" s="142">
        <v>0</v>
      </c>
      <c r="N35" s="142">
        <f t="shared" si="28"/>
        <v>93612</v>
      </c>
      <c r="O35" s="82"/>
      <c r="P35" s="82"/>
      <c r="Q35" s="82"/>
      <c r="R35" s="82"/>
      <c r="S35" s="82"/>
      <c r="T35" s="83"/>
    </row>
    <row r="36" spans="1:20" ht="11.4" customHeight="1" x14ac:dyDescent="0.3">
      <c r="A36" s="174"/>
      <c r="B36" s="145"/>
      <c r="C36" s="152">
        <f>C29-C31-C32-C33-C34-C35</f>
        <v>0</v>
      </c>
      <c r="D36" s="146">
        <f t="shared" ref="D36" si="29">D29-D31-D32-D33-D34-D35</f>
        <v>0</v>
      </c>
      <c r="E36" s="153">
        <f t="shared" ref="E36" si="30">E29-E31-E32-E33-E34-E35</f>
        <v>0</v>
      </c>
      <c r="F36" s="152">
        <f t="shared" ref="F36" si="31">F29-F31-F32-F33-F34-F35</f>
        <v>0</v>
      </c>
      <c r="G36" s="146">
        <f t="shared" ref="G36" si="32">G29-G31-G32-G33-G34-G35</f>
        <v>0</v>
      </c>
      <c r="H36" s="153">
        <f t="shared" ref="H36" si="33">H29-H31-H32-H33-H34-H35</f>
        <v>0</v>
      </c>
      <c r="I36" s="152">
        <f t="shared" ref="I36" si="34">I29-I31-I32-I33-I34-I35</f>
        <v>0</v>
      </c>
      <c r="J36" s="146">
        <f t="shared" ref="J36" si="35">J29-J31-J32-J33-J34-J35</f>
        <v>0</v>
      </c>
      <c r="K36" s="153">
        <f t="shared" ref="K36" si="36">K29-K31-K32-K33-K34-K35</f>
        <v>0</v>
      </c>
      <c r="L36" s="152">
        <f t="shared" ref="L36" si="37">L29-L31-L32-L33-L34-L35</f>
        <v>0</v>
      </c>
      <c r="M36" s="146">
        <f t="shared" ref="M36" si="38">M29-M31-M32-M33-M34-M35</f>
        <v>0</v>
      </c>
      <c r="N36" s="153">
        <f t="shared" ref="N36" si="39">N29-N31-N32-N33-N34-N35</f>
        <v>0</v>
      </c>
      <c r="O36" s="82"/>
      <c r="P36" s="82"/>
      <c r="Q36" s="82"/>
      <c r="R36" s="82"/>
      <c r="S36" s="82"/>
      <c r="T36" s="83"/>
    </row>
    <row r="37" spans="1:20" ht="20.25" customHeight="1" x14ac:dyDescent="0.3">
      <c r="A37" s="174"/>
      <c r="B37" s="117" t="s">
        <v>147</v>
      </c>
      <c r="C37" s="116"/>
      <c r="D37" s="116"/>
      <c r="E37" s="116"/>
      <c r="F37" s="118"/>
      <c r="G37" s="118"/>
      <c r="I37" s="122" t="s">
        <v>215</v>
      </c>
      <c r="J37" s="123"/>
      <c r="K37" s="123"/>
      <c r="L37" s="123"/>
      <c r="M37" s="124"/>
      <c r="O37" s="117" t="s">
        <v>154</v>
      </c>
      <c r="P37" s="116"/>
      <c r="Q37" s="116"/>
      <c r="R37" s="116"/>
      <c r="S37" s="116"/>
      <c r="T37" s="83"/>
    </row>
    <row r="38" spans="1:20" x14ac:dyDescent="0.3">
      <c r="A38" s="174"/>
      <c r="B38" s="175" t="str">
        <f>B25</f>
        <v>TPL veids</v>
      </c>
      <c r="C38" s="177" t="s">
        <v>151</v>
      </c>
      <c r="D38" s="177"/>
      <c r="E38" s="177"/>
      <c r="F38" s="177"/>
      <c r="G38" s="177"/>
      <c r="I38" s="175" t="str">
        <f>B38</f>
        <v>TPL veids</v>
      </c>
      <c r="J38" s="177" t="s">
        <v>155</v>
      </c>
      <c r="K38" s="177"/>
      <c r="L38" s="177"/>
      <c r="M38" s="177"/>
      <c r="O38" s="178" t="str">
        <f>I38</f>
        <v>TPL veids</v>
      </c>
      <c r="P38" s="177" t="str">
        <f>O37</f>
        <v>Izsniegtais TPL skaits</v>
      </c>
      <c r="Q38" s="177"/>
      <c r="R38" s="177"/>
      <c r="S38" s="177"/>
      <c r="T38" s="83"/>
    </row>
    <row r="39" spans="1:20" s="86" customFormat="1" x14ac:dyDescent="0.3">
      <c r="A39" s="174"/>
      <c r="B39" s="175"/>
      <c r="C39" s="137" t="s">
        <v>148</v>
      </c>
      <c r="D39" s="137" t="s">
        <v>149</v>
      </c>
      <c r="E39" s="137" t="s">
        <v>150</v>
      </c>
      <c r="F39" s="137" t="s">
        <v>157</v>
      </c>
      <c r="G39" s="137" t="s">
        <v>219</v>
      </c>
      <c r="I39" s="175"/>
      <c r="J39" s="137" t="s">
        <v>152</v>
      </c>
      <c r="K39" s="137" t="s">
        <v>153</v>
      </c>
      <c r="L39" s="137" t="s">
        <v>158</v>
      </c>
      <c r="M39" s="137" t="s">
        <v>220</v>
      </c>
      <c r="O39" s="179"/>
      <c r="P39" s="137" t="s">
        <v>152</v>
      </c>
      <c r="Q39" s="137" t="s">
        <v>153</v>
      </c>
      <c r="R39" s="137" t="s">
        <v>158</v>
      </c>
      <c r="S39" s="137" t="s">
        <v>220</v>
      </c>
      <c r="T39" s="85"/>
    </row>
    <row r="40" spans="1:20" x14ac:dyDescent="0.3">
      <c r="A40" s="174"/>
      <c r="B40" s="111" t="s">
        <v>163</v>
      </c>
      <c r="C40" s="119">
        <f>'_2021_VB_ar_ izmaiņām_MK'!I54</f>
        <v>3803</v>
      </c>
      <c r="D40" s="119">
        <f>'_2022_VB_ar_ izmaiņām_MK'!I54</f>
        <v>5248</v>
      </c>
      <c r="E40" s="119">
        <f>'_2023_VB_ar_ izmaiņām_MK'!I54</f>
        <v>6812</v>
      </c>
      <c r="F40" s="119">
        <f>'_2024_VB_ar_ izmaiņām_MK'!I54</f>
        <v>8590</v>
      </c>
      <c r="G40" s="119">
        <f>'_2024_VB_ar_ izmaiņām_MK'!S54</f>
        <v>10573</v>
      </c>
      <c r="I40" s="111" t="s">
        <v>163</v>
      </c>
      <c r="J40" s="119">
        <f>'_2021_VB_ar_ izmaiņām_MK'!O54</f>
        <v>3163</v>
      </c>
      <c r="K40" s="119">
        <f>'_2022_VB_ar_ izmaiņām_MK'!O54</f>
        <v>3152</v>
      </c>
      <c r="L40" s="119">
        <f>'_2023_VB_ar_ izmaiņām_MK'!O54</f>
        <v>3046</v>
      </c>
      <c r="M40" s="119">
        <f>'_2024_VB_ar_ izmaiņām_MK'!O54</f>
        <v>2949</v>
      </c>
      <c r="O40" s="111" t="s">
        <v>163</v>
      </c>
      <c r="P40" s="119">
        <f>'_2021_VB_ar_ izmaiņām_MK'!P54</f>
        <v>4484</v>
      </c>
      <c r="Q40" s="119">
        <f>'_2022_VB_ar_ izmaiņām_MK'!P54</f>
        <v>4683</v>
      </c>
      <c r="R40" s="119">
        <f>'_2023_VB_ar_ izmaiņām_MK'!P54</f>
        <v>4511</v>
      </c>
      <c r="S40" s="119">
        <f>'_2024_VB_ar_ izmaiņām_MK'!P54</f>
        <v>4409</v>
      </c>
      <c r="T40" s="83"/>
    </row>
    <row r="41" spans="1:20" x14ac:dyDescent="0.3">
      <c r="A41" s="174"/>
      <c r="B41" s="111" t="s">
        <v>164</v>
      </c>
      <c r="C41" s="119">
        <f>'_2021_VB_ar_ izmaiņām_MK'!I58</f>
        <v>318</v>
      </c>
      <c r="D41" s="119">
        <f>'_2022_VB_ar_ izmaiņām_MK'!I58</f>
        <v>1169</v>
      </c>
      <c r="E41" s="119">
        <f>'_2023_VB_ar_ izmaiņām_MK'!I58</f>
        <v>2101</v>
      </c>
      <c r="F41" s="119">
        <f>'_2024_VB_ar_ izmaiņām_MK'!I58</f>
        <v>3168</v>
      </c>
      <c r="G41" s="119">
        <f>'_2024_VB_ar_ izmaiņām_MK'!S58</f>
        <v>4419</v>
      </c>
      <c r="I41" s="111" t="s">
        <v>164</v>
      </c>
      <c r="J41" s="119">
        <f>'_2021_VB_ar_ izmaiņām_MK'!O58</f>
        <v>2905</v>
      </c>
      <c r="K41" s="119">
        <f>'_2022_VB_ar_ izmaiņām_MK'!O58</f>
        <v>2884</v>
      </c>
      <c r="L41" s="119">
        <f>'_2023_VB_ar_ izmaiņām_MK'!O58</f>
        <v>2809</v>
      </c>
      <c r="M41" s="119">
        <f>'_2024_VB_ar_ izmaiņām_MK'!O58</f>
        <v>2685</v>
      </c>
      <c r="O41" s="111" t="s">
        <v>164</v>
      </c>
      <c r="P41" s="119">
        <f>'_2021_VB_ar_ izmaiņām_MK'!P58</f>
        <v>2905</v>
      </c>
      <c r="Q41" s="119">
        <f>'_2022_VB_ar_ izmaiņām_MK'!P58</f>
        <v>2884</v>
      </c>
      <c r="R41" s="119">
        <f>'_2023_VB_ar_ izmaiņām_MK'!P58</f>
        <v>2809</v>
      </c>
      <c r="S41" s="119">
        <f>'_2024_VB_ar_ izmaiņām_MK'!P58</f>
        <v>2685</v>
      </c>
      <c r="T41" s="83"/>
    </row>
    <row r="42" spans="1:20" s="89" customFormat="1" x14ac:dyDescent="0.3">
      <c r="A42" s="174"/>
      <c r="B42" s="120" t="s">
        <v>143</v>
      </c>
      <c r="C42" s="121">
        <f>C40+C41</f>
        <v>4121</v>
      </c>
      <c r="D42" s="121">
        <f t="shared" ref="D42:G42" si="40">D40+D41</f>
        <v>6417</v>
      </c>
      <c r="E42" s="121">
        <f t="shared" si="40"/>
        <v>8913</v>
      </c>
      <c r="F42" s="121">
        <f t="shared" si="40"/>
        <v>11758</v>
      </c>
      <c r="G42" s="121">
        <f t="shared" si="40"/>
        <v>14992</v>
      </c>
      <c r="I42" s="120" t="s">
        <v>143</v>
      </c>
      <c r="J42" s="121">
        <f>J40+J41</f>
        <v>6068</v>
      </c>
      <c r="K42" s="121">
        <f t="shared" ref="K42:M42" si="41">K40+K41</f>
        <v>6036</v>
      </c>
      <c r="L42" s="121">
        <f t="shared" si="41"/>
        <v>5855</v>
      </c>
      <c r="M42" s="121">
        <f t="shared" si="41"/>
        <v>5634</v>
      </c>
      <c r="O42" s="120" t="s">
        <v>143</v>
      </c>
      <c r="P42" s="121">
        <f>P40+P41</f>
        <v>7389</v>
      </c>
      <c r="Q42" s="121">
        <f t="shared" ref="Q42:S42" si="42">Q40+Q41</f>
        <v>7567</v>
      </c>
      <c r="R42" s="121">
        <f t="shared" si="42"/>
        <v>7320</v>
      </c>
      <c r="S42" s="121">
        <f t="shared" si="42"/>
        <v>7094</v>
      </c>
      <c r="T42" s="88"/>
    </row>
    <row r="43" spans="1:20" ht="14.5" thickBot="1" x14ac:dyDescent="0.35">
      <c r="A43" s="95"/>
      <c r="B43" s="91"/>
      <c r="C43" s="91"/>
      <c r="D43" s="91"/>
      <c r="E43" s="91"/>
      <c r="F43" s="91"/>
      <c r="G43" s="91"/>
      <c r="H43" s="91"/>
      <c r="I43" s="91"/>
      <c r="J43" s="91"/>
      <c r="K43" s="91"/>
      <c r="L43" s="91"/>
      <c r="M43" s="91"/>
      <c r="N43" s="91"/>
      <c r="O43" s="91"/>
      <c r="P43" s="91"/>
      <c r="Q43" s="91"/>
      <c r="R43" s="91"/>
      <c r="S43" s="91"/>
      <c r="T43" s="93"/>
    </row>
    <row r="44" spans="1:20" ht="15" customHeight="1" x14ac:dyDescent="0.3">
      <c r="A44" s="79"/>
      <c r="B44" s="107" t="s">
        <v>218</v>
      </c>
      <c r="C44" s="108"/>
      <c r="D44" s="108"/>
      <c r="E44" s="108"/>
      <c r="F44" s="108"/>
      <c r="G44" s="108"/>
      <c r="H44" s="108"/>
      <c r="I44" s="108"/>
      <c r="J44" s="108"/>
      <c r="K44" s="108"/>
      <c r="L44" s="109"/>
      <c r="M44" s="109"/>
      <c r="N44" s="109"/>
      <c r="O44" s="80"/>
      <c r="P44" s="80"/>
      <c r="Q44" s="80"/>
      <c r="R44" s="80"/>
      <c r="S44" s="80"/>
      <c r="T44" s="81"/>
    </row>
    <row r="45" spans="1:20" ht="15.5" x14ac:dyDescent="0.35">
      <c r="A45" s="174" t="s">
        <v>265</v>
      </c>
      <c r="B45" s="176" t="s">
        <v>165</v>
      </c>
      <c r="C45" s="180" t="s">
        <v>145</v>
      </c>
      <c r="D45" s="180"/>
      <c r="E45" s="180"/>
      <c r="F45" s="180" t="s">
        <v>146</v>
      </c>
      <c r="G45" s="180"/>
      <c r="H45" s="180"/>
      <c r="I45" s="180" t="s">
        <v>156</v>
      </c>
      <c r="J45" s="180"/>
      <c r="K45" s="180"/>
      <c r="L45" s="180" t="s">
        <v>264</v>
      </c>
      <c r="M45" s="180"/>
      <c r="N45" s="180"/>
      <c r="O45" s="82"/>
      <c r="P45" s="82"/>
      <c r="Q45" s="82"/>
      <c r="R45" s="82"/>
      <c r="S45" s="82"/>
      <c r="T45" s="83"/>
    </row>
    <row r="46" spans="1:20" s="86" customFormat="1" x14ac:dyDescent="0.3">
      <c r="A46" s="174"/>
      <c r="B46" s="176"/>
      <c r="C46" s="110" t="s">
        <v>230</v>
      </c>
      <c r="D46" s="110" t="s">
        <v>173</v>
      </c>
      <c r="E46" s="110" t="s">
        <v>144</v>
      </c>
      <c r="F46" s="110" t="s">
        <v>230</v>
      </c>
      <c r="G46" s="110" t="s">
        <v>173</v>
      </c>
      <c r="H46" s="110" t="s">
        <v>144</v>
      </c>
      <c r="I46" s="110" t="s">
        <v>230</v>
      </c>
      <c r="J46" s="110" t="s">
        <v>173</v>
      </c>
      <c r="K46" s="110" t="s">
        <v>144</v>
      </c>
      <c r="L46" s="110" t="s">
        <v>230</v>
      </c>
      <c r="M46" s="110" t="s">
        <v>173</v>
      </c>
      <c r="N46" s="110" t="s">
        <v>144</v>
      </c>
      <c r="O46" s="84"/>
      <c r="P46" s="84"/>
      <c r="Q46" s="84"/>
      <c r="R46" s="84"/>
      <c r="S46" s="84"/>
      <c r="T46" s="85"/>
    </row>
    <row r="47" spans="1:20" x14ac:dyDescent="0.3">
      <c r="A47" s="174"/>
      <c r="B47" s="111" t="s">
        <v>163</v>
      </c>
      <c r="C47" s="112">
        <f>C27</f>
        <v>1260593</v>
      </c>
      <c r="D47" s="112">
        <v>0</v>
      </c>
      <c r="E47" s="113">
        <f>C47+D47</f>
        <v>1260593</v>
      </c>
      <c r="F47" s="112">
        <f>C47</f>
        <v>1260593</v>
      </c>
      <c r="G47" s="112">
        <f>'_2022_VB_ar_ izmaiņām_MK+ fin'!R56+('_2024_VB_ar_ izmaiņām_MK+ fin'!R56*0.1)</f>
        <v>1213770.8999999999</v>
      </c>
      <c r="H47" s="113">
        <f>F47+G47</f>
        <v>2474363.9</v>
      </c>
      <c r="I47" s="112">
        <f>F47</f>
        <v>1260593</v>
      </c>
      <c r="J47" s="112">
        <f>'_2023_VB_ar_ izmaiņām_MK+fin'!R56+('_2024_VB_ar_ izmaiņām_MK+ fin'!R56*0.1)</f>
        <v>1160388.8999999999</v>
      </c>
      <c r="K47" s="113">
        <f>I47+J47</f>
        <v>2420981.9</v>
      </c>
      <c r="L47" s="112">
        <f>I47</f>
        <v>1260593</v>
      </c>
      <c r="M47" s="112">
        <f>'_2024_VB_ar_ izmaiņām_MK+ fin'!R56*1.1</f>
        <v>1071266.9000000001</v>
      </c>
      <c r="N47" s="113">
        <f>L47+M47</f>
        <v>2331859.9000000004</v>
      </c>
      <c r="O47" s="82"/>
      <c r="P47" s="82"/>
      <c r="Q47" s="82"/>
      <c r="R47" s="82"/>
      <c r="S47" s="82"/>
      <c r="T47" s="83"/>
    </row>
    <row r="48" spans="1:20" x14ac:dyDescent="0.3">
      <c r="A48" s="174"/>
      <c r="B48" s="111" t="s">
        <v>164</v>
      </c>
      <c r="C48" s="112">
        <f>C28</f>
        <v>776302</v>
      </c>
      <c r="D48" s="112">
        <v>0</v>
      </c>
      <c r="E48" s="113">
        <f>C48+D48</f>
        <v>776302</v>
      </c>
      <c r="F48" s="112">
        <f>C48</f>
        <v>776302</v>
      </c>
      <c r="G48" s="112">
        <f>'_2022_VB_ar_ izmaiņām_MK+ fin'!R60+('_2024_VB_ar_ izmaiņām_MK+ fin'!R60*0.1)</f>
        <v>772696.3</v>
      </c>
      <c r="H48" s="113">
        <f>F48+G48</f>
        <v>1548998.3</v>
      </c>
      <c r="I48" s="112">
        <f>F48</f>
        <v>776302</v>
      </c>
      <c r="J48" s="112">
        <f>'_2023_VB_ar_ izmaiņām_MK+fin'!R60+('_2024_VB_ar_ izmaiņām_MK+ fin'!R60*0.1)</f>
        <v>551227.30000000005</v>
      </c>
      <c r="K48" s="113">
        <f>I48+J48</f>
        <v>1327529.3</v>
      </c>
      <c r="L48" s="112">
        <f>I48</f>
        <v>776302</v>
      </c>
      <c r="M48" s="112">
        <f>'_2024_VB_ar_ izmaiņām_MK+ fin'!R60*1.1</f>
        <v>550993.30000000005</v>
      </c>
      <c r="N48" s="113">
        <f>L48+M48</f>
        <v>1327295.3</v>
      </c>
      <c r="O48" s="82"/>
      <c r="P48" s="82"/>
      <c r="Q48" s="82"/>
      <c r="R48" s="82"/>
      <c r="S48" s="82"/>
      <c r="T48" s="83"/>
    </row>
    <row r="49" spans="1:20" s="89" customFormat="1" ht="15" x14ac:dyDescent="0.3">
      <c r="A49" s="174"/>
      <c r="B49" s="114" t="s">
        <v>205</v>
      </c>
      <c r="C49" s="115">
        <f>C47+C48</f>
        <v>2036895</v>
      </c>
      <c r="D49" s="115">
        <f t="shared" ref="D49:E49" si="43">D47+D48</f>
        <v>0</v>
      </c>
      <c r="E49" s="115">
        <f t="shared" si="43"/>
        <v>2036895</v>
      </c>
      <c r="F49" s="115">
        <f>F47+F48</f>
        <v>2036895</v>
      </c>
      <c r="G49" s="205">
        <f t="shared" ref="G49:H49" si="44">G47+G48</f>
        <v>1986467.2</v>
      </c>
      <c r="H49" s="115">
        <f t="shared" si="44"/>
        <v>4023362.2</v>
      </c>
      <c r="I49" s="115">
        <f>I47+I48</f>
        <v>2036895</v>
      </c>
      <c r="J49" s="205">
        <f t="shared" ref="J49:K49" si="45">J47+J48</f>
        <v>1711616.2</v>
      </c>
      <c r="K49" s="115">
        <f t="shared" si="45"/>
        <v>3748511.2</v>
      </c>
      <c r="L49" s="115">
        <f>L47+L48</f>
        <v>2036895</v>
      </c>
      <c r="M49" s="205">
        <f t="shared" ref="M49:N49" si="46">M47+M48</f>
        <v>1622260.2000000002</v>
      </c>
      <c r="N49" s="115">
        <f t="shared" si="46"/>
        <v>3659155.2</v>
      </c>
      <c r="O49" s="87"/>
      <c r="P49" s="87"/>
      <c r="Q49" s="87"/>
      <c r="R49" s="87"/>
      <c r="S49" s="87"/>
      <c r="T49" s="88"/>
    </row>
    <row r="50" spans="1:20" ht="11.4" customHeight="1" x14ac:dyDescent="0.3">
      <c r="A50" s="174"/>
      <c r="B50" s="144" t="s">
        <v>246</v>
      </c>
      <c r="C50" s="147"/>
      <c r="D50" s="148"/>
      <c r="E50" s="149"/>
      <c r="F50" s="142"/>
      <c r="G50" s="142"/>
      <c r="H50" s="142"/>
      <c r="I50" s="154"/>
      <c r="J50" s="155"/>
      <c r="K50" s="149"/>
      <c r="L50" s="142"/>
      <c r="M50" s="142"/>
      <c r="N50" s="142"/>
      <c r="O50" s="82"/>
      <c r="P50" s="156"/>
      <c r="Q50" s="156"/>
      <c r="R50" s="156"/>
      <c r="S50" s="156"/>
      <c r="T50" s="157"/>
    </row>
    <row r="51" spans="1:20" ht="10.75" customHeight="1" x14ac:dyDescent="0.3">
      <c r="A51" s="174"/>
      <c r="B51" s="145" t="s">
        <v>247</v>
      </c>
      <c r="C51" s="150">
        <f>C11</f>
        <v>677869</v>
      </c>
      <c r="D51" s="142">
        <v>0</v>
      </c>
      <c r="E51" s="151">
        <f>C51+D51</f>
        <v>677869</v>
      </c>
      <c r="F51" s="142">
        <f>C51</f>
        <v>677869</v>
      </c>
      <c r="G51" s="142">
        <f>'_2022_VB_ar_ izmaiņām_MK+ fin'!R60</f>
        <v>722606</v>
      </c>
      <c r="H51" s="142">
        <f>F51+G51</f>
        <v>1400475</v>
      </c>
      <c r="I51" s="150">
        <f>C51</f>
        <v>677869</v>
      </c>
      <c r="J51" s="142">
        <f>'_2023_VB_ar_ izmaiņām_MK+fin'!R60</f>
        <v>501137</v>
      </c>
      <c r="K51" s="151">
        <f>I51+J51</f>
        <v>1179006</v>
      </c>
      <c r="L51" s="142">
        <f>C51</f>
        <v>677869</v>
      </c>
      <c r="M51" s="142">
        <f>'_2024_VB_ar_ izmaiņām_MK+ fin'!R60</f>
        <v>500903</v>
      </c>
      <c r="N51" s="142">
        <f>L51+M51</f>
        <v>1178772</v>
      </c>
      <c r="O51" s="82"/>
      <c r="P51" s="160" t="s">
        <v>252</v>
      </c>
      <c r="Q51" s="160"/>
      <c r="R51" s="160"/>
      <c r="S51" s="160"/>
      <c r="T51" s="161"/>
    </row>
    <row r="52" spans="1:20" ht="10.75" customHeight="1" x14ac:dyDescent="0.3">
      <c r="A52" s="174"/>
      <c r="B52" s="145" t="s">
        <v>248</v>
      </c>
      <c r="C52" s="150">
        <v>33245</v>
      </c>
      <c r="D52" s="142">
        <v>0</v>
      </c>
      <c r="E52" s="151">
        <f t="shared" ref="E52:E55" si="47">C52+D52</f>
        <v>33245</v>
      </c>
      <c r="F52" s="142">
        <f t="shared" ref="F52:F55" si="48">C52</f>
        <v>33245</v>
      </c>
      <c r="G52" s="142">
        <f>M52</f>
        <v>25045</v>
      </c>
      <c r="H52" s="142">
        <f t="shared" ref="H52:H55" si="49">F52+G52</f>
        <v>58290</v>
      </c>
      <c r="I52" s="150">
        <f t="shared" ref="I52:I55" si="50">C52</f>
        <v>33245</v>
      </c>
      <c r="J52" s="142">
        <f>M52</f>
        <v>25045</v>
      </c>
      <c r="K52" s="151">
        <f t="shared" ref="K52:K55" si="51">I52+J52</f>
        <v>58290</v>
      </c>
      <c r="L52" s="142">
        <f t="shared" ref="L52:L55" si="52">C52</f>
        <v>33245</v>
      </c>
      <c r="M52" s="142">
        <f>ROUND('_2024_VB_ar_ izmaiņām_MK+ fin'!R60*0.05,0)</f>
        <v>25045</v>
      </c>
      <c r="N52" s="142">
        <f t="shared" ref="N52:N55" si="53">L52+M52</f>
        <v>58290</v>
      </c>
      <c r="O52" s="82"/>
      <c r="P52" s="160"/>
      <c r="Q52" s="162">
        <v>2021</v>
      </c>
      <c r="R52" s="162">
        <v>2022</v>
      </c>
      <c r="S52" s="162">
        <v>2023</v>
      </c>
      <c r="T52" s="163">
        <v>2024</v>
      </c>
    </row>
    <row r="53" spans="1:20" ht="10.75" customHeight="1" x14ac:dyDescent="0.3">
      <c r="A53" s="174"/>
      <c r="B53" s="145" t="s">
        <v>249</v>
      </c>
      <c r="C53" s="150">
        <v>65188</v>
      </c>
      <c r="D53" s="142">
        <v>0</v>
      </c>
      <c r="E53" s="151">
        <f t="shared" si="47"/>
        <v>65188</v>
      </c>
      <c r="F53" s="142">
        <f t="shared" si="48"/>
        <v>65188</v>
      </c>
      <c r="G53" s="142">
        <f>M53</f>
        <v>25045</v>
      </c>
      <c r="H53" s="142">
        <f t="shared" si="49"/>
        <v>90233</v>
      </c>
      <c r="I53" s="150">
        <f t="shared" si="50"/>
        <v>65188</v>
      </c>
      <c r="J53" s="142">
        <f>M53</f>
        <v>25045</v>
      </c>
      <c r="K53" s="151">
        <f t="shared" si="51"/>
        <v>90233</v>
      </c>
      <c r="L53" s="142">
        <f t="shared" si="52"/>
        <v>65188</v>
      </c>
      <c r="M53" s="142">
        <f>ROUND('_2024_VB_ar_ izmaiņām_MK+ fin'!R60*0.05,0)</f>
        <v>25045</v>
      </c>
      <c r="N53" s="142">
        <f t="shared" si="53"/>
        <v>90233</v>
      </c>
      <c r="O53" s="82"/>
      <c r="P53" s="164" t="s">
        <v>115</v>
      </c>
      <c r="Q53" s="165">
        <f>E55*100/E47</f>
        <v>7.4260288610201703</v>
      </c>
      <c r="R53" s="165">
        <f>H55*100/H47</f>
        <v>7.7191556181368473</v>
      </c>
      <c r="S53" s="165">
        <f>K55*100/K47</f>
        <v>7.8893609241770877</v>
      </c>
      <c r="T53" s="166">
        <f>N55*100/N47</f>
        <v>8.1908865965746909</v>
      </c>
    </row>
    <row r="54" spans="1:20" ht="10.75" customHeight="1" x14ac:dyDescent="0.3">
      <c r="A54" s="174"/>
      <c r="B54" s="145" t="s">
        <v>250</v>
      </c>
      <c r="C54" s="150">
        <f>C14</f>
        <v>1166981</v>
      </c>
      <c r="D54" s="142">
        <v>0</v>
      </c>
      <c r="E54" s="151">
        <f t="shared" si="47"/>
        <v>1166981</v>
      </c>
      <c r="F54" s="142">
        <f t="shared" si="48"/>
        <v>1166981</v>
      </c>
      <c r="G54" s="142">
        <f>'_2022_VB_ar_ izmaiņām_MK+ fin'!R56</f>
        <v>1116383</v>
      </c>
      <c r="H54" s="142">
        <f t="shared" si="49"/>
        <v>2283364</v>
      </c>
      <c r="I54" s="150">
        <f t="shared" si="50"/>
        <v>1166981</v>
      </c>
      <c r="J54" s="142">
        <f>'_2023_VB_ar_ izmaiņām_MK+fin'!R56</f>
        <v>1063001</v>
      </c>
      <c r="K54" s="151">
        <f t="shared" si="51"/>
        <v>2229982</v>
      </c>
      <c r="L54" s="142">
        <f t="shared" si="52"/>
        <v>1166981</v>
      </c>
      <c r="M54" s="142">
        <f>'_2024_VB_ar_ izmaiņām_MK+ fin'!R56</f>
        <v>973879</v>
      </c>
      <c r="N54" s="142">
        <f t="shared" si="53"/>
        <v>2140860</v>
      </c>
      <c r="O54" s="82"/>
      <c r="P54" s="164" t="s">
        <v>116</v>
      </c>
      <c r="Q54" s="165">
        <f>E53*100/E48</f>
        <v>8.397247462971885</v>
      </c>
      <c r="R54" s="165">
        <f>H53*100/H48</f>
        <v>5.8252484847788404</v>
      </c>
      <c r="S54" s="165">
        <f>K53*100/K48</f>
        <v>6.7970627842263065</v>
      </c>
      <c r="T54" s="166">
        <f>N53*100/N48</f>
        <v>6.7982610953267137</v>
      </c>
    </row>
    <row r="55" spans="1:20" ht="10.75" customHeight="1" x14ac:dyDescent="0.3">
      <c r="A55" s="174"/>
      <c r="B55" s="145" t="s">
        <v>251</v>
      </c>
      <c r="C55" s="150">
        <v>93612</v>
      </c>
      <c r="D55" s="142">
        <v>0</v>
      </c>
      <c r="E55" s="151">
        <f t="shared" si="47"/>
        <v>93612</v>
      </c>
      <c r="F55" s="142">
        <f t="shared" si="48"/>
        <v>93612</v>
      </c>
      <c r="G55" s="142">
        <f>M55</f>
        <v>97388</v>
      </c>
      <c r="H55" s="142">
        <f t="shared" si="49"/>
        <v>191000</v>
      </c>
      <c r="I55" s="150">
        <f t="shared" si="50"/>
        <v>93612</v>
      </c>
      <c r="J55" s="142">
        <f>M55</f>
        <v>97388</v>
      </c>
      <c r="K55" s="151">
        <f t="shared" si="51"/>
        <v>191000</v>
      </c>
      <c r="L55" s="142">
        <f t="shared" si="52"/>
        <v>93612</v>
      </c>
      <c r="M55" s="142">
        <f>ROUND('_2024_VB_ar_ izmaiņām_MK+ fin'!R56*0.1,0)</f>
        <v>97388</v>
      </c>
      <c r="N55" s="142">
        <f t="shared" si="53"/>
        <v>191000</v>
      </c>
      <c r="O55" s="82"/>
      <c r="P55" s="158"/>
      <c r="Q55" s="158"/>
      <c r="R55" s="158"/>
      <c r="S55" s="158"/>
      <c r="T55" s="159"/>
    </row>
    <row r="56" spans="1:20" ht="10.75" customHeight="1" x14ac:dyDescent="0.3">
      <c r="A56" s="174"/>
      <c r="B56" s="145"/>
      <c r="C56" s="152">
        <f t="shared" ref="C56:N56" si="54">C49-C51-C52-C53-C54-C55</f>
        <v>0</v>
      </c>
      <c r="D56" s="146">
        <f t="shared" si="54"/>
        <v>0</v>
      </c>
      <c r="E56" s="153">
        <f t="shared" si="54"/>
        <v>0</v>
      </c>
      <c r="F56" s="152">
        <f t="shared" si="54"/>
        <v>0</v>
      </c>
      <c r="G56" s="146">
        <f t="shared" si="54"/>
        <v>0.19999999995343387</v>
      </c>
      <c r="H56" s="153">
        <f t="shared" si="54"/>
        <v>0.20000000018626451</v>
      </c>
      <c r="I56" s="152">
        <f t="shared" si="54"/>
        <v>0</v>
      </c>
      <c r="J56" s="146">
        <f t="shared" si="54"/>
        <v>0.19999999995343387</v>
      </c>
      <c r="K56" s="153">
        <f t="shared" si="54"/>
        <v>0.20000000018626451</v>
      </c>
      <c r="L56" s="152">
        <f t="shared" si="54"/>
        <v>0</v>
      </c>
      <c r="M56" s="146">
        <f t="shared" si="54"/>
        <v>0.20000000018626451</v>
      </c>
      <c r="N56" s="153">
        <f t="shared" si="54"/>
        <v>0.20000000018626451</v>
      </c>
      <c r="O56" s="82"/>
      <c r="P56" s="156"/>
      <c r="Q56" s="156"/>
      <c r="R56" s="156"/>
      <c r="S56" s="156"/>
      <c r="T56" s="157"/>
    </row>
    <row r="57" spans="1:20" ht="20.25" customHeight="1" x14ac:dyDescent="0.3">
      <c r="A57" s="174"/>
      <c r="B57" s="117" t="s">
        <v>147</v>
      </c>
      <c r="C57" s="143"/>
      <c r="D57" s="143"/>
      <c r="E57" s="143"/>
      <c r="F57" s="143"/>
      <c r="G57" s="143"/>
      <c r="H57" s="82"/>
      <c r="I57" s="122" t="s">
        <v>215</v>
      </c>
      <c r="J57" s="123"/>
      <c r="K57" s="123"/>
      <c r="L57" s="123"/>
      <c r="M57" s="124"/>
      <c r="N57" s="82"/>
      <c r="O57" s="117" t="s">
        <v>154</v>
      </c>
      <c r="P57" s="116"/>
      <c r="Q57" s="116"/>
      <c r="R57" s="116"/>
      <c r="S57" s="116"/>
      <c r="T57" s="83"/>
    </row>
    <row r="58" spans="1:20" x14ac:dyDescent="0.3">
      <c r="A58" s="174"/>
      <c r="B58" s="175" t="str">
        <f>B45</f>
        <v>TPL veids</v>
      </c>
      <c r="C58" s="177" t="s">
        <v>151</v>
      </c>
      <c r="D58" s="177"/>
      <c r="E58" s="177"/>
      <c r="F58" s="177"/>
      <c r="G58" s="177"/>
      <c r="H58" s="82"/>
      <c r="I58" s="175" t="str">
        <f>B58</f>
        <v>TPL veids</v>
      </c>
      <c r="J58" s="177" t="s">
        <v>155</v>
      </c>
      <c r="K58" s="177"/>
      <c r="L58" s="177"/>
      <c r="M58" s="177"/>
      <c r="N58" s="82"/>
      <c r="O58" s="178" t="str">
        <f>I58</f>
        <v>TPL veids</v>
      </c>
      <c r="P58" s="177" t="str">
        <f>O57</f>
        <v>Izsniegtais TPL skaits</v>
      </c>
      <c r="Q58" s="177"/>
      <c r="R58" s="177"/>
      <c r="S58" s="177"/>
      <c r="T58" s="83"/>
    </row>
    <row r="59" spans="1:20" s="86" customFormat="1" x14ac:dyDescent="0.3">
      <c r="A59" s="174"/>
      <c r="B59" s="175"/>
      <c r="C59" s="137" t="s">
        <v>148</v>
      </c>
      <c r="D59" s="137" t="s">
        <v>149</v>
      </c>
      <c r="E59" s="137" t="s">
        <v>150</v>
      </c>
      <c r="F59" s="137" t="s">
        <v>157</v>
      </c>
      <c r="G59" s="137" t="s">
        <v>219</v>
      </c>
      <c r="H59" s="84"/>
      <c r="I59" s="175"/>
      <c r="J59" s="137" t="s">
        <v>152</v>
      </c>
      <c r="K59" s="137" t="s">
        <v>153</v>
      </c>
      <c r="L59" s="137" t="s">
        <v>158</v>
      </c>
      <c r="M59" s="137" t="s">
        <v>220</v>
      </c>
      <c r="N59" s="84"/>
      <c r="O59" s="179"/>
      <c r="P59" s="137" t="s">
        <v>152</v>
      </c>
      <c r="Q59" s="137" t="s">
        <v>153</v>
      </c>
      <c r="R59" s="137" t="s">
        <v>158</v>
      </c>
      <c r="S59" s="137" t="s">
        <v>220</v>
      </c>
      <c r="T59" s="85"/>
    </row>
    <row r="60" spans="1:20" x14ac:dyDescent="0.3">
      <c r="A60" s="174"/>
      <c r="B60" s="111" t="s">
        <v>163</v>
      </c>
      <c r="C60" s="119">
        <f>'_2021_VB_ar_ izmaiņām_MK'!I54</f>
        <v>3803</v>
      </c>
      <c r="D60" s="119">
        <f>'_2022_VB_ar_ izmaiņām_MK+ fin'!I54</f>
        <v>5248</v>
      </c>
      <c r="E60" s="119">
        <f>'_2023_VB_ar_ izmaiņām_MK+fin'!I54</f>
        <v>3856</v>
      </c>
      <c r="F60" s="119">
        <f>'_2024_VB_ar_ izmaiņām_MK+ fin'!I54</f>
        <v>2942</v>
      </c>
      <c r="G60" s="119">
        <f>'_2024_VB_ar_ izmaiņām_MK+ fin'!S54</f>
        <v>2495</v>
      </c>
      <c r="H60" s="82"/>
      <c r="I60" s="111" t="s">
        <v>163</v>
      </c>
      <c r="J60" s="119">
        <f>'_2021_VB_ar_ izmaiņām_MK'!O54</f>
        <v>3163</v>
      </c>
      <c r="K60" s="119">
        <f>'_2022_VB_ar_ izmaiņām_MK+ fin'!O54</f>
        <v>6108</v>
      </c>
      <c r="L60" s="119">
        <f>'_2023_VB_ar_ izmaiņām_MK+fin'!O54</f>
        <v>5738</v>
      </c>
      <c r="M60" s="119">
        <f>'_2024_VB_ar_ izmaiņām_MK+ fin'!O54</f>
        <v>5379</v>
      </c>
      <c r="N60" s="82"/>
      <c r="O60" s="111" t="s">
        <v>163</v>
      </c>
      <c r="P60" s="119">
        <f>'_2021_VB_ar_ izmaiņām_MK'!P54</f>
        <v>4484</v>
      </c>
      <c r="Q60" s="119">
        <f>'_2022_VB_ar_ izmaiņām_MK+ fin'!P54</f>
        <v>9170</v>
      </c>
      <c r="R60" s="119">
        <f>'_2023_VB_ar_ izmaiņām_MK+fin'!P54</f>
        <v>8647</v>
      </c>
      <c r="S60" s="119">
        <f>'_2024_VB_ar_ izmaiņām_MK+ fin'!P54</f>
        <v>8135</v>
      </c>
      <c r="T60" s="83"/>
    </row>
    <row r="61" spans="1:20" x14ac:dyDescent="0.3">
      <c r="A61" s="174"/>
      <c r="B61" s="111" t="s">
        <v>164</v>
      </c>
      <c r="C61" s="119">
        <f>'_2021_VB_ar_ izmaiņām_MK'!I58</f>
        <v>318</v>
      </c>
      <c r="D61" s="119">
        <f>'_2022_VB_ar_ izmaiņām_MK+ fin'!I58</f>
        <v>1169</v>
      </c>
      <c r="E61" s="119">
        <f>'_2023_VB_ar_ izmaiņām_MK+fin'!I58</f>
        <v>412</v>
      </c>
      <c r="F61" s="119">
        <f>'_2024_VB_ar_ izmaiņām_MK+ fin'!I58</f>
        <v>311</v>
      </c>
      <c r="G61" s="119">
        <f>'_2024_VB_ar_ izmaiņām_MK+ fin'!S58</f>
        <v>346</v>
      </c>
      <c r="H61" s="82"/>
      <c r="I61" s="111" t="s">
        <v>164</v>
      </c>
      <c r="J61" s="119">
        <f>'_2021_VB_ar_ izmaiņām_MK'!O58</f>
        <v>2905</v>
      </c>
      <c r="K61" s="119">
        <f>'_2022_VB_ar_ izmaiņām_MK+ fin'!O58</f>
        <v>4573</v>
      </c>
      <c r="L61" s="119">
        <f>'_2023_VB_ar_ izmaiņām_MK+fin'!O58</f>
        <v>3977</v>
      </c>
      <c r="M61" s="119">
        <f>'_2024_VB_ar_ izmaiņām_MK+ fin'!O58</f>
        <v>3901</v>
      </c>
      <c r="N61" s="82"/>
      <c r="O61" s="111" t="s">
        <v>164</v>
      </c>
      <c r="P61" s="119">
        <f>'_2021_VB_ar_ izmaiņām_MK'!P58</f>
        <v>2905</v>
      </c>
      <c r="Q61" s="119">
        <f>'_2022_VB_ar_ izmaiņām_MK+ fin'!P58</f>
        <v>4573</v>
      </c>
      <c r="R61" s="119">
        <f>'_2023_VB_ar_ izmaiņām_MK+fin'!P58</f>
        <v>3977</v>
      </c>
      <c r="S61" s="119">
        <f>'_2024_VB_ar_ izmaiņām_MK+ fin'!P58</f>
        <v>3901</v>
      </c>
      <c r="T61" s="83"/>
    </row>
    <row r="62" spans="1:20" s="89" customFormat="1" x14ac:dyDescent="0.3">
      <c r="A62" s="174"/>
      <c r="B62" s="120" t="s">
        <v>143</v>
      </c>
      <c r="C62" s="121">
        <f>C60+C61</f>
        <v>4121</v>
      </c>
      <c r="D62" s="121">
        <f t="shared" ref="D62:G62" si="55">D60+D61</f>
        <v>6417</v>
      </c>
      <c r="E62" s="121">
        <f t="shared" si="55"/>
        <v>4268</v>
      </c>
      <c r="F62" s="121">
        <f t="shared" si="55"/>
        <v>3253</v>
      </c>
      <c r="G62" s="121">
        <f t="shared" si="55"/>
        <v>2841</v>
      </c>
      <c r="H62" s="87"/>
      <c r="I62" s="120" t="s">
        <v>143</v>
      </c>
      <c r="J62" s="121">
        <f>J60+J61</f>
        <v>6068</v>
      </c>
      <c r="K62" s="121">
        <f t="shared" ref="K62:M62" si="56">K60+K61</f>
        <v>10681</v>
      </c>
      <c r="L62" s="121">
        <f t="shared" si="56"/>
        <v>9715</v>
      </c>
      <c r="M62" s="121">
        <f t="shared" si="56"/>
        <v>9280</v>
      </c>
      <c r="N62" s="87"/>
      <c r="O62" s="120" t="s">
        <v>143</v>
      </c>
      <c r="P62" s="121">
        <f>P60+P61</f>
        <v>7389</v>
      </c>
      <c r="Q62" s="121">
        <f t="shared" ref="Q62:S62" si="57">Q60+Q61</f>
        <v>13743</v>
      </c>
      <c r="R62" s="121">
        <f t="shared" si="57"/>
        <v>12624</v>
      </c>
      <c r="S62" s="121">
        <f t="shared" si="57"/>
        <v>12036</v>
      </c>
      <c r="T62" s="88"/>
    </row>
    <row r="63" spans="1:20" ht="14.5" thickBot="1" x14ac:dyDescent="0.35">
      <c r="A63" s="95"/>
      <c r="B63" s="91"/>
      <c r="C63" s="91"/>
      <c r="D63" s="91"/>
      <c r="E63" s="91"/>
      <c r="F63" s="91"/>
      <c r="G63" s="91"/>
      <c r="H63" s="91"/>
      <c r="I63" s="91"/>
      <c r="J63" s="91"/>
      <c r="K63" s="91"/>
      <c r="L63" s="91"/>
      <c r="M63" s="91"/>
      <c r="N63" s="91"/>
      <c r="O63" s="91"/>
      <c r="P63" s="91"/>
      <c r="Q63" s="91"/>
      <c r="R63" s="91"/>
      <c r="S63" s="91"/>
      <c r="T63" s="93"/>
    </row>
    <row r="65" spans="1:20" s="125" customFormat="1" x14ac:dyDescent="0.3">
      <c r="A65" s="136" t="s">
        <v>199</v>
      </c>
      <c r="B65" s="136"/>
      <c r="C65" s="136"/>
      <c r="D65" s="136"/>
      <c r="E65" s="136"/>
      <c r="F65" s="136"/>
      <c r="G65" s="136"/>
      <c r="H65" s="136"/>
      <c r="I65" s="136"/>
      <c r="J65" s="136"/>
      <c r="K65" s="136"/>
      <c r="L65" s="136"/>
      <c r="M65" s="136"/>
      <c r="N65" s="136"/>
      <c r="O65" s="136"/>
      <c r="P65" s="136"/>
      <c r="Q65" s="136"/>
      <c r="R65" s="136"/>
      <c r="S65" s="136"/>
      <c r="T65" s="136"/>
    </row>
    <row r="66" spans="1:20" s="125" customFormat="1" ht="38.4" customHeight="1" x14ac:dyDescent="0.3">
      <c r="A66" s="131" t="str">
        <f>'_2022_VB_ar_ izmaiņām_MK+ fin'!A1:T1</f>
        <v>2. Pielikuma 1. tabula</v>
      </c>
      <c r="B66" s="173" t="str">
        <f>'_2022_VB_ar_ izmaiņām_MK+ fin'!A3</f>
        <v>Ministru kabineta noteikumu projekta „Kārtība, kādā Latvijas Neredzīgo biedrība un Latvijas Nedzirdīgo savienība sniedz sociālās rehabilitācijas pakalpojumus un nodrošina tehniskos palīglīdzekļus – tiflotehniku un surdotehniku” izpildes rādītāji 2022. gadā  (ar papildu finansējumu)</v>
      </c>
      <c r="C66" s="173"/>
      <c r="D66" s="173"/>
      <c r="E66" s="173"/>
      <c r="F66" s="173"/>
      <c r="G66" s="173"/>
      <c r="H66" s="173"/>
      <c r="I66" s="173"/>
      <c r="J66" s="173"/>
      <c r="K66" s="173"/>
      <c r="L66" s="173"/>
      <c r="M66" s="173"/>
      <c r="N66" s="173"/>
      <c r="O66" s="173"/>
      <c r="P66" s="173"/>
      <c r="Q66" s="173"/>
      <c r="R66" s="173"/>
      <c r="S66" s="173"/>
      <c r="T66" s="173"/>
    </row>
    <row r="67" spans="1:20" s="125" customFormat="1" ht="38.4" customHeight="1" x14ac:dyDescent="0.3">
      <c r="A67" s="131" t="str">
        <f>'_2023_VB_ar_ izmaiņām_MK+fin'!A1:T1</f>
        <v>2. Pielikuma 2. tabula</v>
      </c>
      <c r="B67" s="173" t="str">
        <f>'_2023_VB_ar_ izmaiņām_MK+fin'!A3</f>
        <v>Ministru kabineta noteikumu projekta „Kārtība, kādā Latvijas Neredzīgo biedrība un Latvijas Nedzirdīgo savienība sniedz sociālās rehabilitācijas pakalpojumus un nodrošina tehniskos palīglīdzekļus – tiflotehniku un surdotehniku” izpildes rādītāji 2023. gadā (ar papildu finansējumu)</v>
      </c>
      <c r="C67" s="173"/>
      <c r="D67" s="173"/>
      <c r="E67" s="173"/>
      <c r="F67" s="173"/>
      <c r="G67" s="173"/>
      <c r="H67" s="173"/>
      <c r="I67" s="173"/>
      <c r="J67" s="173"/>
      <c r="K67" s="173"/>
      <c r="L67" s="173"/>
      <c r="M67" s="173"/>
      <c r="N67" s="173"/>
      <c r="O67" s="173"/>
      <c r="P67" s="173"/>
      <c r="Q67" s="173"/>
      <c r="R67" s="173"/>
      <c r="S67" s="173"/>
      <c r="T67" s="173"/>
    </row>
    <row r="68" spans="1:20" s="125" customFormat="1" ht="38.4" customHeight="1" x14ac:dyDescent="0.3">
      <c r="A68" s="131" t="str">
        <f>'_2024_VB_ar_ izmaiņām_MK+ fin'!A1:T1</f>
        <v>2. Pielikuma 3. tabula</v>
      </c>
      <c r="B68" s="173" t="str">
        <f>'_2024_VB_ar_ izmaiņām_MK+ fin'!A3</f>
        <v>Ministru kabineta noteikumu projekta „Kārtība, kādā Latvijas Neredzīgo biedrība un Latvijas Nedzirdīgo savienība sniedz sociālās rehabilitācijas pakalpojumus un nodrošina tehniskos palīglīdzekļus – tiflotehniku un surdotehniku” izpildes rādītāji 2024. gadā   (ar papildu finansējumu)</v>
      </c>
      <c r="C68" s="173"/>
      <c r="D68" s="173"/>
      <c r="E68" s="173"/>
      <c r="F68" s="173"/>
      <c r="G68" s="173"/>
      <c r="H68" s="173"/>
      <c r="I68" s="173"/>
      <c r="J68" s="173"/>
      <c r="K68" s="173"/>
      <c r="L68" s="173"/>
      <c r="M68" s="173"/>
      <c r="N68" s="173"/>
      <c r="O68" s="173"/>
      <c r="P68" s="173"/>
      <c r="Q68" s="173"/>
      <c r="R68" s="173"/>
      <c r="S68" s="173"/>
      <c r="T68" s="173"/>
    </row>
    <row r="69" spans="1:20" ht="38.4" customHeight="1" x14ac:dyDescent="0.3">
      <c r="A69" s="131" t="str">
        <f>'_2021_VB_ar_ izmaiņām_MK'!A1:T1</f>
        <v>2. Pielikuma 4. tabula</v>
      </c>
      <c r="B69" s="173" t="str">
        <f>'_2021_VB_ar_ izmaiņām_MK'!A3</f>
        <v>Ministru kabineta noteikumu projekta „Kārtība, kādā Latvijas Neredzīgo biedrība un Latvijas Nedzirdīgo savienība sniedz sociālās rehabilitācijas pakalpojumus un nodrošina tehniskos palīglīdzekļus – tiflotehniku un surdotehniku” izpildes rādītāji 2021. gadā (esošā budžeta ietvaros)</v>
      </c>
      <c r="C69" s="173"/>
      <c r="D69" s="173"/>
      <c r="E69" s="173"/>
      <c r="F69" s="173"/>
      <c r="G69" s="173"/>
      <c r="H69" s="173"/>
      <c r="I69" s="173"/>
      <c r="J69" s="173"/>
      <c r="K69" s="173"/>
      <c r="L69" s="173"/>
      <c r="M69" s="173"/>
      <c r="N69" s="173"/>
      <c r="O69" s="173"/>
      <c r="P69" s="173"/>
      <c r="Q69" s="173"/>
      <c r="R69" s="173"/>
      <c r="S69" s="173"/>
      <c r="T69" s="173"/>
    </row>
    <row r="70" spans="1:20" ht="38.4" customHeight="1" x14ac:dyDescent="0.3">
      <c r="A70" s="131" t="str">
        <f>'_2022_VB_ar_ izmaiņām_MK'!A1:T1</f>
        <v>2. Pielikuma 5. tabula</v>
      </c>
      <c r="B70" s="173" t="str">
        <f>'_2022_VB_ar_ izmaiņām_MK'!A3</f>
        <v>Ministru kabineta noteikumu projekta „Kārtība, kādā Latvijas Neredzīgo biedrība un Latvijas Nedzirdīgo savienība sniedz sociālās rehabilitācijas pakalpojumus un nodrošina tehniskos palīglīdzekļus – tiflotehniku un surdotehniku” izpildes rādītāji 2022. gadā  (esošā budžeta ietvaros)</v>
      </c>
      <c r="C70" s="173"/>
      <c r="D70" s="173"/>
      <c r="E70" s="173"/>
      <c r="F70" s="173"/>
      <c r="G70" s="173"/>
      <c r="H70" s="173"/>
      <c r="I70" s="173"/>
      <c r="J70" s="173"/>
      <c r="K70" s="173"/>
      <c r="L70" s="173"/>
      <c r="M70" s="173"/>
      <c r="N70" s="173"/>
      <c r="O70" s="173"/>
      <c r="P70" s="173"/>
      <c r="Q70" s="173"/>
      <c r="R70" s="173"/>
      <c r="S70" s="173"/>
      <c r="T70" s="173"/>
    </row>
    <row r="71" spans="1:20" ht="38.4" customHeight="1" x14ac:dyDescent="0.3">
      <c r="A71" s="131" t="str">
        <f>'_2023_VB_ar_ izmaiņām_MK'!A1:T1</f>
        <v>2. Pielikuma 6. tabula</v>
      </c>
      <c r="B71" s="173" t="str">
        <f>'_2023_VB_ar_ izmaiņām_MK'!A3</f>
        <v>Ministru kabineta noteikumu projekta „Kārtība, kādā Latvijas Neredzīgo biedrība un Latvijas Nedzirdīgo savienība sniedz sociālās rehabilitācijas pakalpojumus un nodrošina tehniskos palīglīdzekļus – tiflotehniku un surdotehniku” izpildes rādītāji 2023. gadā (esošā budžeta ietvaros)</v>
      </c>
      <c r="C71" s="173"/>
      <c r="D71" s="173"/>
      <c r="E71" s="173"/>
      <c r="F71" s="173"/>
      <c r="G71" s="173"/>
      <c r="H71" s="173"/>
      <c r="I71" s="173"/>
      <c r="J71" s="173"/>
      <c r="K71" s="173"/>
      <c r="L71" s="173"/>
      <c r="M71" s="173"/>
      <c r="N71" s="173"/>
      <c r="O71" s="173"/>
      <c r="P71" s="173"/>
      <c r="Q71" s="173"/>
      <c r="R71" s="173"/>
      <c r="S71" s="173"/>
      <c r="T71" s="173"/>
    </row>
    <row r="72" spans="1:20" ht="38.4" customHeight="1" x14ac:dyDescent="0.3">
      <c r="A72" s="131" t="str">
        <f>'_2024_VB_ar_ izmaiņām_MK'!A1:T1</f>
        <v>2. Pielikuma 7. tabula</v>
      </c>
      <c r="B72" s="173" t="str">
        <f>'_2024_VB_ar_ izmaiņām_MK'!A3</f>
        <v>Ministru kabineta noteikumu projekta „Kārtība, kādā Latvijas Neredzīgo biedrība un Latvijas Nedzirdīgo savienība sniedz sociālās rehabilitācijas pakalpojumus un nodrošina tehniskos palīglīdzekļus – tiflotehniku un surdotehniku” izpildes rādītāji 2024. gadā  (esošā budžeta ietvaros)</v>
      </c>
      <c r="C72" s="173"/>
      <c r="D72" s="173"/>
      <c r="E72" s="173"/>
      <c r="F72" s="173"/>
      <c r="G72" s="173"/>
      <c r="H72" s="173"/>
      <c r="I72" s="173"/>
      <c r="J72" s="173"/>
      <c r="K72" s="173"/>
      <c r="L72" s="173"/>
      <c r="M72" s="173"/>
      <c r="N72" s="173"/>
      <c r="O72" s="173"/>
      <c r="P72" s="173"/>
      <c r="Q72" s="173"/>
      <c r="R72" s="173"/>
      <c r="S72" s="173"/>
      <c r="T72" s="173"/>
    </row>
    <row r="73" spans="1:20" ht="38.4" customHeight="1" x14ac:dyDescent="0.3">
      <c r="A73" s="131" t="str">
        <f>'_2021_VB_bez izmaiņām'!A1:T1</f>
        <v>2. Pielikuma 8. tabula</v>
      </c>
      <c r="B73" s="173" t="str">
        <f>'_2021_VB_bez izmaiņām'!A3</f>
        <v>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2021. gadā</v>
      </c>
      <c r="C73" s="173"/>
      <c r="D73" s="173"/>
      <c r="E73" s="173"/>
      <c r="F73" s="173"/>
      <c r="G73" s="173"/>
      <c r="H73" s="173"/>
      <c r="I73" s="173"/>
      <c r="J73" s="173"/>
      <c r="K73" s="173"/>
      <c r="L73" s="173"/>
      <c r="M73" s="173"/>
      <c r="N73" s="173"/>
      <c r="O73" s="173"/>
      <c r="P73" s="173"/>
      <c r="Q73" s="173"/>
      <c r="R73" s="173"/>
      <c r="S73" s="173"/>
      <c r="T73" s="173"/>
    </row>
    <row r="74" spans="1:20" ht="38.4" customHeight="1" x14ac:dyDescent="0.3">
      <c r="A74" s="131" t="str">
        <f>'_2022_VB_bez izmaiņām'!A1:T1</f>
        <v>2. Pielikuma 9. tabula</v>
      </c>
      <c r="B74" s="173" t="str">
        <f>'_2022_VB_bez izmaiņām'!A3</f>
        <v>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2022. gadā</v>
      </c>
      <c r="C74" s="173"/>
      <c r="D74" s="173"/>
      <c r="E74" s="173"/>
      <c r="F74" s="173"/>
      <c r="G74" s="173"/>
      <c r="H74" s="173"/>
      <c r="I74" s="173"/>
      <c r="J74" s="173"/>
      <c r="K74" s="173"/>
      <c r="L74" s="173"/>
      <c r="M74" s="173"/>
      <c r="N74" s="173"/>
      <c r="O74" s="173"/>
      <c r="P74" s="173"/>
      <c r="Q74" s="173"/>
      <c r="R74" s="173"/>
      <c r="S74" s="173"/>
      <c r="T74" s="173"/>
    </row>
    <row r="75" spans="1:20" ht="38.4" customHeight="1" x14ac:dyDescent="0.3">
      <c r="A75" s="131" t="str">
        <f>'_2023_VB_bez izmaiņām'!A1:T1</f>
        <v>2. Pielikuma 10. tabula</v>
      </c>
      <c r="B75" s="173" t="str">
        <f>'_2023_VB_bez izmaiņām'!A3</f>
        <v>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2023. gadā</v>
      </c>
      <c r="C75" s="173"/>
      <c r="D75" s="173"/>
      <c r="E75" s="173"/>
      <c r="F75" s="173"/>
      <c r="G75" s="173"/>
      <c r="H75" s="173"/>
      <c r="I75" s="173"/>
      <c r="J75" s="173"/>
      <c r="K75" s="173"/>
      <c r="L75" s="173"/>
      <c r="M75" s="173"/>
      <c r="N75" s="173"/>
      <c r="O75" s="173"/>
      <c r="P75" s="173"/>
      <c r="Q75" s="173"/>
      <c r="R75" s="173"/>
      <c r="S75" s="173"/>
      <c r="T75" s="173"/>
    </row>
    <row r="76" spans="1:20" ht="38.4" customHeight="1" x14ac:dyDescent="0.3">
      <c r="A76" s="131" t="str">
        <f>'_2024_VB_bez izmaiņām'!A1:T1</f>
        <v>2. Pielikuma 11. tabula</v>
      </c>
      <c r="B76" s="173" t="str">
        <f>'_2024_VB_bez izmaiņām'!A3</f>
        <v>Ministru kabineta 15.12.2009. noteikumi Nr.1472 "Kārtība, kādā Latvijas Neredzīgo biedrība un Latvijas Nedzirdīgo savienība sniedz sociālās rehabilitācijas pakalpojumus un nodrošina tehniskos palīglīdzekļus – tiflotehniku un surdotehniku" prognozējamie izpildes rādītāji 2024. gadā</v>
      </c>
      <c r="C76" s="173"/>
      <c r="D76" s="173"/>
      <c r="E76" s="173"/>
      <c r="F76" s="173"/>
      <c r="G76" s="173"/>
      <c r="H76" s="173"/>
      <c r="I76" s="173"/>
      <c r="J76" s="173"/>
      <c r="K76" s="173"/>
      <c r="L76" s="173"/>
      <c r="M76" s="173"/>
      <c r="N76" s="173"/>
      <c r="O76" s="173"/>
      <c r="P76" s="173"/>
      <c r="Q76" s="173"/>
      <c r="R76" s="173"/>
      <c r="S76" s="173"/>
      <c r="T76" s="173"/>
    </row>
    <row r="77" spans="1:20" s="125" customFormat="1" x14ac:dyDescent="0.3"/>
    <row r="78" spans="1:20" s="125" customFormat="1" x14ac:dyDescent="0.3">
      <c r="A78" s="139" t="s">
        <v>202</v>
      </c>
    </row>
    <row r="79" spans="1:20" s="125" customFormat="1" x14ac:dyDescent="0.3">
      <c r="A79" s="140" t="s">
        <v>203</v>
      </c>
    </row>
    <row r="80" spans="1:20" s="125" customFormat="1" x14ac:dyDescent="0.3">
      <c r="A80" s="140" t="s">
        <v>200</v>
      </c>
    </row>
    <row r="81" spans="1:1" s="125" customFormat="1" x14ac:dyDescent="0.3">
      <c r="A81" s="140" t="s">
        <v>204</v>
      </c>
    </row>
    <row r="82" spans="1:1" s="125" customFormat="1" ht="14.5" x14ac:dyDescent="0.3">
      <c r="A82" s="141" t="s">
        <v>201</v>
      </c>
    </row>
    <row r="83" spans="1:1" s="125" customFormat="1" x14ac:dyDescent="0.3"/>
    <row r="84" spans="1:1" s="125" customFormat="1" x14ac:dyDescent="0.3"/>
    <row r="85" spans="1:1" s="125" customFormat="1" x14ac:dyDescent="0.3"/>
  </sheetData>
  <mergeCells count="50">
    <mergeCell ref="L45:N45"/>
    <mergeCell ref="O18:O19"/>
    <mergeCell ref="L25:N25"/>
    <mergeCell ref="P58:S58"/>
    <mergeCell ref="C58:G58"/>
    <mergeCell ref="C38:G38"/>
    <mergeCell ref="I38:I39"/>
    <mergeCell ref="J38:M38"/>
    <mergeCell ref="P38:S38"/>
    <mergeCell ref="O38:O39"/>
    <mergeCell ref="C45:E45"/>
    <mergeCell ref="A1:T1"/>
    <mergeCell ref="A2:T2"/>
    <mergeCell ref="A3:T3"/>
    <mergeCell ref="L5:N5"/>
    <mergeCell ref="A5:A22"/>
    <mergeCell ref="P18:S18"/>
    <mergeCell ref="B5:B6"/>
    <mergeCell ref="C5:E5"/>
    <mergeCell ref="F5:H5"/>
    <mergeCell ref="I5:K5"/>
    <mergeCell ref="I18:I19"/>
    <mergeCell ref="B18:B19"/>
    <mergeCell ref="C18:G18"/>
    <mergeCell ref="J18:M18"/>
    <mergeCell ref="A25:A42"/>
    <mergeCell ref="A45:A62"/>
    <mergeCell ref="B66:T66"/>
    <mergeCell ref="B67:T67"/>
    <mergeCell ref="B58:B59"/>
    <mergeCell ref="B45:B46"/>
    <mergeCell ref="F45:H45"/>
    <mergeCell ref="I45:K45"/>
    <mergeCell ref="B25:B26"/>
    <mergeCell ref="I58:I59"/>
    <mergeCell ref="J58:M58"/>
    <mergeCell ref="O58:O59"/>
    <mergeCell ref="C25:E25"/>
    <mergeCell ref="F25:H25"/>
    <mergeCell ref="I25:K25"/>
    <mergeCell ref="B38:B39"/>
    <mergeCell ref="B76:T76"/>
    <mergeCell ref="B73:T73"/>
    <mergeCell ref="B74:T74"/>
    <mergeCell ref="B75:T75"/>
    <mergeCell ref="B68:T68"/>
    <mergeCell ref="B70:T70"/>
    <mergeCell ref="B71:T71"/>
    <mergeCell ref="B72:T72"/>
    <mergeCell ref="B69:T69"/>
  </mergeCells>
  <hyperlinks>
    <hyperlink ref="A82" r:id="rId1" display="mailto:Sandra.Strele@lm.gov.lv" xr:uid="{5C59F1AF-10DA-4248-871D-AB8C94AC9BD9}"/>
  </hyperlinks>
  <pageMargins left="0.70866141732283472" right="0.70866141732283472" top="0.74803149606299213" bottom="0.74803149606299213" header="0.31496062992125984" footer="0.31496062992125984"/>
  <pageSetup scale="6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1DAC6-5FD5-4C80-A704-D33B299D76B4}">
  <sheetPr>
    <tabColor theme="0" tint="-0.34998626667073579"/>
  </sheetPr>
  <dimension ref="A1:Z71"/>
  <sheetViews>
    <sheetView zoomScale="60" zoomScaleNormal="60" workbookViewId="0">
      <pane ySplit="7" topLeftCell="A8" activePane="bottomLeft" state="frozen"/>
      <selection activeCell="D1" sqref="D1"/>
      <selection pane="bottomLeft" activeCell="I53" sqref="I53:T58"/>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46" customWidth="1"/>
    <col min="9" max="16" width="9.08984375" style="46" customWidth="1"/>
    <col min="17" max="17" width="9.08984375" style="65" customWidth="1"/>
    <col min="18" max="18" width="14.6328125" style="46" customWidth="1"/>
    <col min="19" max="20" width="9.08984375" style="46" customWidth="1"/>
    <col min="21" max="22" width="5.453125" style="8" hidden="1" customWidth="1"/>
    <col min="23" max="23" width="50" style="27" hidden="1" customWidth="1"/>
    <col min="24" max="24" width="20.08984375" style="44" customWidth="1"/>
    <col min="25" max="25" width="16" style="44" customWidth="1"/>
    <col min="26" max="16384" width="9.08984375" style="44"/>
  </cols>
  <sheetData>
    <row r="1" spans="1:26" x14ac:dyDescent="0.35">
      <c r="A1" s="189" t="s">
        <v>208</v>
      </c>
      <c r="B1" s="189"/>
      <c r="C1" s="189"/>
      <c r="D1" s="189"/>
      <c r="E1" s="189"/>
      <c r="F1" s="189"/>
      <c r="G1" s="189"/>
      <c r="H1" s="189"/>
      <c r="I1" s="189"/>
      <c r="J1" s="189"/>
      <c r="K1" s="189"/>
      <c r="L1" s="189"/>
      <c r="M1" s="189"/>
      <c r="N1" s="189"/>
      <c r="O1" s="189"/>
      <c r="P1" s="189"/>
      <c r="Q1" s="189"/>
      <c r="R1" s="189"/>
      <c r="S1" s="189"/>
      <c r="T1" s="189"/>
    </row>
    <row r="2" spans="1:26" x14ac:dyDescent="0.35">
      <c r="A2" s="190" t="s">
        <v>187</v>
      </c>
      <c r="B2" s="190"/>
      <c r="C2" s="190"/>
      <c r="D2" s="190"/>
      <c r="E2" s="190"/>
      <c r="F2" s="190"/>
      <c r="G2" s="190"/>
      <c r="H2" s="190"/>
      <c r="I2" s="190"/>
      <c r="J2" s="190"/>
      <c r="K2" s="190"/>
      <c r="L2" s="190"/>
      <c r="M2" s="190"/>
      <c r="N2" s="190"/>
      <c r="O2" s="190"/>
      <c r="P2" s="190"/>
      <c r="Q2" s="190"/>
      <c r="R2" s="190"/>
      <c r="S2" s="190"/>
      <c r="T2" s="190"/>
    </row>
    <row r="3" spans="1:26" ht="54" customHeight="1" x14ac:dyDescent="0.35">
      <c r="A3" s="191" t="s">
        <v>196</v>
      </c>
      <c r="B3" s="191"/>
      <c r="C3" s="191"/>
      <c r="D3" s="191"/>
      <c r="E3" s="191"/>
      <c r="F3" s="191"/>
      <c r="G3" s="191"/>
      <c r="H3" s="191"/>
      <c r="I3" s="191"/>
      <c r="J3" s="191"/>
      <c r="K3" s="191"/>
      <c r="L3" s="191"/>
      <c r="M3" s="191"/>
      <c r="N3" s="191"/>
      <c r="O3" s="191"/>
      <c r="P3" s="191"/>
      <c r="Q3" s="191"/>
      <c r="R3" s="191"/>
      <c r="S3" s="191"/>
      <c r="T3" s="191"/>
      <c r="W3" s="129"/>
      <c r="X3" s="71"/>
      <c r="Y3" s="56"/>
      <c r="Z3" s="57"/>
    </row>
    <row r="4" spans="1:26" s="34" customFormat="1" ht="25.5" x14ac:dyDescent="0.35">
      <c r="B4" s="35"/>
      <c r="C4" s="35"/>
      <c r="E4" s="35"/>
      <c r="F4" s="35"/>
      <c r="G4" s="36"/>
      <c r="H4" s="36"/>
      <c r="I4" s="192" t="s">
        <v>177</v>
      </c>
      <c r="J4" s="193"/>
      <c r="K4" s="193"/>
      <c r="L4" s="193"/>
      <c r="M4" s="193"/>
      <c r="N4" s="193"/>
      <c r="O4" s="193"/>
      <c r="P4" s="193"/>
      <c r="Q4" s="194"/>
      <c r="R4" s="195"/>
      <c r="S4" s="36"/>
      <c r="T4" s="58"/>
      <c r="U4" s="25"/>
      <c r="V4" s="25"/>
      <c r="W4" s="128"/>
      <c r="X4" s="60"/>
      <c r="Y4" s="61"/>
      <c r="Z4" s="68"/>
    </row>
    <row r="5" spans="1:26" ht="27.75" customHeight="1" x14ac:dyDescent="0.35">
      <c r="A5" s="196" t="s">
        <v>100</v>
      </c>
      <c r="B5" s="196"/>
      <c r="C5" s="196"/>
      <c r="D5" s="196"/>
      <c r="E5" s="196"/>
      <c r="F5" s="196"/>
      <c r="G5" s="196"/>
      <c r="H5" s="6"/>
      <c r="I5" s="187" t="s">
        <v>133</v>
      </c>
      <c r="J5" s="187"/>
      <c r="K5" s="187" t="s">
        <v>240</v>
      </c>
      <c r="L5" s="187"/>
      <c r="M5" s="197" t="s">
        <v>135</v>
      </c>
      <c r="N5" s="197"/>
      <c r="O5" s="197" t="s">
        <v>242</v>
      </c>
      <c r="P5" s="197"/>
      <c r="Q5" s="198" t="s">
        <v>128</v>
      </c>
      <c r="R5" s="186" t="s">
        <v>140</v>
      </c>
      <c r="S5" s="187" t="s">
        <v>134</v>
      </c>
      <c r="T5" s="187"/>
      <c r="U5" s="6"/>
      <c r="V5" s="6"/>
      <c r="W5" s="74"/>
      <c r="Y5" s="57"/>
    </row>
    <row r="6" spans="1:26" ht="150.75" customHeight="1" x14ac:dyDescent="0.25">
      <c r="A6" s="37" t="s">
        <v>96</v>
      </c>
      <c r="B6" s="2" t="s">
        <v>0</v>
      </c>
      <c r="C6" s="2" t="s">
        <v>101</v>
      </c>
      <c r="D6" s="37" t="s">
        <v>1</v>
      </c>
      <c r="E6" s="2" t="s">
        <v>2</v>
      </c>
      <c r="F6" s="2" t="s">
        <v>3</v>
      </c>
      <c r="G6" s="38" t="s">
        <v>4</v>
      </c>
      <c r="H6" s="62"/>
      <c r="I6" s="2" t="s">
        <v>127</v>
      </c>
      <c r="J6" s="2" t="s">
        <v>174</v>
      </c>
      <c r="K6" s="2" t="s">
        <v>136</v>
      </c>
      <c r="L6" s="2" t="s">
        <v>175</v>
      </c>
      <c r="M6" s="69" t="s">
        <v>117</v>
      </c>
      <c r="N6" s="69" t="s">
        <v>118</v>
      </c>
      <c r="O6" s="69" t="s">
        <v>123</v>
      </c>
      <c r="P6" s="69" t="s">
        <v>124</v>
      </c>
      <c r="Q6" s="198"/>
      <c r="R6" s="186"/>
      <c r="S6" s="2" t="s">
        <v>127</v>
      </c>
      <c r="T6" s="2" t="s">
        <v>129</v>
      </c>
      <c r="U6" s="1" t="s">
        <v>115</v>
      </c>
      <c r="V6" s="1" t="s">
        <v>116</v>
      </c>
      <c r="W6" s="28" t="s">
        <v>114</v>
      </c>
    </row>
    <row r="7" spans="1:26"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6" ht="18" customHeight="1" x14ac:dyDescent="0.35">
      <c r="A8" s="39"/>
      <c r="B8" s="40"/>
      <c r="C8" s="41">
        <v>4</v>
      </c>
      <c r="D8" s="188" t="s">
        <v>5</v>
      </c>
      <c r="E8" s="188"/>
      <c r="F8" s="188"/>
      <c r="G8" s="188"/>
      <c r="H8" s="63"/>
      <c r="I8" s="70">
        <f t="shared" ref="I8:P8" si="0">I9+I10+I11+I12</f>
        <v>93</v>
      </c>
      <c r="J8" s="70">
        <f t="shared" si="0"/>
        <v>93</v>
      </c>
      <c r="K8" s="70">
        <f t="shared" si="0"/>
        <v>64</v>
      </c>
      <c r="L8" s="70">
        <f t="shared" si="0"/>
        <v>64</v>
      </c>
      <c r="M8" s="70">
        <f t="shared" si="0"/>
        <v>861</v>
      </c>
      <c r="N8" s="70">
        <f t="shared" si="0"/>
        <v>861</v>
      </c>
      <c r="O8" s="9">
        <f t="shared" si="0"/>
        <v>731</v>
      </c>
      <c r="P8" s="70">
        <f t="shared" si="0"/>
        <v>731</v>
      </c>
      <c r="Q8" s="52" t="s">
        <v>119</v>
      </c>
      <c r="R8" s="3">
        <f t="shared" ref="R8" si="1">R9+R10+R11+R12</f>
        <v>50561.5075</v>
      </c>
      <c r="S8" s="9">
        <f>S9+S10+S11+S12</f>
        <v>130</v>
      </c>
      <c r="T8" s="9">
        <f>T9+T10+T11+T12</f>
        <v>130</v>
      </c>
      <c r="U8" s="7"/>
      <c r="V8" s="7">
        <v>1</v>
      </c>
    </row>
    <row r="9" spans="1:26" ht="27.75" customHeight="1" x14ac:dyDescent="0.35">
      <c r="A9" s="31">
        <v>1</v>
      </c>
      <c r="B9" s="32" t="s">
        <v>6</v>
      </c>
      <c r="C9" s="32" t="s">
        <v>7</v>
      </c>
      <c r="D9" s="31" t="s">
        <v>8</v>
      </c>
      <c r="E9" s="32" t="s">
        <v>9</v>
      </c>
      <c r="F9" s="32" t="s">
        <v>97</v>
      </c>
      <c r="G9" s="42" t="s">
        <v>10</v>
      </c>
      <c r="H9" s="47"/>
      <c r="I9" s="12">
        <f>'_2021_VB_bez izmaiņām'!S9</f>
        <v>36</v>
      </c>
      <c r="J9" s="12">
        <f>'_2021_VB_bez izmaiņām'!T9</f>
        <v>36</v>
      </c>
      <c r="K9" s="53">
        <f>ROUND('_2021_VB_bez izmaiņām'!K9*1.025,0)</f>
        <v>25</v>
      </c>
      <c r="L9" s="54">
        <f>IF(I9=0,K9,K9*(J9/I9))</f>
        <v>25</v>
      </c>
      <c r="M9" s="12">
        <f>I9+(K9*12)</f>
        <v>336</v>
      </c>
      <c r="N9" s="12">
        <f>J9+(L9*12)</f>
        <v>336</v>
      </c>
      <c r="O9" s="11">
        <v>270</v>
      </c>
      <c r="P9" s="54">
        <f>IF(I9=0,O9,O9*(J9/I9))</f>
        <v>270</v>
      </c>
      <c r="Q9" s="33">
        <f>'_2021_VB_bez izmaiņām'!Q9*1.025</f>
        <v>86.1</v>
      </c>
      <c r="R9" s="4">
        <f>Q9*P9</f>
        <v>23247</v>
      </c>
      <c r="S9" s="15">
        <f>M9-O9</f>
        <v>66</v>
      </c>
      <c r="T9" s="15">
        <f>N9-P9</f>
        <v>66</v>
      </c>
      <c r="U9" s="1"/>
      <c r="V9" s="1">
        <v>1</v>
      </c>
      <c r="W9" s="27" t="s">
        <v>102</v>
      </c>
      <c r="X9" s="64"/>
    </row>
    <row r="10" spans="1:26" ht="18" customHeight="1" x14ac:dyDescent="0.35">
      <c r="A10" s="31">
        <v>2</v>
      </c>
      <c r="B10" s="32" t="s">
        <v>6</v>
      </c>
      <c r="C10" s="32" t="s">
        <v>11</v>
      </c>
      <c r="D10" s="31" t="s">
        <v>12</v>
      </c>
      <c r="E10" s="32" t="s">
        <v>9</v>
      </c>
      <c r="F10" s="32">
        <v>5</v>
      </c>
      <c r="G10" s="42" t="s">
        <v>10</v>
      </c>
      <c r="H10" s="47"/>
      <c r="I10" s="12">
        <f>'_2021_VB_bez izmaiņām'!S10</f>
        <v>9</v>
      </c>
      <c r="J10" s="12">
        <f>'_2021_VB_bez izmaiņām'!T10</f>
        <v>9</v>
      </c>
      <c r="K10" s="53">
        <f>ROUND('_2021_VB_bez izmaiņām'!K10*1.025,0)</f>
        <v>10</v>
      </c>
      <c r="L10" s="54">
        <f t="shared" ref="L10:L52" si="2">IF(I10=0,K10,K10*(J10/I10))</f>
        <v>10</v>
      </c>
      <c r="M10" s="12">
        <f t="shared" ref="M10:N12" si="3">I10+(K10*12)</f>
        <v>129</v>
      </c>
      <c r="N10" s="12">
        <f t="shared" si="3"/>
        <v>129</v>
      </c>
      <c r="O10" s="11">
        <v>128</v>
      </c>
      <c r="P10" s="54">
        <f t="shared" ref="P10:P12" si="4">IF(I10=0,O10,O10*(J10/I10))</f>
        <v>128</v>
      </c>
      <c r="Q10" s="33">
        <f>'_2021_VB_bez izmaiņām'!Q10*1.025</f>
        <v>86.1</v>
      </c>
      <c r="R10" s="4">
        <f t="shared" ref="R10:R12" si="5">Q10*P10</f>
        <v>11020.8</v>
      </c>
      <c r="S10" s="15">
        <f t="shared" ref="S10:T12" si="6">M10-O10</f>
        <v>1</v>
      </c>
      <c r="T10" s="15">
        <f t="shared" si="6"/>
        <v>1</v>
      </c>
      <c r="U10" s="1"/>
      <c r="V10" s="1">
        <v>1</v>
      </c>
    </row>
    <row r="11" spans="1:26" ht="36" customHeight="1" x14ac:dyDescent="0.35">
      <c r="A11" s="31">
        <v>3</v>
      </c>
      <c r="B11" s="32" t="s">
        <v>13</v>
      </c>
      <c r="C11" s="32" t="s">
        <v>14</v>
      </c>
      <c r="D11" s="31" t="s">
        <v>15</v>
      </c>
      <c r="E11" s="32" t="s">
        <v>9</v>
      </c>
      <c r="F11" s="32">
        <v>2</v>
      </c>
      <c r="G11" s="42" t="s">
        <v>10</v>
      </c>
      <c r="H11" s="47"/>
      <c r="I11" s="12">
        <f>'_2021_VB_bez izmaiņām'!S11</f>
        <v>14</v>
      </c>
      <c r="J11" s="12">
        <f>'_2021_VB_bez izmaiņām'!T11</f>
        <v>14</v>
      </c>
      <c r="K11" s="53">
        <f>ROUND('_2021_VB_bez izmaiņām'!K11*1.025,0)</f>
        <v>12</v>
      </c>
      <c r="L11" s="54">
        <f t="shared" si="2"/>
        <v>12</v>
      </c>
      <c r="M11" s="12">
        <f t="shared" si="3"/>
        <v>158</v>
      </c>
      <c r="N11" s="12">
        <f t="shared" si="3"/>
        <v>158</v>
      </c>
      <c r="O11" s="11">
        <v>158</v>
      </c>
      <c r="P11" s="54">
        <f t="shared" si="4"/>
        <v>158</v>
      </c>
      <c r="Q11" s="33">
        <f>'_2021_VB_bez izmaiņām'!Q11*1.025</f>
        <v>34.44</v>
      </c>
      <c r="R11" s="4">
        <f t="shared" si="5"/>
        <v>5441.5199999999995</v>
      </c>
      <c r="S11" s="15">
        <f t="shared" si="6"/>
        <v>0</v>
      </c>
      <c r="T11" s="15">
        <f t="shared" si="6"/>
        <v>0</v>
      </c>
      <c r="U11" s="1"/>
      <c r="V11" s="1">
        <v>1</v>
      </c>
    </row>
    <row r="12" spans="1:26" ht="18" customHeight="1" x14ac:dyDescent="0.35">
      <c r="A12" s="31">
        <v>4</v>
      </c>
      <c r="B12" s="32" t="s">
        <v>16</v>
      </c>
      <c r="C12" s="32" t="s">
        <v>17</v>
      </c>
      <c r="D12" s="31" t="s">
        <v>18</v>
      </c>
      <c r="E12" s="32" t="s">
        <v>9</v>
      </c>
      <c r="F12" s="32">
        <v>5</v>
      </c>
      <c r="G12" s="42" t="s">
        <v>10</v>
      </c>
      <c r="H12" s="47"/>
      <c r="I12" s="12">
        <f>'_2021_VB_bez izmaiņām'!S12</f>
        <v>34</v>
      </c>
      <c r="J12" s="12">
        <f>'_2021_VB_bez izmaiņām'!T12</f>
        <v>34</v>
      </c>
      <c r="K12" s="53">
        <f>ROUND('_2021_VB_bez izmaiņām'!K12*1.025,0)</f>
        <v>17</v>
      </c>
      <c r="L12" s="54">
        <f t="shared" si="2"/>
        <v>17</v>
      </c>
      <c r="M12" s="12">
        <f t="shared" si="3"/>
        <v>238</v>
      </c>
      <c r="N12" s="12">
        <f t="shared" si="3"/>
        <v>238</v>
      </c>
      <c r="O12" s="11">
        <v>175</v>
      </c>
      <c r="P12" s="54">
        <f t="shared" si="4"/>
        <v>175</v>
      </c>
      <c r="Q12" s="33">
        <f>'_2021_VB_bez izmaiņām'!Q12*1.025</f>
        <v>62.012499999999996</v>
      </c>
      <c r="R12" s="4">
        <f t="shared" si="5"/>
        <v>10852.1875</v>
      </c>
      <c r="S12" s="15">
        <f t="shared" si="6"/>
        <v>63</v>
      </c>
      <c r="T12" s="15">
        <f t="shared" si="6"/>
        <v>63</v>
      </c>
      <c r="U12" s="1"/>
      <c r="V12" s="1">
        <v>1</v>
      </c>
    </row>
    <row r="13" spans="1:26" ht="18" customHeight="1" x14ac:dyDescent="0.35">
      <c r="A13" s="39"/>
      <c r="B13" s="40"/>
      <c r="C13" s="41">
        <v>6</v>
      </c>
      <c r="D13" s="188" t="s">
        <v>19</v>
      </c>
      <c r="E13" s="188"/>
      <c r="F13" s="188"/>
      <c r="G13" s="188"/>
      <c r="H13" s="63"/>
      <c r="I13" s="13">
        <f>I14</f>
        <v>44</v>
      </c>
      <c r="J13" s="13">
        <f t="shared" ref="J13:P13" si="7">J14</f>
        <v>44</v>
      </c>
      <c r="K13" s="13">
        <f t="shared" si="7"/>
        <v>45</v>
      </c>
      <c r="L13" s="13">
        <f t="shared" si="7"/>
        <v>45</v>
      </c>
      <c r="M13" s="13">
        <f t="shared" si="7"/>
        <v>584</v>
      </c>
      <c r="N13" s="13">
        <f t="shared" si="7"/>
        <v>584</v>
      </c>
      <c r="O13" s="13">
        <f t="shared" si="7"/>
        <v>492</v>
      </c>
      <c r="P13" s="13">
        <f t="shared" si="7"/>
        <v>492</v>
      </c>
      <c r="Q13" s="52" t="s">
        <v>119</v>
      </c>
      <c r="R13" s="5">
        <f t="shared" ref="R13" si="8">R14</f>
        <v>285986.27999999997</v>
      </c>
      <c r="S13" s="13">
        <f>S14</f>
        <v>92</v>
      </c>
      <c r="T13" s="13">
        <f>T14</f>
        <v>92</v>
      </c>
      <c r="U13" s="7"/>
      <c r="V13" s="7">
        <v>1</v>
      </c>
    </row>
    <row r="14" spans="1:26" s="34" customFormat="1" ht="34.5" customHeight="1" x14ac:dyDescent="0.35">
      <c r="A14" s="29">
        <v>5</v>
      </c>
      <c r="B14" s="30" t="s">
        <v>20</v>
      </c>
      <c r="C14" s="30" t="s">
        <v>21</v>
      </c>
      <c r="D14" s="29" t="s">
        <v>22</v>
      </c>
      <c r="E14" s="30" t="s">
        <v>9</v>
      </c>
      <c r="F14" s="30">
        <v>2</v>
      </c>
      <c r="G14" s="43" t="s">
        <v>23</v>
      </c>
      <c r="H14" s="48"/>
      <c r="I14" s="12">
        <f>'_2021_VB_bez izmaiņām'!S14</f>
        <v>44</v>
      </c>
      <c r="J14" s="12">
        <f>'_2021_VB_bez izmaiņām'!T14</f>
        <v>44</v>
      </c>
      <c r="K14" s="53">
        <f>ROUND('_2021_VB_bez izmaiņām'!K14*1.025,0)</f>
        <v>45</v>
      </c>
      <c r="L14" s="54">
        <f t="shared" si="2"/>
        <v>45</v>
      </c>
      <c r="M14" s="12">
        <f t="shared" ref="M14:N14" si="9">I14+(K14*12)</f>
        <v>584</v>
      </c>
      <c r="N14" s="12">
        <f t="shared" si="9"/>
        <v>584</v>
      </c>
      <c r="O14" s="11">
        <v>492</v>
      </c>
      <c r="P14" s="54">
        <f>IF(I14=0,O14,O14*(J14/I14))</f>
        <v>492</v>
      </c>
      <c r="Q14" s="33">
        <f>'_2021_VB_bez izmaiņām'!Q14*1.025</f>
        <v>581.27749999999992</v>
      </c>
      <c r="R14" s="4">
        <f>Q14*P14-2.25</f>
        <v>285986.27999999997</v>
      </c>
      <c r="S14" s="16">
        <f t="shared" ref="S14:T14" si="10">M14-O14</f>
        <v>92</v>
      </c>
      <c r="T14" s="16">
        <f t="shared" si="10"/>
        <v>92</v>
      </c>
      <c r="U14" s="19"/>
      <c r="V14" s="19">
        <v>1</v>
      </c>
      <c r="W14" s="26"/>
    </row>
    <row r="15" spans="1:26" ht="18" customHeight="1" x14ac:dyDescent="0.35">
      <c r="A15" s="39"/>
      <c r="B15" s="40"/>
      <c r="C15" s="41">
        <v>12</v>
      </c>
      <c r="D15" s="188" t="s">
        <v>24</v>
      </c>
      <c r="E15" s="188"/>
      <c r="F15" s="188"/>
      <c r="G15" s="188"/>
      <c r="H15" s="63"/>
      <c r="I15" s="9">
        <f>I16+I17</f>
        <v>31</v>
      </c>
      <c r="J15" s="9">
        <f t="shared" ref="J15:P15" si="11">J16+J17</f>
        <v>31</v>
      </c>
      <c r="K15" s="9">
        <f t="shared" si="11"/>
        <v>22</v>
      </c>
      <c r="L15" s="9">
        <f t="shared" si="11"/>
        <v>22</v>
      </c>
      <c r="M15" s="9">
        <f t="shared" si="11"/>
        <v>295</v>
      </c>
      <c r="N15" s="9">
        <f t="shared" si="11"/>
        <v>295</v>
      </c>
      <c r="O15" s="9">
        <f t="shared" si="11"/>
        <v>240</v>
      </c>
      <c r="P15" s="9">
        <f t="shared" si="11"/>
        <v>240</v>
      </c>
      <c r="Q15" s="52" t="s">
        <v>119</v>
      </c>
      <c r="R15" s="3">
        <f t="shared" ref="R15" si="12">R16+R17</f>
        <v>11802.588</v>
      </c>
      <c r="S15" s="9">
        <f>S16+S17</f>
        <v>55</v>
      </c>
      <c r="T15" s="9">
        <f>T16+T17</f>
        <v>55</v>
      </c>
      <c r="U15" s="7"/>
      <c r="V15" s="7">
        <v>1</v>
      </c>
    </row>
    <row r="16" spans="1:26" ht="33.75" customHeight="1" x14ac:dyDescent="0.35">
      <c r="A16" s="31">
        <v>6</v>
      </c>
      <c r="B16" s="32" t="s">
        <v>25</v>
      </c>
      <c r="C16" s="32" t="s">
        <v>26</v>
      </c>
      <c r="D16" s="31" t="s">
        <v>27</v>
      </c>
      <c r="E16" s="32" t="s">
        <v>9</v>
      </c>
      <c r="F16" s="32" t="s">
        <v>104</v>
      </c>
      <c r="G16" s="42" t="s">
        <v>10</v>
      </c>
      <c r="H16" s="47"/>
      <c r="I16" s="12">
        <f>'_2021_VB_bez izmaiņām'!S16</f>
        <v>10</v>
      </c>
      <c r="J16" s="12">
        <f>'_2021_VB_bez izmaiņām'!T16</f>
        <v>10</v>
      </c>
      <c r="K16" s="53">
        <f>ROUND('_2021_VB_bez izmaiņām'!K16*1.025,0)</f>
        <v>10</v>
      </c>
      <c r="L16" s="54">
        <f t="shared" si="2"/>
        <v>10</v>
      </c>
      <c r="M16" s="12">
        <f t="shared" ref="M16:N17" si="13">I16+(K16*12)</f>
        <v>130</v>
      </c>
      <c r="N16" s="12">
        <f t="shared" si="13"/>
        <v>130</v>
      </c>
      <c r="O16" s="11">
        <v>114</v>
      </c>
      <c r="P16" s="54">
        <f>IF(I16=0,O16,O16*(J16/I16))</f>
        <v>114</v>
      </c>
      <c r="Q16" s="33">
        <f>'_2021_VB_bez izmaiņām'!Q16*1.025</f>
        <v>35.875</v>
      </c>
      <c r="R16" s="4">
        <f>Q16*P16</f>
        <v>4089.75</v>
      </c>
      <c r="S16" s="15">
        <f t="shared" ref="S16:T17" si="14">M16-O16</f>
        <v>16</v>
      </c>
      <c r="T16" s="15">
        <f t="shared" si="14"/>
        <v>16</v>
      </c>
      <c r="U16" s="1"/>
      <c r="V16" s="1">
        <v>1</v>
      </c>
      <c r="W16" s="27" t="s">
        <v>103</v>
      </c>
    </row>
    <row r="17" spans="1:23" ht="24" customHeight="1" x14ac:dyDescent="0.35">
      <c r="A17" s="31">
        <v>7</v>
      </c>
      <c r="B17" s="32" t="s">
        <v>25</v>
      </c>
      <c r="C17" s="32" t="s">
        <v>26</v>
      </c>
      <c r="D17" s="31" t="s">
        <v>28</v>
      </c>
      <c r="E17" s="32" t="s">
        <v>9</v>
      </c>
      <c r="F17" s="32" t="s">
        <v>104</v>
      </c>
      <c r="G17" s="42" t="s">
        <v>10</v>
      </c>
      <c r="H17" s="47"/>
      <c r="I17" s="12">
        <f>'_2021_VB_bez izmaiņām'!S17</f>
        <v>21</v>
      </c>
      <c r="J17" s="12">
        <f>'_2021_VB_bez izmaiņām'!T17</f>
        <v>21</v>
      </c>
      <c r="K17" s="53">
        <f>ROUND('_2021_VB_bez izmaiņām'!K17*1.025,0)</f>
        <v>12</v>
      </c>
      <c r="L17" s="54">
        <f t="shared" si="2"/>
        <v>12</v>
      </c>
      <c r="M17" s="12">
        <f t="shared" si="13"/>
        <v>165</v>
      </c>
      <c r="N17" s="12">
        <f t="shared" si="13"/>
        <v>165</v>
      </c>
      <c r="O17" s="11">
        <v>126</v>
      </c>
      <c r="P17" s="54">
        <f>IF(I17=0,O17,O17*(J17/I17))</f>
        <v>126</v>
      </c>
      <c r="Q17" s="33">
        <f>'_2021_VB_bez izmaiņām'!Q17*1.025</f>
        <v>61.212999999999994</v>
      </c>
      <c r="R17" s="4">
        <f>Q17*P17</f>
        <v>7712.8379999999988</v>
      </c>
      <c r="S17" s="15">
        <f t="shared" si="14"/>
        <v>39</v>
      </c>
      <c r="T17" s="15">
        <f t="shared" si="14"/>
        <v>39</v>
      </c>
      <c r="U17" s="1"/>
      <c r="V17" s="1">
        <v>1</v>
      </c>
      <c r="W17" s="27" t="s">
        <v>103</v>
      </c>
    </row>
    <row r="18" spans="1:23" ht="18" customHeight="1" x14ac:dyDescent="0.35">
      <c r="A18" s="39"/>
      <c r="B18" s="40"/>
      <c r="C18" s="41">
        <v>15</v>
      </c>
      <c r="D18" s="188" t="s">
        <v>29</v>
      </c>
      <c r="E18" s="188"/>
      <c r="F18" s="188"/>
      <c r="G18" s="188"/>
      <c r="H18" s="63"/>
      <c r="I18" s="9">
        <f>I19+I20</f>
        <v>40</v>
      </c>
      <c r="J18" s="9">
        <f t="shared" ref="J18:P18" si="15">J19+J20</f>
        <v>40</v>
      </c>
      <c r="K18" s="9">
        <f t="shared" si="15"/>
        <v>16</v>
      </c>
      <c r="L18" s="9">
        <f t="shared" si="15"/>
        <v>16</v>
      </c>
      <c r="M18" s="9">
        <f t="shared" si="15"/>
        <v>232</v>
      </c>
      <c r="N18" s="9">
        <f t="shared" si="15"/>
        <v>232</v>
      </c>
      <c r="O18" s="9">
        <f t="shared" si="15"/>
        <v>164</v>
      </c>
      <c r="P18" s="9">
        <f t="shared" si="15"/>
        <v>164</v>
      </c>
      <c r="Q18" s="52" t="s">
        <v>119</v>
      </c>
      <c r="R18" s="3">
        <f t="shared" ref="R18" si="16">R19+R20</f>
        <v>5758.4807499999997</v>
      </c>
      <c r="S18" s="9">
        <f>S19+S20</f>
        <v>68</v>
      </c>
      <c r="T18" s="9">
        <f>T19+T20</f>
        <v>68</v>
      </c>
      <c r="U18" s="7"/>
      <c r="V18" s="7">
        <v>1</v>
      </c>
    </row>
    <row r="19" spans="1:23" ht="18" customHeight="1" x14ac:dyDescent="0.35">
      <c r="A19" s="31">
        <v>8</v>
      </c>
      <c r="B19" s="32" t="s">
        <v>16</v>
      </c>
      <c r="C19" s="32" t="s">
        <v>30</v>
      </c>
      <c r="D19" s="31" t="s">
        <v>31</v>
      </c>
      <c r="E19" s="32" t="s">
        <v>9</v>
      </c>
      <c r="F19" s="32">
        <v>5</v>
      </c>
      <c r="G19" s="42" t="s">
        <v>10</v>
      </c>
      <c r="H19" s="47"/>
      <c r="I19" s="12">
        <f>'_2021_VB_bez izmaiņām'!S19</f>
        <v>29</v>
      </c>
      <c r="J19" s="12">
        <f>'_2021_VB_bez izmaiņām'!T19</f>
        <v>29</v>
      </c>
      <c r="K19" s="53">
        <f>ROUND('_2021_VB_bez izmaiņām'!K19*1.025,0)</f>
        <v>10</v>
      </c>
      <c r="L19" s="54">
        <f t="shared" si="2"/>
        <v>10</v>
      </c>
      <c r="M19" s="12">
        <f t="shared" ref="M19:N20" si="17">I19+(K19*12)</f>
        <v>149</v>
      </c>
      <c r="N19" s="12">
        <f t="shared" si="17"/>
        <v>149</v>
      </c>
      <c r="O19" s="11">
        <v>93</v>
      </c>
      <c r="P19" s="54">
        <f>IF(I19=0,O19,O19*(J19/I19))</f>
        <v>93</v>
      </c>
      <c r="Q19" s="33">
        <f>'_2021_VB_bez izmaiņām'!Q19*1.025</f>
        <v>49.609999999999992</v>
      </c>
      <c r="R19" s="4">
        <f>Q19*P19</f>
        <v>4613.7299999999996</v>
      </c>
      <c r="S19" s="15">
        <f t="shared" ref="S19:T20" si="18">M19-O19</f>
        <v>56</v>
      </c>
      <c r="T19" s="15">
        <f t="shared" si="18"/>
        <v>56</v>
      </c>
      <c r="U19" s="1"/>
      <c r="V19" s="1">
        <v>1</v>
      </c>
    </row>
    <row r="20" spans="1:23" ht="33" customHeight="1" x14ac:dyDescent="0.35">
      <c r="A20" s="31">
        <v>9</v>
      </c>
      <c r="B20" s="32" t="s">
        <v>6</v>
      </c>
      <c r="C20" s="32" t="s">
        <v>30</v>
      </c>
      <c r="D20" s="31" t="s">
        <v>32</v>
      </c>
      <c r="E20" s="32" t="s">
        <v>9</v>
      </c>
      <c r="F20" s="32">
        <v>2</v>
      </c>
      <c r="G20" s="42" t="s">
        <v>10</v>
      </c>
      <c r="H20" s="47"/>
      <c r="I20" s="12">
        <f>'_2021_VB_bez izmaiņām'!S20</f>
        <v>11</v>
      </c>
      <c r="J20" s="12">
        <f>'_2021_VB_bez izmaiņām'!T20</f>
        <v>11</v>
      </c>
      <c r="K20" s="53">
        <f>ROUND('_2021_VB_bez izmaiņām'!K20*1.025,0)</f>
        <v>6</v>
      </c>
      <c r="L20" s="54">
        <f t="shared" si="2"/>
        <v>6</v>
      </c>
      <c r="M20" s="12">
        <f t="shared" si="17"/>
        <v>83</v>
      </c>
      <c r="N20" s="12">
        <f t="shared" si="17"/>
        <v>83</v>
      </c>
      <c r="O20" s="11">
        <v>71</v>
      </c>
      <c r="P20" s="54">
        <f>IF(I20=0,O20,O20*(J20/I20))</f>
        <v>71</v>
      </c>
      <c r="Q20" s="33">
        <f>'_2021_VB_bez izmaiņām'!Q20*1.025</f>
        <v>16.123249999999999</v>
      </c>
      <c r="R20" s="4">
        <f>Q20*P20</f>
        <v>1144.7507499999999</v>
      </c>
      <c r="S20" s="15">
        <f t="shared" si="18"/>
        <v>12</v>
      </c>
      <c r="T20" s="15">
        <f t="shared" si="18"/>
        <v>12</v>
      </c>
      <c r="U20" s="1"/>
      <c r="V20" s="1">
        <v>1</v>
      </c>
    </row>
    <row r="21" spans="1:23" ht="18" customHeight="1" x14ac:dyDescent="0.35">
      <c r="A21" s="39"/>
      <c r="B21" s="40"/>
      <c r="C21" s="41">
        <v>22</v>
      </c>
      <c r="D21" s="188" t="s">
        <v>33</v>
      </c>
      <c r="E21" s="188"/>
      <c r="F21" s="188"/>
      <c r="G21" s="188"/>
      <c r="H21" s="63"/>
      <c r="I21" s="70">
        <f t="shared" ref="I21:P21" si="19">SUM(I22:I49)</f>
        <v>5414</v>
      </c>
      <c r="J21" s="70">
        <f t="shared" si="19"/>
        <v>8389.2930202637508</v>
      </c>
      <c r="K21" s="70">
        <f t="shared" si="19"/>
        <v>507</v>
      </c>
      <c r="L21" s="70">
        <f t="shared" si="19"/>
        <v>704.24284335799302</v>
      </c>
      <c r="M21" s="70">
        <f t="shared" si="19"/>
        <v>11498</v>
      </c>
      <c r="N21" s="70">
        <f t="shared" si="19"/>
        <v>16840.207140559665</v>
      </c>
      <c r="O21" s="9">
        <f t="shared" si="19"/>
        <v>4553</v>
      </c>
      <c r="P21" s="70">
        <f t="shared" si="19"/>
        <v>6084.1936313927308</v>
      </c>
      <c r="Q21" s="52" t="s">
        <v>119</v>
      </c>
      <c r="R21" s="3">
        <f>SUM(R22:R49)</f>
        <v>1483183.8009989548</v>
      </c>
      <c r="S21" s="9">
        <f>SUM(S22:S49)</f>
        <v>6945</v>
      </c>
      <c r="T21" s="9">
        <f>SUM(T22:T49)</f>
        <v>10756.013509166934</v>
      </c>
      <c r="U21" s="7">
        <v>1</v>
      </c>
      <c r="V21" s="7">
        <v>1</v>
      </c>
    </row>
    <row r="22" spans="1:23" ht="17.25" customHeight="1" x14ac:dyDescent="0.35">
      <c r="A22" s="31">
        <v>10</v>
      </c>
      <c r="B22" s="32" t="s">
        <v>34</v>
      </c>
      <c r="C22" s="32" t="s">
        <v>35</v>
      </c>
      <c r="D22" s="31" t="s">
        <v>36</v>
      </c>
      <c r="E22" s="32" t="s">
        <v>9</v>
      </c>
      <c r="F22" s="32">
        <v>2</v>
      </c>
      <c r="G22" s="42" t="s">
        <v>37</v>
      </c>
      <c r="H22" s="47"/>
      <c r="I22" s="12">
        <f>'_2021_VB_bez izmaiņām'!S22</f>
        <v>13</v>
      </c>
      <c r="J22" s="12">
        <f>'_2021_VB_bez izmaiņām'!T22</f>
        <v>13</v>
      </c>
      <c r="K22" s="53">
        <f>ROUND('_2021_VB_bez izmaiņām'!K22*1.025,0)</f>
        <v>9</v>
      </c>
      <c r="L22" s="54">
        <f t="shared" si="2"/>
        <v>9</v>
      </c>
      <c r="M22" s="12">
        <f t="shared" ref="M22:N38" si="20">I22+(K22*12)</f>
        <v>121</v>
      </c>
      <c r="N22" s="12">
        <f t="shared" si="20"/>
        <v>121</v>
      </c>
      <c r="O22" s="11">
        <v>121</v>
      </c>
      <c r="P22" s="54">
        <f>IF(I22=0,O22,O22*(J22/I22))</f>
        <v>121</v>
      </c>
      <c r="Q22" s="33">
        <f>'_2021_VB_bez izmaiņām'!Q22*1.025</f>
        <v>68.21374999999999</v>
      </c>
      <c r="R22" s="4">
        <f>Q22*P22</f>
        <v>8253.8637499999986</v>
      </c>
      <c r="S22" s="15">
        <f t="shared" ref="S22:T38" si="21">M22-O22</f>
        <v>0</v>
      </c>
      <c r="T22" s="15">
        <f t="shared" si="21"/>
        <v>0</v>
      </c>
      <c r="U22" s="1"/>
      <c r="V22" s="1">
        <v>1</v>
      </c>
    </row>
    <row r="23" spans="1:23" ht="30.75" customHeight="1" x14ac:dyDescent="0.35">
      <c r="A23" s="31">
        <v>11</v>
      </c>
      <c r="B23" s="32" t="s">
        <v>34</v>
      </c>
      <c r="C23" s="32" t="s">
        <v>38</v>
      </c>
      <c r="D23" s="31" t="s">
        <v>39</v>
      </c>
      <c r="E23" s="32" t="s">
        <v>9</v>
      </c>
      <c r="F23" s="32" t="s">
        <v>98</v>
      </c>
      <c r="G23" s="42" t="s">
        <v>37</v>
      </c>
      <c r="H23" s="47"/>
      <c r="I23" s="12">
        <f>'_2021_VB_bez izmaiņām'!S23</f>
        <v>15</v>
      </c>
      <c r="J23" s="12">
        <f>'_2021_VB_bez izmaiņām'!T23</f>
        <v>15</v>
      </c>
      <c r="K23" s="53">
        <f>ROUND('_2021_VB_bez izmaiņām'!K23*1.025,0)</f>
        <v>13</v>
      </c>
      <c r="L23" s="54">
        <f t="shared" si="2"/>
        <v>13</v>
      </c>
      <c r="M23" s="12">
        <f t="shared" si="20"/>
        <v>171</v>
      </c>
      <c r="N23" s="12">
        <f t="shared" si="20"/>
        <v>171</v>
      </c>
      <c r="O23" s="11">
        <v>154</v>
      </c>
      <c r="P23" s="54">
        <f>IF(I23=0,O23,O23*(J23/I23))</f>
        <v>154</v>
      </c>
      <c r="Q23" s="33">
        <f>'_2021_VB_bez izmaiņām'!Q23*1.025</f>
        <v>56.149499999999996</v>
      </c>
      <c r="R23" s="4">
        <f>Q23*P23</f>
        <v>8647.0229999999992</v>
      </c>
      <c r="S23" s="15">
        <f t="shared" si="21"/>
        <v>17</v>
      </c>
      <c r="T23" s="15">
        <f t="shared" si="21"/>
        <v>17</v>
      </c>
      <c r="U23" s="1"/>
      <c r="V23" s="1">
        <v>1</v>
      </c>
      <c r="W23" s="27" t="s">
        <v>105</v>
      </c>
    </row>
    <row r="24" spans="1:23" ht="36" customHeight="1" x14ac:dyDescent="0.35">
      <c r="A24" s="31">
        <v>12</v>
      </c>
      <c r="B24" s="32" t="s">
        <v>40</v>
      </c>
      <c r="C24" s="32" t="s">
        <v>41</v>
      </c>
      <c r="D24" s="31" t="s">
        <v>42</v>
      </c>
      <c r="E24" s="32" t="s">
        <v>9</v>
      </c>
      <c r="F24" s="32">
        <v>5</v>
      </c>
      <c r="G24" s="42" t="s">
        <v>43</v>
      </c>
      <c r="H24" s="47"/>
      <c r="I24" s="12">
        <f>'_2021_VB_bez izmaiņām'!S24</f>
        <v>14</v>
      </c>
      <c r="J24" s="12">
        <f>'_2021_VB_bez izmaiņām'!T24</f>
        <v>14</v>
      </c>
      <c r="K24" s="53">
        <f>ROUND('_2021_VB_bez izmaiņām'!K24*1.025,0)</f>
        <v>5</v>
      </c>
      <c r="L24" s="54">
        <f t="shared" si="2"/>
        <v>5</v>
      </c>
      <c r="M24" s="12">
        <f t="shared" si="20"/>
        <v>74</v>
      </c>
      <c r="N24" s="12">
        <f t="shared" si="20"/>
        <v>74</v>
      </c>
      <c r="O24" s="11">
        <v>46</v>
      </c>
      <c r="P24" s="54">
        <f t="shared" ref="P24:P52" si="22">IF(I24=0,O24,O24*(J24/I24))</f>
        <v>46</v>
      </c>
      <c r="Q24" s="33">
        <f>'_2021_VB_bez izmaiņām'!Q24*1.025</f>
        <v>73.635999999999996</v>
      </c>
      <c r="R24" s="4">
        <f t="shared" ref="R24:R49" si="23">Q24*P24</f>
        <v>3387.2559999999999</v>
      </c>
      <c r="S24" s="15">
        <f t="shared" si="21"/>
        <v>28</v>
      </c>
      <c r="T24" s="15">
        <f t="shared" si="21"/>
        <v>28</v>
      </c>
      <c r="U24" s="1"/>
      <c r="V24" s="1">
        <v>1</v>
      </c>
    </row>
    <row r="25" spans="1:23" ht="24" customHeight="1" x14ac:dyDescent="0.35">
      <c r="A25" s="31">
        <v>13</v>
      </c>
      <c r="B25" s="32" t="s">
        <v>40</v>
      </c>
      <c r="C25" s="32" t="s">
        <v>41</v>
      </c>
      <c r="D25" s="31" t="s">
        <v>106</v>
      </c>
      <c r="E25" s="32" t="s">
        <v>9</v>
      </c>
      <c r="F25" s="32">
        <v>5</v>
      </c>
      <c r="G25" s="42" t="s">
        <v>43</v>
      </c>
      <c r="H25" s="47"/>
      <c r="I25" s="12">
        <f>'_2021_VB_bez izmaiņām'!S25</f>
        <v>11</v>
      </c>
      <c r="J25" s="12">
        <f>'_2021_VB_bez izmaiņām'!T25</f>
        <v>11</v>
      </c>
      <c r="K25" s="53">
        <f>ROUND('_2021_VB_bez izmaiņām'!K25*1.025,0)</f>
        <v>2</v>
      </c>
      <c r="L25" s="54">
        <f t="shared" si="2"/>
        <v>2</v>
      </c>
      <c r="M25" s="12">
        <f t="shared" si="20"/>
        <v>35</v>
      </c>
      <c r="N25" s="12">
        <f t="shared" si="20"/>
        <v>35</v>
      </c>
      <c r="O25" s="11">
        <v>13</v>
      </c>
      <c r="P25" s="54">
        <f t="shared" si="22"/>
        <v>13</v>
      </c>
      <c r="Q25" s="33">
        <f>'_2021_VB_bez izmaiņām'!Q25*1.025</f>
        <v>49.609999999999992</v>
      </c>
      <c r="R25" s="4">
        <f t="shared" si="23"/>
        <v>644.92999999999995</v>
      </c>
      <c r="S25" s="15">
        <f t="shared" si="21"/>
        <v>22</v>
      </c>
      <c r="T25" s="15">
        <f t="shared" si="21"/>
        <v>22</v>
      </c>
      <c r="U25" s="1"/>
      <c r="V25" s="1">
        <v>1</v>
      </c>
      <c r="W25" s="27" t="s">
        <v>107</v>
      </c>
    </row>
    <row r="26" spans="1:23" ht="35.25" customHeight="1" x14ac:dyDescent="0.35">
      <c r="A26" s="31">
        <v>14</v>
      </c>
      <c r="B26" s="32" t="s">
        <v>34</v>
      </c>
      <c r="C26" s="32" t="s">
        <v>44</v>
      </c>
      <c r="D26" s="31" t="s">
        <v>45</v>
      </c>
      <c r="E26" s="32" t="s">
        <v>9</v>
      </c>
      <c r="F26" s="32">
        <v>5</v>
      </c>
      <c r="G26" s="42" t="s">
        <v>37</v>
      </c>
      <c r="H26" s="47"/>
      <c r="I26" s="12">
        <f>'_2021_VB_bez izmaiņām'!S26</f>
        <v>4</v>
      </c>
      <c r="J26" s="12">
        <f>'_2021_VB_bez izmaiņām'!T26</f>
        <v>4</v>
      </c>
      <c r="K26" s="53">
        <f>ROUND('_2021_VB_bez izmaiņām'!K26*1.025,0)</f>
        <v>18</v>
      </c>
      <c r="L26" s="54">
        <f t="shared" si="2"/>
        <v>18</v>
      </c>
      <c r="M26" s="12">
        <f t="shared" si="20"/>
        <v>220</v>
      </c>
      <c r="N26" s="12">
        <f t="shared" si="20"/>
        <v>220</v>
      </c>
      <c r="O26" s="11">
        <v>211</v>
      </c>
      <c r="P26" s="54">
        <f t="shared" si="22"/>
        <v>211</v>
      </c>
      <c r="Q26" s="33">
        <f>'_2021_VB_bez izmaiņām'!Q26*1.025</f>
        <v>557.56925000000001</v>
      </c>
      <c r="R26" s="4">
        <f t="shared" si="23"/>
        <v>117647.11175</v>
      </c>
      <c r="S26" s="15">
        <f t="shared" si="21"/>
        <v>9</v>
      </c>
      <c r="T26" s="15">
        <f t="shared" si="21"/>
        <v>9</v>
      </c>
      <c r="U26" s="1"/>
      <c r="V26" s="1">
        <v>1</v>
      </c>
    </row>
    <row r="27" spans="1:23" ht="36" customHeight="1" x14ac:dyDescent="0.35">
      <c r="A27" s="31">
        <v>15</v>
      </c>
      <c r="B27" s="32" t="s">
        <v>166</v>
      </c>
      <c r="C27" s="32" t="s">
        <v>46</v>
      </c>
      <c r="D27" s="31" t="s">
        <v>167</v>
      </c>
      <c r="E27" s="32" t="s">
        <v>9</v>
      </c>
      <c r="F27" s="32">
        <v>3</v>
      </c>
      <c r="G27" s="42" t="s">
        <v>47</v>
      </c>
      <c r="H27" s="47"/>
      <c r="I27" s="14">
        <f>'_2021_VB_bez izmaiņām'!S27</f>
        <v>20</v>
      </c>
      <c r="J27" s="14">
        <f>'_2021_VB_bez izmaiņām'!T27</f>
        <v>20</v>
      </c>
      <c r="K27" s="53">
        <f>ROUND('_2021_VB_bez izmaiņām'!K27*1.025,0)</f>
        <v>2</v>
      </c>
      <c r="L27" s="54">
        <f t="shared" si="2"/>
        <v>2</v>
      </c>
      <c r="M27" s="14">
        <f t="shared" si="20"/>
        <v>44</v>
      </c>
      <c r="N27" s="14">
        <f t="shared" si="20"/>
        <v>44</v>
      </c>
      <c r="O27" s="11">
        <v>10</v>
      </c>
      <c r="P27" s="54">
        <f t="shared" si="22"/>
        <v>10</v>
      </c>
      <c r="Q27" s="33">
        <f>'_2021_VB_bez izmaiņām'!Q27*1.025</f>
        <v>209.67399999999998</v>
      </c>
      <c r="R27" s="4">
        <f t="shared" si="23"/>
        <v>2096.7399999999998</v>
      </c>
      <c r="S27" s="16">
        <f t="shared" si="21"/>
        <v>34</v>
      </c>
      <c r="T27" s="16">
        <f t="shared" si="21"/>
        <v>34</v>
      </c>
      <c r="U27" s="1">
        <v>1</v>
      </c>
      <c r="V27" s="1"/>
    </row>
    <row r="28" spans="1:23" ht="42.75" customHeight="1" x14ac:dyDescent="0.35">
      <c r="A28" s="31" t="s">
        <v>182</v>
      </c>
      <c r="B28" s="32" t="s">
        <v>48</v>
      </c>
      <c r="C28" s="32" t="s">
        <v>49</v>
      </c>
      <c r="D28" s="31" t="s">
        <v>181</v>
      </c>
      <c r="E28" s="32" t="s">
        <v>9</v>
      </c>
      <c r="F28" s="32">
        <v>5</v>
      </c>
      <c r="G28" s="42" t="s">
        <v>47</v>
      </c>
      <c r="H28" s="47"/>
      <c r="I28" s="14">
        <f>'_2021_VB_bez izmaiņām'!S28</f>
        <v>4646</v>
      </c>
      <c r="J28" s="14">
        <f>'_2021_VB_bez izmaiņām'!T28</f>
        <v>7621.2930202637508</v>
      </c>
      <c r="K28" s="53">
        <f>ROUND('_2021_VB_bez izmaiņām'!K28*1.025,0)</f>
        <v>308</v>
      </c>
      <c r="L28" s="54">
        <f t="shared" si="2"/>
        <v>505.24284335799297</v>
      </c>
      <c r="M28" s="14">
        <f t="shared" si="20"/>
        <v>8342</v>
      </c>
      <c r="N28" s="14">
        <f t="shared" si="20"/>
        <v>13684.207140559665</v>
      </c>
      <c r="O28" s="11">
        <v>2391</v>
      </c>
      <c r="P28" s="54">
        <f t="shared" si="22"/>
        <v>3922.1936313927313</v>
      </c>
      <c r="Q28" s="33">
        <f>'_2021_VB_bez izmaiņām'!Q28*1.025</f>
        <v>247.05574999999999</v>
      </c>
      <c r="R28" s="4">
        <f>Q28*P28+1.83</f>
        <v>969002.31924895465</v>
      </c>
      <c r="S28" s="16">
        <f>M28-O28</f>
        <v>5951</v>
      </c>
      <c r="T28" s="16">
        <f t="shared" si="21"/>
        <v>9762.0135091669345</v>
      </c>
      <c r="U28" s="1">
        <v>1</v>
      </c>
      <c r="V28" s="1"/>
    </row>
    <row r="29" spans="1:23" ht="46.5" customHeight="1" x14ac:dyDescent="0.35">
      <c r="A29" s="31">
        <v>19</v>
      </c>
      <c r="B29" s="32" t="s">
        <v>50</v>
      </c>
      <c r="C29" s="32" t="s">
        <v>180</v>
      </c>
      <c r="D29" s="31" t="s">
        <v>120</v>
      </c>
      <c r="E29" s="32" t="s">
        <v>9</v>
      </c>
      <c r="F29" s="32">
        <v>5</v>
      </c>
      <c r="G29" s="42" t="s">
        <v>52</v>
      </c>
      <c r="H29" s="47"/>
      <c r="I29" s="14">
        <f>'_2021_VB_bez izmaiņām'!S29</f>
        <v>230</v>
      </c>
      <c r="J29" s="14">
        <f>'_2021_VB_bez izmaiņām'!T29</f>
        <v>230</v>
      </c>
      <c r="K29" s="53">
        <f>ROUND('_2021_VB_bez izmaiņām'!K29*1.025,0)</f>
        <v>19</v>
      </c>
      <c r="L29" s="54">
        <f t="shared" si="2"/>
        <v>19</v>
      </c>
      <c r="M29" s="14">
        <f t="shared" si="20"/>
        <v>458</v>
      </c>
      <c r="N29" s="14">
        <f t="shared" si="20"/>
        <v>458</v>
      </c>
      <c r="O29" s="11">
        <v>70</v>
      </c>
      <c r="P29" s="54">
        <f t="shared" si="22"/>
        <v>70</v>
      </c>
      <c r="Q29" s="33">
        <f>'_2021_VB_bez izmaiņām'!Q29*1.025</f>
        <v>259.61199999999997</v>
      </c>
      <c r="R29" s="4">
        <f t="shared" si="23"/>
        <v>18172.839999999997</v>
      </c>
      <c r="S29" s="16">
        <f t="shared" si="21"/>
        <v>388</v>
      </c>
      <c r="T29" s="16">
        <f t="shared" si="21"/>
        <v>388</v>
      </c>
      <c r="U29" s="1">
        <v>1</v>
      </c>
      <c r="V29" s="1"/>
      <c r="W29" s="27" t="s">
        <v>109</v>
      </c>
    </row>
    <row r="30" spans="1:23" ht="46.5" customHeight="1" x14ac:dyDescent="0.35">
      <c r="A30" s="31">
        <v>20</v>
      </c>
      <c r="B30" s="32" t="s">
        <v>53</v>
      </c>
      <c r="C30" s="32" t="s">
        <v>51</v>
      </c>
      <c r="D30" s="31" t="s">
        <v>54</v>
      </c>
      <c r="E30" s="32" t="s">
        <v>9</v>
      </c>
      <c r="F30" s="32">
        <v>5</v>
      </c>
      <c r="G30" s="42" t="s">
        <v>55</v>
      </c>
      <c r="H30" s="47"/>
      <c r="I30" s="14">
        <f>'_2021_VB_bez izmaiņām'!S30</f>
        <v>17</v>
      </c>
      <c r="J30" s="14">
        <f>'_2021_VB_bez izmaiņām'!T30</f>
        <v>17</v>
      </c>
      <c r="K30" s="53">
        <f>ROUND('_2021_VB_bez izmaiņām'!K30*1.025,0)</f>
        <v>1</v>
      </c>
      <c r="L30" s="54">
        <f t="shared" si="2"/>
        <v>1</v>
      </c>
      <c r="M30" s="14">
        <f t="shared" si="20"/>
        <v>29</v>
      </c>
      <c r="N30" s="14">
        <f t="shared" si="20"/>
        <v>29</v>
      </c>
      <c r="O30" s="11">
        <v>2</v>
      </c>
      <c r="P30" s="54">
        <f t="shared" si="22"/>
        <v>2</v>
      </c>
      <c r="Q30" s="33">
        <f>'_2021_VB_bez izmaiņām'!Q30*1.025</f>
        <v>848.69999999999993</v>
      </c>
      <c r="R30" s="4">
        <f t="shared" si="23"/>
        <v>1697.3999999999999</v>
      </c>
      <c r="S30" s="16">
        <f t="shared" si="21"/>
        <v>27</v>
      </c>
      <c r="T30" s="16">
        <f t="shared" si="21"/>
        <v>27</v>
      </c>
      <c r="U30" s="1">
        <v>1</v>
      </c>
      <c r="V30" s="1"/>
    </row>
    <row r="31" spans="1:23" ht="36" customHeight="1" x14ac:dyDescent="0.35">
      <c r="A31" s="31">
        <v>21</v>
      </c>
      <c r="B31" s="32" t="s">
        <v>6</v>
      </c>
      <c r="C31" s="32" t="s">
        <v>56</v>
      </c>
      <c r="D31" s="31" t="s">
        <v>57</v>
      </c>
      <c r="E31" s="32" t="s">
        <v>9</v>
      </c>
      <c r="F31" s="32">
        <v>2</v>
      </c>
      <c r="G31" s="42" t="s">
        <v>10</v>
      </c>
      <c r="H31" s="47"/>
      <c r="I31" s="12">
        <f>'_2021_VB_bez izmaiņām'!S31</f>
        <v>8</v>
      </c>
      <c r="J31" s="12">
        <f>'_2021_VB_bez izmaiņām'!T31</f>
        <v>8</v>
      </c>
      <c r="K31" s="53">
        <f>ROUND('_2021_VB_bez izmaiņām'!K31*1.025,0)</f>
        <v>1</v>
      </c>
      <c r="L31" s="54">
        <f t="shared" si="2"/>
        <v>1</v>
      </c>
      <c r="M31" s="12">
        <f t="shared" si="20"/>
        <v>20</v>
      </c>
      <c r="N31" s="12">
        <f t="shared" si="20"/>
        <v>20</v>
      </c>
      <c r="O31" s="11">
        <v>5</v>
      </c>
      <c r="P31" s="54">
        <f t="shared" si="22"/>
        <v>5</v>
      </c>
      <c r="Q31" s="33">
        <f>'_2021_VB_bez izmaiņām'!Q31*1.025</f>
        <v>14.349999999999998</v>
      </c>
      <c r="R31" s="4">
        <f t="shared" si="23"/>
        <v>71.749999999999986</v>
      </c>
      <c r="S31" s="15">
        <f t="shared" si="21"/>
        <v>15</v>
      </c>
      <c r="T31" s="15">
        <f t="shared" si="21"/>
        <v>15</v>
      </c>
      <c r="U31" s="1"/>
      <c r="V31" s="1">
        <v>1</v>
      </c>
    </row>
    <row r="32" spans="1:23" ht="21.75" customHeight="1" x14ac:dyDescent="0.35">
      <c r="A32" s="31">
        <v>22</v>
      </c>
      <c r="B32" s="32" t="s">
        <v>6</v>
      </c>
      <c r="C32" s="32" t="s">
        <v>58</v>
      </c>
      <c r="D32" s="31" t="s">
        <v>59</v>
      </c>
      <c r="E32" s="32" t="s">
        <v>9</v>
      </c>
      <c r="F32" s="32">
        <v>5</v>
      </c>
      <c r="G32" s="42" t="s">
        <v>10</v>
      </c>
      <c r="H32" s="47"/>
      <c r="I32" s="12">
        <f>'_2021_VB_bez izmaiņām'!S32</f>
        <v>0</v>
      </c>
      <c r="J32" s="12">
        <f>'_2021_VB_bez izmaiņām'!T32</f>
        <v>0</v>
      </c>
      <c r="K32" s="53">
        <f>ROUND('_2021_VB_bez izmaiņām'!K32*1.025,0)</f>
        <v>1</v>
      </c>
      <c r="L32" s="54">
        <f t="shared" si="2"/>
        <v>1</v>
      </c>
      <c r="M32" s="12">
        <f t="shared" si="20"/>
        <v>12</v>
      </c>
      <c r="N32" s="12">
        <f t="shared" si="20"/>
        <v>12</v>
      </c>
      <c r="O32" s="11">
        <v>12</v>
      </c>
      <c r="P32" s="54">
        <f t="shared" si="22"/>
        <v>12</v>
      </c>
      <c r="Q32" s="33">
        <f>'_2021_VB_bez izmaiņām'!Q32*1.025</f>
        <v>892.98</v>
      </c>
      <c r="R32" s="4">
        <f t="shared" si="23"/>
        <v>10715.76</v>
      </c>
      <c r="S32" s="15">
        <f t="shared" si="21"/>
        <v>0</v>
      </c>
      <c r="T32" s="15">
        <f t="shared" si="21"/>
        <v>0</v>
      </c>
      <c r="U32" s="1"/>
      <c r="V32" s="1">
        <v>1</v>
      </c>
    </row>
    <row r="33" spans="1:23" ht="21.75" customHeight="1" x14ac:dyDescent="0.35">
      <c r="A33" s="31">
        <v>23</v>
      </c>
      <c r="B33" s="32" t="s">
        <v>60</v>
      </c>
      <c r="C33" s="32" t="s">
        <v>61</v>
      </c>
      <c r="D33" s="31" t="s">
        <v>62</v>
      </c>
      <c r="E33" s="32" t="s">
        <v>9</v>
      </c>
      <c r="F33" s="32">
        <v>3</v>
      </c>
      <c r="G33" s="42" t="s">
        <v>10</v>
      </c>
      <c r="H33" s="47"/>
      <c r="I33" s="12">
        <f>'_2021_VB_bez izmaiņām'!S33</f>
        <v>45</v>
      </c>
      <c r="J33" s="12">
        <f>'_2021_VB_bez izmaiņām'!T33</f>
        <v>45</v>
      </c>
      <c r="K33" s="53">
        <f>ROUND('_2021_VB_bez izmaiņām'!K33*1.025,0)</f>
        <v>26</v>
      </c>
      <c r="L33" s="54">
        <f t="shared" si="2"/>
        <v>26</v>
      </c>
      <c r="M33" s="12">
        <f t="shared" si="20"/>
        <v>357</v>
      </c>
      <c r="N33" s="12">
        <f t="shared" si="20"/>
        <v>357</v>
      </c>
      <c r="O33" s="11">
        <v>288</v>
      </c>
      <c r="P33" s="54">
        <f t="shared" si="22"/>
        <v>288</v>
      </c>
      <c r="Q33" s="33">
        <f>'_2021_VB_bez izmaiņām'!Q33*1.025</f>
        <v>342.30899999999997</v>
      </c>
      <c r="R33" s="4">
        <f t="shared" si="23"/>
        <v>98584.991999999998</v>
      </c>
      <c r="S33" s="15">
        <f t="shared" si="21"/>
        <v>69</v>
      </c>
      <c r="T33" s="15">
        <f t="shared" si="21"/>
        <v>69</v>
      </c>
      <c r="U33" s="1"/>
      <c r="V33" s="1">
        <v>1</v>
      </c>
    </row>
    <row r="34" spans="1:23" ht="32.25" customHeight="1" x14ac:dyDescent="0.35">
      <c r="A34" s="31">
        <v>24</v>
      </c>
      <c r="B34" s="32" t="s">
        <v>60</v>
      </c>
      <c r="C34" s="32" t="s">
        <v>61</v>
      </c>
      <c r="D34" s="31" t="s">
        <v>108</v>
      </c>
      <c r="E34" s="32" t="s">
        <v>9</v>
      </c>
      <c r="F34" s="32">
        <v>5</v>
      </c>
      <c r="G34" s="42" t="s">
        <v>10</v>
      </c>
      <c r="H34" s="47"/>
      <c r="I34" s="12">
        <f>'_2021_VB_bez izmaiņām'!S34</f>
        <v>0</v>
      </c>
      <c r="J34" s="12">
        <f>'_2021_VB_bez izmaiņām'!T34</f>
        <v>0</v>
      </c>
      <c r="K34" s="53">
        <f>ROUND('_2021_VB_bez izmaiņām'!K34*1.025,0)</f>
        <v>0</v>
      </c>
      <c r="L34" s="54">
        <f t="shared" si="2"/>
        <v>0</v>
      </c>
      <c r="M34" s="12">
        <f t="shared" si="20"/>
        <v>0</v>
      </c>
      <c r="N34" s="12">
        <f t="shared" si="20"/>
        <v>0</v>
      </c>
      <c r="O34" s="104">
        <v>0</v>
      </c>
      <c r="P34" s="54">
        <f t="shared" si="22"/>
        <v>0</v>
      </c>
      <c r="Q34" s="33">
        <f>'_2021_VB_bez izmaiņām'!Q34*1.025</f>
        <v>0</v>
      </c>
      <c r="R34" s="4">
        <f t="shared" si="23"/>
        <v>0</v>
      </c>
      <c r="S34" s="15">
        <f t="shared" si="21"/>
        <v>0</v>
      </c>
      <c r="T34" s="15">
        <f t="shared" si="21"/>
        <v>0</v>
      </c>
      <c r="U34" s="1"/>
      <c r="V34" s="1">
        <v>1</v>
      </c>
      <c r="W34" s="27" t="s">
        <v>176</v>
      </c>
    </row>
    <row r="35" spans="1:23" ht="49.5" customHeight="1" x14ac:dyDescent="0.35">
      <c r="A35" s="31">
        <v>25</v>
      </c>
      <c r="B35" s="32" t="s">
        <v>60</v>
      </c>
      <c r="C35" s="32" t="s">
        <v>61</v>
      </c>
      <c r="D35" s="31" t="s">
        <v>63</v>
      </c>
      <c r="E35" s="32" t="s">
        <v>9</v>
      </c>
      <c r="F35" s="32">
        <v>3</v>
      </c>
      <c r="G35" s="42" t="s">
        <v>64</v>
      </c>
      <c r="H35" s="47"/>
      <c r="I35" s="12">
        <f>'_2021_VB_bez izmaiņām'!S35</f>
        <v>3</v>
      </c>
      <c r="J35" s="12">
        <f>'_2021_VB_bez izmaiņām'!T35</f>
        <v>3</v>
      </c>
      <c r="K35" s="53">
        <f>ROUND('_2021_VB_bez izmaiņām'!K35*1.025,0)</f>
        <v>2</v>
      </c>
      <c r="L35" s="54">
        <f t="shared" si="2"/>
        <v>2</v>
      </c>
      <c r="M35" s="12">
        <f t="shared" si="20"/>
        <v>27</v>
      </c>
      <c r="N35" s="12">
        <f t="shared" si="20"/>
        <v>27</v>
      </c>
      <c r="O35" s="11">
        <v>20</v>
      </c>
      <c r="P35" s="54">
        <f t="shared" si="22"/>
        <v>20</v>
      </c>
      <c r="Q35" s="33">
        <f>'_2021_VB_bez izmaiņām'!Q35*1.025</f>
        <v>148.82999999999998</v>
      </c>
      <c r="R35" s="4">
        <f t="shared" si="23"/>
        <v>2976.5999999999995</v>
      </c>
      <c r="S35" s="15">
        <f t="shared" si="21"/>
        <v>7</v>
      </c>
      <c r="T35" s="15">
        <f t="shared" si="21"/>
        <v>7</v>
      </c>
      <c r="U35" s="1"/>
      <c r="V35" s="1">
        <v>1</v>
      </c>
    </row>
    <row r="36" spans="1:23" ht="25.5" customHeight="1" x14ac:dyDescent="0.35">
      <c r="A36" s="31">
        <v>26</v>
      </c>
      <c r="B36" s="32" t="s">
        <v>141</v>
      </c>
      <c r="C36" s="32" t="s">
        <v>65</v>
      </c>
      <c r="D36" s="31" t="s">
        <v>66</v>
      </c>
      <c r="E36" s="32" t="s">
        <v>9</v>
      </c>
      <c r="F36" s="32">
        <v>5</v>
      </c>
      <c r="G36" s="42" t="s">
        <v>110</v>
      </c>
      <c r="H36" s="47"/>
      <c r="I36" s="12">
        <f>'_2021_VB_bez izmaiņām'!S36</f>
        <v>0</v>
      </c>
      <c r="J36" s="12">
        <f>'_2021_VB_bez izmaiņām'!T36</f>
        <v>0</v>
      </c>
      <c r="K36" s="53">
        <f>ROUND('_2021_VB_bez izmaiņām'!K36*1.025,0)</f>
        <v>0</v>
      </c>
      <c r="L36" s="54">
        <f t="shared" si="2"/>
        <v>0</v>
      </c>
      <c r="M36" s="12">
        <f t="shared" ref="M36:M37" si="24">I36+(K36*12)</f>
        <v>0</v>
      </c>
      <c r="N36" s="12">
        <f t="shared" ref="N36:N37" si="25">J36+(L36*12)</f>
        <v>0</v>
      </c>
      <c r="O36" s="104">
        <v>0</v>
      </c>
      <c r="P36" s="54">
        <f t="shared" si="22"/>
        <v>0</v>
      </c>
      <c r="Q36" s="33">
        <f>'_2021_VB_bez izmaiņām'!Q36*1.025</f>
        <v>0</v>
      </c>
      <c r="R36" s="4">
        <f t="shared" si="23"/>
        <v>0</v>
      </c>
      <c r="S36" s="15">
        <f t="shared" ref="S36:S37" si="26">M36-O36</f>
        <v>0</v>
      </c>
      <c r="T36" s="15">
        <f t="shared" ref="T36:T37" si="27">N36-P36</f>
        <v>0</v>
      </c>
      <c r="U36" s="1"/>
      <c r="V36" s="1">
        <v>1</v>
      </c>
      <c r="W36" s="27" t="s">
        <v>126</v>
      </c>
    </row>
    <row r="37" spans="1:23" s="34" customFormat="1" ht="61.75" customHeight="1" x14ac:dyDescent="0.35">
      <c r="A37" s="29">
        <v>27</v>
      </c>
      <c r="B37" s="30" t="s">
        <v>183</v>
      </c>
      <c r="C37" s="30" t="s">
        <v>184</v>
      </c>
      <c r="D37" s="29" t="s">
        <v>185</v>
      </c>
      <c r="E37" s="30" t="s">
        <v>9</v>
      </c>
      <c r="F37" s="30">
        <v>5</v>
      </c>
      <c r="G37" s="43" t="s">
        <v>110</v>
      </c>
      <c r="H37" s="48"/>
      <c r="I37" s="12">
        <f>'_2021_VB_bez izmaiņām'!S37</f>
        <v>11</v>
      </c>
      <c r="J37" s="12">
        <f>'_2021_VB_bez izmaiņām'!T37</f>
        <v>11</v>
      </c>
      <c r="K37" s="53">
        <f>ROUND('_2021_VB_bez izmaiņām'!K37*1.025,0)</f>
        <v>3</v>
      </c>
      <c r="L37" s="54">
        <f t="shared" si="2"/>
        <v>3</v>
      </c>
      <c r="M37" s="12">
        <f t="shared" si="24"/>
        <v>47</v>
      </c>
      <c r="N37" s="12">
        <f t="shared" si="25"/>
        <v>47</v>
      </c>
      <c r="O37" s="11">
        <v>26</v>
      </c>
      <c r="P37" s="54">
        <f t="shared" si="22"/>
        <v>26</v>
      </c>
      <c r="Q37" s="33">
        <f>'_2021_VB_bez izmaiņām'!Q37*1.025</f>
        <v>216.10075000000001</v>
      </c>
      <c r="R37" s="4">
        <f t="shared" si="23"/>
        <v>5618.6194999999998</v>
      </c>
      <c r="S37" s="15">
        <f t="shared" si="26"/>
        <v>21</v>
      </c>
      <c r="T37" s="15">
        <f t="shared" si="27"/>
        <v>21</v>
      </c>
      <c r="U37" s="19"/>
      <c r="V37" s="19">
        <v>1</v>
      </c>
      <c r="W37" s="26"/>
    </row>
    <row r="38" spans="1:23" ht="60.75" customHeight="1" x14ac:dyDescent="0.35">
      <c r="A38" s="31">
        <v>28</v>
      </c>
      <c r="B38" s="32" t="s">
        <v>168</v>
      </c>
      <c r="C38" s="32" t="s">
        <v>67</v>
      </c>
      <c r="D38" s="31" t="s">
        <v>68</v>
      </c>
      <c r="E38" s="32" t="s">
        <v>9</v>
      </c>
      <c r="F38" s="32">
        <v>3</v>
      </c>
      <c r="G38" s="42" t="s">
        <v>69</v>
      </c>
      <c r="H38" s="47"/>
      <c r="I38" s="14">
        <f>'_2021_VB_bez izmaiņām'!S38</f>
        <v>33</v>
      </c>
      <c r="J38" s="14">
        <f>'_2021_VB_bez izmaiņām'!T38</f>
        <v>33</v>
      </c>
      <c r="K38" s="53">
        <f>ROUND('_2021_VB_bez izmaiņām'!K38*1.025,0)</f>
        <v>15</v>
      </c>
      <c r="L38" s="54">
        <f t="shared" si="2"/>
        <v>15</v>
      </c>
      <c r="M38" s="14">
        <f t="shared" si="20"/>
        <v>213</v>
      </c>
      <c r="N38" s="14">
        <f t="shared" si="20"/>
        <v>213</v>
      </c>
      <c r="O38" s="11">
        <v>150</v>
      </c>
      <c r="P38" s="54">
        <f t="shared" si="22"/>
        <v>150</v>
      </c>
      <c r="Q38" s="33">
        <f>'_2021_VB_bez izmaiņām'!Q38*1.025</f>
        <v>387.38849999999996</v>
      </c>
      <c r="R38" s="4">
        <f t="shared" si="23"/>
        <v>58108.274999999994</v>
      </c>
      <c r="S38" s="16">
        <f t="shared" si="21"/>
        <v>63</v>
      </c>
      <c r="T38" s="16">
        <f t="shared" si="21"/>
        <v>63</v>
      </c>
      <c r="U38" s="1">
        <v>1</v>
      </c>
      <c r="V38" s="1"/>
    </row>
    <row r="39" spans="1:23" x14ac:dyDescent="0.35">
      <c r="A39" s="31">
        <v>29</v>
      </c>
      <c r="B39" s="32" t="s">
        <v>70</v>
      </c>
      <c r="C39" s="32" t="s">
        <v>121</v>
      </c>
      <c r="D39" s="31" t="s">
        <v>122</v>
      </c>
      <c r="E39" s="32" t="s">
        <v>9</v>
      </c>
      <c r="F39" s="32">
        <v>5</v>
      </c>
      <c r="G39" s="42" t="s">
        <v>47</v>
      </c>
      <c r="H39" s="47"/>
      <c r="I39" s="14">
        <f>'_2021_VB_bez izmaiņām'!S39</f>
        <v>6</v>
      </c>
      <c r="J39" s="14">
        <f>'_2021_VB_bez izmaiņām'!T39</f>
        <v>6</v>
      </c>
      <c r="K39" s="53">
        <f>ROUND('_2021_VB_bez izmaiņām'!K39*1.025,0)</f>
        <v>1</v>
      </c>
      <c r="L39" s="54">
        <f t="shared" si="2"/>
        <v>1</v>
      </c>
      <c r="M39" s="14">
        <f t="shared" ref="M39:N49" si="28">I39+(K39*12)</f>
        <v>18</v>
      </c>
      <c r="N39" s="14">
        <f t="shared" si="28"/>
        <v>18</v>
      </c>
      <c r="O39" s="11">
        <v>15</v>
      </c>
      <c r="P39" s="54">
        <f t="shared" si="22"/>
        <v>15</v>
      </c>
      <c r="Q39" s="33">
        <f>'_2021_VB_bez izmaiņām'!Q39*1.025</f>
        <v>127.32549999999999</v>
      </c>
      <c r="R39" s="4">
        <f t="shared" si="23"/>
        <v>1909.8824999999999</v>
      </c>
      <c r="S39" s="16">
        <f t="shared" ref="S39:T49" si="29">M39-O39</f>
        <v>3</v>
      </c>
      <c r="T39" s="16">
        <f t="shared" si="29"/>
        <v>3</v>
      </c>
      <c r="U39" s="1">
        <v>1</v>
      </c>
      <c r="V39" s="1"/>
    </row>
    <row r="40" spans="1:23" ht="40.5" customHeight="1" x14ac:dyDescent="0.35">
      <c r="A40" s="31">
        <v>30</v>
      </c>
      <c r="B40" s="50" t="s">
        <v>71</v>
      </c>
      <c r="C40" s="50" t="s">
        <v>72</v>
      </c>
      <c r="D40" s="49" t="s">
        <v>73</v>
      </c>
      <c r="E40" s="50" t="s">
        <v>9</v>
      </c>
      <c r="F40" s="50">
        <v>5</v>
      </c>
      <c r="G40" s="51" t="s">
        <v>74</v>
      </c>
      <c r="H40" s="48"/>
      <c r="I40" s="14">
        <f>'_2021_VB_bez izmaiņām'!S40</f>
        <v>72</v>
      </c>
      <c r="J40" s="14">
        <f>'_2021_VB_bez izmaiņām'!T40</f>
        <v>72</v>
      </c>
      <c r="K40" s="53">
        <f>ROUND('_2021_VB_bez izmaiņām'!K40*1.025,0)</f>
        <v>21</v>
      </c>
      <c r="L40" s="54">
        <f t="shared" si="2"/>
        <v>21</v>
      </c>
      <c r="M40" s="14">
        <f t="shared" si="28"/>
        <v>324</v>
      </c>
      <c r="N40" s="14">
        <f t="shared" si="28"/>
        <v>324</v>
      </c>
      <c r="O40" s="11">
        <v>250</v>
      </c>
      <c r="P40" s="54">
        <f t="shared" si="22"/>
        <v>250</v>
      </c>
      <c r="Q40" s="33">
        <f>'_2021_VB_bez izmaiņām'!Q40*1.025</f>
        <v>385.72799999999995</v>
      </c>
      <c r="R40" s="4">
        <f t="shared" si="23"/>
        <v>96431.999999999985</v>
      </c>
      <c r="S40" s="15">
        <f t="shared" si="29"/>
        <v>74</v>
      </c>
      <c r="T40" s="15">
        <f t="shared" si="29"/>
        <v>74</v>
      </c>
      <c r="U40" s="19">
        <v>1</v>
      </c>
      <c r="V40" s="19"/>
      <c r="W40" s="26"/>
    </row>
    <row r="41" spans="1:23" ht="117" customHeight="1" x14ac:dyDescent="0.35">
      <c r="A41" s="50">
        <v>31</v>
      </c>
      <c r="B41" s="50" t="s">
        <v>71</v>
      </c>
      <c r="C41" s="50" t="s">
        <v>72</v>
      </c>
      <c r="D41" s="49" t="s">
        <v>75</v>
      </c>
      <c r="E41" s="50" t="s">
        <v>9</v>
      </c>
      <c r="F41" s="50">
        <v>5</v>
      </c>
      <c r="G41" s="51" t="s">
        <v>76</v>
      </c>
      <c r="H41" s="48"/>
      <c r="I41" s="14">
        <f>'_2021_VB_bez izmaiņām'!S41</f>
        <v>17</v>
      </c>
      <c r="J41" s="14">
        <f>'_2021_VB_bez izmaiņām'!T41</f>
        <v>17</v>
      </c>
      <c r="K41" s="53">
        <f>ROUND('_2021_VB_bez izmaiņām'!K41*1.025,0)</f>
        <v>1</v>
      </c>
      <c r="L41" s="54">
        <f t="shared" si="2"/>
        <v>1</v>
      </c>
      <c r="M41" s="14">
        <f t="shared" si="28"/>
        <v>29</v>
      </c>
      <c r="N41" s="14">
        <f>J41+(L41*12)</f>
        <v>29</v>
      </c>
      <c r="O41" s="11">
        <v>2</v>
      </c>
      <c r="P41" s="54">
        <f t="shared" si="22"/>
        <v>2</v>
      </c>
      <c r="Q41" s="33">
        <f>'_2021_VB_bez izmaiņām'!Q41*1.025</f>
        <v>356.61799999999999</v>
      </c>
      <c r="R41" s="4">
        <f t="shared" si="23"/>
        <v>713.23599999999999</v>
      </c>
      <c r="S41" s="15">
        <f t="shared" si="29"/>
        <v>27</v>
      </c>
      <c r="T41" s="15">
        <f t="shared" si="29"/>
        <v>27</v>
      </c>
      <c r="U41" s="19">
        <v>1</v>
      </c>
      <c r="V41" s="19"/>
      <c r="W41" s="26"/>
    </row>
    <row r="42" spans="1:23" ht="42.75" customHeight="1" x14ac:dyDescent="0.35">
      <c r="A42" s="31">
        <v>32</v>
      </c>
      <c r="B42" s="32" t="s">
        <v>77</v>
      </c>
      <c r="C42" s="32" t="s">
        <v>78</v>
      </c>
      <c r="D42" s="31" t="s">
        <v>99</v>
      </c>
      <c r="E42" s="32" t="s">
        <v>9</v>
      </c>
      <c r="F42" s="32">
        <v>2</v>
      </c>
      <c r="G42" s="42" t="s">
        <v>10</v>
      </c>
      <c r="H42" s="47"/>
      <c r="I42" s="12">
        <f>'_2021_VB_bez izmaiņām'!S42</f>
        <v>86</v>
      </c>
      <c r="J42" s="12">
        <f>'_2021_VB_bez izmaiņām'!T42</f>
        <v>86</v>
      </c>
      <c r="K42" s="53">
        <f>ROUND('_2021_VB_bez izmaiņām'!K42*1.025,0)</f>
        <v>35</v>
      </c>
      <c r="L42" s="54">
        <f t="shared" si="2"/>
        <v>35</v>
      </c>
      <c r="M42" s="12">
        <f t="shared" si="28"/>
        <v>506</v>
      </c>
      <c r="N42" s="12">
        <f t="shared" si="28"/>
        <v>506</v>
      </c>
      <c r="O42" s="11">
        <v>370</v>
      </c>
      <c r="P42" s="54">
        <f t="shared" si="22"/>
        <v>370</v>
      </c>
      <c r="Q42" s="33">
        <f>'_2021_VB_bez izmaiņām'!Q42*1.025</f>
        <v>74.07674999999999</v>
      </c>
      <c r="R42" s="4">
        <f t="shared" si="23"/>
        <v>27408.397499999995</v>
      </c>
      <c r="S42" s="15">
        <f t="shared" si="29"/>
        <v>136</v>
      </c>
      <c r="T42" s="15">
        <f t="shared" si="29"/>
        <v>136</v>
      </c>
      <c r="U42" s="1"/>
      <c r="V42" s="1">
        <v>1</v>
      </c>
      <c r="W42" s="27" t="s">
        <v>111</v>
      </c>
    </row>
    <row r="43" spans="1:23" ht="20.25" customHeight="1" x14ac:dyDescent="0.35">
      <c r="A43" s="31">
        <v>33</v>
      </c>
      <c r="B43" s="32" t="s">
        <v>142</v>
      </c>
      <c r="C43" s="32" t="s">
        <v>79</v>
      </c>
      <c r="D43" s="31" t="s">
        <v>80</v>
      </c>
      <c r="E43" s="32" t="s">
        <v>9</v>
      </c>
      <c r="F43" s="32">
        <v>5</v>
      </c>
      <c r="G43" s="42" t="s">
        <v>110</v>
      </c>
      <c r="H43" s="47"/>
      <c r="I43" s="12">
        <f>'_2021_VB_bez izmaiņām'!S43</f>
        <v>0</v>
      </c>
      <c r="J43" s="12">
        <f>'_2021_VB_bez izmaiņām'!T43</f>
        <v>0</v>
      </c>
      <c r="K43" s="53">
        <f>ROUND('_2021_VB_bez izmaiņām'!K43*1.025,0)</f>
        <v>0</v>
      </c>
      <c r="L43" s="54">
        <f t="shared" si="2"/>
        <v>0</v>
      </c>
      <c r="M43" s="12">
        <f t="shared" si="28"/>
        <v>0</v>
      </c>
      <c r="N43" s="12">
        <f t="shared" si="28"/>
        <v>0</v>
      </c>
      <c r="O43" s="104">
        <v>0</v>
      </c>
      <c r="P43" s="54">
        <f t="shared" si="22"/>
        <v>0</v>
      </c>
      <c r="Q43" s="33">
        <f>'_2021_VB_bez izmaiņām'!Q43*1.025</f>
        <v>0</v>
      </c>
      <c r="R43" s="4">
        <f t="shared" si="23"/>
        <v>0</v>
      </c>
      <c r="S43" s="15">
        <f t="shared" si="29"/>
        <v>0</v>
      </c>
      <c r="T43" s="15">
        <f t="shared" si="29"/>
        <v>0</v>
      </c>
      <c r="U43" s="1"/>
      <c r="V43" s="1">
        <v>1</v>
      </c>
      <c r="W43" s="27" t="s">
        <v>126</v>
      </c>
    </row>
    <row r="44" spans="1:23" ht="22.5" customHeight="1" x14ac:dyDescent="0.35">
      <c r="A44" s="31">
        <v>34</v>
      </c>
      <c r="B44" s="32" t="s">
        <v>6</v>
      </c>
      <c r="C44" s="32" t="s">
        <v>81</v>
      </c>
      <c r="D44" s="31" t="s">
        <v>82</v>
      </c>
      <c r="E44" s="32" t="s">
        <v>9</v>
      </c>
      <c r="F44" s="32">
        <v>7</v>
      </c>
      <c r="G44" s="42" t="s">
        <v>112</v>
      </c>
      <c r="H44" s="47"/>
      <c r="I44" s="12">
        <f>'_2021_VB_bez izmaiņām'!S44</f>
        <v>0</v>
      </c>
      <c r="J44" s="12">
        <f>'_2021_VB_bez izmaiņām'!T44</f>
        <v>0</v>
      </c>
      <c r="K44" s="53">
        <f>ROUND('_2021_VB_bez izmaiņām'!K44*1.025,0)</f>
        <v>0</v>
      </c>
      <c r="L44" s="54">
        <f t="shared" si="2"/>
        <v>0</v>
      </c>
      <c r="M44" s="12">
        <f t="shared" si="28"/>
        <v>0</v>
      </c>
      <c r="N44" s="12">
        <f t="shared" si="28"/>
        <v>0</v>
      </c>
      <c r="O44" s="104">
        <v>0</v>
      </c>
      <c r="P44" s="54">
        <f t="shared" si="22"/>
        <v>0</v>
      </c>
      <c r="Q44" s="33">
        <f>'_2021_VB_bez izmaiņām'!Q44*1.025</f>
        <v>0</v>
      </c>
      <c r="R44" s="4">
        <f t="shared" si="23"/>
        <v>0</v>
      </c>
      <c r="S44" s="15">
        <f t="shared" si="29"/>
        <v>0</v>
      </c>
      <c r="T44" s="15">
        <f t="shared" si="29"/>
        <v>0</v>
      </c>
      <c r="U44" s="1"/>
      <c r="V44" s="1">
        <v>1</v>
      </c>
      <c r="W44" s="27" t="s">
        <v>126</v>
      </c>
    </row>
    <row r="45" spans="1:23" ht="30" customHeight="1" x14ac:dyDescent="0.35">
      <c r="A45" s="50">
        <v>35</v>
      </c>
      <c r="B45" s="32" t="s">
        <v>77</v>
      </c>
      <c r="C45" s="32" t="s">
        <v>78</v>
      </c>
      <c r="D45" s="31" t="s">
        <v>83</v>
      </c>
      <c r="E45" s="32" t="s">
        <v>9</v>
      </c>
      <c r="F45" s="32">
        <v>5</v>
      </c>
      <c r="G45" s="42" t="s">
        <v>74</v>
      </c>
      <c r="H45" s="47"/>
      <c r="I45" s="12">
        <f>'_2021_VB_bez izmaiņām'!S45</f>
        <v>142</v>
      </c>
      <c r="J45" s="12">
        <f>'_2021_VB_bez izmaiņām'!T45</f>
        <v>142</v>
      </c>
      <c r="K45" s="53">
        <f>ROUND('_2021_VB_bez izmaiņām'!K45*1.025,0)</f>
        <v>15</v>
      </c>
      <c r="L45" s="54">
        <f t="shared" si="2"/>
        <v>15</v>
      </c>
      <c r="M45" s="12">
        <f>I45+(K45*12)</f>
        <v>322</v>
      </c>
      <c r="N45" s="12">
        <f t="shared" si="28"/>
        <v>322</v>
      </c>
      <c r="O45" s="11">
        <v>309</v>
      </c>
      <c r="P45" s="54">
        <f t="shared" si="22"/>
        <v>309</v>
      </c>
      <c r="Q45" s="33">
        <f>'_2021_VB_bez izmaiņām'!Q45*1.025</f>
        <v>60.997749999999989</v>
      </c>
      <c r="R45" s="4">
        <f t="shared" si="23"/>
        <v>18848.304749999996</v>
      </c>
      <c r="S45" s="15">
        <f>M45-O45</f>
        <v>13</v>
      </c>
      <c r="T45" s="15">
        <f t="shared" si="29"/>
        <v>13</v>
      </c>
      <c r="U45" s="1">
        <v>1</v>
      </c>
      <c r="V45" s="1"/>
    </row>
    <row r="46" spans="1:23" ht="30" customHeight="1" x14ac:dyDescent="0.35">
      <c r="A46" s="31">
        <v>36</v>
      </c>
      <c r="B46" s="32" t="s">
        <v>169</v>
      </c>
      <c r="C46" s="32" t="s">
        <v>170</v>
      </c>
      <c r="D46" s="31" t="s">
        <v>171</v>
      </c>
      <c r="E46" s="32" t="s">
        <v>9</v>
      </c>
      <c r="F46" s="32">
        <v>5</v>
      </c>
      <c r="G46" s="42" t="s">
        <v>172</v>
      </c>
      <c r="H46" s="47"/>
      <c r="I46" s="12">
        <f>'_2021_VB_bez izmaiņām'!S46</f>
        <v>0</v>
      </c>
      <c r="J46" s="12">
        <f>'_2021_VB_bez izmaiņām'!T46</f>
        <v>0</v>
      </c>
      <c r="K46" s="53">
        <f>ROUND('_2021_VB_bez izmaiņām'!K46*1.025,0)</f>
        <v>0</v>
      </c>
      <c r="L46" s="54">
        <f t="shared" si="2"/>
        <v>0</v>
      </c>
      <c r="M46" s="12">
        <f>I46+(K46*12)</f>
        <v>0</v>
      </c>
      <c r="N46" s="12">
        <f t="shared" si="28"/>
        <v>0</v>
      </c>
      <c r="O46" s="104">
        <v>0</v>
      </c>
      <c r="P46" s="54">
        <f t="shared" si="22"/>
        <v>0</v>
      </c>
      <c r="Q46" s="33">
        <f>'_2021_VB_bez izmaiņām'!Q46*1.025</f>
        <v>0</v>
      </c>
      <c r="R46" s="4">
        <f t="shared" si="23"/>
        <v>0</v>
      </c>
      <c r="S46" s="15">
        <f>M46-O46</f>
        <v>0</v>
      </c>
      <c r="T46" s="15">
        <f t="shared" si="29"/>
        <v>0</v>
      </c>
      <c r="U46" s="1">
        <v>1</v>
      </c>
      <c r="V46" s="1"/>
      <c r="W46" s="27" t="s">
        <v>126</v>
      </c>
    </row>
    <row r="47" spans="1:23" ht="63.75" customHeight="1" x14ac:dyDescent="0.35">
      <c r="A47" s="31">
        <v>37</v>
      </c>
      <c r="B47" s="32" t="s">
        <v>84</v>
      </c>
      <c r="C47" s="32" t="s">
        <v>79</v>
      </c>
      <c r="D47" s="31" t="s">
        <v>85</v>
      </c>
      <c r="E47" s="32" t="s">
        <v>9</v>
      </c>
      <c r="F47" s="32">
        <v>5</v>
      </c>
      <c r="G47" s="42" t="s">
        <v>86</v>
      </c>
      <c r="H47" s="47"/>
      <c r="I47" s="12">
        <f>'_2021_VB_bez izmaiņām'!S47</f>
        <v>0</v>
      </c>
      <c r="J47" s="12">
        <f>'_2021_VB_bez izmaiņām'!T47</f>
        <v>0</v>
      </c>
      <c r="K47" s="53">
        <f>ROUND('_2021_VB_bez izmaiņām'!K47*1.025,0)</f>
        <v>6</v>
      </c>
      <c r="L47" s="54">
        <f t="shared" si="2"/>
        <v>6</v>
      </c>
      <c r="M47" s="12">
        <f t="shared" si="28"/>
        <v>72</v>
      </c>
      <c r="N47" s="12">
        <f t="shared" si="28"/>
        <v>72</v>
      </c>
      <c r="O47" s="11">
        <v>72</v>
      </c>
      <c r="P47" s="54">
        <f t="shared" si="22"/>
        <v>72</v>
      </c>
      <c r="Q47" s="33">
        <f>'_2021_VB_bez izmaiņām'!Q47*1.025</f>
        <v>158.75199999999998</v>
      </c>
      <c r="R47" s="4">
        <f t="shared" si="23"/>
        <v>11430.143999999998</v>
      </c>
      <c r="S47" s="15">
        <f t="shared" si="29"/>
        <v>0</v>
      </c>
      <c r="T47" s="15">
        <f t="shared" si="29"/>
        <v>0</v>
      </c>
      <c r="U47" s="1"/>
      <c r="V47" s="1">
        <v>1</v>
      </c>
    </row>
    <row r="48" spans="1:23" ht="53.25" customHeight="1" x14ac:dyDescent="0.35">
      <c r="A48" s="31">
        <v>38</v>
      </c>
      <c r="B48" s="50" t="s">
        <v>87</v>
      </c>
      <c r="C48" s="50" t="s">
        <v>88</v>
      </c>
      <c r="D48" s="49" t="s">
        <v>89</v>
      </c>
      <c r="E48" s="50" t="s">
        <v>9</v>
      </c>
      <c r="F48" s="50">
        <v>5</v>
      </c>
      <c r="G48" s="51" t="s">
        <v>10</v>
      </c>
      <c r="H48" s="48"/>
      <c r="I48" s="12">
        <f>'_2021_VB_bez izmaiņām'!S48</f>
        <v>21</v>
      </c>
      <c r="J48" s="12">
        <f>'_2021_VB_bez izmaiņām'!T48</f>
        <v>21</v>
      </c>
      <c r="K48" s="53">
        <f>ROUND('_2021_VB_bez izmaiņām'!K48*1.025,0)</f>
        <v>3</v>
      </c>
      <c r="L48" s="54">
        <f t="shared" si="2"/>
        <v>3</v>
      </c>
      <c r="M48" s="12">
        <f t="shared" si="28"/>
        <v>57</v>
      </c>
      <c r="N48" s="12">
        <f t="shared" si="28"/>
        <v>57</v>
      </c>
      <c r="O48" s="11">
        <v>16</v>
      </c>
      <c r="P48" s="54">
        <f t="shared" si="22"/>
        <v>16</v>
      </c>
      <c r="Q48" s="33">
        <f>'_2021_VB_bez izmaiņām'!Q48*1.025</f>
        <v>1301.0222499999998</v>
      </c>
      <c r="R48" s="4">
        <f t="shared" si="23"/>
        <v>20816.355999999996</v>
      </c>
      <c r="S48" s="15">
        <f t="shared" si="29"/>
        <v>41</v>
      </c>
      <c r="T48" s="15">
        <f t="shared" si="29"/>
        <v>41</v>
      </c>
      <c r="U48" s="1"/>
      <c r="V48" s="1">
        <v>1</v>
      </c>
    </row>
    <row r="49" spans="1:24" x14ac:dyDescent="0.35">
      <c r="A49" s="50">
        <v>39</v>
      </c>
      <c r="B49" s="32" t="s">
        <v>87</v>
      </c>
      <c r="C49" s="32" t="s">
        <v>90</v>
      </c>
      <c r="D49" s="31" t="s">
        <v>113</v>
      </c>
      <c r="E49" s="32" t="s">
        <v>9</v>
      </c>
      <c r="F49" s="32">
        <v>5</v>
      </c>
      <c r="G49" s="42" t="s">
        <v>10</v>
      </c>
      <c r="H49" s="47"/>
      <c r="I49" s="12">
        <f>'_2021_VB_bez izmaiņām'!S49</f>
        <v>0</v>
      </c>
      <c r="J49" s="12">
        <f>'_2021_VB_bez izmaiņām'!T49</f>
        <v>0</v>
      </c>
      <c r="K49" s="53">
        <f>ROUND('_2021_VB_bez izmaiņām'!K49*1.025,0)</f>
        <v>0</v>
      </c>
      <c r="L49" s="54">
        <f t="shared" si="2"/>
        <v>0</v>
      </c>
      <c r="M49" s="12">
        <f t="shared" si="28"/>
        <v>0</v>
      </c>
      <c r="N49" s="12">
        <f t="shared" si="28"/>
        <v>0</v>
      </c>
      <c r="O49" s="104">
        <v>0</v>
      </c>
      <c r="P49" s="54">
        <f t="shared" si="22"/>
        <v>0</v>
      </c>
      <c r="Q49" s="33">
        <f>'_2021_VB_bez izmaiņām'!Q49*1.025</f>
        <v>204.99999999999997</v>
      </c>
      <c r="R49" s="4">
        <f t="shared" si="23"/>
        <v>0</v>
      </c>
      <c r="S49" s="15">
        <f t="shared" si="29"/>
        <v>0</v>
      </c>
      <c r="T49" s="15">
        <f t="shared" si="29"/>
        <v>0</v>
      </c>
      <c r="U49" s="1"/>
      <c r="V49" s="1">
        <v>1</v>
      </c>
      <c r="W49" s="27" t="s">
        <v>109</v>
      </c>
    </row>
    <row r="50" spans="1:24" ht="20.25" customHeight="1" x14ac:dyDescent="0.35">
      <c r="A50" s="39"/>
      <c r="B50" s="40"/>
      <c r="C50" s="41">
        <v>27</v>
      </c>
      <c r="D50" s="188" t="s">
        <v>91</v>
      </c>
      <c r="E50" s="188"/>
      <c r="F50" s="188"/>
      <c r="G50" s="188"/>
      <c r="H50" s="63"/>
      <c r="I50" s="9">
        <f>I51+I52</f>
        <v>12</v>
      </c>
      <c r="J50" s="9">
        <f t="shared" ref="J50:P50" si="30">J51+J52</f>
        <v>12</v>
      </c>
      <c r="K50" s="9">
        <f t="shared" si="30"/>
        <v>10</v>
      </c>
      <c r="L50" s="9">
        <f t="shared" si="30"/>
        <v>10</v>
      </c>
      <c r="M50" s="9">
        <f t="shared" si="30"/>
        <v>132</v>
      </c>
      <c r="N50" s="9">
        <f t="shared" si="30"/>
        <v>132</v>
      </c>
      <c r="O50" s="9">
        <f t="shared" si="30"/>
        <v>121</v>
      </c>
      <c r="P50" s="9">
        <f t="shared" si="30"/>
        <v>121</v>
      </c>
      <c r="Q50" s="52" t="s">
        <v>119</v>
      </c>
      <c r="R50" s="3">
        <f t="shared" ref="R50" si="31">R51+R52</f>
        <v>7556.8432499999999</v>
      </c>
      <c r="S50" s="9">
        <f>S51+S52</f>
        <v>11</v>
      </c>
      <c r="T50" s="9">
        <f>T51+T52</f>
        <v>11</v>
      </c>
      <c r="U50" s="7"/>
      <c r="V50" s="7">
        <v>1</v>
      </c>
    </row>
    <row r="51" spans="1:24" ht="28" x14ac:dyDescent="0.35">
      <c r="A51" s="31">
        <v>40</v>
      </c>
      <c r="B51" s="32" t="s">
        <v>6</v>
      </c>
      <c r="C51" s="32" t="s">
        <v>92</v>
      </c>
      <c r="D51" s="31" t="s">
        <v>93</v>
      </c>
      <c r="E51" s="32" t="s">
        <v>9</v>
      </c>
      <c r="F51" s="32">
        <v>3</v>
      </c>
      <c r="G51" s="42" t="s">
        <v>10</v>
      </c>
      <c r="H51" s="47"/>
      <c r="I51" s="12">
        <f>'_2021_VB_bez izmaiņām'!S51</f>
        <v>6</v>
      </c>
      <c r="J51" s="12">
        <f>'_2021_VB_bez izmaiņām'!T51</f>
        <v>6</v>
      </c>
      <c r="K51" s="53">
        <f>ROUND('_2021_VB_bez izmaiņām'!K51*1.025,0)</f>
        <v>8</v>
      </c>
      <c r="L51" s="54">
        <f t="shared" si="2"/>
        <v>8</v>
      </c>
      <c r="M51" s="12">
        <f t="shared" ref="M51:N52" si="32">I51+(K51*12)</f>
        <v>102</v>
      </c>
      <c r="N51" s="12">
        <f t="shared" si="32"/>
        <v>102</v>
      </c>
      <c r="O51" s="11">
        <v>102</v>
      </c>
      <c r="P51" s="54">
        <f t="shared" si="22"/>
        <v>102</v>
      </c>
      <c r="Q51" s="33">
        <f>'_2021_VB_bez izmaiņām'!Q51*1.025</f>
        <v>35.96725</v>
      </c>
      <c r="R51" s="4">
        <f t="shared" ref="R51:R52" si="33">Q51*P51</f>
        <v>3668.6595000000002</v>
      </c>
      <c r="S51" s="15">
        <f t="shared" ref="S51:T52" si="34">M51-O51</f>
        <v>0</v>
      </c>
      <c r="T51" s="15">
        <f t="shared" si="34"/>
        <v>0</v>
      </c>
      <c r="U51" s="1"/>
      <c r="V51" s="1">
        <v>1</v>
      </c>
    </row>
    <row r="52" spans="1:24" x14ac:dyDescent="0.35">
      <c r="A52" s="31">
        <v>41</v>
      </c>
      <c r="B52" s="32" t="s">
        <v>6</v>
      </c>
      <c r="C52" s="32" t="s">
        <v>94</v>
      </c>
      <c r="D52" s="31" t="s">
        <v>95</v>
      </c>
      <c r="E52" s="32" t="s">
        <v>9</v>
      </c>
      <c r="F52" s="32">
        <v>5</v>
      </c>
      <c r="G52" s="42" t="s">
        <v>10</v>
      </c>
      <c r="H52" s="47"/>
      <c r="I52" s="12">
        <f>'_2021_VB_bez izmaiņām'!S52</f>
        <v>6</v>
      </c>
      <c r="J52" s="12">
        <f>'_2021_VB_bez izmaiņām'!T52</f>
        <v>6</v>
      </c>
      <c r="K52" s="53">
        <f>ROUND('_2021_VB_bez izmaiņām'!K52*1.025,0)</f>
        <v>2</v>
      </c>
      <c r="L52" s="54">
        <f t="shared" si="2"/>
        <v>2</v>
      </c>
      <c r="M52" s="12">
        <f t="shared" si="32"/>
        <v>30</v>
      </c>
      <c r="N52" s="12">
        <f t="shared" si="32"/>
        <v>30</v>
      </c>
      <c r="O52" s="11">
        <v>19</v>
      </c>
      <c r="P52" s="54">
        <f t="shared" si="22"/>
        <v>19</v>
      </c>
      <c r="Q52" s="33">
        <f>'_2021_VB_bez izmaiņām'!Q52*1.025</f>
        <v>204.64124999999999</v>
      </c>
      <c r="R52" s="4">
        <f t="shared" si="33"/>
        <v>3888.1837499999997</v>
      </c>
      <c r="S52" s="15">
        <f t="shared" si="34"/>
        <v>11</v>
      </c>
      <c r="T52" s="15">
        <f t="shared" si="34"/>
        <v>11</v>
      </c>
      <c r="U52" s="1"/>
      <c r="V52" s="1">
        <v>1</v>
      </c>
    </row>
    <row r="53" spans="1:24" x14ac:dyDescent="0.35">
      <c r="I53" s="106">
        <f>ROUND(I8+I13+I15+I18+I21+I50,0)</f>
        <v>5634</v>
      </c>
      <c r="J53" s="17">
        <f>ROUND(J8+J13+J15+J18+J21+J50,0)</f>
        <v>8609</v>
      </c>
      <c r="K53" s="17">
        <f t="shared" ref="K53:P53" si="35">ROUND(K8+K13+K15+K18+K21+K50,0)</f>
        <v>664</v>
      </c>
      <c r="L53" s="17">
        <f t="shared" si="35"/>
        <v>861</v>
      </c>
      <c r="M53" s="17">
        <f t="shared" si="35"/>
        <v>13602</v>
      </c>
      <c r="N53" s="17">
        <f t="shared" si="35"/>
        <v>18944</v>
      </c>
      <c r="O53" s="106">
        <f>ROUND(O8+O13+O15+O18+O21+O50,0)</f>
        <v>6301</v>
      </c>
      <c r="P53" s="17">
        <f t="shared" si="35"/>
        <v>7832</v>
      </c>
      <c r="Q53" s="21" t="s">
        <v>119</v>
      </c>
      <c r="R53" s="17">
        <f>ROUND(R8+R13+R15+R18+R21+R50,0)</f>
        <v>1844850</v>
      </c>
      <c r="S53" s="106">
        <f>ROUND(S8+S13+S15+S18+S21+S50,0)</f>
        <v>7301</v>
      </c>
      <c r="T53" s="17">
        <f t="shared" ref="T53" si="36">ROUND(T8+T13+T15+T18+T21+T50,0)</f>
        <v>11112</v>
      </c>
      <c r="X53" s="57"/>
    </row>
    <row r="54" spans="1:24" x14ac:dyDescent="0.35">
      <c r="I54" s="18">
        <f>ROUND(I27+I28+I29+I30+I38+I39+I40+I41+I45+I46,0)</f>
        <v>5183</v>
      </c>
      <c r="J54" s="18">
        <f t="shared" ref="J54:T54" si="37">ROUND(J27+J28+J29+J30+J38+J39+J40+J41+J45+J46,0)</f>
        <v>8158</v>
      </c>
      <c r="K54" s="18">
        <f t="shared" si="37"/>
        <v>383</v>
      </c>
      <c r="L54" s="18">
        <f t="shared" si="37"/>
        <v>580</v>
      </c>
      <c r="M54" s="18">
        <f t="shared" si="37"/>
        <v>9779</v>
      </c>
      <c r="N54" s="18">
        <f t="shared" si="37"/>
        <v>15121</v>
      </c>
      <c r="O54" s="18">
        <f t="shared" si="37"/>
        <v>3199</v>
      </c>
      <c r="P54" s="18">
        <f t="shared" si="37"/>
        <v>4730</v>
      </c>
      <c r="Q54" s="18"/>
      <c r="R54" s="18">
        <f t="shared" si="37"/>
        <v>1166981</v>
      </c>
      <c r="S54" s="18">
        <f t="shared" si="37"/>
        <v>6580</v>
      </c>
      <c r="T54" s="18">
        <f t="shared" si="37"/>
        <v>10391</v>
      </c>
    </row>
    <row r="55" spans="1:24" x14ac:dyDescent="0.35">
      <c r="P55" s="184" t="s">
        <v>231</v>
      </c>
      <c r="Q55" s="185" t="s">
        <v>130</v>
      </c>
      <c r="R55" s="18">
        <v>1166981</v>
      </c>
    </row>
    <row r="56" spans="1:24" x14ac:dyDescent="0.35">
      <c r="P56" s="184" t="s">
        <v>131</v>
      </c>
      <c r="Q56" s="185" t="s">
        <v>131</v>
      </c>
      <c r="R56" s="18">
        <f>R54-R55</f>
        <v>0</v>
      </c>
    </row>
    <row r="58" spans="1:24" x14ac:dyDescent="0.35">
      <c r="I58" s="18">
        <f>ROUND(I9+I10+I11+I12+I14+I16+I17+I19+I20+I22+I23+I24+I25+I26+I31+I32+I33+I34+I35+I36+I42+I43+I44+I47+I49+I51+I52+I48+I37,0)</f>
        <v>451</v>
      </c>
      <c r="J58" s="18">
        <f t="shared" ref="J58:P58" si="38">ROUND(J9+J10+J11+J12+J14+J16+J17+J19+J20+J22+J23+J24+J25+J26+J31+J32+J33+J34+J35+J36+J42+J43+J44+J47+J49+J51+J52+J48+J37,0)</f>
        <v>451</v>
      </c>
      <c r="K58" s="18">
        <f t="shared" si="38"/>
        <v>281</v>
      </c>
      <c r="L58" s="18">
        <f t="shared" si="38"/>
        <v>281</v>
      </c>
      <c r="M58" s="18">
        <f t="shared" si="38"/>
        <v>3823</v>
      </c>
      <c r="N58" s="18">
        <f t="shared" si="38"/>
        <v>3823</v>
      </c>
      <c r="O58" s="18">
        <f t="shared" si="38"/>
        <v>3102</v>
      </c>
      <c r="P58" s="18">
        <f t="shared" si="38"/>
        <v>3102</v>
      </c>
      <c r="Q58" s="18"/>
      <c r="R58" s="18">
        <f>ROUND(R9+R10+R11+R12+R14+R16+R17+R19+R20+R22+R23+R24+R25+R26+R31+R32+R33+R34+R35+R36+R42+R43+R44+R47+R49+R51+R52+R48+R37,0)</f>
        <v>677869</v>
      </c>
      <c r="S58" s="18">
        <f t="shared" ref="S58:T58" si="39">ROUND(S9+S10+S11+S12+S14+S16+S17+S19+S20+S22+S23+S24+S25+S26+S31+S32+S33+S34+S35+S36+S42+S43+S44+S47+S49+S51+S52+S48+S37,0)</f>
        <v>721</v>
      </c>
      <c r="T58" s="18">
        <f t="shared" si="39"/>
        <v>721</v>
      </c>
      <c r="U58" s="18"/>
      <c r="V58" s="18"/>
      <c r="W58" s="18"/>
    </row>
    <row r="59" spans="1:24" x14ac:dyDescent="0.35">
      <c r="P59" s="184" t="s">
        <v>232</v>
      </c>
      <c r="Q59" s="185" t="s">
        <v>130</v>
      </c>
      <c r="R59" s="18">
        <v>677869</v>
      </c>
    </row>
    <row r="60" spans="1:24" x14ac:dyDescent="0.35">
      <c r="P60" s="184" t="s">
        <v>132</v>
      </c>
      <c r="Q60" s="185" t="s">
        <v>131</v>
      </c>
      <c r="R60" s="18">
        <f>R58-R59</f>
        <v>0</v>
      </c>
    </row>
    <row r="62" spans="1:24" x14ac:dyDescent="0.35">
      <c r="Q62" s="65" t="s">
        <v>233</v>
      </c>
      <c r="R62" s="18">
        <f>R55+R59</f>
        <v>1844850</v>
      </c>
    </row>
    <row r="63" spans="1:24" ht="18" x14ac:dyDescent="0.35">
      <c r="O63" s="66"/>
      <c r="P63" s="66"/>
      <c r="Q63" s="67" t="s">
        <v>243</v>
      </c>
      <c r="R63" s="77">
        <f>R53-R62</f>
        <v>0</v>
      </c>
    </row>
    <row r="64" spans="1:24" x14ac:dyDescent="0.35">
      <c r="R64" s="18">
        <f>R53-R55-R59-R60-R56</f>
        <v>0</v>
      </c>
    </row>
    <row r="65" spans="9:20" x14ac:dyDescent="0.35">
      <c r="I65" s="18">
        <f>I53-I54-I58</f>
        <v>0</v>
      </c>
      <c r="J65" s="18">
        <f t="shared" ref="J65:P65" si="40">J53-J54-J58</f>
        <v>0</v>
      </c>
      <c r="K65" s="18">
        <f t="shared" si="40"/>
        <v>0</v>
      </c>
      <c r="L65" s="18">
        <f t="shared" si="40"/>
        <v>0</v>
      </c>
      <c r="M65" s="18">
        <f t="shared" si="40"/>
        <v>0</v>
      </c>
      <c r="N65" s="18">
        <f t="shared" si="40"/>
        <v>0</v>
      </c>
      <c r="O65" s="18">
        <f t="shared" si="40"/>
        <v>0</v>
      </c>
      <c r="P65" s="18">
        <f t="shared" si="40"/>
        <v>0</v>
      </c>
      <c r="Q65" s="18"/>
      <c r="R65" s="18">
        <f>R53-R54-R58</f>
        <v>0</v>
      </c>
      <c r="S65" s="18">
        <f>S53-S54-S58</f>
        <v>0</v>
      </c>
      <c r="T65" s="18">
        <f>T53-T54-T58</f>
        <v>0</v>
      </c>
    </row>
    <row r="67" spans="9:20" x14ac:dyDescent="0.35">
      <c r="I67" s="18">
        <f>ROUND(I54,0)+ ROUND(I58,0)-ROUND(I53,0)</f>
        <v>0</v>
      </c>
      <c r="J67" s="18">
        <f t="shared" ref="J67:T67" si="41">ROUND(J54,0)+ ROUND(J58,0)-ROUND(J53,0)</f>
        <v>0</v>
      </c>
      <c r="K67" s="18">
        <f t="shared" si="41"/>
        <v>0</v>
      </c>
      <c r="L67" s="18">
        <f t="shared" si="41"/>
        <v>0</v>
      </c>
      <c r="M67" s="18">
        <f t="shared" si="41"/>
        <v>0</v>
      </c>
      <c r="N67" s="18">
        <f t="shared" si="41"/>
        <v>0</v>
      </c>
      <c r="O67" s="18">
        <f t="shared" si="41"/>
        <v>0</v>
      </c>
      <c r="P67" s="18">
        <f t="shared" si="41"/>
        <v>0</v>
      </c>
      <c r="Q67" s="18"/>
      <c r="R67" s="18">
        <f t="shared" si="41"/>
        <v>0</v>
      </c>
      <c r="S67" s="18">
        <f t="shared" si="41"/>
        <v>0</v>
      </c>
      <c r="T67" s="18">
        <f t="shared" si="41"/>
        <v>0</v>
      </c>
    </row>
    <row r="68" spans="9:20" x14ac:dyDescent="0.35">
      <c r="I68" s="75"/>
      <c r="J68" s="75"/>
      <c r="K68" s="75"/>
      <c r="O68" s="75"/>
      <c r="Q68" s="76"/>
      <c r="R68" s="18">
        <f>ROUND(R55,0)+ROUND(R56,0)-ROUND(R54,0)</f>
        <v>0</v>
      </c>
    </row>
    <row r="69" spans="9:20" x14ac:dyDescent="0.35">
      <c r="I69" s="75"/>
      <c r="J69" s="75"/>
      <c r="K69" s="75"/>
      <c r="O69" s="75"/>
      <c r="Q69" s="76"/>
      <c r="R69" s="18">
        <f>ROUND(R59,0)+ROUND(R60,0)-ROUND(R58,0)</f>
        <v>0</v>
      </c>
    </row>
    <row r="70" spans="9:20" x14ac:dyDescent="0.35">
      <c r="I70" s="75"/>
      <c r="J70" s="75"/>
      <c r="K70" s="75"/>
      <c r="O70" s="75"/>
      <c r="Q70" s="76"/>
      <c r="R70" s="18">
        <f>ROUND(R56,0)+ROUND(R60,0)-ROUND(R63,0)</f>
        <v>0</v>
      </c>
    </row>
    <row r="71" spans="9:20" x14ac:dyDescent="0.35">
      <c r="I71" s="75"/>
      <c r="J71" s="75"/>
      <c r="K71" s="75"/>
      <c r="O71" s="75"/>
      <c r="Q71" s="76"/>
    </row>
  </sheetData>
  <autoFilter ref="A7:Z52" xr:uid="{D1B79ED2-EAB1-4B47-B3F6-DBA429A86CFF}"/>
  <mergeCells count="22">
    <mergeCell ref="P55:Q55"/>
    <mergeCell ref="P56:Q56"/>
    <mergeCell ref="P59:Q59"/>
    <mergeCell ref="P60:Q60"/>
    <mergeCell ref="D8:G8"/>
    <mergeCell ref="D13:G13"/>
    <mergeCell ref="D15:G15"/>
    <mergeCell ref="D18:G18"/>
    <mergeCell ref="D21:G21"/>
    <mergeCell ref="D50:G50"/>
    <mergeCell ref="A1:T1"/>
    <mergeCell ref="A2:T2"/>
    <mergeCell ref="A3:T3"/>
    <mergeCell ref="I4:R4"/>
    <mergeCell ref="A5:G5"/>
    <mergeCell ref="I5:J5"/>
    <mergeCell ref="K5:L5"/>
    <mergeCell ref="M5:N5"/>
    <mergeCell ref="O5:P5"/>
    <mergeCell ref="Q5:Q6"/>
    <mergeCell ref="R5:R6"/>
    <mergeCell ref="S5:T5"/>
  </mergeCells>
  <pageMargins left="0.51181102362204722" right="0.31496062992125984" top="0.94488188976377963" bottom="0.59055118110236227"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6E355-68FA-419A-AB08-4A6CEAFCB092}">
  <sheetPr>
    <tabColor theme="0" tint="-0.34998626667073579"/>
  </sheetPr>
  <dimension ref="A1:Z70"/>
  <sheetViews>
    <sheetView zoomScale="70" zoomScaleNormal="70" workbookViewId="0">
      <pane ySplit="7" topLeftCell="A8" activePane="bottomLeft" state="frozen"/>
      <selection activeCell="D1" sqref="D1"/>
      <selection pane="bottomLeft" activeCell="X63" sqref="X63:Y65"/>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46" customWidth="1"/>
    <col min="9" max="16" width="9.08984375" style="46" customWidth="1"/>
    <col min="17" max="17" width="9.08984375" style="65" customWidth="1"/>
    <col min="18" max="18" width="14.6328125" style="46" customWidth="1"/>
    <col min="19" max="20" width="9.08984375" style="46" customWidth="1"/>
    <col min="21" max="22" width="5.453125" style="8" hidden="1" customWidth="1"/>
    <col min="23" max="23" width="50" style="27" hidden="1" customWidth="1"/>
    <col min="24" max="24" width="20.08984375" style="44" customWidth="1"/>
    <col min="25" max="25" width="16" style="44" customWidth="1"/>
    <col min="26" max="26" width="10.90625" style="44" bestFit="1" customWidth="1"/>
    <col min="27" max="16384" width="9.08984375" style="44"/>
  </cols>
  <sheetData>
    <row r="1" spans="1:26" x14ac:dyDescent="0.35">
      <c r="A1" s="189" t="s">
        <v>221</v>
      </c>
      <c r="B1" s="189"/>
      <c r="C1" s="189"/>
      <c r="D1" s="189"/>
      <c r="E1" s="189"/>
      <c r="F1" s="189"/>
      <c r="G1" s="189"/>
      <c r="H1" s="189"/>
      <c r="I1" s="189"/>
      <c r="J1" s="189"/>
      <c r="K1" s="189"/>
      <c r="L1" s="189"/>
      <c r="M1" s="189"/>
      <c r="N1" s="189"/>
      <c r="O1" s="189"/>
      <c r="P1" s="189"/>
      <c r="Q1" s="189"/>
      <c r="R1" s="189"/>
      <c r="S1" s="189"/>
      <c r="T1" s="189"/>
    </row>
    <row r="2" spans="1:26" x14ac:dyDescent="0.35">
      <c r="A2" s="190" t="s">
        <v>187</v>
      </c>
      <c r="B2" s="190"/>
      <c r="C2" s="190"/>
      <c r="D2" s="190"/>
      <c r="E2" s="190"/>
      <c r="F2" s="190"/>
      <c r="G2" s="190"/>
      <c r="H2" s="190"/>
      <c r="I2" s="190"/>
      <c r="J2" s="190"/>
      <c r="K2" s="190"/>
      <c r="L2" s="190"/>
      <c r="M2" s="190"/>
      <c r="N2" s="190"/>
      <c r="O2" s="190"/>
      <c r="P2" s="190"/>
      <c r="Q2" s="190"/>
      <c r="R2" s="190"/>
      <c r="S2" s="190"/>
      <c r="T2" s="190"/>
    </row>
    <row r="3" spans="1:26" ht="54" customHeight="1" x14ac:dyDescent="0.35">
      <c r="A3" s="191" t="s">
        <v>198</v>
      </c>
      <c r="B3" s="191"/>
      <c r="C3" s="191"/>
      <c r="D3" s="191"/>
      <c r="E3" s="191"/>
      <c r="F3" s="191"/>
      <c r="G3" s="191"/>
      <c r="H3" s="191"/>
      <c r="I3" s="191"/>
      <c r="J3" s="191"/>
      <c r="K3" s="191"/>
      <c r="L3" s="191"/>
      <c r="M3" s="191"/>
      <c r="N3" s="191"/>
      <c r="O3" s="191"/>
      <c r="P3" s="191"/>
      <c r="Q3" s="191"/>
      <c r="R3" s="191"/>
      <c r="S3" s="191"/>
      <c r="T3" s="191"/>
      <c r="W3" s="129"/>
      <c r="X3" s="71"/>
      <c r="Y3" s="56"/>
      <c r="Z3" s="57"/>
    </row>
    <row r="4" spans="1:26" s="34" customFormat="1" ht="25.5" x14ac:dyDescent="0.35">
      <c r="B4" s="35"/>
      <c r="C4" s="35"/>
      <c r="E4" s="35"/>
      <c r="F4" s="35"/>
      <c r="G4" s="36"/>
      <c r="H4" s="36"/>
      <c r="I4" s="192" t="s">
        <v>179</v>
      </c>
      <c r="J4" s="193"/>
      <c r="K4" s="193"/>
      <c r="L4" s="193"/>
      <c r="M4" s="193"/>
      <c r="N4" s="193"/>
      <c r="O4" s="193"/>
      <c r="P4" s="193"/>
      <c r="Q4" s="194"/>
      <c r="R4" s="195"/>
      <c r="S4" s="36"/>
      <c r="T4" s="58"/>
      <c r="U4" s="25"/>
      <c r="V4" s="25"/>
      <c r="W4" s="130"/>
      <c r="X4" s="60"/>
      <c r="Y4" s="61"/>
      <c r="Z4" s="61"/>
    </row>
    <row r="5" spans="1:26" ht="27.75" customHeight="1" x14ac:dyDescent="0.35">
      <c r="A5" s="196" t="s">
        <v>100</v>
      </c>
      <c r="B5" s="196"/>
      <c r="C5" s="196"/>
      <c r="D5" s="196"/>
      <c r="E5" s="196"/>
      <c r="F5" s="196"/>
      <c r="G5" s="196"/>
      <c r="H5" s="6"/>
      <c r="I5" s="187" t="s">
        <v>134</v>
      </c>
      <c r="J5" s="187"/>
      <c r="K5" s="187" t="s">
        <v>239</v>
      </c>
      <c r="L5" s="187"/>
      <c r="M5" s="197" t="s">
        <v>160</v>
      </c>
      <c r="N5" s="197"/>
      <c r="O5" s="197" t="s">
        <v>242</v>
      </c>
      <c r="P5" s="197"/>
      <c r="Q5" s="198" t="s">
        <v>128</v>
      </c>
      <c r="R5" s="186" t="s">
        <v>161</v>
      </c>
      <c r="S5" s="187" t="s">
        <v>162</v>
      </c>
      <c r="T5" s="187"/>
      <c r="U5" s="6"/>
      <c r="V5" s="6"/>
      <c r="W5" s="55"/>
      <c r="Z5" s="56"/>
    </row>
    <row r="6" spans="1:26" ht="150.75" customHeight="1" x14ac:dyDescent="0.25">
      <c r="A6" s="37" t="s">
        <v>96</v>
      </c>
      <c r="B6" s="2" t="s">
        <v>0</v>
      </c>
      <c r="C6" s="2" t="s">
        <v>101</v>
      </c>
      <c r="D6" s="37" t="s">
        <v>1</v>
      </c>
      <c r="E6" s="2" t="s">
        <v>2</v>
      </c>
      <c r="F6" s="2" t="s">
        <v>3</v>
      </c>
      <c r="G6" s="38" t="s">
        <v>4</v>
      </c>
      <c r="H6" s="62"/>
      <c r="I6" s="2" t="s">
        <v>127</v>
      </c>
      <c r="J6" s="2" t="s">
        <v>174</v>
      </c>
      <c r="K6" s="2" t="s">
        <v>159</v>
      </c>
      <c r="L6" s="2" t="s">
        <v>175</v>
      </c>
      <c r="M6" s="69" t="s">
        <v>117</v>
      </c>
      <c r="N6" s="69" t="s">
        <v>118</v>
      </c>
      <c r="O6" s="69" t="s">
        <v>123</v>
      </c>
      <c r="P6" s="69" t="s">
        <v>124</v>
      </c>
      <c r="Q6" s="198"/>
      <c r="R6" s="186"/>
      <c r="S6" s="2" t="s">
        <v>127</v>
      </c>
      <c r="T6" s="2" t="s">
        <v>129</v>
      </c>
      <c r="U6" s="1" t="s">
        <v>115</v>
      </c>
      <c r="V6" s="1" t="s">
        <v>116</v>
      </c>
      <c r="W6" s="28" t="s">
        <v>114</v>
      </c>
    </row>
    <row r="7" spans="1:26"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6" ht="18" customHeight="1" x14ac:dyDescent="0.35">
      <c r="A8" s="39"/>
      <c r="B8" s="40"/>
      <c r="C8" s="41">
        <v>4</v>
      </c>
      <c r="D8" s="188" t="s">
        <v>5</v>
      </c>
      <c r="E8" s="188"/>
      <c r="F8" s="188"/>
      <c r="G8" s="188"/>
      <c r="H8" s="63"/>
      <c r="I8" s="70">
        <f t="shared" ref="I8:P8" si="0">I9+I10+I11+I12</f>
        <v>130</v>
      </c>
      <c r="J8" s="70">
        <f t="shared" si="0"/>
        <v>130</v>
      </c>
      <c r="K8" s="70">
        <f t="shared" si="0"/>
        <v>65</v>
      </c>
      <c r="L8" s="70">
        <f t="shared" si="0"/>
        <v>65</v>
      </c>
      <c r="M8" s="70">
        <f t="shared" si="0"/>
        <v>910</v>
      </c>
      <c r="N8" s="70">
        <f t="shared" si="0"/>
        <v>910</v>
      </c>
      <c r="O8" s="9">
        <f t="shared" si="0"/>
        <v>710</v>
      </c>
      <c r="P8" s="70">
        <f t="shared" si="0"/>
        <v>710</v>
      </c>
      <c r="Q8" s="52" t="s">
        <v>119</v>
      </c>
      <c r="R8" s="3">
        <f t="shared" ref="R8" si="1">R9+R10+R11+R12</f>
        <v>50713.563687499991</v>
      </c>
      <c r="S8" s="9">
        <f>S9+S10+S11+S12</f>
        <v>200</v>
      </c>
      <c r="T8" s="9">
        <f>T9+T10+T11+T12</f>
        <v>200</v>
      </c>
      <c r="U8" s="7"/>
      <c r="V8" s="7">
        <v>1</v>
      </c>
    </row>
    <row r="9" spans="1:26" ht="27.75" customHeight="1" x14ac:dyDescent="0.35">
      <c r="A9" s="31">
        <v>1</v>
      </c>
      <c r="B9" s="32" t="s">
        <v>6</v>
      </c>
      <c r="C9" s="32" t="s">
        <v>7</v>
      </c>
      <c r="D9" s="31" t="s">
        <v>8</v>
      </c>
      <c r="E9" s="32" t="s">
        <v>9</v>
      </c>
      <c r="F9" s="32" t="s">
        <v>97</v>
      </c>
      <c r="G9" s="42" t="s">
        <v>10</v>
      </c>
      <c r="H9" s="47"/>
      <c r="I9" s="12">
        <f>'_2022_VB_bez izmaiņām'!S9</f>
        <v>66</v>
      </c>
      <c r="J9" s="12">
        <f>'_2022_VB_bez izmaiņām'!T9</f>
        <v>66</v>
      </c>
      <c r="K9" s="53">
        <f>ROUND('_2022_VB_bez izmaiņām'!K9*1.025,0)</f>
        <v>26</v>
      </c>
      <c r="L9" s="54">
        <f>IF(I9=0,K9,K9*(J9/I9))</f>
        <v>26</v>
      </c>
      <c r="M9" s="12">
        <f>I9+(K9*12)</f>
        <v>378</v>
      </c>
      <c r="N9" s="12">
        <f>J9+(L9*12)</f>
        <v>378</v>
      </c>
      <c r="O9" s="11">
        <v>270</v>
      </c>
      <c r="P9" s="54">
        <f>IF(I9=0,O9,O9*(J9/I9))</f>
        <v>270</v>
      </c>
      <c r="Q9" s="33">
        <f>'_2022_VB_bez izmaiņām'!Q9*1.025</f>
        <v>88.252499999999984</v>
      </c>
      <c r="R9" s="4">
        <f>Q9*P9</f>
        <v>23828.174999999996</v>
      </c>
      <c r="S9" s="15">
        <f>M9-O9</f>
        <v>108</v>
      </c>
      <c r="T9" s="15">
        <f>N9-P9</f>
        <v>108</v>
      </c>
      <c r="U9" s="1"/>
      <c r="V9" s="1">
        <v>1</v>
      </c>
      <c r="W9" s="27" t="s">
        <v>102</v>
      </c>
      <c r="X9" s="64"/>
    </row>
    <row r="10" spans="1:26" ht="18" customHeight="1" x14ac:dyDescent="0.35">
      <c r="A10" s="31">
        <v>2</v>
      </c>
      <c r="B10" s="32" t="s">
        <v>6</v>
      </c>
      <c r="C10" s="32" t="s">
        <v>11</v>
      </c>
      <c r="D10" s="31" t="s">
        <v>12</v>
      </c>
      <c r="E10" s="32" t="s">
        <v>9</v>
      </c>
      <c r="F10" s="32">
        <v>5</v>
      </c>
      <c r="G10" s="42" t="s">
        <v>10</v>
      </c>
      <c r="H10" s="47"/>
      <c r="I10" s="12">
        <f>'_2022_VB_bez izmaiņām'!S10</f>
        <v>1</v>
      </c>
      <c r="J10" s="12">
        <f>'_2022_VB_bez izmaiņām'!T10</f>
        <v>1</v>
      </c>
      <c r="K10" s="53">
        <f>ROUND('_2022_VB_bez izmaiņām'!K10*1.025,0)</f>
        <v>10</v>
      </c>
      <c r="L10" s="54">
        <f t="shared" ref="L10:L12" si="2">IF(I10=0,K10,K10*(J10/I10))</f>
        <v>10</v>
      </c>
      <c r="M10" s="12">
        <f t="shared" ref="M10:M12" si="3">I10+(K10*12)</f>
        <v>121</v>
      </c>
      <c r="N10" s="12">
        <f t="shared" ref="N10:N12" si="4">J10+(L10*12)</f>
        <v>121</v>
      </c>
      <c r="O10" s="11">
        <v>121</v>
      </c>
      <c r="P10" s="54">
        <f t="shared" ref="P10:P12" si="5">IF(I10=0,O10,O10*(J10/I10))</f>
        <v>121</v>
      </c>
      <c r="Q10" s="33">
        <f>'_2022_VB_bez izmaiņām'!Q10*1.025</f>
        <v>88.252499999999984</v>
      </c>
      <c r="R10" s="4">
        <f t="shared" ref="R10:R12" si="6">Q10*P10</f>
        <v>10678.552499999998</v>
      </c>
      <c r="S10" s="15">
        <f t="shared" ref="S10:S12" si="7">M10-O10</f>
        <v>0</v>
      </c>
      <c r="T10" s="15">
        <f t="shared" ref="T10:T12" si="8">N10-P10</f>
        <v>0</v>
      </c>
      <c r="U10" s="1"/>
      <c r="V10" s="1">
        <v>1</v>
      </c>
    </row>
    <row r="11" spans="1:26" ht="36" customHeight="1" x14ac:dyDescent="0.35">
      <c r="A11" s="31">
        <v>3</v>
      </c>
      <c r="B11" s="32" t="s">
        <v>13</v>
      </c>
      <c r="C11" s="32" t="s">
        <v>14</v>
      </c>
      <c r="D11" s="31" t="s">
        <v>15</v>
      </c>
      <c r="E11" s="32" t="s">
        <v>9</v>
      </c>
      <c r="F11" s="32">
        <v>2</v>
      </c>
      <c r="G11" s="42" t="s">
        <v>10</v>
      </c>
      <c r="H11" s="47"/>
      <c r="I11" s="12">
        <f>'_2022_VB_bez izmaiņām'!S11</f>
        <v>0</v>
      </c>
      <c r="J11" s="12">
        <f>'_2022_VB_bez izmaiņām'!T11</f>
        <v>0</v>
      </c>
      <c r="K11" s="53">
        <f>ROUND('_2022_VB_bez izmaiņām'!K11*1.025,0)</f>
        <v>12</v>
      </c>
      <c r="L11" s="54">
        <f t="shared" si="2"/>
        <v>12</v>
      </c>
      <c r="M11" s="12">
        <f t="shared" si="3"/>
        <v>144</v>
      </c>
      <c r="N11" s="12">
        <f t="shared" si="4"/>
        <v>144</v>
      </c>
      <c r="O11" s="11">
        <v>144</v>
      </c>
      <c r="P11" s="54">
        <f t="shared" si="5"/>
        <v>144</v>
      </c>
      <c r="Q11" s="33">
        <f>'_2022_VB_bez izmaiņām'!Q11*1.025</f>
        <v>35.300999999999995</v>
      </c>
      <c r="R11" s="4">
        <f t="shared" si="6"/>
        <v>5083.3439999999991</v>
      </c>
      <c r="S11" s="15">
        <f t="shared" si="7"/>
        <v>0</v>
      </c>
      <c r="T11" s="15">
        <f t="shared" si="8"/>
        <v>0</v>
      </c>
      <c r="U11" s="1"/>
      <c r="V11" s="1">
        <v>1</v>
      </c>
    </row>
    <row r="12" spans="1:26" ht="18" customHeight="1" x14ac:dyDescent="0.35">
      <c r="A12" s="31">
        <v>4</v>
      </c>
      <c r="B12" s="32" t="s">
        <v>16</v>
      </c>
      <c r="C12" s="32" t="s">
        <v>17</v>
      </c>
      <c r="D12" s="31" t="s">
        <v>18</v>
      </c>
      <c r="E12" s="32" t="s">
        <v>9</v>
      </c>
      <c r="F12" s="32">
        <v>5</v>
      </c>
      <c r="G12" s="42" t="s">
        <v>10</v>
      </c>
      <c r="H12" s="47"/>
      <c r="I12" s="12">
        <f>'_2022_VB_bez izmaiņām'!S12</f>
        <v>63</v>
      </c>
      <c r="J12" s="12">
        <f>'_2022_VB_bez izmaiņām'!T12</f>
        <v>63</v>
      </c>
      <c r="K12" s="53">
        <f>ROUND('_2022_VB_bez izmaiņām'!K12*1.025,0)</f>
        <v>17</v>
      </c>
      <c r="L12" s="54">
        <f t="shared" si="2"/>
        <v>17</v>
      </c>
      <c r="M12" s="12">
        <f t="shared" si="3"/>
        <v>267</v>
      </c>
      <c r="N12" s="12">
        <f t="shared" si="4"/>
        <v>267</v>
      </c>
      <c r="O12" s="11">
        <v>175</v>
      </c>
      <c r="P12" s="54">
        <f t="shared" si="5"/>
        <v>175</v>
      </c>
      <c r="Q12" s="33">
        <f>'_2022_VB_bez izmaiņām'!Q12*1.025</f>
        <v>63.562812499999993</v>
      </c>
      <c r="R12" s="4">
        <f t="shared" si="6"/>
        <v>11123.492187499998</v>
      </c>
      <c r="S12" s="15">
        <f t="shared" si="7"/>
        <v>92</v>
      </c>
      <c r="T12" s="15">
        <f t="shared" si="8"/>
        <v>92</v>
      </c>
      <c r="U12" s="1"/>
      <c r="V12" s="1">
        <v>1</v>
      </c>
    </row>
    <row r="13" spans="1:26" ht="18" customHeight="1" x14ac:dyDescent="0.35">
      <c r="A13" s="39"/>
      <c r="B13" s="40"/>
      <c r="C13" s="41">
        <v>6</v>
      </c>
      <c r="D13" s="188" t="s">
        <v>19</v>
      </c>
      <c r="E13" s="188"/>
      <c r="F13" s="188"/>
      <c r="G13" s="188"/>
      <c r="H13" s="63"/>
      <c r="I13" s="13">
        <f>I14</f>
        <v>92</v>
      </c>
      <c r="J13" s="13">
        <f t="shared" ref="J13:P13" si="9">J14</f>
        <v>92</v>
      </c>
      <c r="K13" s="13">
        <f t="shared" si="9"/>
        <v>46</v>
      </c>
      <c r="L13" s="13">
        <f t="shared" si="9"/>
        <v>46</v>
      </c>
      <c r="M13" s="13">
        <f t="shared" si="9"/>
        <v>644</v>
      </c>
      <c r="N13" s="13">
        <f t="shared" si="9"/>
        <v>644</v>
      </c>
      <c r="O13" s="13">
        <f t="shared" si="9"/>
        <v>492</v>
      </c>
      <c r="P13" s="13">
        <f t="shared" si="9"/>
        <v>492</v>
      </c>
      <c r="Q13" s="52" t="s">
        <v>119</v>
      </c>
      <c r="R13" s="5">
        <f t="shared" ref="R13" si="10">R14</f>
        <v>293157.80324999994</v>
      </c>
      <c r="S13" s="13">
        <f>S14</f>
        <v>152</v>
      </c>
      <c r="T13" s="13">
        <f>T14</f>
        <v>152</v>
      </c>
      <c r="U13" s="7"/>
      <c r="V13" s="7">
        <v>1</v>
      </c>
    </row>
    <row r="14" spans="1:26" s="34" customFormat="1" ht="34.5" customHeight="1" x14ac:dyDescent="0.35">
      <c r="A14" s="29">
        <v>5</v>
      </c>
      <c r="B14" s="30" t="s">
        <v>20</v>
      </c>
      <c r="C14" s="30" t="s">
        <v>21</v>
      </c>
      <c r="D14" s="29" t="s">
        <v>22</v>
      </c>
      <c r="E14" s="30" t="s">
        <v>9</v>
      </c>
      <c r="F14" s="30">
        <v>2</v>
      </c>
      <c r="G14" s="43" t="s">
        <v>23</v>
      </c>
      <c r="H14" s="48"/>
      <c r="I14" s="12">
        <f>'_2022_VB_bez izmaiņām'!S14</f>
        <v>92</v>
      </c>
      <c r="J14" s="12">
        <f>'_2022_VB_bez izmaiņām'!T14</f>
        <v>92</v>
      </c>
      <c r="K14" s="53">
        <f>ROUND('_2022_VB_bez izmaiņām'!K14*1.025,0)</f>
        <v>46</v>
      </c>
      <c r="L14" s="54">
        <f>IF(I14=0,K14,K14*(J14/I14))</f>
        <v>46</v>
      </c>
      <c r="M14" s="12">
        <f>I14+(K14*12)</f>
        <v>644</v>
      </c>
      <c r="N14" s="12">
        <f>J14+(L14*12)</f>
        <v>644</v>
      </c>
      <c r="O14" s="11">
        <v>492</v>
      </c>
      <c r="P14" s="54">
        <f>IF(I14=0,O14,O14*(J14/I14))</f>
        <v>492</v>
      </c>
      <c r="Q14" s="33">
        <f>'_2022_VB_bez izmaiņām'!Q14*1.025</f>
        <v>595.80943749999983</v>
      </c>
      <c r="R14" s="4">
        <f>Q14*P14+19.56</f>
        <v>293157.80324999994</v>
      </c>
      <c r="S14" s="15">
        <f>M14-O14</f>
        <v>152</v>
      </c>
      <c r="T14" s="15">
        <f>N14-P14</f>
        <v>152</v>
      </c>
      <c r="U14" s="19"/>
      <c r="V14" s="19">
        <v>1</v>
      </c>
      <c r="W14" s="26"/>
    </row>
    <row r="15" spans="1:26" ht="18" customHeight="1" x14ac:dyDescent="0.35">
      <c r="A15" s="39"/>
      <c r="B15" s="40"/>
      <c r="C15" s="41">
        <v>12</v>
      </c>
      <c r="D15" s="188" t="s">
        <v>24</v>
      </c>
      <c r="E15" s="188"/>
      <c r="F15" s="188"/>
      <c r="G15" s="188"/>
      <c r="H15" s="63"/>
      <c r="I15" s="9">
        <f>I16+I17</f>
        <v>55</v>
      </c>
      <c r="J15" s="9">
        <f t="shared" ref="J15:P15" si="11">J16+J17</f>
        <v>55</v>
      </c>
      <c r="K15" s="9">
        <f t="shared" si="11"/>
        <v>22</v>
      </c>
      <c r="L15" s="9">
        <f t="shared" si="11"/>
        <v>22</v>
      </c>
      <c r="M15" s="9">
        <f t="shared" si="11"/>
        <v>319</v>
      </c>
      <c r="N15" s="9">
        <f t="shared" si="11"/>
        <v>319</v>
      </c>
      <c r="O15" s="9">
        <f t="shared" si="11"/>
        <v>262</v>
      </c>
      <c r="P15" s="9">
        <f t="shared" si="11"/>
        <v>262</v>
      </c>
      <c r="Q15" s="52" t="s">
        <v>119</v>
      </c>
      <c r="R15" s="3">
        <f t="shared" ref="R15" si="12">R16+R17</f>
        <v>12906.633949999999</v>
      </c>
      <c r="S15" s="9">
        <f>S16+S17</f>
        <v>57</v>
      </c>
      <c r="T15" s="9">
        <f>T16+T17</f>
        <v>57</v>
      </c>
      <c r="U15" s="7"/>
      <c r="V15" s="7">
        <v>1</v>
      </c>
    </row>
    <row r="16" spans="1:26" ht="33.75" customHeight="1" x14ac:dyDescent="0.35">
      <c r="A16" s="31">
        <v>6</v>
      </c>
      <c r="B16" s="32" t="s">
        <v>25</v>
      </c>
      <c r="C16" s="32" t="s">
        <v>26</v>
      </c>
      <c r="D16" s="31" t="s">
        <v>27</v>
      </c>
      <c r="E16" s="32" t="s">
        <v>9</v>
      </c>
      <c r="F16" s="32" t="s">
        <v>104</v>
      </c>
      <c r="G16" s="42" t="s">
        <v>10</v>
      </c>
      <c r="H16" s="47"/>
      <c r="I16" s="12">
        <f>'_2022_VB_bez izmaiņām'!S16</f>
        <v>16</v>
      </c>
      <c r="J16" s="12">
        <f>'_2022_VB_bez izmaiņām'!T16</f>
        <v>16</v>
      </c>
      <c r="K16" s="53">
        <f>ROUND('_2022_VB_bez izmaiņām'!K16*1.025,0)</f>
        <v>10</v>
      </c>
      <c r="L16" s="54">
        <f>IF(I16=0,K16,K16*(J16/I16))</f>
        <v>10</v>
      </c>
      <c r="M16" s="12">
        <f>I16+(K16*12)</f>
        <v>136</v>
      </c>
      <c r="N16" s="12">
        <f>J16+(L16*12)</f>
        <v>136</v>
      </c>
      <c r="O16" s="11">
        <v>136</v>
      </c>
      <c r="P16" s="54">
        <f>IF(I16=0,O16,O16*(J16/I16))</f>
        <v>136</v>
      </c>
      <c r="Q16" s="33">
        <f>'_2022_VB_bez izmaiņām'!Q16*1.025</f>
        <v>36.771874999999994</v>
      </c>
      <c r="R16" s="4">
        <f>Q16*P16</f>
        <v>5000.9749999999995</v>
      </c>
      <c r="S16" s="15">
        <f>M16-O16</f>
        <v>0</v>
      </c>
      <c r="T16" s="15">
        <f>N16-P16</f>
        <v>0</v>
      </c>
      <c r="U16" s="1"/>
      <c r="V16" s="1">
        <v>1</v>
      </c>
      <c r="W16" s="27" t="s">
        <v>103</v>
      </c>
    </row>
    <row r="17" spans="1:23" ht="24" customHeight="1" x14ac:dyDescent="0.35">
      <c r="A17" s="31">
        <v>7</v>
      </c>
      <c r="B17" s="32" t="s">
        <v>25</v>
      </c>
      <c r="C17" s="32" t="s">
        <v>26</v>
      </c>
      <c r="D17" s="31" t="s">
        <v>28</v>
      </c>
      <c r="E17" s="32" t="s">
        <v>9</v>
      </c>
      <c r="F17" s="32" t="s">
        <v>104</v>
      </c>
      <c r="G17" s="42" t="s">
        <v>10</v>
      </c>
      <c r="H17" s="47"/>
      <c r="I17" s="12">
        <f>'_2022_VB_bez izmaiņām'!S17</f>
        <v>39</v>
      </c>
      <c r="J17" s="12">
        <f>'_2022_VB_bez izmaiņām'!T17</f>
        <v>39</v>
      </c>
      <c r="K17" s="53">
        <f>ROUND('_2022_VB_bez izmaiņām'!K17*1.025,0)</f>
        <v>12</v>
      </c>
      <c r="L17" s="54">
        <f>IF(I17=0,K17,K17*(J17/I17))</f>
        <v>12</v>
      </c>
      <c r="M17" s="12">
        <f>I17+(K17*12)</f>
        <v>183</v>
      </c>
      <c r="N17" s="12">
        <f>J17+(L17*12)</f>
        <v>183</v>
      </c>
      <c r="O17" s="11">
        <v>126</v>
      </c>
      <c r="P17" s="54">
        <f>IF(I17=0,O17,O17*(J17/I17))</f>
        <v>126</v>
      </c>
      <c r="Q17" s="33">
        <f>'_2022_VB_bez izmaiņām'!Q17*1.025</f>
        <v>62.743324999999992</v>
      </c>
      <c r="R17" s="4">
        <f>Q17*P17</f>
        <v>7905.6589499999991</v>
      </c>
      <c r="S17" s="15">
        <f>M17-O17</f>
        <v>57</v>
      </c>
      <c r="T17" s="15">
        <f>N17-P17</f>
        <v>57</v>
      </c>
      <c r="U17" s="1"/>
      <c r="V17" s="1">
        <v>1</v>
      </c>
      <c r="W17" s="27" t="s">
        <v>103</v>
      </c>
    </row>
    <row r="18" spans="1:23" ht="18" customHeight="1" x14ac:dyDescent="0.35">
      <c r="A18" s="39"/>
      <c r="B18" s="40"/>
      <c r="C18" s="41">
        <v>15</v>
      </c>
      <c r="D18" s="188" t="s">
        <v>29</v>
      </c>
      <c r="E18" s="188"/>
      <c r="F18" s="188"/>
      <c r="G18" s="188"/>
      <c r="H18" s="63"/>
      <c r="I18" s="9">
        <f>I19+I20</f>
        <v>68</v>
      </c>
      <c r="J18" s="9">
        <f t="shared" ref="J18" si="13">J19+J20</f>
        <v>68</v>
      </c>
      <c r="K18" s="9">
        <f t="shared" ref="K18" si="14">K19+K20</f>
        <v>16</v>
      </c>
      <c r="L18" s="9">
        <f t="shared" ref="L18" si="15">L19+L20</f>
        <v>16</v>
      </c>
      <c r="M18" s="9">
        <f t="shared" ref="M18" si="16">M19+M20</f>
        <v>260</v>
      </c>
      <c r="N18" s="9">
        <f t="shared" ref="N18:O18" si="17">N19+N20</f>
        <v>260</v>
      </c>
      <c r="O18" s="9">
        <f t="shared" si="17"/>
        <v>178</v>
      </c>
      <c r="P18" s="9">
        <f t="shared" ref="P18" si="18">P19+P20</f>
        <v>178</v>
      </c>
      <c r="Q18" s="52" t="s">
        <v>119</v>
      </c>
      <c r="R18" s="3">
        <f t="shared" ref="R18" si="19">R19+R20</f>
        <v>6168.1353249999993</v>
      </c>
      <c r="S18" s="9">
        <f>S19+S20</f>
        <v>82</v>
      </c>
      <c r="T18" s="9">
        <f>T19+T20</f>
        <v>82</v>
      </c>
      <c r="U18" s="7"/>
      <c r="V18" s="7">
        <v>1</v>
      </c>
    </row>
    <row r="19" spans="1:23" ht="18" customHeight="1" x14ac:dyDescent="0.35">
      <c r="A19" s="31">
        <v>8</v>
      </c>
      <c r="B19" s="32" t="s">
        <v>16</v>
      </c>
      <c r="C19" s="32" t="s">
        <v>30</v>
      </c>
      <c r="D19" s="31" t="s">
        <v>31</v>
      </c>
      <c r="E19" s="32" t="s">
        <v>9</v>
      </c>
      <c r="F19" s="32">
        <v>5</v>
      </c>
      <c r="G19" s="42" t="s">
        <v>10</v>
      </c>
      <c r="H19" s="47"/>
      <c r="I19" s="12">
        <f>'_2022_VB_bez izmaiņām'!S19</f>
        <v>56</v>
      </c>
      <c r="J19" s="12">
        <f>'_2022_VB_bez izmaiņām'!T19</f>
        <v>56</v>
      </c>
      <c r="K19" s="53">
        <f>ROUND('_2022_VB_bez izmaiņām'!K19*1.025,0)</f>
        <v>10</v>
      </c>
      <c r="L19" s="54">
        <f>IF(I19=0,K19,K19*(J19/I19))</f>
        <v>10</v>
      </c>
      <c r="M19" s="12">
        <f>I19+(K19*12)</f>
        <v>176</v>
      </c>
      <c r="N19" s="12">
        <f>J19+(L19*12)</f>
        <v>176</v>
      </c>
      <c r="O19" s="11">
        <v>94</v>
      </c>
      <c r="P19" s="54">
        <f>IF(I19=0,O19,O19*(J19/I19))</f>
        <v>94</v>
      </c>
      <c r="Q19" s="33">
        <f>'_2022_VB_bez izmaiņām'!Q19*1.025</f>
        <v>50.850249999999988</v>
      </c>
      <c r="R19" s="4">
        <f>Q19*P19</f>
        <v>4779.923499999999</v>
      </c>
      <c r="S19" s="15">
        <f>M19-O19</f>
        <v>82</v>
      </c>
      <c r="T19" s="15">
        <f>N19-P19</f>
        <v>82</v>
      </c>
      <c r="U19" s="1"/>
      <c r="V19" s="1">
        <v>1</v>
      </c>
    </row>
    <row r="20" spans="1:23" ht="33" customHeight="1" x14ac:dyDescent="0.35">
      <c r="A20" s="31">
        <v>9</v>
      </c>
      <c r="B20" s="32" t="s">
        <v>6</v>
      </c>
      <c r="C20" s="32" t="s">
        <v>30</v>
      </c>
      <c r="D20" s="31" t="s">
        <v>32</v>
      </c>
      <c r="E20" s="32" t="s">
        <v>9</v>
      </c>
      <c r="F20" s="32">
        <v>2</v>
      </c>
      <c r="G20" s="42" t="s">
        <v>10</v>
      </c>
      <c r="H20" s="47"/>
      <c r="I20" s="12">
        <f>'_2022_VB_bez izmaiņām'!S20</f>
        <v>12</v>
      </c>
      <c r="J20" s="12">
        <f>'_2022_VB_bez izmaiņām'!T20</f>
        <v>12</v>
      </c>
      <c r="K20" s="53">
        <f>ROUND('_2022_VB_bez izmaiņām'!K20*1.025,0)</f>
        <v>6</v>
      </c>
      <c r="L20" s="54">
        <f>IF(I20=0,K20,K20*(J20/I20))</f>
        <v>6</v>
      </c>
      <c r="M20" s="12">
        <f>I20+(K20*12)</f>
        <v>84</v>
      </c>
      <c r="N20" s="12">
        <f>J20+(L20*12)</f>
        <v>84</v>
      </c>
      <c r="O20" s="11">
        <v>84</v>
      </c>
      <c r="P20" s="54">
        <f>IF(I20=0,O20,O20*(J20/I20))</f>
        <v>84</v>
      </c>
      <c r="Q20" s="33">
        <f>'_2022_VB_bez izmaiņām'!Q20*1.025</f>
        <v>16.526331249999998</v>
      </c>
      <c r="R20" s="4">
        <f>Q20*P20</f>
        <v>1388.2118249999999</v>
      </c>
      <c r="S20" s="15">
        <f>M20-O20</f>
        <v>0</v>
      </c>
      <c r="T20" s="15">
        <f>N20-P20</f>
        <v>0</v>
      </c>
      <c r="U20" s="1"/>
      <c r="V20" s="1">
        <v>1</v>
      </c>
    </row>
    <row r="21" spans="1:23" ht="18" customHeight="1" x14ac:dyDescent="0.35">
      <c r="A21" s="39"/>
      <c r="B21" s="40"/>
      <c r="C21" s="41">
        <v>22</v>
      </c>
      <c r="D21" s="188" t="s">
        <v>33</v>
      </c>
      <c r="E21" s="188"/>
      <c r="F21" s="188"/>
      <c r="G21" s="188"/>
      <c r="H21" s="63"/>
      <c r="I21" s="70">
        <f t="shared" ref="I21:P21" si="20">SUM(I22:I49)</f>
        <v>6945</v>
      </c>
      <c r="J21" s="70">
        <f t="shared" si="20"/>
        <v>10756.013509166934</v>
      </c>
      <c r="K21" s="70">
        <f t="shared" si="20"/>
        <v>518</v>
      </c>
      <c r="L21" s="70">
        <f t="shared" si="20"/>
        <v>720.36603409456416</v>
      </c>
      <c r="M21" s="70">
        <f t="shared" si="20"/>
        <v>13161</v>
      </c>
      <c r="N21" s="70">
        <f t="shared" si="20"/>
        <v>19400.405918301705</v>
      </c>
      <c r="O21" s="9">
        <f t="shared" si="20"/>
        <v>4319</v>
      </c>
      <c r="P21" s="70">
        <f t="shared" si="20"/>
        <v>5791.2769379221609</v>
      </c>
      <c r="Q21" s="52" t="s">
        <v>119</v>
      </c>
      <c r="R21" s="3">
        <f>SUM(R22:R49)</f>
        <v>1474379.7922524642</v>
      </c>
      <c r="S21" s="9">
        <f>SUM(S22:S49)</f>
        <v>8842</v>
      </c>
      <c r="T21" s="9">
        <f>SUM(T22:T49)</f>
        <v>13609.128980379544</v>
      </c>
      <c r="U21" s="7">
        <v>1</v>
      </c>
      <c r="V21" s="7">
        <v>1</v>
      </c>
    </row>
    <row r="22" spans="1:23" ht="17.25" customHeight="1" x14ac:dyDescent="0.35">
      <c r="A22" s="31">
        <v>10</v>
      </c>
      <c r="B22" s="32" t="s">
        <v>34</v>
      </c>
      <c r="C22" s="32" t="s">
        <v>35</v>
      </c>
      <c r="D22" s="31" t="s">
        <v>36</v>
      </c>
      <c r="E22" s="32" t="s">
        <v>9</v>
      </c>
      <c r="F22" s="32">
        <v>2</v>
      </c>
      <c r="G22" s="42" t="s">
        <v>37</v>
      </c>
      <c r="H22" s="47"/>
      <c r="I22" s="12">
        <f>'_2022_VB_bez izmaiņām'!S22</f>
        <v>0</v>
      </c>
      <c r="J22" s="12">
        <f>'_2022_VB_bez izmaiņām'!T22</f>
        <v>0</v>
      </c>
      <c r="K22" s="53">
        <f>ROUND('_2022_VB_bez izmaiņām'!K22*1.025,0)</f>
        <v>9</v>
      </c>
      <c r="L22" s="54">
        <f>IF(I22=0,K22,K22*(J22/I22))</f>
        <v>9</v>
      </c>
      <c r="M22" s="12">
        <f>I22+(K22*12)</f>
        <v>108</v>
      </c>
      <c r="N22" s="12">
        <f>J22+(L22*12)</f>
        <v>108</v>
      </c>
      <c r="O22" s="11">
        <v>108</v>
      </c>
      <c r="P22" s="54">
        <f>IF(I22=0,O22,O22*(J22/I22))</f>
        <v>108</v>
      </c>
      <c r="Q22" s="33">
        <f>'_2022_VB_bez izmaiņām'!Q22*1.025</f>
        <v>69.919093749999988</v>
      </c>
      <c r="R22" s="4">
        <f>Q22*P22</f>
        <v>7551.2621249999984</v>
      </c>
      <c r="S22" s="15">
        <f>M22-O22</f>
        <v>0</v>
      </c>
      <c r="T22" s="15">
        <f>N22-P22</f>
        <v>0</v>
      </c>
      <c r="U22" s="1"/>
      <c r="V22" s="1">
        <v>1</v>
      </c>
    </row>
    <row r="23" spans="1:23" ht="30.75" customHeight="1" x14ac:dyDescent="0.35">
      <c r="A23" s="31">
        <v>11</v>
      </c>
      <c r="B23" s="32" t="s">
        <v>34</v>
      </c>
      <c r="C23" s="32" t="s">
        <v>38</v>
      </c>
      <c r="D23" s="31" t="s">
        <v>39</v>
      </c>
      <c r="E23" s="32" t="s">
        <v>9</v>
      </c>
      <c r="F23" s="32" t="s">
        <v>98</v>
      </c>
      <c r="G23" s="42" t="s">
        <v>37</v>
      </c>
      <c r="H23" s="47"/>
      <c r="I23" s="12">
        <f>'_2022_VB_bez izmaiņām'!S23</f>
        <v>17</v>
      </c>
      <c r="J23" s="12">
        <f>'_2022_VB_bez izmaiņām'!T23</f>
        <v>17</v>
      </c>
      <c r="K23" s="53">
        <f>ROUND('_2022_VB_bez izmaiņām'!K23*1.025,0)</f>
        <v>13</v>
      </c>
      <c r="L23" s="54">
        <f t="shared" ref="L23:L49" si="21">IF(I23=0,K23,K23*(J23/I23))</f>
        <v>13</v>
      </c>
      <c r="M23" s="12">
        <f t="shared" ref="M23:M49" si="22">I23+(K23*12)</f>
        <v>173</v>
      </c>
      <c r="N23" s="12">
        <f t="shared" ref="N23:N49" si="23">J23+(L23*12)</f>
        <v>173</v>
      </c>
      <c r="O23" s="11">
        <v>154</v>
      </c>
      <c r="P23" s="54">
        <f t="shared" ref="P23:P49" si="24">IF(I23=0,O23,O23*(J23/I23))</f>
        <v>154</v>
      </c>
      <c r="Q23" s="33">
        <f>'_2022_VB_bez izmaiņām'!Q23*1.025</f>
        <v>57.553237499999994</v>
      </c>
      <c r="R23" s="4">
        <f>Q23*P23</f>
        <v>8863.1985749999985</v>
      </c>
      <c r="S23" s="15">
        <f t="shared" ref="S23:S49" si="25">M23-O23</f>
        <v>19</v>
      </c>
      <c r="T23" s="15">
        <f t="shared" ref="T23:T49" si="26">N23-P23</f>
        <v>19</v>
      </c>
      <c r="U23" s="1"/>
      <c r="V23" s="1">
        <v>1</v>
      </c>
      <c r="W23" s="27" t="s">
        <v>105</v>
      </c>
    </row>
    <row r="24" spans="1:23" ht="36" customHeight="1" x14ac:dyDescent="0.35">
      <c r="A24" s="31">
        <v>12</v>
      </c>
      <c r="B24" s="32" t="s">
        <v>40</v>
      </c>
      <c r="C24" s="32" t="s">
        <v>41</v>
      </c>
      <c r="D24" s="31" t="s">
        <v>42</v>
      </c>
      <c r="E24" s="32" t="s">
        <v>9</v>
      </c>
      <c r="F24" s="32">
        <v>5</v>
      </c>
      <c r="G24" s="42" t="s">
        <v>43</v>
      </c>
      <c r="H24" s="47"/>
      <c r="I24" s="12">
        <f>'_2022_VB_bez izmaiņām'!S24</f>
        <v>28</v>
      </c>
      <c r="J24" s="12">
        <f>'_2022_VB_bez izmaiņām'!T24</f>
        <v>28</v>
      </c>
      <c r="K24" s="53">
        <f>ROUND('_2022_VB_bez izmaiņām'!K24*1.025,0)</f>
        <v>5</v>
      </c>
      <c r="L24" s="54">
        <f t="shared" si="21"/>
        <v>5</v>
      </c>
      <c r="M24" s="12">
        <f t="shared" si="22"/>
        <v>88</v>
      </c>
      <c r="N24" s="12">
        <f t="shared" si="23"/>
        <v>88</v>
      </c>
      <c r="O24" s="11">
        <v>46</v>
      </c>
      <c r="P24" s="54">
        <f t="shared" si="24"/>
        <v>46</v>
      </c>
      <c r="Q24" s="33">
        <f>'_2022_VB_bez izmaiņām'!Q24*1.025</f>
        <v>75.476899999999986</v>
      </c>
      <c r="R24" s="4">
        <f t="shared" ref="R24:R49" si="27">Q24*P24</f>
        <v>3471.9373999999993</v>
      </c>
      <c r="S24" s="15">
        <f t="shared" si="25"/>
        <v>42</v>
      </c>
      <c r="T24" s="15">
        <f t="shared" si="26"/>
        <v>42</v>
      </c>
      <c r="U24" s="1"/>
      <c r="V24" s="1">
        <v>1</v>
      </c>
    </row>
    <row r="25" spans="1:23" ht="24" customHeight="1" x14ac:dyDescent="0.35">
      <c r="A25" s="31">
        <v>13</v>
      </c>
      <c r="B25" s="32" t="s">
        <v>40</v>
      </c>
      <c r="C25" s="32" t="s">
        <v>41</v>
      </c>
      <c r="D25" s="31" t="s">
        <v>106</v>
      </c>
      <c r="E25" s="32" t="s">
        <v>9</v>
      </c>
      <c r="F25" s="32">
        <v>5</v>
      </c>
      <c r="G25" s="42" t="s">
        <v>43</v>
      </c>
      <c r="H25" s="47"/>
      <c r="I25" s="12">
        <f>'_2022_VB_bez izmaiņām'!S25</f>
        <v>22</v>
      </c>
      <c r="J25" s="12">
        <f>'_2022_VB_bez izmaiņām'!T25</f>
        <v>22</v>
      </c>
      <c r="K25" s="53">
        <f>ROUND('_2022_VB_bez izmaiņām'!K25*1.025,0)</f>
        <v>2</v>
      </c>
      <c r="L25" s="54">
        <f t="shared" si="21"/>
        <v>2</v>
      </c>
      <c r="M25" s="12">
        <f t="shared" si="22"/>
        <v>46</v>
      </c>
      <c r="N25" s="12">
        <f t="shared" si="23"/>
        <v>46</v>
      </c>
      <c r="O25" s="11">
        <v>13</v>
      </c>
      <c r="P25" s="54">
        <f t="shared" si="24"/>
        <v>13</v>
      </c>
      <c r="Q25" s="33">
        <f>'_2022_VB_bez izmaiņām'!Q25*1.025</f>
        <v>50.850249999999988</v>
      </c>
      <c r="R25" s="4">
        <f t="shared" si="27"/>
        <v>661.05324999999982</v>
      </c>
      <c r="S25" s="15">
        <f t="shared" si="25"/>
        <v>33</v>
      </c>
      <c r="T25" s="15">
        <f t="shared" si="26"/>
        <v>33</v>
      </c>
      <c r="U25" s="1"/>
      <c r="V25" s="1">
        <v>1</v>
      </c>
      <c r="W25" s="27" t="s">
        <v>107</v>
      </c>
    </row>
    <row r="26" spans="1:23" ht="35.25" customHeight="1" x14ac:dyDescent="0.35">
      <c r="A26" s="31">
        <v>14</v>
      </c>
      <c r="B26" s="32" t="s">
        <v>34</v>
      </c>
      <c r="C26" s="32" t="s">
        <v>44</v>
      </c>
      <c r="D26" s="31" t="s">
        <v>45</v>
      </c>
      <c r="E26" s="32" t="s">
        <v>9</v>
      </c>
      <c r="F26" s="32">
        <v>5</v>
      </c>
      <c r="G26" s="42" t="s">
        <v>37</v>
      </c>
      <c r="H26" s="47"/>
      <c r="I26" s="12">
        <f>'_2022_VB_bez izmaiņām'!S26</f>
        <v>9</v>
      </c>
      <c r="J26" s="12">
        <f>'_2022_VB_bez izmaiņām'!T26</f>
        <v>9</v>
      </c>
      <c r="K26" s="53">
        <f>ROUND('_2022_VB_bez izmaiņām'!K26*1.025,0)</f>
        <v>18</v>
      </c>
      <c r="L26" s="54">
        <f t="shared" si="21"/>
        <v>18</v>
      </c>
      <c r="M26" s="12">
        <f t="shared" si="22"/>
        <v>225</v>
      </c>
      <c r="N26" s="12">
        <f t="shared" si="23"/>
        <v>225</v>
      </c>
      <c r="O26" s="11">
        <v>204</v>
      </c>
      <c r="P26" s="54">
        <f t="shared" si="24"/>
        <v>204</v>
      </c>
      <c r="Q26" s="33">
        <f>'_2022_VB_bez izmaiņām'!Q26*1.025</f>
        <v>571.50848124999993</v>
      </c>
      <c r="R26" s="4">
        <f t="shared" si="27"/>
        <v>116587.73017499999</v>
      </c>
      <c r="S26" s="15">
        <f t="shared" si="25"/>
        <v>21</v>
      </c>
      <c r="T26" s="15">
        <f t="shared" si="26"/>
        <v>21</v>
      </c>
      <c r="U26" s="1"/>
      <c r="V26" s="1">
        <v>1</v>
      </c>
    </row>
    <row r="27" spans="1:23" ht="36" customHeight="1" x14ac:dyDescent="0.35">
      <c r="A27" s="31">
        <v>15</v>
      </c>
      <c r="B27" s="32" t="s">
        <v>166</v>
      </c>
      <c r="C27" s="32" t="s">
        <v>46</v>
      </c>
      <c r="D27" s="31" t="s">
        <v>167</v>
      </c>
      <c r="E27" s="32" t="s">
        <v>9</v>
      </c>
      <c r="F27" s="32">
        <v>3</v>
      </c>
      <c r="G27" s="42" t="s">
        <v>47</v>
      </c>
      <c r="H27" s="47"/>
      <c r="I27" s="12">
        <f>'_2022_VB_bez izmaiņām'!S27</f>
        <v>34</v>
      </c>
      <c r="J27" s="12">
        <f>'_2022_VB_bez izmaiņām'!T27</f>
        <v>34</v>
      </c>
      <c r="K27" s="53">
        <f>ROUND('_2022_VB_bez izmaiņām'!K27*1.025,0)</f>
        <v>2</v>
      </c>
      <c r="L27" s="54">
        <f t="shared" si="21"/>
        <v>2</v>
      </c>
      <c r="M27" s="12">
        <f t="shared" si="22"/>
        <v>58</v>
      </c>
      <c r="N27" s="12">
        <f t="shared" si="23"/>
        <v>58</v>
      </c>
      <c r="O27" s="11">
        <v>10</v>
      </c>
      <c r="P27" s="54">
        <f t="shared" si="24"/>
        <v>10</v>
      </c>
      <c r="Q27" s="33">
        <f>'_2022_VB_bez izmaiņām'!Q27*1.025</f>
        <v>214.91584999999995</v>
      </c>
      <c r="R27" s="4">
        <f t="shared" si="27"/>
        <v>2149.1584999999995</v>
      </c>
      <c r="S27" s="15">
        <f t="shared" si="25"/>
        <v>48</v>
      </c>
      <c r="T27" s="15">
        <f t="shared" si="26"/>
        <v>48</v>
      </c>
      <c r="U27" s="1">
        <v>1</v>
      </c>
      <c r="V27" s="1"/>
    </row>
    <row r="28" spans="1:23" ht="52.75" customHeight="1" x14ac:dyDescent="0.35">
      <c r="A28" s="31" t="s">
        <v>182</v>
      </c>
      <c r="B28" s="32" t="s">
        <v>48</v>
      </c>
      <c r="C28" s="32" t="s">
        <v>49</v>
      </c>
      <c r="D28" s="31" t="s">
        <v>181</v>
      </c>
      <c r="E28" s="32" t="s">
        <v>9</v>
      </c>
      <c r="F28" s="32">
        <v>5</v>
      </c>
      <c r="G28" s="42" t="s">
        <v>47</v>
      </c>
      <c r="H28" s="47"/>
      <c r="I28" s="12">
        <f>'_2022_VB_bez izmaiņām'!S28</f>
        <v>5951</v>
      </c>
      <c r="J28" s="12">
        <f>'_2022_VB_bez izmaiņām'!T28</f>
        <v>9762.0135091669345</v>
      </c>
      <c r="K28" s="53">
        <f>ROUND('_2022_VB_bez izmaiņām'!K28*1.025,0)</f>
        <v>316</v>
      </c>
      <c r="L28" s="54">
        <f t="shared" si="21"/>
        <v>518.36603409456416</v>
      </c>
      <c r="M28" s="12">
        <f t="shared" si="22"/>
        <v>9743</v>
      </c>
      <c r="N28" s="12">
        <f t="shared" si="23"/>
        <v>15982.405918301705</v>
      </c>
      <c r="O28" s="11">
        <v>2299</v>
      </c>
      <c r="P28" s="54">
        <f t="shared" si="24"/>
        <v>3771.2769379221613</v>
      </c>
      <c r="Q28" s="33">
        <f>'_2022_VB_bez izmaiņām'!Q28*1.025</f>
        <v>253.23214374999998</v>
      </c>
      <c r="R28" s="4">
        <f>Q28*P28-43.61</f>
        <v>954964.93366496451</v>
      </c>
      <c r="S28" s="15">
        <f t="shared" si="25"/>
        <v>7444</v>
      </c>
      <c r="T28" s="15">
        <f t="shared" si="26"/>
        <v>12211.128980379544</v>
      </c>
      <c r="U28" s="1">
        <v>1</v>
      </c>
      <c r="V28" s="1"/>
    </row>
    <row r="29" spans="1:23" ht="46.5" customHeight="1" x14ac:dyDescent="0.35">
      <c r="A29" s="31">
        <v>19</v>
      </c>
      <c r="B29" s="32" t="s">
        <v>50</v>
      </c>
      <c r="C29" s="32" t="s">
        <v>180</v>
      </c>
      <c r="D29" s="31" t="s">
        <v>120</v>
      </c>
      <c r="E29" s="32" t="s">
        <v>9</v>
      </c>
      <c r="F29" s="32">
        <v>5</v>
      </c>
      <c r="G29" s="42" t="s">
        <v>52</v>
      </c>
      <c r="H29" s="47"/>
      <c r="I29" s="12">
        <f>'_2022_VB_bez izmaiņām'!S29</f>
        <v>388</v>
      </c>
      <c r="J29" s="12">
        <f>'_2022_VB_bez izmaiņām'!T29</f>
        <v>388</v>
      </c>
      <c r="K29" s="53">
        <f>ROUND('_2022_VB_bez izmaiņām'!K29*1.025,0)</f>
        <v>19</v>
      </c>
      <c r="L29" s="54">
        <f t="shared" si="21"/>
        <v>19</v>
      </c>
      <c r="M29" s="12">
        <f t="shared" si="22"/>
        <v>616</v>
      </c>
      <c r="N29" s="12">
        <f t="shared" si="23"/>
        <v>616</v>
      </c>
      <c r="O29" s="11">
        <v>73</v>
      </c>
      <c r="P29" s="54">
        <f t="shared" si="24"/>
        <v>73</v>
      </c>
      <c r="Q29" s="33">
        <f>'_2022_VB_bez izmaiņām'!Q29*1.025</f>
        <v>266.10229999999996</v>
      </c>
      <c r="R29" s="4">
        <f t="shared" si="27"/>
        <v>19425.467899999996</v>
      </c>
      <c r="S29" s="15">
        <f t="shared" si="25"/>
        <v>543</v>
      </c>
      <c r="T29" s="15">
        <f t="shared" si="26"/>
        <v>543</v>
      </c>
      <c r="U29" s="1">
        <v>1</v>
      </c>
      <c r="V29" s="1"/>
      <c r="W29" s="27" t="s">
        <v>109</v>
      </c>
    </row>
    <row r="30" spans="1:23" ht="46.5" customHeight="1" x14ac:dyDescent="0.35">
      <c r="A30" s="31">
        <v>20</v>
      </c>
      <c r="B30" s="32" t="s">
        <v>53</v>
      </c>
      <c r="C30" s="32" t="s">
        <v>51</v>
      </c>
      <c r="D30" s="31" t="s">
        <v>54</v>
      </c>
      <c r="E30" s="32" t="s">
        <v>9</v>
      </c>
      <c r="F30" s="32">
        <v>5</v>
      </c>
      <c r="G30" s="42" t="s">
        <v>55</v>
      </c>
      <c r="H30" s="47"/>
      <c r="I30" s="12">
        <f>'_2022_VB_bez izmaiņām'!S30</f>
        <v>27</v>
      </c>
      <c r="J30" s="12">
        <f>'_2022_VB_bez izmaiņām'!T30</f>
        <v>27</v>
      </c>
      <c r="K30" s="53">
        <f>ROUND('_2022_VB_bez izmaiņām'!K30*1.025,0)</f>
        <v>1</v>
      </c>
      <c r="L30" s="54">
        <f t="shared" si="21"/>
        <v>1</v>
      </c>
      <c r="M30" s="12">
        <f t="shared" si="22"/>
        <v>39</v>
      </c>
      <c r="N30" s="12">
        <f t="shared" si="23"/>
        <v>39</v>
      </c>
      <c r="O30" s="11">
        <v>5</v>
      </c>
      <c r="P30" s="54">
        <f t="shared" si="24"/>
        <v>5</v>
      </c>
      <c r="Q30" s="33">
        <f>'_2022_VB_bez izmaiņām'!Q30*1.025</f>
        <v>869.9174999999999</v>
      </c>
      <c r="R30" s="4">
        <f t="shared" si="27"/>
        <v>4349.5874999999996</v>
      </c>
      <c r="S30" s="15">
        <f t="shared" si="25"/>
        <v>34</v>
      </c>
      <c r="T30" s="15">
        <f t="shared" si="26"/>
        <v>34</v>
      </c>
      <c r="U30" s="1">
        <v>1</v>
      </c>
      <c r="V30" s="1"/>
    </row>
    <row r="31" spans="1:23" ht="36" customHeight="1" x14ac:dyDescent="0.35">
      <c r="A31" s="31">
        <v>21</v>
      </c>
      <c r="B31" s="32" t="s">
        <v>6</v>
      </c>
      <c r="C31" s="32" t="s">
        <v>56</v>
      </c>
      <c r="D31" s="31" t="s">
        <v>57</v>
      </c>
      <c r="E31" s="32" t="s">
        <v>9</v>
      </c>
      <c r="F31" s="32">
        <v>2</v>
      </c>
      <c r="G31" s="42" t="s">
        <v>10</v>
      </c>
      <c r="H31" s="47"/>
      <c r="I31" s="12">
        <f>'_2022_VB_bez izmaiņām'!S31</f>
        <v>15</v>
      </c>
      <c r="J31" s="12">
        <f>'_2022_VB_bez izmaiņām'!T31</f>
        <v>15</v>
      </c>
      <c r="K31" s="53">
        <f>ROUND('_2022_VB_bez izmaiņām'!K31*1.025,0)</f>
        <v>1</v>
      </c>
      <c r="L31" s="54">
        <f t="shared" si="21"/>
        <v>1</v>
      </c>
      <c r="M31" s="12">
        <f t="shared" si="22"/>
        <v>27</v>
      </c>
      <c r="N31" s="12">
        <f t="shared" si="23"/>
        <v>27</v>
      </c>
      <c r="O31" s="11">
        <v>27</v>
      </c>
      <c r="P31" s="54">
        <f t="shared" si="24"/>
        <v>27</v>
      </c>
      <c r="Q31" s="33">
        <f>'_2022_VB_bez izmaiņām'!Q31*1.025</f>
        <v>14.708749999999997</v>
      </c>
      <c r="R31" s="4">
        <f t="shared" si="27"/>
        <v>397.1362499999999</v>
      </c>
      <c r="S31" s="15">
        <f t="shared" si="25"/>
        <v>0</v>
      </c>
      <c r="T31" s="15">
        <f t="shared" si="26"/>
        <v>0</v>
      </c>
      <c r="U31" s="1"/>
      <c r="V31" s="1">
        <v>1</v>
      </c>
    </row>
    <row r="32" spans="1:23" ht="21.75" customHeight="1" x14ac:dyDescent="0.35">
      <c r="A32" s="31">
        <v>22</v>
      </c>
      <c r="B32" s="32" t="s">
        <v>6</v>
      </c>
      <c r="C32" s="32" t="s">
        <v>58</v>
      </c>
      <c r="D32" s="31" t="s">
        <v>59</v>
      </c>
      <c r="E32" s="32" t="s">
        <v>9</v>
      </c>
      <c r="F32" s="32">
        <v>5</v>
      </c>
      <c r="G32" s="42" t="s">
        <v>10</v>
      </c>
      <c r="H32" s="47"/>
      <c r="I32" s="12">
        <f>'_2022_VB_bez izmaiņām'!S32</f>
        <v>0</v>
      </c>
      <c r="J32" s="12">
        <f>'_2022_VB_bez izmaiņām'!T32</f>
        <v>0</v>
      </c>
      <c r="K32" s="53">
        <f>ROUND('_2022_VB_bez izmaiņām'!K32*1.025,0)</f>
        <v>1</v>
      </c>
      <c r="L32" s="54">
        <f t="shared" si="21"/>
        <v>1</v>
      </c>
      <c r="M32" s="12">
        <f t="shared" si="22"/>
        <v>12</v>
      </c>
      <c r="N32" s="12">
        <f t="shared" si="23"/>
        <v>12</v>
      </c>
      <c r="O32" s="11">
        <v>12</v>
      </c>
      <c r="P32" s="54">
        <f t="shared" si="24"/>
        <v>12</v>
      </c>
      <c r="Q32" s="33">
        <f>'_2022_VB_bez izmaiņām'!Q32*1.025</f>
        <v>915.30449999999996</v>
      </c>
      <c r="R32" s="4">
        <f t="shared" si="27"/>
        <v>10983.653999999999</v>
      </c>
      <c r="S32" s="15">
        <f t="shared" si="25"/>
        <v>0</v>
      </c>
      <c r="T32" s="15">
        <f t="shared" si="26"/>
        <v>0</v>
      </c>
      <c r="U32" s="1"/>
      <c r="V32" s="1">
        <v>1</v>
      </c>
    </row>
    <row r="33" spans="1:23" ht="21.75" customHeight="1" x14ac:dyDescent="0.35">
      <c r="A33" s="31">
        <v>23</v>
      </c>
      <c r="B33" s="32" t="s">
        <v>60</v>
      </c>
      <c r="C33" s="32" t="s">
        <v>61</v>
      </c>
      <c r="D33" s="31" t="s">
        <v>62</v>
      </c>
      <c r="E33" s="32" t="s">
        <v>9</v>
      </c>
      <c r="F33" s="32">
        <v>3</v>
      </c>
      <c r="G33" s="42" t="s">
        <v>10</v>
      </c>
      <c r="H33" s="47"/>
      <c r="I33" s="12">
        <f>'_2022_VB_bez izmaiņām'!S33</f>
        <v>69</v>
      </c>
      <c r="J33" s="12">
        <f>'_2022_VB_bez izmaiņām'!T33</f>
        <v>69</v>
      </c>
      <c r="K33" s="53">
        <f>ROUND('_2022_VB_bez izmaiņām'!K33*1.025,0)</f>
        <v>27</v>
      </c>
      <c r="L33" s="54">
        <f t="shared" si="21"/>
        <v>27</v>
      </c>
      <c r="M33" s="12">
        <f t="shared" si="22"/>
        <v>393</v>
      </c>
      <c r="N33" s="12">
        <f t="shared" si="23"/>
        <v>393</v>
      </c>
      <c r="O33" s="11">
        <v>288</v>
      </c>
      <c r="P33" s="54">
        <f t="shared" si="24"/>
        <v>288</v>
      </c>
      <c r="Q33" s="33">
        <f>'_2022_VB_bez izmaiņām'!Q33*1.025</f>
        <v>350.86672499999992</v>
      </c>
      <c r="R33" s="4">
        <f t="shared" si="27"/>
        <v>101049.61679999997</v>
      </c>
      <c r="S33" s="15">
        <f t="shared" si="25"/>
        <v>105</v>
      </c>
      <c r="T33" s="15">
        <f t="shared" si="26"/>
        <v>105</v>
      </c>
      <c r="U33" s="1"/>
      <c r="V33" s="1">
        <v>1</v>
      </c>
    </row>
    <row r="34" spans="1:23" ht="32.25" customHeight="1" x14ac:dyDescent="0.35">
      <c r="A34" s="31">
        <v>24</v>
      </c>
      <c r="B34" s="32" t="s">
        <v>60</v>
      </c>
      <c r="C34" s="32" t="s">
        <v>61</v>
      </c>
      <c r="D34" s="31" t="s">
        <v>108</v>
      </c>
      <c r="E34" s="32" t="s">
        <v>9</v>
      </c>
      <c r="F34" s="32">
        <v>5</v>
      </c>
      <c r="G34" s="42" t="s">
        <v>10</v>
      </c>
      <c r="H34" s="47"/>
      <c r="I34" s="12">
        <f>'_2022_VB_bez izmaiņām'!S34</f>
        <v>0</v>
      </c>
      <c r="J34" s="12">
        <f>'_2022_VB_bez izmaiņām'!T34</f>
        <v>0</v>
      </c>
      <c r="K34" s="53">
        <f>ROUND('_2022_VB_bez izmaiņām'!K34*1.025,0)</f>
        <v>0</v>
      </c>
      <c r="L34" s="54">
        <f t="shared" si="21"/>
        <v>0</v>
      </c>
      <c r="M34" s="12">
        <f t="shared" si="22"/>
        <v>0</v>
      </c>
      <c r="N34" s="12">
        <f t="shared" si="23"/>
        <v>0</v>
      </c>
      <c r="O34" s="104">
        <v>0</v>
      </c>
      <c r="P34" s="54">
        <f t="shared" si="24"/>
        <v>0</v>
      </c>
      <c r="Q34" s="33">
        <f>'_2022_VB_bez izmaiņām'!Q34*1.025</f>
        <v>0</v>
      </c>
      <c r="R34" s="4">
        <f t="shared" si="27"/>
        <v>0</v>
      </c>
      <c r="S34" s="15">
        <f t="shared" si="25"/>
        <v>0</v>
      </c>
      <c r="T34" s="15">
        <f t="shared" si="26"/>
        <v>0</v>
      </c>
      <c r="U34" s="1"/>
      <c r="V34" s="1">
        <v>1</v>
      </c>
      <c r="W34" s="27" t="s">
        <v>176</v>
      </c>
    </row>
    <row r="35" spans="1:23" ht="49.5" customHeight="1" x14ac:dyDescent="0.35">
      <c r="A35" s="31">
        <v>25</v>
      </c>
      <c r="B35" s="32" t="s">
        <v>60</v>
      </c>
      <c r="C35" s="32" t="s">
        <v>61</v>
      </c>
      <c r="D35" s="31" t="s">
        <v>63</v>
      </c>
      <c r="E35" s="32" t="s">
        <v>9</v>
      </c>
      <c r="F35" s="32">
        <v>3</v>
      </c>
      <c r="G35" s="42" t="s">
        <v>64</v>
      </c>
      <c r="H35" s="47"/>
      <c r="I35" s="12">
        <f>'_2022_VB_bez izmaiņām'!S35</f>
        <v>7</v>
      </c>
      <c r="J35" s="12">
        <f>'_2022_VB_bez izmaiņām'!T35</f>
        <v>7</v>
      </c>
      <c r="K35" s="53">
        <f>ROUND('_2022_VB_bez izmaiņām'!K35*1.025,0)</f>
        <v>2</v>
      </c>
      <c r="L35" s="54">
        <f t="shared" si="21"/>
        <v>2</v>
      </c>
      <c r="M35" s="12">
        <f t="shared" si="22"/>
        <v>31</v>
      </c>
      <c r="N35" s="12">
        <f t="shared" si="23"/>
        <v>31</v>
      </c>
      <c r="O35" s="11">
        <v>20</v>
      </c>
      <c r="P35" s="54">
        <f t="shared" si="24"/>
        <v>20</v>
      </c>
      <c r="Q35" s="33">
        <f>'_2022_VB_bez izmaiņām'!Q35*1.025</f>
        <v>152.55074999999997</v>
      </c>
      <c r="R35" s="4">
        <f t="shared" si="27"/>
        <v>3051.0149999999994</v>
      </c>
      <c r="S35" s="15">
        <f t="shared" si="25"/>
        <v>11</v>
      </c>
      <c r="T35" s="15">
        <f t="shared" si="26"/>
        <v>11</v>
      </c>
      <c r="U35" s="1"/>
      <c r="V35" s="1">
        <v>1</v>
      </c>
    </row>
    <row r="36" spans="1:23" ht="25.5" customHeight="1" x14ac:dyDescent="0.35">
      <c r="A36" s="31">
        <v>26</v>
      </c>
      <c r="B36" s="32" t="s">
        <v>141</v>
      </c>
      <c r="C36" s="32" t="s">
        <v>65</v>
      </c>
      <c r="D36" s="31" t="s">
        <v>66</v>
      </c>
      <c r="E36" s="32" t="s">
        <v>9</v>
      </c>
      <c r="F36" s="32">
        <v>5</v>
      </c>
      <c r="G36" s="42" t="s">
        <v>110</v>
      </c>
      <c r="H36" s="47"/>
      <c r="I36" s="12">
        <f>'_2022_VB_bez izmaiņām'!S36</f>
        <v>0</v>
      </c>
      <c r="J36" s="12">
        <f>'_2022_VB_bez izmaiņām'!T36</f>
        <v>0</v>
      </c>
      <c r="K36" s="53">
        <f>ROUND('_2022_VB_bez izmaiņām'!K36*1.025,0)</f>
        <v>0</v>
      </c>
      <c r="L36" s="54">
        <f t="shared" si="21"/>
        <v>0</v>
      </c>
      <c r="M36" s="12">
        <f t="shared" si="22"/>
        <v>0</v>
      </c>
      <c r="N36" s="12">
        <f t="shared" si="23"/>
        <v>0</v>
      </c>
      <c r="O36" s="104">
        <v>0</v>
      </c>
      <c r="P36" s="54">
        <f t="shared" si="24"/>
        <v>0</v>
      </c>
      <c r="Q36" s="33">
        <f>'_2022_VB_bez izmaiņām'!Q36*1.025</f>
        <v>0</v>
      </c>
      <c r="R36" s="4">
        <f t="shared" si="27"/>
        <v>0</v>
      </c>
      <c r="S36" s="15">
        <f t="shared" si="25"/>
        <v>0</v>
      </c>
      <c r="T36" s="15">
        <f t="shared" si="26"/>
        <v>0</v>
      </c>
      <c r="U36" s="1"/>
      <c r="V36" s="1">
        <v>1</v>
      </c>
      <c r="W36" s="27" t="s">
        <v>126</v>
      </c>
    </row>
    <row r="37" spans="1:23" s="34" customFormat="1" ht="71.400000000000006" customHeight="1" x14ac:dyDescent="0.35">
      <c r="A37" s="29">
        <v>27</v>
      </c>
      <c r="B37" s="30" t="s">
        <v>183</v>
      </c>
      <c r="C37" s="30" t="s">
        <v>184</v>
      </c>
      <c r="D37" s="29" t="s">
        <v>185</v>
      </c>
      <c r="E37" s="30" t="s">
        <v>9</v>
      </c>
      <c r="F37" s="30">
        <v>5</v>
      </c>
      <c r="G37" s="43" t="s">
        <v>110</v>
      </c>
      <c r="H37" s="48"/>
      <c r="I37" s="12">
        <f>'_2022_VB_bez izmaiņām'!S37</f>
        <v>21</v>
      </c>
      <c r="J37" s="12">
        <f>'_2022_VB_bez izmaiņām'!T37</f>
        <v>21</v>
      </c>
      <c r="K37" s="53">
        <f>ROUND('_2022_VB_bez izmaiņām'!K37*1.025,0)</f>
        <v>3</v>
      </c>
      <c r="L37" s="54">
        <f t="shared" si="21"/>
        <v>3</v>
      </c>
      <c r="M37" s="12">
        <f t="shared" si="22"/>
        <v>57</v>
      </c>
      <c r="N37" s="12">
        <f t="shared" si="23"/>
        <v>57</v>
      </c>
      <c r="O37" s="11">
        <v>26</v>
      </c>
      <c r="P37" s="54">
        <f t="shared" si="24"/>
        <v>26</v>
      </c>
      <c r="Q37" s="33">
        <f>'_2022_VB_bez izmaiņām'!Q37*1.025</f>
        <v>221.50326874999999</v>
      </c>
      <c r="R37" s="4">
        <f t="shared" si="27"/>
        <v>5759.0849874999994</v>
      </c>
      <c r="S37" s="15">
        <f t="shared" si="25"/>
        <v>31</v>
      </c>
      <c r="T37" s="15">
        <f t="shared" si="26"/>
        <v>31</v>
      </c>
      <c r="U37" s="19"/>
      <c r="V37" s="19">
        <v>1</v>
      </c>
      <c r="W37" s="26"/>
    </row>
    <row r="38" spans="1:23" ht="60.75" customHeight="1" x14ac:dyDescent="0.35">
      <c r="A38" s="31">
        <v>28</v>
      </c>
      <c r="B38" s="32" t="s">
        <v>168</v>
      </c>
      <c r="C38" s="32" t="s">
        <v>67</v>
      </c>
      <c r="D38" s="31" t="s">
        <v>68</v>
      </c>
      <c r="E38" s="32" t="s">
        <v>9</v>
      </c>
      <c r="F38" s="32">
        <v>3</v>
      </c>
      <c r="G38" s="42" t="s">
        <v>69</v>
      </c>
      <c r="H38" s="47"/>
      <c r="I38" s="12">
        <f>'_2022_VB_bez izmaiņām'!S38</f>
        <v>63</v>
      </c>
      <c r="J38" s="12">
        <f>'_2022_VB_bez izmaiņām'!T38</f>
        <v>63</v>
      </c>
      <c r="K38" s="53">
        <f>ROUND('_2022_VB_bez izmaiņām'!K38*1.025,0)</f>
        <v>15</v>
      </c>
      <c r="L38" s="54">
        <f t="shared" si="21"/>
        <v>15</v>
      </c>
      <c r="M38" s="12">
        <f t="shared" si="22"/>
        <v>243</v>
      </c>
      <c r="N38" s="12">
        <f t="shared" si="23"/>
        <v>243</v>
      </c>
      <c r="O38" s="11">
        <v>186</v>
      </c>
      <c r="P38" s="54">
        <f t="shared" si="24"/>
        <v>186</v>
      </c>
      <c r="Q38" s="33">
        <f>'_2022_VB_bez izmaiņām'!Q38*1.025</f>
        <v>397.07321249999995</v>
      </c>
      <c r="R38" s="4">
        <f t="shared" si="27"/>
        <v>73855.617524999994</v>
      </c>
      <c r="S38" s="15">
        <f t="shared" si="25"/>
        <v>57</v>
      </c>
      <c r="T38" s="15">
        <f t="shared" si="26"/>
        <v>57</v>
      </c>
      <c r="U38" s="1">
        <v>1</v>
      </c>
      <c r="V38" s="1"/>
    </row>
    <row r="39" spans="1:23" x14ac:dyDescent="0.35">
      <c r="A39" s="31">
        <v>29</v>
      </c>
      <c r="B39" s="32" t="s">
        <v>70</v>
      </c>
      <c r="C39" s="32" t="s">
        <v>121</v>
      </c>
      <c r="D39" s="31" t="s">
        <v>122</v>
      </c>
      <c r="E39" s="32" t="s">
        <v>9</v>
      </c>
      <c r="F39" s="32">
        <v>5</v>
      </c>
      <c r="G39" s="42" t="s">
        <v>47</v>
      </c>
      <c r="H39" s="47"/>
      <c r="I39" s="12">
        <f>'_2022_VB_bez izmaiņām'!S39</f>
        <v>3</v>
      </c>
      <c r="J39" s="12">
        <f>'_2022_VB_bez izmaiņām'!T39</f>
        <v>3</v>
      </c>
      <c r="K39" s="53">
        <f>ROUND('_2022_VB_bez izmaiņām'!K39*1.025,0)</f>
        <v>1</v>
      </c>
      <c r="L39" s="54">
        <f t="shared" si="21"/>
        <v>1</v>
      </c>
      <c r="M39" s="12">
        <f t="shared" si="22"/>
        <v>15</v>
      </c>
      <c r="N39" s="12">
        <f t="shared" si="23"/>
        <v>15</v>
      </c>
      <c r="O39" s="11">
        <v>6</v>
      </c>
      <c r="P39" s="54">
        <f t="shared" si="24"/>
        <v>6</v>
      </c>
      <c r="Q39" s="33">
        <f>'_2022_VB_bez izmaiņām'!Q39*1.025</f>
        <v>130.50863749999999</v>
      </c>
      <c r="R39" s="4">
        <f t="shared" si="27"/>
        <v>783.05182500000001</v>
      </c>
      <c r="S39" s="15">
        <f t="shared" si="25"/>
        <v>9</v>
      </c>
      <c r="T39" s="15">
        <f t="shared" si="26"/>
        <v>9</v>
      </c>
      <c r="U39" s="1">
        <v>1</v>
      </c>
      <c r="V39" s="1"/>
    </row>
    <row r="40" spans="1:23" ht="40.5" customHeight="1" x14ac:dyDescent="0.35">
      <c r="A40" s="31">
        <v>30</v>
      </c>
      <c r="B40" s="50" t="s">
        <v>71</v>
      </c>
      <c r="C40" s="50" t="s">
        <v>72</v>
      </c>
      <c r="D40" s="49" t="s">
        <v>73</v>
      </c>
      <c r="E40" s="50" t="s">
        <v>9</v>
      </c>
      <c r="F40" s="50">
        <v>5</v>
      </c>
      <c r="G40" s="51" t="s">
        <v>74</v>
      </c>
      <c r="H40" s="48"/>
      <c r="I40" s="12">
        <f>'_2022_VB_bez izmaiņām'!S40</f>
        <v>74</v>
      </c>
      <c r="J40" s="12">
        <f>'_2022_VB_bez izmaiņām'!T40</f>
        <v>74</v>
      </c>
      <c r="K40" s="53">
        <f>ROUND('_2022_VB_bez izmaiņām'!K40*1.025,0)</f>
        <v>22</v>
      </c>
      <c r="L40" s="54">
        <f t="shared" si="21"/>
        <v>22</v>
      </c>
      <c r="M40" s="12">
        <f t="shared" si="22"/>
        <v>338</v>
      </c>
      <c r="N40" s="12">
        <f t="shared" si="23"/>
        <v>338</v>
      </c>
      <c r="O40" s="11">
        <v>250</v>
      </c>
      <c r="P40" s="54">
        <f t="shared" si="24"/>
        <v>250</v>
      </c>
      <c r="Q40" s="33">
        <f>'_2022_VB_bez izmaiņām'!Q40*1.025</f>
        <v>395.37119999999993</v>
      </c>
      <c r="R40" s="4">
        <f t="shared" si="27"/>
        <v>98842.799999999988</v>
      </c>
      <c r="S40" s="15">
        <f t="shared" si="25"/>
        <v>88</v>
      </c>
      <c r="T40" s="15">
        <f t="shared" si="26"/>
        <v>88</v>
      </c>
      <c r="U40" s="19">
        <v>1</v>
      </c>
      <c r="V40" s="19"/>
      <c r="W40" s="26"/>
    </row>
    <row r="41" spans="1:23" ht="117" customHeight="1" x14ac:dyDescent="0.35">
      <c r="A41" s="50">
        <v>31</v>
      </c>
      <c r="B41" s="50" t="s">
        <v>71</v>
      </c>
      <c r="C41" s="50" t="s">
        <v>72</v>
      </c>
      <c r="D41" s="49" t="s">
        <v>75</v>
      </c>
      <c r="E41" s="50" t="s">
        <v>9</v>
      </c>
      <c r="F41" s="50">
        <v>5</v>
      </c>
      <c r="G41" s="51" t="s">
        <v>76</v>
      </c>
      <c r="H41" s="48"/>
      <c r="I41" s="12">
        <f>'_2022_VB_bez izmaiņām'!S41</f>
        <v>27</v>
      </c>
      <c r="J41" s="12">
        <f>'_2022_VB_bez izmaiņām'!T41</f>
        <v>27</v>
      </c>
      <c r="K41" s="53">
        <f>ROUND('_2022_VB_bez izmaiņām'!K41*1.025,0)</f>
        <v>1</v>
      </c>
      <c r="L41" s="54">
        <f t="shared" si="21"/>
        <v>1</v>
      </c>
      <c r="M41" s="12">
        <f t="shared" si="22"/>
        <v>39</v>
      </c>
      <c r="N41" s="12">
        <f t="shared" si="23"/>
        <v>39</v>
      </c>
      <c r="O41" s="11">
        <v>2</v>
      </c>
      <c r="P41" s="54">
        <f t="shared" si="24"/>
        <v>2</v>
      </c>
      <c r="Q41" s="33">
        <f>'_2022_VB_bez izmaiņām'!Q41*1.025</f>
        <v>365.53344999999996</v>
      </c>
      <c r="R41" s="4">
        <f t="shared" si="27"/>
        <v>731.06689999999992</v>
      </c>
      <c r="S41" s="15">
        <f t="shared" si="25"/>
        <v>37</v>
      </c>
      <c r="T41" s="15">
        <f t="shared" si="26"/>
        <v>37</v>
      </c>
      <c r="U41" s="19">
        <v>1</v>
      </c>
      <c r="V41" s="19"/>
      <c r="W41" s="26"/>
    </row>
    <row r="42" spans="1:23" ht="42.75" customHeight="1" x14ac:dyDescent="0.35">
      <c r="A42" s="31">
        <v>32</v>
      </c>
      <c r="B42" s="32" t="s">
        <v>77</v>
      </c>
      <c r="C42" s="32" t="s">
        <v>78</v>
      </c>
      <c r="D42" s="31" t="s">
        <v>99</v>
      </c>
      <c r="E42" s="32" t="s">
        <v>9</v>
      </c>
      <c r="F42" s="32">
        <v>2</v>
      </c>
      <c r="G42" s="42" t="s">
        <v>10</v>
      </c>
      <c r="H42" s="47"/>
      <c r="I42" s="12">
        <f>'_2022_VB_bez izmaiņām'!S42</f>
        <v>136</v>
      </c>
      <c r="J42" s="12">
        <f>'_2022_VB_bez izmaiņām'!T42</f>
        <v>136</v>
      </c>
      <c r="K42" s="53">
        <f>ROUND('_2022_VB_bez izmaiņām'!K42*1.025,0)</f>
        <v>36</v>
      </c>
      <c r="L42" s="54">
        <f t="shared" si="21"/>
        <v>36</v>
      </c>
      <c r="M42" s="12">
        <f t="shared" si="22"/>
        <v>568</v>
      </c>
      <c r="N42" s="12">
        <f t="shared" si="23"/>
        <v>568</v>
      </c>
      <c r="O42" s="11">
        <v>320</v>
      </c>
      <c r="P42" s="54">
        <f t="shared" si="24"/>
        <v>320</v>
      </c>
      <c r="Q42" s="33">
        <f>'_2022_VB_bez izmaiņām'!Q42*1.025</f>
        <v>75.928668749999986</v>
      </c>
      <c r="R42" s="4">
        <f t="shared" si="27"/>
        <v>24297.173999999995</v>
      </c>
      <c r="S42" s="15">
        <f t="shared" si="25"/>
        <v>248</v>
      </c>
      <c r="T42" s="15">
        <f t="shared" si="26"/>
        <v>248</v>
      </c>
      <c r="U42" s="1"/>
      <c r="V42" s="1">
        <v>1</v>
      </c>
      <c r="W42" s="27" t="s">
        <v>111</v>
      </c>
    </row>
    <row r="43" spans="1:23" ht="20.25" customHeight="1" x14ac:dyDescent="0.35">
      <c r="A43" s="31">
        <v>33</v>
      </c>
      <c r="B43" s="32" t="s">
        <v>142</v>
      </c>
      <c r="C43" s="32" t="s">
        <v>79</v>
      </c>
      <c r="D43" s="31" t="s">
        <v>80</v>
      </c>
      <c r="E43" s="32" t="s">
        <v>9</v>
      </c>
      <c r="F43" s="32">
        <v>5</v>
      </c>
      <c r="G43" s="42" t="s">
        <v>110</v>
      </c>
      <c r="H43" s="47"/>
      <c r="I43" s="12">
        <f>'_2022_VB_bez izmaiņām'!S43</f>
        <v>0</v>
      </c>
      <c r="J43" s="12">
        <f>'_2022_VB_bez izmaiņām'!T43</f>
        <v>0</v>
      </c>
      <c r="K43" s="53">
        <f>ROUND('_2022_VB_bez izmaiņām'!K43*1.025,0)</f>
        <v>0</v>
      </c>
      <c r="L43" s="54">
        <f t="shared" si="21"/>
        <v>0</v>
      </c>
      <c r="M43" s="12">
        <f t="shared" si="22"/>
        <v>0</v>
      </c>
      <c r="N43" s="12">
        <f t="shared" si="23"/>
        <v>0</v>
      </c>
      <c r="O43" s="104">
        <v>0</v>
      </c>
      <c r="P43" s="54">
        <f t="shared" si="24"/>
        <v>0</v>
      </c>
      <c r="Q43" s="33">
        <f>'_2022_VB_bez izmaiņām'!Q43*1.025</f>
        <v>0</v>
      </c>
      <c r="R43" s="4">
        <f t="shared" si="27"/>
        <v>0</v>
      </c>
      <c r="S43" s="15">
        <f t="shared" si="25"/>
        <v>0</v>
      </c>
      <c r="T43" s="15">
        <f t="shared" si="26"/>
        <v>0</v>
      </c>
      <c r="U43" s="1"/>
      <c r="V43" s="1">
        <v>1</v>
      </c>
      <c r="W43" s="27" t="s">
        <v>126</v>
      </c>
    </row>
    <row r="44" spans="1:23" ht="22.5" customHeight="1" x14ac:dyDescent="0.35">
      <c r="A44" s="31">
        <v>34</v>
      </c>
      <c r="B44" s="32" t="s">
        <v>6</v>
      </c>
      <c r="C44" s="32" t="s">
        <v>81</v>
      </c>
      <c r="D44" s="31" t="s">
        <v>82</v>
      </c>
      <c r="E44" s="32" t="s">
        <v>9</v>
      </c>
      <c r="F44" s="32">
        <v>7</v>
      </c>
      <c r="G44" s="42" t="s">
        <v>112</v>
      </c>
      <c r="H44" s="47"/>
      <c r="I44" s="12">
        <f>'_2022_VB_bez izmaiņām'!S44</f>
        <v>0</v>
      </c>
      <c r="J44" s="12">
        <f>'_2022_VB_bez izmaiņām'!T44</f>
        <v>0</v>
      </c>
      <c r="K44" s="53">
        <f>ROUND('_2022_VB_bez izmaiņām'!K44*1.025,0)</f>
        <v>0</v>
      </c>
      <c r="L44" s="54">
        <f t="shared" si="21"/>
        <v>0</v>
      </c>
      <c r="M44" s="12">
        <f t="shared" si="22"/>
        <v>0</v>
      </c>
      <c r="N44" s="12">
        <f t="shared" si="23"/>
        <v>0</v>
      </c>
      <c r="O44" s="104">
        <v>0</v>
      </c>
      <c r="P44" s="54">
        <f t="shared" si="24"/>
        <v>0</v>
      </c>
      <c r="Q44" s="33">
        <f>'_2022_VB_bez izmaiņām'!Q44*1.025</f>
        <v>0</v>
      </c>
      <c r="R44" s="4">
        <f t="shared" si="27"/>
        <v>0</v>
      </c>
      <c r="S44" s="15">
        <f t="shared" si="25"/>
        <v>0</v>
      </c>
      <c r="T44" s="15">
        <f t="shared" si="26"/>
        <v>0</v>
      </c>
      <c r="U44" s="1"/>
      <c r="V44" s="1">
        <v>1</v>
      </c>
      <c r="W44" s="27" t="s">
        <v>126</v>
      </c>
    </row>
    <row r="45" spans="1:23" ht="30" customHeight="1" x14ac:dyDescent="0.35">
      <c r="A45" s="50">
        <v>35</v>
      </c>
      <c r="B45" s="32" t="s">
        <v>77</v>
      </c>
      <c r="C45" s="32" t="s">
        <v>78</v>
      </c>
      <c r="D45" s="31" t="s">
        <v>83</v>
      </c>
      <c r="E45" s="32" t="s">
        <v>9</v>
      </c>
      <c r="F45" s="32">
        <v>5</v>
      </c>
      <c r="G45" s="42" t="s">
        <v>74</v>
      </c>
      <c r="H45" s="47"/>
      <c r="I45" s="12">
        <f>'_2022_VB_bez izmaiņām'!S45</f>
        <v>13</v>
      </c>
      <c r="J45" s="12">
        <f>'_2022_VB_bez izmaiņām'!T45</f>
        <v>13</v>
      </c>
      <c r="K45" s="53">
        <f>ROUND('_2022_VB_bez izmaiņām'!K45*1.025,0)</f>
        <v>15</v>
      </c>
      <c r="L45" s="54">
        <f t="shared" si="21"/>
        <v>15</v>
      </c>
      <c r="M45" s="12">
        <f t="shared" si="22"/>
        <v>193</v>
      </c>
      <c r="N45" s="12">
        <f t="shared" si="23"/>
        <v>193</v>
      </c>
      <c r="O45" s="11">
        <v>190</v>
      </c>
      <c r="P45" s="54">
        <f t="shared" si="24"/>
        <v>190</v>
      </c>
      <c r="Q45" s="33">
        <f>'_2022_VB_bez izmaiņām'!Q45*1.025</f>
        <v>62.522693749999981</v>
      </c>
      <c r="R45" s="4">
        <f t="shared" si="27"/>
        <v>11879.311812499996</v>
      </c>
      <c r="S45" s="15">
        <f t="shared" si="25"/>
        <v>3</v>
      </c>
      <c r="T45" s="15">
        <f t="shared" si="26"/>
        <v>3</v>
      </c>
      <c r="U45" s="1">
        <v>1</v>
      </c>
      <c r="V45" s="1"/>
    </row>
    <row r="46" spans="1:23" ht="30" customHeight="1" x14ac:dyDescent="0.35">
      <c r="A46" s="31">
        <v>36</v>
      </c>
      <c r="B46" s="32" t="s">
        <v>169</v>
      </c>
      <c r="C46" s="32" t="s">
        <v>170</v>
      </c>
      <c r="D46" s="31" t="s">
        <v>171</v>
      </c>
      <c r="E46" s="32" t="s">
        <v>9</v>
      </c>
      <c r="F46" s="32">
        <v>5</v>
      </c>
      <c r="G46" s="42" t="s">
        <v>172</v>
      </c>
      <c r="H46" s="47"/>
      <c r="I46" s="12">
        <f>'_2022_VB_bez izmaiņām'!S46</f>
        <v>0</v>
      </c>
      <c r="J46" s="12">
        <f>'_2022_VB_bez izmaiņām'!T46</f>
        <v>0</v>
      </c>
      <c r="K46" s="53">
        <f>ROUND('_2022_VB_bez izmaiņām'!K46*1.025,0)</f>
        <v>0</v>
      </c>
      <c r="L46" s="54">
        <f t="shared" si="21"/>
        <v>0</v>
      </c>
      <c r="M46" s="12">
        <f t="shared" si="22"/>
        <v>0</v>
      </c>
      <c r="N46" s="12">
        <f t="shared" si="23"/>
        <v>0</v>
      </c>
      <c r="O46" s="104">
        <v>0</v>
      </c>
      <c r="P46" s="54">
        <f t="shared" si="24"/>
        <v>0</v>
      </c>
      <c r="Q46" s="33">
        <f>'_2022_VB_bez izmaiņām'!Q46*1.025</f>
        <v>0</v>
      </c>
      <c r="R46" s="4">
        <f t="shared" si="27"/>
        <v>0</v>
      </c>
      <c r="S46" s="15">
        <f t="shared" si="25"/>
        <v>0</v>
      </c>
      <c r="T46" s="15">
        <f t="shared" si="26"/>
        <v>0</v>
      </c>
      <c r="U46" s="1">
        <v>1</v>
      </c>
      <c r="V46" s="1"/>
      <c r="W46" s="27" t="s">
        <v>126</v>
      </c>
    </row>
    <row r="47" spans="1:23" ht="63.75" customHeight="1" x14ac:dyDescent="0.35">
      <c r="A47" s="31">
        <v>37</v>
      </c>
      <c r="B47" s="32" t="s">
        <v>84</v>
      </c>
      <c r="C47" s="32" t="s">
        <v>79</v>
      </c>
      <c r="D47" s="31" t="s">
        <v>85</v>
      </c>
      <c r="E47" s="32" t="s">
        <v>9</v>
      </c>
      <c r="F47" s="32">
        <v>5</v>
      </c>
      <c r="G47" s="42" t="s">
        <v>86</v>
      </c>
      <c r="H47" s="47"/>
      <c r="I47" s="12">
        <f>'_2022_VB_bez izmaiņām'!S47</f>
        <v>0</v>
      </c>
      <c r="J47" s="12">
        <f>'_2022_VB_bez izmaiņām'!T47</f>
        <v>0</v>
      </c>
      <c r="K47" s="53">
        <f>ROUND('_2022_VB_bez izmaiņām'!K47*1.025,0)</f>
        <v>6</v>
      </c>
      <c r="L47" s="54">
        <f t="shared" si="21"/>
        <v>6</v>
      </c>
      <c r="M47" s="12">
        <f t="shared" si="22"/>
        <v>72</v>
      </c>
      <c r="N47" s="12">
        <f t="shared" si="23"/>
        <v>72</v>
      </c>
      <c r="O47" s="11">
        <v>70</v>
      </c>
      <c r="P47" s="54">
        <f t="shared" si="24"/>
        <v>70</v>
      </c>
      <c r="Q47" s="33">
        <f>'_2022_VB_bez izmaiņām'!Q47*1.025</f>
        <v>162.72079999999997</v>
      </c>
      <c r="R47" s="4">
        <f t="shared" si="27"/>
        <v>11390.455999999998</v>
      </c>
      <c r="S47" s="15">
        <f t="shared" si="25"/>
        <v>2</v>
      </c>
      <c r="T47" s="15">
        <f t="shared" si="26"/>
        <v>2</v>
      </c>
      <c r="U47" s="1"/>
      <c r="V47" s="1">
        <v>1</v>
      </c>
    </row>
    <row r="48" spans="1:23" ht="53.25" customHeight="1" x14ac:dyDescent="0.35">
      <c r="A48" s="31">
        <v>38</v>
      </c>
      <c r="B48" s="50" t="s">
        <v>87</v>
      </c>
      <c r="C48" s="50" t="s">
        <v>88</v>
      </c>
      <c r="D48" s="49" t="s">
        <v>89</v>
      </c>
      <c r="E48" s="50" t="s">
        <v>9</v>
      </c>
      <c r="F48" s="50">
        <v>5</v>
      </c>
      <c r="G48" s="51" t="s">
        <v>10</v>
      </c>
      <c r="H48" s="48"/>
      <c r="I48" s="12">
        <f>'_2022_VB_bez izmaiņām'!S48</f>
        <v>41</v>
      </c>
      <c r="J48" s="12">
        <f>'_2022_VB_bez izmaiņām'!T48</f>
        <v>41</v>
      </c>
      <c r="K48" s="53">
        <f>ROUND('_2022_VB_bez izmaiņām'!K48*1.025,0)</f>
        <v>3</v>
      </c>
      <c r="L48" s="54">
        <f t="shared" si="21"/>
        <v>3</v>
      </c>
      <c r="M48" s="12">
        <f t="shared" si="22"/>
        <v>77</v>
      </c>
      <c r="N48" s="12">
        <f t="shared" si="23"/>
        <v>77</v>
      </c>
      <c r="O48" s="11">
        <v>10</v>
      </c>
      <c r="P48" s="54">
        <f t="shared" si="24"/>
        <v>10</v>
      </c>
      <c r="Q48" s="33">
        <f>'_2022_VB_bez izmaiņām'!Q48*1.025</f>
        <v>1333.5478062499997</v>
      </c>
      <c r="R48" s="4">
        <f t="shared" si="27"/>
        <v>13335.478062499997</v>
      </c>
      <c r="S48" s="15">
        <f t="shared" si="25"/>
        <v>67</v>
      </c>
      <c r="T48" s="15">
        <f t="shared" si="26"/>
        <v>67</v>
      </c>
      <c r="U48" s="1"/>
      <c r="V48" s="1">
        <v>1</v>
      </c>
    </row>
    <row r="49" spans="1:24" x14ac:dyDescent="0.35">
      <c r="A49" s="50">
        <v>39</v>
      </c>
      <c r="B49" s="32" t="s">
        <v>87</v>
      </c>
      <c r="C49" s="32" t="s">
        <v>90</v>
      </c>
      <c r="D49" s="31" t="s">
        <v>113</v>
      </c>
      <c r="E49" s="32" t="s">
        <v>9</v>
      </c>
      <c r="F49" s="32">
        <v>5</v>
      </c>
      <c r="G49" s="42" t="s">
        <v>10</v>
      </c>
      <c r="H49" s="47"/>
      <c r="I49" s="12">
        <f>'_2022_VB_bez izmaiņām'!S49</f>
        <v>0</v>
      </c>
      <c r="J49" s="12">
        <f>'_2022_VB_bez izmaiņām'!T49</f>
        <v>0</v>
      </c>
      <c r="K49" s="53">
        <f>ROUND('_2022_VB_bez izmaiņām'!K49*1.025,0)</f>
        <v>0</v>
      </c>
      <c r="L49" s="54">
        <f t="shared" si="21"/>
        <v>0</v>
      </c>
      <c r="M49" s="12">
        <f t="shared" si="22"/>
        <v>0</v>
      </c>
      <c r="N49" s="12">
        <f t="shared" si="23"/>
        <v>0</v>
      </c>
      <c r="O49" s="104">
        <v>0</v>
      </c>
      <c r="P49" s="54">
        <f t="shared" si="24"/>
        <v>0</v>
      </c>
      <c r="Q49" s="33">
        <f>'_2022_VB_bez izmaiņām'!Q49*1.025</f>
        <v>210.12499999999994</v>
      </c>
      <c r="R49" s="4">
        <f t="shared" si="27"/>
        <v>0</v>
      </c>
      <c r="S49" s="15">
        <f t="shared" si="25"/>
        <v>0</v>
      </c>
      <c r="T49" s="15">
        <f t="shared" si="26"/>
        <v>0</v>
      </c>
      <c r="U49" s="1"/>
      <c r="V49" s="1">
        <v>1</v>
      </c>
      <c r="W49" s="27" t="s">
        <v>109</v>
      </c>
    </row>
    <row r="50" spans="1:24" ht="20.25" customHeight="1" x14ac:dyDescent="0.35">
      <c r="A50" s="39"/>
      <c r="B50" s="40"/>
      <c r="C50" s="41">
        <v>27</v>
      </c>
      <c r="D50" s="188" t="s">
        <v>91</v>
      </c>
      <c r="E50" s="188"/>
      <c r="F50" s="188"/>
      <c r="G50" s="188"/>
      <c r="H50" s="63"/>
      <c r="I50" s="9">
        <f>I51+I52</f>
        <v>11</v>
      </c>
      <c r="J50" s="9">
        <f t="shared" ref="J50:P50" si="28">J51+J52</f>
        <v>11</v>
      </c>
      <c r="K50" s="9">
        <f t="shared" si="28"/>
        <v>10</v>
      </c>
      <c r="L50" s="9">
        <f t="shared" si="28"/>
        <v>10</v>
      </c>
      <c r="M50" s="9">
        <f t="shared" si="28"/>
        <v>131</v>
      </c>
      <c r="N50" s="9">
        <f t="shared" si="28"/>
        <v>131</v>
      </c>
      <c r="O50" s="9">
        <f t="shared" si="28"/>
        <v>115</v>
      </c>
      <c r="P50" s="9">
        <f t="shared" si="28"/>
        <v>115</v>
      </c>
      <c r="Q50" s="52" t="s">
        <v>119</v>
      </c>
      <c r="R50" s="3">
        <f t="shared" ref="R50" si="29">R51+R52</f>
        <v>7524.5657437499995</v>
      </c>
      <c r="S50" s="9">
        <f>S51+S52</f>
        <v>16</v>
      </c>
      <c r="T50" s="9">
        <f>T51+T52</f>
        <v>16</v>
      </c>
      <c r="U50" s="7"/>
      <c r="V50" s="7">
        <v>1</v>
      </c>
    </row>
    <row r="51" spans="1:24" ht="28" x14ac:dyDescent="0.35">
      <c r="A51" s="31">
        <v>40</v>
      </c>
      <c r="B51" s="32" t="s">
        <v>6</v>
      </c>
      <c r="C51" s="32" t="s">
        <v>92</v>
      </c>
      <c r="D51" s="31" t="s">
        <v>93</v>
      </c>
      <c r="E51" s="32" t="s">
        <v>9</v>
      </c>
      <c r="F51" s="32">
        <v>3</v>
      </c>
      <c r="G51" s="42" t="s">
        <v>10</v>
      </c>
      <c r="H51" s="47"/>
      <c r="I51" s="12">
        <f>'_2022_VB_bez izmaiņām'!S51</f>
        <v>0</v>
      </c>
      <c r="J51" s="12">
        <f>'_2022_VB_bez izmaiņām'!T51</f>
        <v>0</v>
      </c>
      <c r="K51" s="53">
        <f>ROUND('_2022_VB_bez izmaiņām'!K51*1.025,0)</f>
        <v>8</v>
      </c>
      <c r="L51" s="54">
        <f t="shared" ref="L51:L52" si="30">IF(I51=0,K51,K51*(J51/I51))</f>
        <v>8</v>
      </c>
      <c r="M51" s="12">
        <f t="shared" ref="M51:M52" si="31">I51+(K51*12)</f>
        <v>96</v>
      </c>
      <c r="N51" s="12">
        <f t="shared" ref="N51:N52" si="32">J51+(L51*12)</f>
        <v>96</v>
      </c>
      <c r="O51" s="11">
        <v>96</v>
      </c>
      <c r="P51" s="54">
        <f t="shared" ref="P51:P52" si="33">IF(I51=0,O51,O51*(J51/I51))</f>
        <v>96</v>
      </c>
      <c r="Q51" s="33">
        <f>'_2022_VB_bez izmaiņām'!Q51*1.025</f>
        <v>36.866431249999998</v>
      </c>
      <c r="R51" s="4">
        <f t="shared" ref="R51:R52" si="34">Q51*P51</f>
        <v>3539.1773999999996</v>
      </c>
      <c r="S51" s="15">
        <f t="shared" ref="S51:S52" si="35">M51-O51</f>
        <v>0</v>
      </c>
      <c r="T51" s="15">
        <f t="shared" ref="T51:T52" si="36">N51-P51</f>
        <v>0</v>
      </c>
      <c r="U51" s="1"/>
      <c r="V51" s="1">
        <v>1</v>
      </c>
    </row>
    <row r="52" spans="1:24" x14ac:dyDescent="0.35">
      <c r="A52" s="31">
        <v>41</v>
      </c>
      <c r="B52" s="32" t="s">
        <v>6</v>
      </c>
      <c r="C52" s="32" t="s">
        <v>94</v>
      </c>
      <c r="D52" s="31" t="s">
        <v>95</v>
      </c>
      <c r="E52" s="32" t="s">
        <v>9</v>
      </c>
      <c r="F52" s="32">
        <v>5</v>
      </c>
      <c r="G52" s="42" t="s">
        <v>10</v>
      </c>
      <c r="H52" s="47"/>
      <c r="I52" s="12">
        <f>'_2022_VB_bez izmaiņām'!S52</f>
        <v>11</v>
      </c>
      <c r="J52" s="12">
        <f>'_2022_VB_bez izmaiņām'!T52</f>
        <v>11</v>
      </c>
      <c r="K52" s="53">
        <f>ROUND('_2022_VB_bez izmaiņām'!K52*1.025,0)</f>
        <v>2</v>
      </c>
      <c r="L52" s="54">
        <f t="shared" si="30"/>
        <v>2</v>
      </c>
      <c r="M52" s="12">
        <f t="shared" si="31"/>
        <v>35</v>
      </c>
      <c r="N52" s="12">
        <f t="shared" si="32"/>
        <v>35</v>
      </c>
      <c r="O52" s="11">
        <v>19</v>
      </c>
      <c r="P52" s="54">
        <f t="shared" si="33"/>
        <v>19</v>
      </c>
      <c r="Q52" s="33">
        <f>'_2022_VB_bez izmaiņām'!Q52*1.025</f>
        <v>209.75728124999998</v>
      </c>
      <c r="R52" s="4">
        <f t="shared" si="34"/>
        <v>3985.3883437499994</v>
      </c>
      <c r="S52" s="15">
        <f t="shared" si="35"/>
        <v>16</v>
      </c>
      <c r="T52" s="15">
        <f t="shared" si="36"/>
        <v>16</v>
      </c>
      <c r="U52" s="1"/>
      <c r="V52" s="1">
        <v>1</v>
      </c>
    </row>
    <row r="53" spans="1:24" x14ac:dyDescent="0.35">
      <c r="I53" s="106">
        <f>ROUND(I8+I13+I15+I18+I21+I50,0)</f>
        <v>7301</v>
      </c>
      <c r="J53" s="17">
        <f>ROUND(J8+J13+J15+J18+J21+J50,0)</f>
        <v>11112</v>
      </c>
      <c r="K53" s="17">
        <f t="shared" ref="K53:P53" si="37">ROUND(K8+K13+K15+K18+K21+K50,0)</f>
        <v>677</v>
      </c>
      <c r="L53" s="17">
        <f t="shared" si="37"/>
        <v>879</v>
      </c>
      <c r="M53" s="17">
        <f t="shared" si="37"/>
        <v>15425</v>
      </c>
      <c r="N53" s="17">
        <f t="shared" si="37"/>
        <v>21664</v>
      </c>
      <c r="O53" s="106">
        <f>ROUND(O8+O13+O15+O18+O21+O50,0)</f>
        <v>6076</v>
      </c>
      <c r="P53" s="17">
        <f t="shared" si="37"/>
        <v>7548</v>
      </c>
      <c r="Q53" s="21" t="s">
        <v>119</v>
      </c>
      <c r="R53" s="17">
        <f>ROUND(R8+R13+R15+R18+R21+R50,0)</f>
        <v>1844850</v>
      </c>
      <c r="S53" s="106">
        <f>ROUND(S8+S13+S15+S18+S21+S50,0)</f>
        <v>9349</v>
      </c>
      <c r="T53" s="17">
        <f t="shared" ref="T53" si="38">ROUND(T8+T13+T15+T18+T21+T50,0)</f>
        <v>14116</v>
      </c>
      <c r="X53" s="57"/>
    </row>
    <row r="54" spans="1:24" x14ac:dyDescent="0.35">
      <c r="I54" s="18">
        <f>ROUND(I27+I28+I29+I30+I38+I39+I40+I41+I45+I46,0)</f>
        <v>6580</v>
      </c>
      <c r="J54" s="18">
        <f t="shared" ref="J54:T54" si="39">ROUND(J27+J28+J29+J30+J38+J39+J40+J41+J45+J46,0)</f>
        <v>10391</v>
      </c>
      <c r="K54" s="18">
        <f t="shared" si="39"/>
        <v>392</v>
      </c>
      <c r="L54" s="18">
        <f t="shared" si="39"/>
        <v>594</v>
      </c>
      <c r="M54" s="18">
        <f t="shared" si="39"/>
        <v>11284</v>
      </c>
      <c r="N54" s="18">
        <f t="shared" si="39"/>
        <v>17523</v>
      </c>
      <c r="O54" s="18">
        <f t="shared" si="39"/>
        <v>3021</v>
      </c>
      <c r="P54" s="18">
        <f t="shared" si="39"/>
        <v>4493</v>
      </c>
      <c r="Q54" s="18"/>
      <c r="R54" s="18">
        <f t="shared" si="39"/>
        <v>1166981</v>
      </c>
      <c r="S54" s="18">
        <f t="shared" si="39"/>
        <v>8263</v>
      </c>
      <c r="T54" s="18">
        <f t="shared" si="39"/>
        <v>13030</v>
      </c>
    </row>
    <row r="55" spans="1:24" x14ac:dyDescent="0.35">
      <c r="P55" s="184" t="s">
        <v>231</v>
      </c>
      <c r="Q55" s="185" t="s">
        <v>130</v>
      </c>
      <c r="R55" s="18">
        <v>1166981</v>
      </c>
    </row>
    <row r="56" spans="1:24" x14ac:dyDescent="0.35">
      <c r="P56" s="184" t="s">
        <v>131</v>
      </c>
      <c r="Q56" s="185" t="s">
        <v>131</v>
      </c>
      <c r="R56" s="18">
        <f>R54-R55</f>
        <v>0</v>
      </c>
    </row>
    <row r="58" spans="1:24" x14ac:dyDescent="0.35">
      <c r="I58" s="18">
        <f>ROUND(I9+I10+I11+I12+I14+I16+I17+I19+I20+I22+I23+I24+I25+I26+I31+I32+I33+I34+I35+I36+I42+I43+I44+I47+I49+I51+I52+I48+I37,0)</f>
        <v>721</v>
      </c>
      <c r="J58" s="18">
        <f t="shared" ref="J58:P58" si="40">ROUND(J9+J10+J11+J12+J14+J16+J17+J19+J20+J22+J23+J24+J25+J26+J31+J32+J33+J34+J35+J36+J42+J43+J44+J47+J49+J51+J52+J48+J37,0)</f>
        <v>721</v>
      </c>
      <c r="K58" s="18">
        <f t="shared" si="40"/>
        <v>285</v>
      </c>
      <c r="L58" s="18">
        <f t="shared" si="40"/>
        <v>285</v>
      </c>
      <c r="M58" s="18">
        <f t="shared" si="40"/>
        <v>4141</v>
      </c>
      <c r="N58" s="18">
        <f t="shared" si="40"/>
        <v>4141</v>
      </c>
      <c r="O58" s="18">
        <f t="shared" si="40"/>
        <v>3055</v>
      </c>
      <c r="P58" s="18">
        <f t="shared" si="40"/>
        <v>3055</v>
      </c>
      <c r="Q58" s="18"/>
      <c r="R58" s="18">
        <f>ROUND(R9+R10+R11+R12+R14+R16+R17+R19+R20+R22+R23+R24+R25+R26+R31+R32+R33+R34+R35+R36+R42+R43+R44+R47+R49+R51+R52+R48+R37,0)</f>
        <v>677869</v>
      </c>
      <c r="S58" s="18">
        <f t="shared" ref="S58:T58" si="41">ROUND(S9+S10+S11+S12+S14+S16+S17+S19+S20+S22+S23+S24+S25+S26+S31+S32+S33+S34+S35+S36+S42+S43+S44+S47+S49+S51+S52+S48+S37,0)</f>
        <v>1086</v>
      </c>
      <c r="T58" s="18">
        <f t="shared" si="41"/>
        <v>1086</v>
      </c>
      <c r="U58" s="18"/>
      <c r="V58" s="18"/>
      <c r="W58" s="18"/>
    </row>
    <row r="59" spans="1:24" x14ac:dyDescent="0.35">
      <c r="P59" s="184" t="s">
        <v>232</v>
      </c>
      <c r="Q59" s="185" t="s">
        <v>130</v>
      </c>
      <c r="R59" s="18">
        <v>677869</v>
      </c>
    </row>
    <row r="60" spans="1:24" x14ac:dyDescent="0.35">
      <c r="P60" s="184" t="s">
        <v>132</v>
      </c>
      <c r="Q60" s="185" t="s">
        <v>131</v>
      </c>
      <c r="R60" s="18">
        <f>R58-R59</f>
        <v>0</v>
      </c>
    </row>
    <row r="62" spans="1:24" x14ac:dyDescent="0.35">
      <c r="Q62" s="65" t="s">
        <v>233</v>
      </c>
      <c r="R62" s="18">
        <f>R55+R59</f>
        <v>1844850</v>
      </c>
    </row>
    <row r="63" spans="1:24" ht="18" x14ac:dyDescent="0.35">
      <c r="O63" s="66"/>
      <c r="P63" s="66"/>
      <c r="Q63" s="67" t="s">
        <v>244</v>
      </c>
      <c r="R63" s="77">
        <f>R53-R62</f>
        <v>0</v>
      </c>
    </row>
    <row r="64" spans="1:24" x14ac:dyDescent="0.35">
      <c r="R64" s="18">
        <f>R53-R55-R59-R60-R56</f>
        <v>0</v>
      </c>
    </row>
    <row r="65" spans="9:20" x14ac:dyDescent="0.35">
      <c r="I65" s="18">
        <f>I53-I54-I58</f>
        <v>0</v>
      </c>
      <c r="J65" s="18">
        <f t="shared" ref="J65:P65" si="42">J53-J54-J58</f>
        <v>0</v>
      </c>
      <c r="K65" s="18">
        <f t="shared" si="42"/>
        <v>0</v>
      </c>
      <c r="L65" s="18">
        <f t="shared" si="42"/>
        <v>0</v>
      </c>
      <c r="M65" s="18">
        <f t="shared" si="42"/>
        <v>0</v>
      </c>
      <c r="N65" s="18">
        <f t="shared" si="42"/>
        <v>0</v>
      </c>
      <c r="O65" s="18">
        <f t="shared" si="42"/>
        <v>0</v>
      </c>
      <c r="P65" s="18">
        <f t="shared" si="42"/>
        <v>0</v>
      </c>
      <c r="Q65" s="18"/>
      <c r="R65" s="18">
        <f>R53-R54-R58</f>
        <v>0</v>
      </c>
      <c r="S65" s="18">
        <f>S53-S54-S58</f>
        <v>0</v>
      </c>
      <c r="T65" s="18">
        <f>T53-T54-T58</f>
        <v>0</v>
      </c>
    </row>
    <row r="67" spans="9:20" x14ac:dyDescent="0.35">
      <c r="I67" s="18">
        <f>ROUND(I54,0)+ ROUND(I58,0)-ROUND(I53,0)</f>
        <v>0</v>
      </c>
      <c r="J67" s="18">
        <f t="shared" ref="J67:T67" si="43">ROUND(J54,0)+ ROUND(J58,0)-ROUND(J53,0)</f>
        <v>0</v>
      </c>
      <c r="K67" s="18">
        <f t="shared" si="43"/>
        <v>0</v>
      </c>
      <c r="L67" s="18">
        <f t="shared" si="43"/>
        <v>0</v>
      </c>
      <c r="M67" s="18">
        <f t="shared" si="43"/>
        <v>0</v>
      </c>
      <c r="N67" s="18">
        <f t="shared" si="43"/>
        <v>0</v>
      </c>
      <c r="O67" s="18">
        <f t="shared" si="43"/>
        <v>0</v>
      </c>
      <c r="P67" s="18">
        <f t="shared" si="43"/>
        <v>0</v>
      </c>
      <c r="Q67" s="18"/>
      <c r="R67" s="18">
        <f t="shared" si="43"/>
        <v>0</v>
      </c>
      <c r="S67" s="18">
        <f t="shared" si="43"/>
        <v>0</v>
      </c>
      <c r="T67" s="18">
        <f t="shared" si="43"/>
        <v>0</v>
      </c>
    </row>
    <row r="68" spans="9:20" x14ac:dyDescent="0.35">
      <c r="I68" s="75"/>
      <c r="J68" s="75"/>
      <c r="K68" s="75"/>
      <c r="O68" s="75"/>
      <c r="Q68" s="76"/>
      <c r="R68" s="18">
        <f>ROUND(R55,0)+ROUND(R56,0)-ROUND(R54,0)</f>
        <v>0</v>
      </c>
    </row>
    <row r="69" spans="9:20" x14ac:dyDescent="0.35">
      <c r="I69" s="75"/>
      <c r="J69" s="75"/>
      <c r="K69" s="75"/>
      <c r="O69" s="75"/>
      <c r="Q69" s="76"/>
      <c r="R69" s="18">
        <f>ROUND(R59,0)+ROUND(R60,0)-ROUND(R58,0)</f>
        <v>0</v>
      </c>
    </row>
    <row r="70" spans="9:20" x14ac:dyDescent="0.35">
      <c r="I70" s="75"/>
      <c r="J70" s="75"/>
      <c r="K70" s="75"/>
      <c r="O70" s="75"/>
      <c r="Q70" s="76"/>
      <c r="R70" s="18">
        <f>ROUND(R56,0)+ROUND(R60,0)-ROUND(R63,0)</f>
        <v>0</v>
      </c>
    </row>
  </sheetData>
  <autoFilter ref="A7:Z52" xr:uid="{D1B79ED2-EAB1-4B47-B3F6-DBA429A86CFF}"/>
  <mergeCells count="22">
    <mergeCell ref="P55:Q55"/>
    <mergeCell ref="P56:Q56"/>
    <mergeCell ref="P59:Q59"/>
    <mergeCell ref="P60:Q60"/>
    <mergeCell ref="D8:G8"/>
    <mergeCell ref="D13:G13"/>
    <mergeCell ref="D15:G15"/>
    <mergeCell ref="D18:G18"/>
    <mergeCell ref="D21:G21"/>
    <mergeCell ref="D50:G50"/>
    <mergeCell ref="A1:T1"/>
    <mergeCell ref="A2:T2"/>
    <mergeCell ref="A3:T3"/>
    <mergeCell ref="I4:R4"/>
    <mergeCell ref="A5:G5"/>
    <mergeCell ref="I5:J5"/>
    <mergeCell ref="K5:L5"/>
    <mergeCell ref="M5:N5"/>
    <mergeCell ref="O5:P5"/>
    <mergeCell ref="Q5:Q6"/>
    <mergeCell ref="R5:R6"/>
    <mergeCell ref="S5:T5"/>
  </mergeCells>
  <pageMargins left="0.51181102362204722" right="0.31496062992125984" top="0.94488188976377963" bottom="0.59055118110236227"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02F9-D098-421E-9BD7-A5BC0F975296}">
  <sheetPr>
    <tabColor theme="0" tint="-0.34998626667073579"/>
  </sheetPr>
  <dimension ref="A1:Z72"/>
  <sheetViews>
    <sheetView zoomScale="60" zoomScaleNormal="60" workbookViewId="0">
      <pane ySplit="7" topLeftCell="A50" activePane="bottomLeft" state="frozen"/>
      <selection activeCell="D1" sqref="D1"/>
      <selection pane="bottomLeft" activeCell="Z67" sqref="Z67"/>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46" customWidth="1"/>
    <col min="9" max="16" width="9.08984375" style="46" customWidth="1"/>
    <col min="17" max="17" width="9.08984375" style="65" customWidth="1"/>
    <col min="18" max="18" width="14.6328125" style="46" customWidth="1"/>
    <col min="19" max="20" width="9.08984375" style="46" customWidth="1"/>
    <col min="21" max="22" width="5.453125" style="8" hidden="1" customWidth="1"/>
    <col min="23" max="23" width="50" style="27" hidden="1" customWidth="1"/>
    <col min="24" max="24" width="20.08984375" style="44" customWidth="1"/>
    <col min="25" max="25" width="16" style="44" customWidth="1"/>
    <col min="26" max="26" width="10.90625" style="44" bestFit="1" customWidth="1"/>
    <col min="27" max="16384" width="9.08984375" style="44"/>
  </cols>
  <sheetData>
    <row r="1" spans="1:26" x14ac:dyDescent="0.35">
      <c r="A1" s="189" t="s">
        <v>222</v>
      </c>
      <c r="B1" s="189"/>
      <c r="C1" s="189"/>
      <c r="D1" s="189"/>
      <c r="E1" s="189"/>
      <c r="F1" s="189"/>
      <c r="G1" s="189"/>
      <c r="H1" s="189"/>
      <c r="I1" s="189"/>
      <c r="J1" s="189"/>
      <c r="K1" s="189"/>
      <c r="L1" s="189"/>
      <c r="M1" s="189"/>
      <c r="N1" s="189"/>
      <c r="O1" s="199"/>
      <c r="P1" s="189"/>
      <c r="Q1" s="189"/>
      <c r="R1" s="189"/>
      <c r="S1" s="189"/>
      <c r="T1" s="189"/>
    </row>
    <row r="2" spans="1:26" x14ac:dyDescent="0.35">
      <c r="A2" s="190" t="s">
        <v>187</v>
      </c>
      <c r="B2" s="190"/>
      <c r="C2" s="190"/>
      <c r="D2" s="190"/>
      <c r="E2" s="190"/>
      <c r="F2" s="190"/>
      <c r="G2" s="190"/>
      <c r="H2" s="190"/>
      <c r="I2" s="190"/>
      <c r="J2" s="190"/>
      <c r="K2" s="190"/>
      <c r="L2" s="190"/>
      <c r="M2" s="190"/>
      <c r="N2" s="190"/>
      <c r="O2" s="200"/>
      <c r="P2" s="190"/>
      <c r="Q2" s="190"/>
      <c r="R2" s="190"/>
      <c r="S2" s="190"/>
      <c r="T2" s="190"/>
    </row>
    <row r="3" spans="1:26" ht="54" customHeight="1" x14ac:dyDescent="0.35">
      <c r="A3" s="191" t="s">
        <v>209</v>
      </c>
      <c r="B3" s="191"/>
      <c r="C3" s="191"/>
      <c r="D3" s="191"/>
      <c r="E3" s="191"/>
      <c r="F3" s="191"/>
      <c r="G3" s="191"/>
      <c r="H3" s="191"/>
      <c r="I3" s="191"/>
      <c r="J3" s="191"/>
      <c r="K3" s="191"/>
      <c r="L3" s="191"/>
      <c r="M3" s="191"/>
      <c r="N3" s="191"/>
      <c r="O3" s="201"/>
      <c r="P3" s="191"/>
      <c r="Q3" s="191"/>
      <c r="R3" s="191"/>
      <c r="S3" s="191"/>
      <c r="T3" s="191"/>
      <c r="W3" s="129"/>
      <c r="X3" s="71"/>
      <c r="Y3" s="56"/>
      <c r="Z3" s="57"/>
    </row>
    <row r="4" spans="1:26" s="34" customFormat="1" ht="25.5" x14ac:dyDescent="0.35">
      <c r="B4" s="35"/>
      <c r="C4" s="35"/>
      <c r="E4" s="35"/>
      <c r="F4" s="35"/>
      <c r="G4" s="36"/>
      <c r="H4" s="36"/>
      <c r="I4" s="192" t="s">
        <v>210</v>
      </c>
      <c r="J4" s="193"/>
      <c r="K4" s="193"/>
      <c r="L4" s="193"/>
      <c r="M4" s="193"/>
      <c r="N4" s="193"/>
      <c r="O4" s="202"/>
      <c r="P4" s="193"/>
      <c r="Q4" s="194"/>
      <c r="R4" s="195"/>
      <c r="S4" s="36"/>
      <c r="T4" s="58"/>
      <c r="U4" s="25"/>
      <c r="V4" s="25"/>
      <c r="W4" s="130"/>
      <c r="X4" s="60"/>
      <c r="Y4" s="61"/>
      <c r="Z4" s="61"/>
    </row>
    <row r="5" spans="1:26" ht="27.75" customHeight="1" x14ac:dyDescent="0.35">
      <c r="A5" s="196" t="s">
        <v>100</v>
      </c>
      <c r="B5" s="196"/>
      <c r="C5" s="196"/>
      <c r="D5" s="196"/>
      <c r="E5" s="196"/>
      <c r="F5" s="196"/>
      <c r="G5" s="196"/>
      <c r="H5" s="6"/>
      <c r="I5" s="187" t="s">
        <v>162</v>
      </c>
      <c r="J5" s="187"/>
      <c r="K5" s="187" t="s">
        <v>238</v>
      </c>
      <c r="L5" s="187"/>
      <c r="M5" s="197" t="s">
        <v>211</v>
      </c>
      <c r="N5" s="197"/>
      <c r="O5" s="197" t="s">
        <v>242</v>
      </c>
      <c r="P5" s="197"/>
      <c r="Q5" s="198" t="s">
        <v>128</v>
      </c>
      <c r="R5" s="186" t="s">
        <v>214</v>
      </c>
      <c r="S5" s="187" t="s">
        <v>212</v>
      </c>
      <c r="T5" s="187"/>
      <c r="U5" s="6"/>
      <c r="V5" s="6"/>
      <c r="W5" s="55"/>
      <c r="Y5" s="57"/>
      <c r="Z5" s="56"/>
    </row>
    <row r="6" spans="1:26" ht="150.75" customHeight="1" x14ac:dyDescent="0.25">
      <c r="A6" s="37" t="s">
        <v>96</v>
      </c>
      <c r="B6" s="2" t="s">
        <v>0</v>
      </c>
      <c r="C6" s="2" t="s">
        <v>101</v>
      </c>
      <c r="D6" s="37" t="s">
        <v>1</v>
      </c>
      <c r="E6" s="2" t="s">
        <v>2</v>
      </c>
      <c r="F6" s="2" t="s">
        <v>3</v>
      </c>
      <c r="G6" s="38" t="s">
        <v>4</v>
      </c>
      <c r="H6" s="62"/>
      <c r="I6" s="2" t="s">
        <v>127</v>
      </c>
      <c r="J6" s="2" t="s">
        <v>174</v>
      </c>
      <c r="K6" s="2" t="s">
        <v>213</v>
      </c>
      <c r="L6" s="2" t="s">
        <v>175</v>
      </c>
      <c r="M6" s="69" t="s">
        <v>117</v>
      </c>
      <c r="N6" s="69" t="s">
        <v>118</v>
      </c>
      <c r="O6" s="69" t="s">
        <v>123</v>
      </c>
      <c r="P6" s="69" t="s">
        <v>124</v>
      </c>
      <c r="Q6" s="198"/>
      <c r="R6" s="186"/>
      <c r="S6" s="2" t="s">
        <v>127</v>
      </c>
      <c r="T6" s="2" t="s">
        <v>129</v>
      </c>
      <c r="U6" s="1" t="s">
        <v>115</v>
      </c>
      <c r="V6" s="1" t="s">
        <v>116</v>
      </c>
      <c r="W6" s="28" t="s">
        <v>114</v>
      </c>
    </row>
    <row r="7" spans="1:26"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6" ht="18" customHeight="1" x14ac:dyDescent="0.35">
      <c r="A8" s="39"/>
      <c r="B8" s="40"/>
      <c r="C8" s="41">
        <v>4</v>
      </c>
      <c r="D8" s="188" t="s">
        <v>5</v>
      </c>
      <c r="E8" s="188"/>
      <c r="F8" s="188"/>
      <c r="G8" s="188"/>
      <c r="H8" s="63"/>
      <c r="I8" s="70">
        <f t="shared" ref="I8:P8" si="0">I9+I10+I11+I12</f>
        <v>200</v>
      </c>
      <c r="J8" s="70">
        <f t="shared" si="0"/>
        <v>200</v>
      </c>
      <c r="K8" s="70">
        <f t="shared" si="0"/>
        <v>66</v>
      </c>
      <c r="L8" s="70">
        <f t="shared" si="0"/>
        <v>66</v>
      </c>
      <c r="M8" s="70">
        <f t="shared" si="0"/>
        <v>992</v>
      </c>
      <c r="N8" s="70">
        <f t="shared" si="0"/>
        <v>992</v>
      </c>
      <c r="O8" s="9">
        <f t="shared" si="0"/>
        <v>709</v>
      </c>
      <c r="P8" s="70">
        <f t="shared" si="0"/>
        <v>709</v>
      </c>
      <c r="Q8" s="52" t="s">
        <v>119</v>
      </c>
      <c r="R8" s="3">
        <f t="shared" ref="R8" si="1">R9+R10+R11+R12</f>
        <v>51890.943967187486</v>
      </c>
      <c r="S8" s="9">
        <f>S9+S10+S11+S12</f>
        <v>283</v>
      </c>
      <c r="T8" s="9">
        <f>T9+T10+T11+T12</f>
        <v>283</v>
      </c>
      <c r="U8" s="7"/>
      <c r="V8" s="7">
        <v>1</v>
      </c>
    </row>
    <row r="9" spans="1:26" ht="27.75" customHeight="1" x14ac:dyDescent="0.35">
      <c r="A9" s="31">
        <v>1</v>
      </c>
      <c r="B9" s="32" t="s">
        <v>6</v>
      </c>
      <c r="C9" s="32" t="s">
        <v>7</v>
      </c>
      <c r="D9" s="31" t="s">
        <v>8</v>
      </c>
      <c r="E9" s="32" t="s">
        <v>9</v>
      </c>
      <c r="F9" s="32" t="s">
        <v>97</v>
      </c>
      <c r="G9" s="42" t="s">
        <v>10</v>
      </c>
      <c r="H9" s="47"/>
      <c r="I9" s="12">
        <f>'_2023_VB_bez izmaiņām'!S9</f>
        <v>108</v>
      </c>
      <c r="J9" s="12">
        <f>'_2023_VB_bez izmaiņām'!T9</f>
        <v>108</v>
      </c>
      <c r="K9" s="53">
        <f>ROUND('_2023_VB_bez izmaiņām'!K9*1.025,0)</f>
        <v>27</v>
      </c>
      <c r="L9" s="54">
        <f>IF(I9=0,K9,K9*(J9/I9))</f>
        <v>27</v>
      </c>
      <c r="M9" s="12">
        <f>I9+(K9*12)</f>
        <v>432</v>
      </c>
      <c r="N9" s="12">
        <f>J9+(L9*12)</f>
        <v>432</v>
      </c>
      <c r="O9" s="11">
        <v>270</v>
      </c>
      <c r="P9" s="54">
        <f>IF(I9=0,O9,O9*(J9/I9))</f>
        <v>270</v>
      </c>
      <c r="Q9" s="33">
        <f>'_2023_VB_bez izmaiņām'!Q9*1.025</f>
        <v>90.458812499999979</v>
      </c>
      <c r="R9" s="4">
        <f>Q9*P9</f>
        <v>24423.879374999993</v>
      </c>
      <c r="S9" s="15">
        <f>M9-O9</f>
        <v>162</v>
      </c>
      <c r="T9" s="15">
        <f>N9-P9</f>
        <v>162</v>
      </c>
      <c r="U9" s="1"/>
      <c r="V9" s="1">
        <v>1</v>
      </c>
      <c r="W9" s="27" t="s">
        <v>102</v>
      </c>
      <c r="X9" s="64"/>
    </row>
    <row r="10" spans="1:26" ht="18" customHeight="1" x14ac:dyDescent="0.35">
      <c r="A10" s="31">
        <v>2</v>
      </c>
      <c r="B10" s="32" t="s">
        <v>6</v>
      </c>
      <c r="C10" s="32" t="s">
        <v>11</v>
      </c>
      <c r="D10" s="31" t="s">
        <v>12</v>
      </c>
      <c r="E10" s="32" t="s">
        <v>9</v>
      </c>
      <c r="F10" s="32">
        <v>5</v>
      </c>
      <c r="G10" s="42" t="s">
        <v>10</v>
      </c>
      <c r="H10" s="47"/>
      <c r="I10" s="12">
        <f>'_2023_VB_bez izmaiņām'!S10</f>
        <v>0</v>
      </c>
      <c r="J10" s="12">
        <f>'_2023_VB_bez izmaiņām'!T10</f>
        <v>0</v>
      </c>
      <c r="K10" s="53">
        <f>ROUND('_2023_VB_bez izmaiņām'!K10*1.025,0)</f>
        <v>10</v>
      </c>
      <c r="L10" s="54">
        <f t="shared" ref="L10:L12" si="2">IF(I10=0,K10,K10*(J10/I10))</f>
        <v>10</v>
      </c>
      <c r="M10" s="12">
        <f t="shared" ref="M10:M12" si="3">I10+(K10*12)</f>
        <v>120</v>
      </c>
      <c r="N10" s="12">
        <f t="shared" ref="N10:N12" si="4">J10+(L10*12)</f>
        <v>120</v>
      </c>
      <c r="O10" s="11">
        <v>120</v>
      </c>
      <c r="P10" s="54">
        <f t="shared" ref="P10:P12" si="5">IF(I10=0,O10,O10*(J10/I10))</f>
        <v>120</v>
      </c>
      <c r="Q10" s="33">
        <f>'_2023_VB_bez izmaiņām'!Q10*1.025</f>
        <v>90.458812499999979</v>
      </c>
      <c r="R10" s="4">
        <f t="shared" ref="R10:R12" si="6">Q10*P10</f>
        <v>10855.057499999997</v>
      </c>
      <c r="S10" s="15">
        <f t="shared" ref="S10:S12" si="7">M10-O10</f>
        <v>0</v>
      </c>
      <c r="T10" s="15">
        <f t="shared" ref="T10:T12" si="8">N10-P10</f>
        <v>0</v>
      </c>
      <c r="U10" s="1"/>
      <c r="V10" s="1">
        <v>1</v>
      </c>
    </row>
    <row r="11" spans="1:26" ht="36" customHeight="1" x14ac:dyDescent="0.35">
      <c r="A11" s="31">
        <v>3</v>
      </c>
      <c r="B11" s="32" t="s">
        <v>13</v>
      </c>
      <c r="C11" s="32" t="s">
        <v>14</v>
      </c>
      <c r="D11" s="31" t="s">
        <v>15</v>
      </c>
      <c r="E11" s="32" t="s">
        <v>9</v>
      </c>
      <c r="F11" s="32">
        <v>2</v>
      </c>
      <c r="G11" s="42" t="s">
        <v>10</v>
      </c>
      <c r="H11" s="47"/>
      <c r="I11" s="12">
        <f>'_2023_VB_bez izmaiņām'!S11</f>
        <v>0</v>
      </c>
      <c r="J11" s="12">
        <f>'_2023_VB_bez izmaiņām'!T11</f>
        <v>0</v>
      </c>
      <c r="K11" s="53">
        <f>ROUND('_2023_VB_bez izmaiņām'!K11*1.025,0)</f>
        <v>12</v>
      </c>
      <c r="L11" s="54">
        <f t="shared" si="2"/>
        <v>12</v>
      </c>
      <c r="M11" s="12">
        <f t="shared" si="3"/>
        <v>144</v>
      </c>
      <c r="N11" s="12">
        <f t="shared" si="4"/>
        <v>144</v>
      </c>
      <c r="O11" s="11">
        <v>144</v>
      </c>
      <c r="P11" s="54">
        <f t="shared" si="5"/>
        <v>144</v>
      </c>
      <c r="Q11" s="33">
        <f>'_2023_VB_bez izmaiņām'!Q11*1.025</f>
        <v>36.183524999999989</v>
      </c>
      <c r="R11" s="4">
        <f t="shared" si="6"/>
        <v>5210.4275999999982</v>
      </c>
      <c r="S11" s="15">
        <f t="shared" si="7"/>
        <v>0</v>
      </c>
      <c r="T11" s="15">
        <f t="shared" si="8"/>
        <v>0</v>
      </c>
      <c r="U11" s="1"/>
      <c r="V11" s="1">
        <v>1</v>
      </c>
    </row>
    <row r="12" spans="1:26" ht="18" customHeight="1" x14ac:dyDescent="0.35">
      <c r="A12" s="31">
        <v>4</v>
      </c>
      <c r="B12" s="32" t="s">
        <v>16</v>
      </c>
      <c r="C12" s="32" t="s">
        <v>17</v>
      </c>
      <c r="D12" s="31" t="s">
        <v>18</v>
      </c>
      <c r="E12" s="32" t="s">
        <v>9</v>
      </c>
      <c r="F12" s="32">
        <v>5</v>
      </c>
      <c r="G12" s="42" t="s">
        <v>10</v>
      </c>
      <c r="H12" s="47"/>
      <c r="I12" s="12">
        <f>'_2023_VB_bez izmaiņām'!S12</f>
        <v>92</v>
      </c>
      <c r="J12" s="12">
        <f>'_2023_VB_bez izmaiņām'!T12</f>
        <v>92</v>
      </c>
      <c r="K12" s="53">
        <f>ROUND('_2023_VB_bez izmaiņām'!K12*1.025,0)</f>
        <v>17</v>
      </c>
      <c r="L12" s="54">
        <f t="shared" si="2"/>
        <v>17</v>
      </c>
      <c r="M12" s="12">
        <f t="shared" si="3"/>
        <v>296</v>
      </c>
      <c r="N12" s="12">
        <f t="shared" si="4"/>
        <v>296</v>
      </c>
      <c r="O12" s="11">
        <v>175</v>
      </c>
      <c r="P12" s="54">
        <f t="shared" si="5"/>
        <v>175</v>
      </c>
      <c r="Q12" s="33">
        <f>'_2023_VB_bez izmaiņām'!Q12*1.025</f>
        <v>65.151882812499991</v>
      </c>
      <c r="R12" s="4">
        <f t="shared" si="6"/>
        <v>11401.579492187499</v>
      </c>
      <c r="S12" s="15">
        <f t="shared" si="7"/>
        <v>121</v>
      </c>
      <c r="T12" s="15">
        <f t="shared" si="8"/>
        <v>121</v>
      </c>
      <c r="U12" s="1"/>
      <c r="V12" s="1">
        <v>1</v>
      </c>
    </row>
    <row r="13" spans="1:26" ht="18" customHeight="1" x14ac:dyDescent="0.35">
      <c r="A13" s="39"/>
      <c r="B13" s="40"/>
      <c r="C13" s="41">
        <v>6</v>
      </c>
      <c r="D13" s="188" t="s">
        <v>19</v>
      </c>
      <c r="E13" s="188"/>
      <c r="F13" s="188"/>
      <c r="G13" s="188"/>
      <c r="H13" s="63"/>
      <c r="I13" s="13">
        <f>I14</f>
        <v>152</v>
      </c>
      <c r="J13" s="13">
        <f t="shared" ref="J13:P13" si="9">J14</f>
        <v>152</v>
      </c>
      <c r="K13" s="13">
        <f t="shared" si="9"/>
        <v>47</v>
      </c>
      <c r="L13" s="13">
        <f t="shared" si="9"/>
        <v>47</v>
      </c>
      <c r="M13" s="13">
        <f t="shared" si="9"/>
        <v>716</v>
      </c>
      <c r="N13" s="13">
        <f t="shared" si="9"/>
        <v>716</v>
      </c>
      <c r="O13" s="13">
        <f t="shared" si="9"/>
        <v>492</v>
      </c>
      <c r="P13" s="13">
        <f t="shared" si="9"/>
        <v>492</v>
      </c>
      <c r="Q13" s="52" t="s">
        <v>119</v>
      </c>
      <c r="R13" s="5">
        <f t="shared" ref="R13" si="10">R14</f>
        <v>300464.69933124987</v>
      </c>
      <c r="S13" s="13">
        <f>S14</f>
        <v>224</v>
      </c>
      <c r="T13" s="13">
        <f>T14</f>
        <v>224</v>
      </c>
      <c r="U13" s="7"/>
      <c r="V13" s="7">
        <v>1</v>
      </c>
    </row>
    <row r="14" spans="1:26" s="34" customFormat="1" ht="34.5" customHeight="1" x14ac:dyDescent="0.35">
      <c r="A14" s="29">
        <v>5</v>
      </c>
      <c r="B14" s="30" t="s">
        <v>20</v>
      </c>
      <c r="C14" s="30" t="s">
        <v>21</v>
      </c>
      <c r="D14" s="29" t="s">
        <v>22</v>
      </c>
      <c r="E14" s="30" t="s">
        <v>9</v>
      </c>
      <c r="F14" s="30">
        <v>2</v>
      </c>
      <c r="G14" s="43" t="s">
        <v>23</v>
      </c>
      <c r="H14" s="48"/>
      <c r="I14" s="12">
        <f>'_2023_VB_bez izmaiņām'!S14</f>
        <v>152</v>
      </c>
      <c r="J14" s="12">
        <f>'_2023_VB_bez izmaiņām'!T14</f>
        <v>152</v>
      </c>
      <c r="K14" s="53">
        <f>ROUND('_2023_VB_bez izmaiņām'!K14*1.025,0)</f>
        <v>47</v>
      </c>
      <c r="L14" s="54">
        <f>IF(I14=0,K14,K14*(J14/I14))</f>
        <v>47</v>
      </c>
      <c r="M14" s="12">
        <f>I14+(K14*12)</f>
        <v>716</v>
      </c>
      <c r="N14" s="12">
        <f>J14+(L14*12)</f>
        <v>716</v>
      </c>
      <c r="O14" s="11">
        <v>492</v>
      </c>
      <c r="P14" s="54">
        <f>IF(I14=0,O14,O14*(J14/I14))</f>
        <v>492</v>
      </c>
      <c r="Q14" s="33">
        <f>'_2023_VB_bez izmaiņām'!Q14*1.025</f>
        <v>610.70467343749976</v>
      </c>
      <c r="R14" s="4">
        <f>Q14*P14-2</f>
        <v>300464.69933124987</v>
      </c>
      <c r="S14" s="15">
        <f>M14-O14</f>
        <v>224</v>
      </c>
      <c r="T14" s="15">
        <f>N14-P14</f>
        <v>224</v>
      </c>
      <c r="U14" s="19"/>
      <c r="V14" s="19">
        <v>1</v>
      </c>
      <c r="W14" s="26"/>
    </row>
    <row r="15" spans="1:26" ht="18" customHeight="1" x14ac:dyDescent="0.35">
      <c r="A15" s="39"/>
      <c r="B15" s="40"/>
      <c r="C15" s="41">
        <v>12</v>
      </c>
      <c r="D15" s="188" t="s">
        <v>24</v>
      </c>
      <c r="E15" s="188"/>
      <c r="F15" s="188"/>
      <c r="G15" s="188"/>
      <c r="H15" s="63"/>
      <c r="I15" s="9">
        <f>I16+I17</f>
        <v>57</v>
      </c>
      <c r="J15" s="9">
        <f t="shared" ref="J15:P15" si="11">J16+J17</f>
        <v>57</v>
      </c>
      <c r="K15" s="9">
        <f t="shared" si="11"/>
        <v>22</v>
      </c>
      <c r="L15" s="9">
        <f t="shared" si="11"/>
        <v>22</v>
      </c>
      <c r="M15" s="9">
        <f t="shared" si="11"/>
        <v>321</v>
      </c>
      <c r="N15" s="9">
        <f t="shared" si="11"/>
        <v>321</v>
      </c>
      <c r="O15" s="9">
        <f t="shared" si="11"/>
        <v>245</v>
      </c>
      <c r="P15" s="9">
        <f t="shared" si="11"/>
        <v>245</v>
      </c>
      <c r="Q15" s="52" t="s">
        <v>119</v>
      </c>
      <c r="R15" s="3">
        <f t="shared" ref="R15" si="12">R16+R17</f>
        <v>12561.929140624998</v>
      </c>
      <c r="S15" s="9">
        <f>S16+S17</f>
        <v>76</v>
      </c>
      <c r="T15" s="9">
        <f>T16+T17</f>
        <v>76</v>
      </c>
      <c r="U15" s="7"/>
      <c r="V15" s="7">
        <v>1</v>
      </c>
    </row>
    <row r="16" spans="1:26" ht="33.75" customHeight="1" x14ac:dyDescent="0.35">
      <c r="A16" s="31">
        <v>6</v>
      </c>
      <c r="B16" s="32" t="s">
        <v>25</v>
      </c>
      <c r="C16" s="32" t="s">
        <v>26</v>
      </c>
      <c r="D16" s="31" t="s">
        <v>27</v>
      </c>
      <c r="E16" s="32" t="s">
        <v>9</v>
      </c>
      <c r="F16" s="32" t="s">
        <v>104</v>
      </c>
      <c r="G16" s="42" t="s">
        <v>10</v>
      </c>
      <c r="H16" s="47"/>
      <c r="I16" s="12">
        <f>'_2023_VB_bez izmaiņām'!S16</f>
        <v>0</v>
      </c>
      <c r="J16" s="12">
        <f>'_2023_VB_bez izmaiņām'!T16</f>
        <v>0</v>
      </c>
      <c r="K16" s="53">
        <f>ROUND('_2023_VB_bez izmaiņām'!K16*1.025,0)</f>
        <v>10</v>
      </c>
      <c r="L16" s="54">
        <f>IF(I16=0,K16,K16*(J16/I16))</f>
        <v>10</v>
      </c>
      <c r="M16" s="12">
        <f>I16+(K16*12)</f>
        <v>120</v>
      </c>
      <c r="N16" s="12">
        <f>J16+(L16*12)</f>
        <v>120</v>
      </c>
      <c r="O16" s="11">
        <v>120</v>
      </c>
      <c r="P16" s="54">
        <f>IF(I16=0,O16,O16*(J16/I16))</f>
        <v>120</v>
      </c>
      <c r="Q16" s="33">
        <f>'_2023_VB_bez izmaiņām'!Q16*1.025</f>
        <v>37.691171874999988</v>
      </c>
      <c r="R16" s="4">
        <f>Q16*P16</f>
        <v>4522.9406249999984</v>
      </c>
      <c r="S16" s="15">
        <f>M16-O16</f>
        <v>0</v>
      </c>
      <c r="T16" s="15">
        <f>N16-P16</f>
        <v>0</v>
      </c>
      <c r="U16" s="1"/>
      <c r="V16" s="1">
        <v>1</v>
      </c>
      <c r="W16" s="27" t="s">
        <v>103</v>
      </c>
    </row>
    <row r="17" spans="1:23" ht="24" customHeight="1" x14ac:dyDescent="0.35">
      <c r="A17" s="31">
        <v>7</v>
      </c>
      <c r="B17" s="32" t="s">
        <v>25</v>
      </c>
      <c r="C17" s="32" t="s">
        <v>26</v>
      </c>
      <c r="D17" s="31" t="s">
        <v>28</v>
      </c>
      <c r="E17" s="32" t="s">
        <v>9</v>
      </c>
      <c r="F17" s="32" t="s">
        <v>104</v>
      </c>
      <c r="G17" s="42" t="s">
        <v>10</v>
      </c>
      <c r="H17" s="47"/>
      <c r="I17" s="12">
        <f>'_2023_VB_bez izmaiņām'!S17</f>
        <v>57</v>
      </c>
      <c r="J17" s="12">
        <f>'_2023_VB_bez izmaiņām'!T17</f>
        <v>57</v>
      </c>
      <c r="K17" s="53">
        <f>ROUND('_2023_VB_bez izmaiņām'!K17*1.025,0)</f>
        <v>12</v>
      </c>
      <c r="L17" s="54">
        <f>IF(I17=0,K17,K17*(J17/I17))</f>
        <v>12</v>
      </c>
      <c r="M17" s="12">
        <f>I17+(K17*12)</f>
        <v>201</v>
      </c>
      <c r="N17" s="12">
        <f>J17+(L17*12)</f>
        <v>201</v>
      </c>
      <c r="O17" s="11">
        <v>125</v>
      </c>
      <c r="P17" s="54">
        <f>IF(I17=0,O17,O17*(J17/I17))</f>
        <v>125</v>
      </c>
      <c r="Q17" s="33">
        <f>'_2023_VB_bez izmaiņām'!Q17*1.025</f>
        <v>64.311908124999988</v>
      </c>
      <c r="R17" s="4">
        <f>Q17*P17</f>
        <v>8038.9885156249984</v>
      </c>
      <c r="S17" s="15">
        <f>M17-O17</f>
        <v>76</v>
      </c>
      <c r="T17" s="15">
        <f>N17-P17</f>
        <v>76</v>
      </c>
      <c r="U17" s="1"/>
      <c r="V17" s="1">
        <v>1</v>
      </c>
      <c r="W17" s="27" t="s">
        <v>103</v>
      </c>
    </row>
    <row r="18" spans="1:23" ht="18" customHeight="1" x14ac:dyDescent="0.35">
      <c r="A18" s="39"/>
      <c r="B18" s="40"/>
      <c r="C18" s="41">
        <v>15</v>
      </c>
      <c r="D18" s="188" t="s">
        <v>29</v>
      </c>
      <c r="E18" s="188"/>
      <c r="F18" s="188"/>
      <c r="G18" s="188"/>
      <c r="H18" s="63"/>
      <c r="I18" s="9">
        <f>I19+I20</f>
        <v>82</v>
      </c>
      <c r="J18" s="9">
        <f t="shared" ref="J18:P18" si="13">J19+J20</f>
        <v>82</v>
      </c>
      <c r="K18" s="9">
        <f t="shared" si="13"/>
        <v>16</v>
      </c>
      <c r="L18" s="9">
        <f t="shared" si="13"/>
        <v>16</v>
      </c>
      <c r="M18" s="9">
        <f t="shared" si="13"/>
        <v>274</v>
      </c>
      <c r="N18" s="9">
        <f t="shared" si="13"/>
        <v>274</v>
      </c>
      <c r="O18" s="9">
        <f t="shared" si="13"/>
        <v>164</v>
      </c>
      <c r="P18" s="9">
        <f t="shared" si="13"/>
        <v>164</v>
      </c>
      <c r="Q18" s="52" t="s">
        <v>119</v>
      </c>
      <c r="R18" s="3">
        <f t="shared" ref="R18" si="14">R19+R20</f>
        <v>6014.8218212499978</v>
      </c>
      <c r="S18" s="9">
        <f>S19+S20</f>
        <v>110</v>
      </c>
      <c r="T18" s="9">
        <f>T19+T20</f>
        <v>110</v>
      </c>
      <c r="U18" s="7"/>
      <c r="V18" s="7">
        <v>1</v>
      </c>
    </row>
    <row r="19" spans="1:23" ht="18" customHeight="1" x14ac:dyDescent="0.35">
      <c r="A19" s="31">
        <v>8</v>
      </c>
      <c r="B19" s="32" t="s">
        <v>16</v>
      </c>
      <c r="C19" s="32" t="s">
        <v>30</v>
      </c>
      <c r="D19" s="31" t="s">
        <v>31</v>
      </c>
      <c r="E19" s="32" t="s">
        <v>9</v>
      </c>
      <c r="F19" s="32">
        <v>5</v>
      </c>
      <c r="G19" s="42" t="s">
        <v>10</v>
      </c>
      <c r="H19" s="47"/>
      <c r="I19" s="12">
        <f>'_2023_VB_bez izmaiņām'!S19</f>
        <v>82</v>
      </c>
      <c r="J19" s="12">
        <f>'_2023_VB_bez izmaiņām'!T19</f>
        <v>82</v>
      </c>
      <c r="K19" s="53">
        <f>ROUND('_2023_VB_bez izmaiņām'!K19*1.025,0)</f>
        <v>10</v>
      </c>
      <c r="L19" s="54">
        <f>IF(I19=0,K19,K19*(J19/I19))</f>
        <v>10</v>
      </c>
      <c r="M19" s="12">
        <f>I19+(K19*12)</f>
        <v>202</v>
      </c>
      <c r="N19" s="12">
        <f>J19+(L19*12)</f>
        <v>202</v>
      </c>
      <c r="O19" s="11">
        <v>92</v>
      </c>
      <c r="P19" s="54">
        <f>IF(I19=0,O19,O19*(J19/I19))</f>
        <v>92</v>
      </c>
      <c r="Q19" s="33">
        <f>'_2023_VB_bez izmaiņām'!Q19*1.025</f>
        <v>52.121506249999982</v>
      </c>
      <c r="R19" s="4">
        <f>Q19*P19</f>
        <v>4795.1785749999981</v>
      </c>
      <c r="S19" s="15">
        <f>M19-O19</f>
        <v>110</v>
      </c>
      <c r="T19" s="15">
        <f>N19-P19</f>
        <v>110</v>
      </c>
      <c r="U19" s="1"/>
      <c r="V19" s="1">
        <v>1</v>
      </c>
    </row>
    <row r="20" spans="1:23" ht="33" customHeight="1" x14ac:dyDescent="0.35">
      <c r="A20" s="31">
        <v>9</v>
      </c>
      <c r="B20" s="32" t="s">
        <v>6</v>
      </c>
      <c r="C20" s="32" t="s">
        <v>30</v>
      </c>
      <c r="D20" s="31" t="s">
        <v>32</v>
      </c>
      <c r="E20" s="32" t="s">
        <v>9</v>
      </c>
      <c r="F20" s="32">
        <v>2</v>
      </c>
      <c r="G20" s="42" t="s">
        <v>10</v>
      </c>
      <c r="H20" s="47"/>
      <c r="I20" s="12">
        <f>'_2023_VB_bez izmaiņām'!S20</f>
        <v>0</v>
      </c>
      <c r="J20" s="12">
        <f>'_2023_VB_bez izmaiņām'!T20</f>
        <v>0</v>
      </c>
      <c r="K20" s="53">
        <f>ROUND('_2023_VB_bez izmaiņām'!K20*1.025,0)</f>
        <v>6</v>
      </c>
      <c r="L20" s="54">
        <f>IF(I20=0,K20,K20*(J20/I20))</f>
        <v>6</v>
      </c>
      <c r="M20" s="12">
        <f>I20+(K20*12)</f>
        <v>72</v>
      </c>
      <c r="N20" s="12">
        <f>J20+(L20*12)</f>
        <v>72</v>
      </c>
      <c r="O20" s="11">
        <v>72</v>
      </c>
      <c r="P20" s="54">
        <f>IF(I20=0,O20,O20*(J20/I20))</f>
        <v>72</v>
      </c>
      <c r="Q20" s="33">
        <f>'_2023_VB_bez izmaiņām'!Q20*1.025</f>
        <v>16.939489531249997</v>
      </c>
      <c r="R20" s="4">
        <f>Q20*P20</f>
        <v>1219.6432462499997</v>
      </c>
      <c r="S20" s="15">
        <f>M20-O20</f>
        <v>0</v>
      </c>
      <c r="T20" s="15">
        <f>N20-P20</f>
        <v>0</v>
      </c>
      <c r="U20" s="1"/>
      <c r="V20" s="1">
        <v>1</v>
      </c>
    </row>
    <row r="21" spans="1:23" ht="18" customHeight="1" x14ac:dyDescent="0.35">
      <c r="A21" s="39"/>
      <c r="B21" s="40"/>
      <c r="C21" s="41">
        <v>22</v>
      </c>
      <c r="D21" s="188" t="s">
        <v>33</v>
      </c>
      <c r="E21" s="188"/>
      <c r="F21" s="188"/>
      <c r="G21" s="188"/>
      <c r="H21" s="63"/>
      <c r="I21" s="70">
        <f t="shared" ref="I21:P21" si="15">SUM(I22:I49)</f>
        <v>8842</v>
      </c>
      <c r="J21" s="70">
        <f t="shared" si="15"/>
        <v>13609.128980379544</v>
      </c>
      <c r="K21" s="70">
        <f t="shared" si="15"/>
        <v>529</v>
      </c>
      <c r="L21" s="70">
        <f t="shared" si="15"/>
        <v>736.48922483113552</v>
      </c>
      <c r="M21" s="70">
        <f t="shared" si="15"/>
        <v>15190</v>
      </c>
      <c r="N21" s="70">
        <f t="shared" si="15"/>
        <v>22446.999678353171</v>
      </c>
      <c r="O21" s="9">
        <f t="shared" si="15"/>
        <v>4215</v>
      </c>
      <c r="P21" s="70">
        <f t="shared" si="15"/>
        <v>5687.2769379221618</v>
      </c>
      <c r="Q21" s="52" t="s">
        <v>119</v>
      </c>
      <c r="R21" s="3">
        <f>SUM(R22:R49)</f>
        <v>1466205.1915694007</v>
      </c>
      <c r="S21" s="9">
        <f>SUM(S22:S49)</f>
        <v>10975</v>
      </c>
      <c r="T21" s="9">
        <f>SUM(T22:T49)</f>
        <v>16759.722740431011</v>
      </c>
      <c r="U21" s="7">
        <v>1</v>
      </c>
      <c r="V21" s="7">
        <v>1</v>
      </c>
    </row>
    <row r="22" spans="1:23" ht="17.25" customHeight="1" x14ac:dyDescent="0.35">
      <c r="A22" s="31">
        <v>10</v>
      </c>
      <c r="B22" s="32" t="s">
        <v>34</v>
      </c>
      <c r="C22" s="32" t="s">
        <v>35</v>
      </c>
      <c r="D22" s="31" t="s">
        <v>36</v>
      </c>
      <c r="E22" s="32" t="s">
        <v>9</v>
      </c>
      <c r="F22" s="32">
        <v>2</v>
      </c>
      <c r="G22" s="42" t="s">
        <v>37</v>
      </c>
      <c r="H22" s="47"/>
      <c r="I22" s="12">
        <f>'_2023_VB_bez izmaiņām'!S22</f>
        <v>0</v>
      </c>
      <c r="J22" s="12">
        <f>'_2023_VB_bez izmaiņām'!T22</f>
        <v>0</v>
      </c>
      <c r="K22" s="53">
        <f>ROUND('_2023_VB_bez izmaiņām'!K22*1.025,0)</f>
        <v>9</v>
      </c>
      <c r="L22" s="54">
        <f>IF(I22=0,K22,K22*(J22/I22))</f>
        <v>9</v>
      </c>
      <c r="M22" s="12">
        <f>I22+(K22*12)</f>
        <v>108</v>
      </c>
      <c r="N22" s="12">
        <f>J22+(L22*12)</f>
        <v>108</v>
      </c>
      <c r="O22" s="11">
        <v>108</v>
      </c>
      <c r="P22" s="54">
        <f>IF(I22=0,O22,O22*(J22/I22))</f>
        <v>108</v>
      </c>
      <c r="Q22" s="33">
        <f>'_2023_VB_bez izmaiņām'!Q22*1.025</f>
        <v>71.667071093749982</v>
      </c>
      <c r="R22" s="4">
        <f>Q22*P22</f>
        <v>7740.0436781249982</v>
      </c>
      <c r="S22" s="15">
        <f>M22-O22</f>
        <v>0</v>
      </c>
      <c r="T22" s="15">
        <f>N22-P22</f>
        <v>0</v>
      </c>
      <c r="U22" s="1"/>
      <c r="V22" s="1">
        <v>1</v>
      </c>
    </row>
    <row r="23" spans="1:23" ht="30.75" customHeight="1" x14ac:dyDescent="0.35">
      <c r="A23" s="31">
        <v>11</v>
      </c>
      <c r="B23" s="32" t="s">
        <v>34</v>
      </c>
      <c r="C23" s="32" t="s">
        <v>38</v>
      </c>
      <c r="D23" s="31" t="s">
        <v>39</v>
      </c>
      <c r="E23" s="32" t="s">
        <v>9</v>
      </c>
      <c r="F23" s="32" t="s">
        <v>98</v>
      </c>
      <c r="G23" s="42" t="s">
        <v>37</v>
      </c>
      <c r="H23" s="47"/>
      <c r="I23" s="12">
        <f>'_2023_VB_bez izmaiņām'!S23</f>
        <v>19</v>
      </c>
      <c r="J23" s="12">
        <f>'_2023_VB_bez izmaiņām'!T23</f>
        <v>19</v>
      </c>
      <c r="K23" s="53">
        <f>ROUND('_2023_VB_bez izmaiņām'!K23*1.025,0)</f>
        <v>13</v>
      </c>
      <c r="L23" s="54">
        <f>IF(I23=0,K23,K23*(J23/I23))</f>
        <v>13</v>
      </c>
      <c r="M23" s="12">
        <f>I23+(K23*12)</f>
        <v>175</v>
      </c>
      <c r="N23" s="12">
        <f>J23+(L23*12)</f>
        <v>175</v>
      </c>
      <c r="O23" s="11">
        <v>154</v>
      </c>
      <c r="P23" s="54">
        <f>IF(I23=0,O23,O23*(J23/I23))</f>
        <v>154</v>
      </c>
      <c r="Q23" s="33">
        <f>'_2023_VB_bez izmaiņām'!Q23*1.025</f>
        <v>58.992068437499988</v>
      </c>
      <c r="R23" s="4">
        <f>Q23*P23</f>
        <v>9084.7785393749982</v>
      </c>
      <c r="S23" s="15">
        <f>M23-O23</f>
        <v>21</v>
      </c>
      <c r="T23" s="15">
        <f>N23-P23</f>
        <v>21</v>
      </c>
      <c r="U23" s="1"/>
      <c r="V23" s="1">
        <v>1</v>
      </c>
      <c r="W23" s="27" t="s">
        <v>105</v>
      </c>
    </row>
    <row r="24" spans="1:23" ht="36" customHeight="1" x14ac:dyDescent="0.35">
      <c r="A24" s="31">
        <v>12</v>
      </c>
      <c r="B24" s="32" t="s">
        <v>40</v>
      </c>
      <c r="C24" s="32" t="s">
        <v>41</v>
      </c>
      <c r="D24" s="31" t="s">
        <v>42</v>
      </c>
      <c r="E24" s="32" t="s">
        <v>9</v>
      </c>
      <c r="F24" s="32">
        <v>5</v>
      </c>
      <c r="G24" s="42" t="s">
        <v>43</v>
      </c>
      <c r="H24" s="47"/>
      <c r="I24" s="12">
        <f>'_2023_VB_bez izmaiņām'!S24</f>
        <v>42</v>
      </c>
      <c r="J24" s="12">
        <f>'_2023_VB_bez izmaiņām'!T24</f>
        <v>42</v>
      </c>
      <c r="K24" s="53">
        <f>ROUND('_2023_VB_bez izmaiņām'!K24*1.025,0)</f>
        <v>5</v>
      </c>
      <c r="L24" s="54">
        <f t="shared" ref="L24:L49" si="16">IF(I24=0,K24,K24*(J24/I24))</f>
        <v>5</v>
      </c>
      <c r="M24" s="12">
        <f t="shared" ref="M24:M49" si="17">I24+(K24*12)</f>
        <v>102</v>
      </c>
      <c r="N24" s="12">
        <f t="shared" ref="N24:N49" si="18">J24+(L24*12)</f>
        <v>102</v>
      </c>
      <c r="O24" s="11">
        <v>46</v>
      </c>
      <c r="P24" s="54">
        <f t="shared" ref="P24:P49" si="19">IF(I24=0,O24,O24*(J24/I24))</f>
        <v>46</v>
      </c>
      <c r="Q24" s="33">
        <f>'_2023_VB_bez izmaiņām'!Q24*1.025</f>
        <v>77.363822499999984</v>
      </c>
      <c r="R24" s="4">
        <f t="shared" ref="R24:R49" si="20">Q24*P24</f>
        <v>3558.735834999999</v>
      </c>
      <c r="S24" s="15">
        <f t="shared" ref="S24:S49" si="21">M24-O24</f>
        <v>56</v>
      </c>
      <c r="T24" s="15">
        <f t="shared" ref="T24:T49" si="22">N24-P24</f>
        <v>56</v>
      </c>
      <c r="U24" s="1"/>
      <c r="V24" s="1">
        <v>1</v>
      </c>
    </row>
    <row r="25" spans="1:23" ht="24" customHeight="1" x14ac:dyDescent="0.35">
      <c r="A25" s="31">
        <v>13</v>
      </c>
      <c r="B25" s="32" t="s">
        <v>40</v>
      </c>
      <c r="C25" s="32" t="s">
        <v>41</v>
      </c>
      <c r="D25" s="31" t="s">
        <v>106</v>
      </c>
      <c r="E25" s="32" t="s">
        <v>9</v>
      </c>
      <c r="F25" s="32">
        <v>5</v>
      </c>
      <c r="G25" s="42" t="s">
        <v>43</v>
      </c>
      <c r="H25" s="47"/>
      <c r="I25" s="12">
        <f>'_2023_VB_bez izmaiņām'!S25</f>
        <v>33</v>
      </c>
      <c r="J25" s="12">
        <f>'_2023_VB_bez izmaiņām'!T25</f>
        <v>33</v>
      </c>
      <c r="K25" s="53">
        <f>ROUND('_2023_VB_bez izmaiņām'!K25*1.025,0)</f>
        <v>2</v>
      </c>
      <c r="L25" s="54">
        <f t="shared" si="16"/>
        <v>2</v>
      </c>
      <c r="M25" s="12">
        <f t="shared" si="17"/>
        <v>57</v>
      </c>
      <c r="N25" s="12">
        <f t="shared" si="18"/>
        <v>57</v>
      </c>
      <c r="O25" s="11">
        <v>37</v>
      </c>
      <c r="P25" s="54">
        <f t="shared" si="19"/>
        <v>37</v>
      </c>
      <c r="Q25" s="33">
        <f>'_2023_VB_bez izmaiņām'!Q25*1.025</f>
        <v>52.121506249999982</v>
      </c>
      <c r="R25" s="4">
        <f t="shared" si="20"/>
        <v>1928.4957312499994</v>
      </c>
      <c r="S25" s="15">
        <f t="shared" si="21"/>
        <v>20</v>
      </c>
      <c r="T25" s="15">
        <f t="shared" si="22"/>
        <v>20</v>
      </c>
      <c r="U25" s="1"/>
      <c r="V25" s="1">
        <v>1</v>
      </c>
      <c r="W25" s="27" t="s">
        <v>107</v>
      </c>
    </row>
    <row r="26" spans="1:23" ht="35.25" customHeight="1" x14ac:dyDescent="0.35">
      <c r="A26" s="31">
        <v>14</v>
      </c>
      <c r="B26" s="32" t="s">
        <v>34</v>
      </c>
      <c r="C26" s="32" t="s">
        <v>44</v>
      </c>
      <c r="D26" s="31" t="s">
        <v>45</v>
      </c>
      <c r="E26" s="32" t="s">
        <v>9</v>
      </c>
      <c r="F26" s="32">
        <v>5</v>
      </c>
      <c r="G26" s="42" t="s">
        <v>37</v>
      </c>
      <c r="H26" s="47"/>
      <c r="I26" s="12">
        <f>'_2023_VB_bez izmaiņām'!S26</f>
        <v>21</v>
      </c>
      <c r="J26" s="12">
        <f>'_2023_VB_bez izmaiņām'!T26</f>
        <v>21</v>
      </c>
      <c r="K26" s="53">
        <f>ROUND('_2023_VB_bez izmaiņām'!K26*1.025,0)</f>
        <v>18</v>
      </c>
      <c r="L26" s="54">
        <f t="shared" si="16"/>
        <v>18</v>
      </c>
      <c r="M26" s="12">
        <f t="shared" si="17"/>
        <v>237</v>
      </c>
      <c r="N26" s="12">
        <f t="shared" si="18"/>
        <v>237</v>
      </c>
      <c r="O26" s="11">
        <v>185</v>
      </c>
      <c r="P26" s="54">
        <f t="shared" si="19"/>
        <v>185</v>
      </c>
      <c r="Q26" s="33">
        <f>'_2023_VB_bez izmaiņām'!Q26*1.025</f>
        <v>585.79619328124988</v>
      </c>
      <c r="R26" s="4">
        <f t="shared" si="20"/>
        <v>108372.29575703123</v>
      </c>
      <c r="S26" s="15">
        <f t="shared" si="21"/>
        <v>52</v>
      </c>
      <c r="T26" s="15">
        <f t="shared" si="22"/>
        <v>52</v>
      </c>
      <c r="U26" s="1"/>
      <c r="V26" s="1">
        <v>1</v>
      </c>
    </row>
    <row r="27" spans="1:23" ht="36" customHeight="1" x14ac:dyDescent="0.35">
      <c r="A27" s="31">
        <v>15</v>
      </c>
      <c r="B27" s="32" t="s">
        <v>166</v>
      </c>
      <c r="C27" s="32" t="s">
        <v>46</v>
      </c>
      <c r="D27" s="31" t="s">
        <v>167</v>
      </c>
      <c r="E27" s="32" t="s">
        <v>9</v>
      </c>
      <c r="F27" s="32">
        <v>3</v>
      </c>
      <c r="G27" s="42" t="s">
        <v>47</v>
      </c>
      <c r="H27" s="47"/>
      <c r="I27" s="12">
        <f>'_2023_VB_bez izmaiņām'!S27</f>
        <v>48</v>
      </c>
      <c r="J27" s="12">
        <f>'_2023_VB_bez izmaiņām'!T27</f>
        <v>48</v>
      </c>
      <c r="K27" s="53">
        <f>ROUND('_2023_VB_bez izmaiņām'!K27*1.025,0)</f>
        <v>2</v>
      </c>
      <c r="L27" s="54">
        <f t="shared" si="16"/>
        <v>2</v>
      </c>
      <c r="M27" s="12">
        <f t="shared" si="17"/>
        <v>72</v>
      </c>
      <c r="N27" s="12">
        <f t="shared" si="18"/>
        <v>72</v>
      </c>
      <c r="O27" s="11">
        <v>11</v>
      </c>
      <c r="P27" s="54">
        <f t="shared" si="19"/>
        <v>11</v>
      </c>
      <c r="Q27" s="33">
        <f>'_2023_VB_bez izmaiņām'!Q27*1.025</f>
        <v>220.28874624999992</v>
      </c>
      <c r="R27" s="4">
        <f>Q27*P27</f>
        <v>2423.1762087499992</v>
      </c>
      <c r="S27" s="15">
        <f t="shared" si="21"/>
        <v>61</v>
      </c>
      <c r="T27" s="15">
        <f t="shared" si="22"/>
        <v>61</v>
      </c>
      <c r="U27" s="1">
        <v>1</v>
      </c>
      <c r="V27" s="1"/>
    </row>
    <row r="28" spans="1:23" ht="52.75" customHeight="1" x14ac:dyDescent="0.35">
      <c r="A28" s="31" t="s">
        <v>182</v>
      </c>
      <c r="B28" s="32" t="s">
        <v>48</v>
      </c>
      <c r="C28" s="32" t="s">
        <v>49</v>
      </c>
      <c r="D28" s="31" t="s">
        <v>181</v>
      </c>
      <c r="E28" s="32" t="s">
        <v>9</v>
      </c>
      <c r="F28" s="32">
        <v>5</v>
      </c>
      <c r="G28" s="42" t="s">
        <v>47</v>
      </c>
      <c r="H28" s="47"/>
      <c r="I28" s="12">
        <f>'_2023_VB_bez izmaiņām'!S28</f>
        <v>7444</v>
      </c>
      <c r="J28" s="12">
        <f>'_2023_VB_bez izmaiņām'!T28</f>
        <v>12211.128980379544</v>
      </c>
      <c r="K28" s="53">
        <f>ROUND('_2023_VB_bez izmaiņām'!K28*1.025,0)</f>
        <v>324</v>
      </c>
      <c r="L28" s="54">
        <f t="shared" si="16"/>
        <v>531.48922483113552</v>
      </c>
      <c r="M28" s="12">
        <f t="shared" si="17"/>
        <v>11332</v>
      </c>
      <c r="N28" s="12">
        <f t="shared" si="18"/>
        <v>18588.999678353171</v>
      </c>
      <c r="O28" s="11">
        <v>2299</v>
      </c>
      <c r="P28" s="54">
        <f t="shared" si="19"/>
        <v>3771.2769379221618</v>
      </c>
      <c r="Q28" s="33">
        <f>'_2023_VB_bez izmaiņām'!Q28*1.025</f>
        <v>259.56294734374995</v>
      </c>
      <c r="R28" s="4">
        <f>Q28*P28+65.45</f>
        <v>978949.20725658862</v>
      </c>
      <c r="S28" s="15">
        <f t="shared" si="21"/>
        <v>9033</v>
      </c>
      <c r="T28" s="15">
        <f t="shared" si="22"/>
        <v>14817.722740431011</v>
      </c>
      <c r="U28" s="1">
        <v>1</v>
      </c>
      <c r="V28" s="1"/>
    </row>
    <row r="29" spans="1:23" ht="46.5" customHeight="1" x14ac:dyDescent="0.35">
      <c r="A29" s="31">
        <v>19</v>
      </c>
      <c r="B29" s="32" t="s">
        <v>50</v>
      </c>
      <c r="C29" s="32" t="s">
        <v>180</v>
      </c>
      <c r="D29" s="31" t="s">
        <v>120</v>
      </c>
      <c r="E29" s="32" t="s">
        <v>9</v>
      </c>
      <c r="F29" s="32">
        <v>5</v>
      </c>
      <c r="G29" s="42" t="s">
        <v>52</v>
      </c>
      <c r="H29" s="47"/>
      <c r="I29" s="12">
        <f>'_2023_VB_bez izmaiņām'!S29</f>
        <v>543</v>
      </c>
      <c r="J29" s="12">
        <f>'_2023_VB_bez izmaiņām'!T29</f>
        <v>543</v>
      </c>
      <c r="K29" s="53">
        <f>ROUND('_2023_VB_bez izmaiņām'!K29*1.025,0)</f>
        <v>19</v>
      </c>
      <c r="L29" s="54">
        <f t="shared" si="16"/>
        <v>19</v>
      </c>
      <c r="M29" s="12">
        <f t="shared" si="17"/>
        <v>771</v>
      </c>
      <c r="N29" s="12">
        <f t="shared" si="18"/>
        <v>771</v>
      </c>
      <c r="O29" s="11">
        <v>72</v>
      </c>
      <c r="P29" s="54">
        <f t="shared" si="19"/>
        <v>72</v>
      </c>
      <c r="Q29" s="33">
        <f>'_2023_VB_bez izmaiņām'!Q29*1.025</f>
        <v>272.75485749999996</v>
      </c>
      <c r="R29" s="4">
        <f t="shared" si="20"/>
        <v>19638.349739999998</v>
      </c>
      <c r="S29" s="15">
        <f t="shared" si="21"/>
        <v>699</v>
      </c>
      <c r="T29" s="15">
        <f t="shared" si="22"/>
        <v>699</v>
      </c>
      <c r="U29" s="1">
        <v>1</v>
      </c>
      <c r="V29" s="1"/>
      <c r="W29" s="27" t="s">
        <v>109</v>
      </c>
    </row>
    <row r="30" spans="1:23" ht="46.5" customHeight="1" x14ac:dyDescent="0.35">
      <c r="A30" s="31">
        <v>20</v>
      </c>
      <c r="B30" s="32" t="s">
        <v>53</v>
      </c>
      <c r="C30" s="32" t="s">
        <v>51</v>
      </c>
      <c r="D30" s="31" t="s">
        <v>54</v>
      </c>
      <c r="E30" s="32" t="s">
        <v>9</v>
      </c>
      <c r="F30" s="32">
        <v>5</v>
      </c>
      <c r="G30" s="42" t="s">
        <v>55</v>
      </c>
      <c r="H30" s="47"/>
      <c r="I30" s="12">
        <f>'_2023_VB_bez izmaiņām'!S30</f>
        <v>34</v>
      </c>
      <c r="J30" s="12">
        <f>'_2023_VB_bez izmaiņām'!T30</f>
        <v>34</v>
      </c>
      <c r="K30" s="53">
        <f>ROUND('_2023_VB_bez izmaiņām'!K30*1.025,0)</f>
        <v>1</v>
      </c>
      <c r="L30" s="54">
        <f t="shared" si="16"/>
        <v>1</v>
      </c>
      <c r="M30" s="12">
        <f t="shared" si="17"/>
        <v>46</v>
      </c>
      <c r="N30" s="12">
        <f t="shared" si="18"/>
        <v>46</v>
      </c>
      <c r="O30" s="11">
        <v>5</v>
      </c>
      <c r="P30" s="54">
        <f t="shared" si="19"/>
        <v>5</v>
      </c>
      <c r="Q30" s="33">
        <f>'_2023_VB_bez izmaiņām'!Q30*1.025</f>
        <v>891.66543749999983</v>
      </c>
      <c r="R30" s="4">
        <f t="shared" si="20"/>
        <v>4458.3271874999991</v>
      </c>
      <c r="S30" s="15">
        <f t="shared" si="21"/>
        <v>41</v>
      </c>
      <c r="T30" s="15">
        <f t="shared" si="22"/>
        <v>41</v>
      </c>
      <c r="U30" s="1">
        <v>1</v>
      </c>
      <c r="V30" s="1"/>
    </row>
    <row r="31" spans="1:23" ht="36" customHeight="1" x14ac:dyDescent="0.35">
      <c r="A31" s="31">
        <v>21</v>
      </c>
      <c r="B31" s="32" t="s">
        <v>6</v>
      </c>
      <c r="C31" s="32" t="s">
        <v>56</v>
      </c>
      <c r="D31" s="31" t="s">
        <v>57</v>
      </c>
      <c r="E31" s="32" t="s">
        <v>9</v>
      </c>
      <c r="F31" s="32">
        <v>2</v>
      </c>
      <c r="G31" s="42" t="s">
        <v>10</v>
      </c>
      <c r="H31" s="47"/>
      <c r="I31" s="12">
        <f>'_2023_VB_bez izmaiņām'!S31</f>
        <v>0</v>
      </c>
      <c r="J31" s="12">
        <f>'_2023_VB_bez izmaiņām'!T31</f>
        <v>0</v>
      </c>
      <c r="K31" s="53">
        <f>ROUND('_2023_VB_bez izmaiņām'!K31*1.025,0)</f>
        <v>1</v>
      </c>
      <c r="L31" s="54">
        <f t="shared" si="16"/>
        <v>1</v>
      </c>
      <c r="M31" s="12">
        <f t="shared" si="17"/>
        <v>12</v>
      </c>
      <c r="N31" s="12">
        <f t="shared" si="18"/>
        <v>12</v>
      </c>
      <c r="O31" s="11">
        <v>12</v>
      </c>
      <c r="P31" s="54">
        <f t="shared" si="19"/>
        <v>12</v>
      </c>
      <c r="Q31" s="33">
        <f>'_2023_VB_bez izmaiņām'!Q31*1.025</f>
        <v>15.076468749999995</v>
      </c>
      <c r="R31" s="4">
        <f t="shared" si="20"/>
        <v>180.91762499999993</v>
      </c>
      <c r="S31" s="15">
        <f t="shared" si="21"/>
        <v>0</v>
      </c>
      <c r="T31" s="15">
        <f t="shared" si="22"/>
        <v>0</v>
      </c>
      <c r="U31" s="1"/>
      <c r="V31" s="1">
        <v>1</v>
      </c>
    </row>
    <row r="32" spans="1:23" ht="21.75" customHeight="1" x14ac:dyDescent="0.35">
      <c r="A32" s="31">
        <v>22</v>
      </c>
      <c r="B32" s="32" t="s">
        <v>6</v>
      </c>
      <c r="C32" s="32" t="s">
        <v>58</v>
      </c>
      <c r="D32" s="31" t="s">
        <v>59</v>
      </c>
      <c r="E32" s="32" t="s">
        <v>9</v>
      </c>
      <c r="F32" s="32">
        <v>5</v>
      </c>
      <c r="G32" s="42" t="s">
        <v>10</v>
      </c>
      <c r="H32" s="47"/>
      <c r="I32" s="12">
        <f>'_2023_VB_bez izmaiņām'!S32</f>
        <v>0</v>
      </c>
      <c r="J32" s="12">
        <f>'_2023_VB_bez izmaiņām'!T32</f>
        <v>0</v>
      </c>
      <c r="K32" s="53">
        <f>ROUND('_2023_VB_bez izmaiņām'!K32*1.025,0)</f>
        <v>1</v>
      </c>
      <c r="L32" s="54">
        <f t="shared" si="16"/>
        <v>1</v>
      </c>
      <c r="M32" s="12">
        <f t="shared" si="17"/>
        <v>12</v>
      </c>
      <c r="N32" s="12">
        <f t="shared" si="18"/>
        <v>12</v>
      </c>
      <c r="O32" s="11">
        <v>12</v>
      </c>
      <c r="P32" s="54">
        <f t="shared" si="19"/>
        <v>12</v>
      </c>
      <c r="Q32" s="33">
        <f>'_2023_VB_bez izmaiņām'!Q32*1.025</f>
        <v>938.1871124999999</v>
      </c>
      <c r="R32" s="4">
        <f t="shared" si="20"/>
        <v>11258.245349999999</v>
      </c>
      <c r="S32" s="15">
        <f t="shared" si="21"/>
        <v>0</v>
      </c>
      <c r="T32" s="15">
        <f t="shared" si="22"/>
        <v>0</v>
      </c>
      <c r="U32" s="1"/>
      <c r="V32" s="1">
        <v>1</v>
      </c>
    </row>
    <row r="33" spans="1:23" ht="21.75" customHeight="1" x14ac:dyDescent="0.35">
      <c r="A33" s="31">
        <v>23</v>
      </c>
      <c r="B33" s="32" t="s">
        <v>60</v>
      </c>
      <c r="C33" s="32" t="s">
        <v>61</v>
      </c>
      <c r="D33" s="31" t="s">
        <v>62</v>
      </c>
      <c r="E33" s="32" t="s">
        <v>9</v>
      </c>
      <c r="F33" s="32">
        <v>3</v>
      </c>
      <c r="G33" s="42" t="s">
        <v>10</v>
      </c>
      <c r="H33" s="47"/>
      <c r="I33" s="12">
        <f>'_2023_VB_bez izmaiņām'!S33</f>
        <v>105</v>
      </c>
      <c r="J33" s="12">
        <f>'_2023_VB_bez izmaiņām'!T33</f>
        <v>105</v>
      </c>
      <c r="K33" s="53">
        <f>ROUND('_2023_VB_bez izmaiņām'!K33*1.025,0)</f>
        <v>28</v>
      </c>
      <c r="L33" s="54">
        <f t="shared" si="16"/>
        <v>28</v>
      </c>
      <c r="M33" s="12">
        <f t="shared" si="17"/>
        <v>441</v>
      </c>
      <c r="N33" s="12">
        <f t="shared" si="18"/>
        <v>441</v>
      </c>
      <c r="O33" s="11">
        <v>272</v>
      </c>
      <c r="P33" s="54">
        <f t="shared" si="19"/>
        <v>272</v>
      </c>
      <c r="Q33" s="33">
        <f>'_2023_VB_bez izmaiņām'!Q33*1.025</f>
        <v>359.63839312499988</v>
      </c>
      <c r="R33" s="4">
        <f t="shared" si="20"/>
        <v>97821.642929999973</v>
      </c>
      <c r="S33" s="15">
        <f t="shared" si="21"/>
        <v>169</v>
      </c>
      <c r="T33" s="15">
        <f t="shared" si="22"/>
        <v>169</v>
      </c>
      <c r="U33" s="1"/>
      <c r="V33" s="1">
        <v>1</v>
      </c>
    </row>
    <row r="34" spans="1:23" ht="32.25" customHeight="1" x14ac:dyDescent="0.35">
      <c r="A34" s="31">
        <v>24</v>
      </c>
      <c r="B34" s="32" t="s">
        <v>60</v>
      </c>
      <c r="C34" s="32" t="s">
        <v>61</v>
      </c>
      <c r="D34" s="31" t="s">
        <v>108</v>
      </c>
      <c r="E34" s="32" t="s">
        <v>9</v>
      </c>
      <c r="F34" s="32">
        <v>5</v>
      </c>
      <c r="G34" s="42" t="s">
        <v>10</v>
      </c>
      <c r="H34" s="47"/>
      <c r="I34" s="12">
        <f>'_2023_VB_bez izmaiņām'!S34</f>
        <v>0</v>
      </c>
      <c r="J34" s="12">
        <f>'_2023_VB_bez izmaiņām'!T34</f>
        <v>0</v>
      </c>
      <c r="K34" s="53">
        <f>ROUND('_2023_VB_bez izmaiņām'!K34*1.025,0)</f>
        <v>0</v>
      </c>
      <c r="L34" s="54">
        <f t="shared" si="16"/>
        <v>0</v>
      </c>
      <c r="M34" s="12">
        <f t="shared" si="17"/>
        <v>0</v>
      </c>
      <c r="N34" s="12">
        <f t="shared" si="18"/>
        <v>0</v>
      </c>
      <c r="O34" s="104">
        <v>0</v>
      </c>
      <c r="P34" s="54">
        <f t="shared" si="19"/>
        <v>0</v>
      </c>
      <c r="Q34" s="33">
        <f>'_2023_VB_bez izmaiņām'!Q34*1.025</f>
        <v>0</v>
      </c>
      <c r="R34" s="4">
        <f t="shared" si="20"/>
        <v>0</v>
      </c>
      <c r="S34" s="15">
        <f t="shared" si="21"/>
        <v>0</v>
      </c>
      <c r="T34" s="15">
        <f t="shared" si="22"/>
        <v>0</v>
      </c>
      <c r="U34" s="1"/>
      <c r="V34" s="1">
        <v>1</v>
      </c>
      <c r="W34" s="27" t="s">
        <v>176</v>
      </c>
    </row>
    <row r="35" spans="1:23" ht="49.5" customHeight="1" x14ac:dyDescent="0.35">
      <c r="A35" s="31">
        <v>25</v>
      </c>
      <c r="B35" s="32" t="s">
        <v>60</v>
      </c>
      <c r="C35" s="32" t="s">
        <v>61</v>
      </c>
      <c r="D35" s="31" t="s">
        <v>63</v>
      </c>
      <c r="E35" s="32" t="s">
        <v>9</v>
      </c>
      <c r="F35" s="32">
        <v>3</v>
      </c>
      <c r="G35" s="42" t="s">
        <v>64</v>
      </c>
      <c r="H35" s="47"/>
      <c r="I35" s="12">
        <f>'_2023_VB_bez izmaiņām'!S35</f>
        <v>11</v>
      </c>
      <c r="J35" s="12">
        <f>'_2023_VB_bez izmaiņām'!T35</f>
        <v>11</v>
      </c>
      <c r="K35" s="53">
        <f>ROUND('_2023_VB_bez izmaiņām'!K35*1.025,0)</f>
        <v>2</v>
      </c>
      <c r="L35" s="54">
        <f t="shared" si="16"/>
        <v>2</v>
      </c>
      <c r="M35" s="12">
        <f t="shared" si="17"/>
        <v>35</v>
      </c>
      <c r="N35" s="12">
        <f t="shared" si="18"/>
        <v>35</v>
      </c>
      <c r="O35" s="11">
        <v>20</v>
      </c>
      <c r="P35" s="54">
        <f t="shared" si="19"/>
        <v>20</v>
      </c>
      <c r="Q35" s="33">
        <f>'_2023_VB_bez izmaiņām'!Q35*1.025</f>
        <v>156.36451874999995</v>
      </c>
      <c r="R35" s="4">
        <f t="shared" si="20"/>
        <v>3127.2903749999987</v>
      </c>
      <c r="S35" s="15">
        <f t="shared" si="21"/>
        <v>15</v>
      </c>
      <c r="T35" s="15">
        <f t="shared" si="22"/>
        <v>15</v>
      </c>
      <c r="U35" s="1"/>
      <c r="V35" s="1">
        <v>1</v>
      </c>
    </row>
    <row r="36" spans="1:23" ht="25.5" customHeight="1" x14ac:dyDescent="0.35">
      <c r="A36" s="31">
        <v>26</v>
      </c>
      <c r="B36" s="32" t="s">
        <v>141</v>
      </c>
      <c r="C36" s="32" t="s">
        <v>65</v>
      </c>
      <c r="D36" s="31" t="s">
        <v>66</v>
      </c>
      <c r="E36" s="32" t="s">
        <v>9</v>
      </c>
      <c r="F36" s="32">
        <v>5</v>
      </c>
      <c r="G36" s="42" t="s">
        <v>110</v>
      </c>
      <c r="H36" s="47"/>
      <c r="I36" s="12">
        <f>'_2023_VB_bez izmaiņām'!S36</f>
        <v>0</v>
      </c>
      <c r="J36" s="12">
        <f>'_2023_VB_bez izmaiņām'!T36</f>
        <v>0</v>
      </c>
      <c r="K36" s="53">
        <f>ROUND('_2023_VB_bez izmaiņām'!K36*1.025,0)</f>
        <v>0</v>
      </c>
      <c r="L36" s="54">
        <f t="shared" si="16"/>
        <v>0</v>
      </c>
      <c r="M36" s="12">
        <f t="shared" si="17"/>
        <v>0</v>
      </c>
      <c r="N36" s="12">
        <f t="shared" si="18"/>
        <v>0</v>
      </c>
      <c r="O36" s="104">
        <v>0</v>
      </c>
      <c r="P36" s="54">
        <f t="shared" si="19"/>
        <v>0</v>
      </c>
      <c r="Q36" s="33">
        <f>'_2023_VB_bez izmaiņām'!Q36*1.025</f>
        <v>0</v>
      </c>
      <c r="R36" s="4">
        <f t="shared" si="20"/>
        <v>0</v>
      </c>
      <c r="S36" s="15">
        <f t="shared" si="21"/>
        <v>0</v>
      </c>
      <c r="T36" s="15">
        <f t="shared" si="22"/>
        <v>0</v>
      </c>
      <c r="U36" s="1"/>
      <c r="V36" s="1">
        <v>1</v>
      </c>
      <c r="W36" s="27" t="s">
        <v>126</v>
      </c>
    </row>
    <row r="37" spans="1:23" s="34" customFormat="1" ht="71.400000000000006" customHeight="1" x14ac:dyDescent="0.35">
      <c r="A37" s="29">
        <v>27</v>
      </c>
      <c r="B37" s="30" t="s">
        <v>183</v>
      </c>
      <c r="C37" s="30" t="s">
        <v>184</v>
      </c>
      <c r="D37" s="29" t="s">
        <v>185</v>
      </c>
      <c r="E37" s="30" t="s">
        <v>9</v>
      </c>
      <c r="F37" s="30">
        <v>5</v>
      </c>
      <c r="G37" s="43" t="s">
        <v>110</v>
      </c>
      <c r="H37" s="48"/>
      <c r="I37" s="12">
        <f>'_2023_VB_bez izmaiņām'!S37</f>
        <v>31</v>
      </c>
      <c r="J37" s="12">
        <f>'_2023_VB_bez izmaiņām'!T37</f>
        <v>31</v>
      </c>
      <c r="K37" s="53">
        <f>ROUND('_2023_VB_bez izmaiņām'!K37*1.025,0)</f>
        <v>3</v>
      </c>
      <c r="L37" s="54">
        <f t="shared" si="16"/>
        <v>3</v>
      </c>
      <c r="M37" s="12">
        <f t="shared" si="17"/>
        <v>67</v>
      </c>
      <c r="N37" s="12">
        <f t="shared" si="18"/>
        <v>67</v>
      </c>
      <c r="O37" s="11">
        <v>26</v>
      </c>
      <c r="P37" s="54">
        <f t="shared" si="19"/>
        <v>26</v>
      </c>
      <c r="Q37" s="33">
        <f>'_2023_VB_bez izmaiņām'!Q37*1.025</f>
        <v>227.04085046874997</v>
      </c>
      <c r="R37" s="4">
        <f t="shared" si="20"/>
        <v>5903.0621121874992</v>
      </c>
      <c r="S37" s="15">
        <f t="shared" si="21"/>
        <v>41</v>
      </c>
      <c r="T37" s="15">
        <f t="shared" si="22"/>
        <v>41</v>
      </c>
      <c r="U37" s="19"/>
      <c r="V37" s="19">
        <v>1</v>
      </c>
      <c r="W37" s="26"/>
    </row>
    <row r="38" spans="1:23" ht="60.75" customHeight="1" x14ac:dyDescent="0.35">
      <c r="A38" s="31">
        <v>28</v>
      </c>
      <c r="B38" s="32" t="s">
        <v>168</v>
      </c>
      <c r="C38" s="32" t="s">
        <v>67</v>
      </c>
      <c r="D38" s="31" t="s">
        <v>68</v>
      </c>
      <c r="E38" s="32" t="s">
        <v>9</v>
      </c>
      <c r="F38" s="32">
        <v>3</v>
      </c>
      <c r="G38" s="42" t="s">
        <v>69</v>
      </c>
      <c r="H38" s="47"/>
      <c r="I38" s="12">
        <f>'_2023_VB_bez izmaiņām'!S38</f>
        <v>57</v>
      </c>
      <c r="J38" s="12">
        <f>'_2023_VB_bez izmaiņām'!T38</f>
        <v>57</v>
      </c>
      <c r="K38" s="53">
        <f>ROUND('_2023_VB_bez izmaiņām'!K38*1.025,0)</f>
        <v>15</v>
      </c>
      <c r="L38" s="54">
        <f t="shared" si="16"/>
        <v>15</v>
      </c>
      <c r="M38" s="12">
        <f t="shared" si="17"/>
        <v>237</v>
      </c>
      <c r="N38" s="12">
        <f t="shared" si="18"/>
        <v>237</v>
      </c>
      <c r="O38" s="11">
        <v>180</v>
      </c>
      <c r="P38" s="54">
        <f t="shared" si="19"/>
        <v>180</v>
      </c>
      <c r="Q38" s="33">
        <f>'_2023_VB_bez izmaiņām'!Q38*1.025</f>
        <v>407.00004281249994</v>
      </c>
      <c r="R38" s="4">
        <f t="shared" si="20"/>
        <v>73260.007706249991</v>
      </c>
      <c r="S38" s="15">
        <f t="shared" si="21"/>
        <v>57</v>
      </c>
      <c r="T38" s="15">
        <f t="shared" si="22"/>
        <v>57</v>
      </c>
      <c r="U38" s="1">
        <v>1</v>
      </c>
      <c r="V38" s="1"/>
    </row>
    <row r="39" spans="1:23" x14ac:dyDescent="0.35">
      <c r="A39" s="31">
        <v>29</v>
      </c>
      <c r="B39" s="32" t="s">
        <v>70</v>
      </c>
      <c r="C39" s="32" t="s">
        <v>121</v>
      </c>
      <c r="D39" s="31" t="s">
        <v>122</v>
      </c>
      <c r="E39" s="32" t="s">
        <v>9</v>
      </c>
      <c r="F39" s="32">
        <v>5</v>
      </c>
      <c r="G39" s="42" t="s">
        <v>47</v>
      </c>
      <c r="H39" s="47"/>
      <c r="I39" s="12">
        <f>'_2023_VB_bez izmaiņām'!S39</f>
        <v>9</v>
      </c>
      <c r="J39" s="12">
        <f>'_2023_VB_bez izmaiņām'!T39</f>
        <v>9</v>
      </c>
      <c r="K39" s="53">
        <f>ROUND('_2023_VB_bez izmaiņām'!K39*1.025,0)</f>
        <v>1</v>
      </c>
      <c r="L39" s="54">
        <f t="shared" si="16"/>
        <v>1</v>
      </c>
      <c r="M39" s="12">
        <f t="shared" si="17"/>
        <v>21</v>
      </c>
      <c r="N39" s="12">
        <f t="shared" si="18"/>
        <v>21</v>
      </c>
      <c r="O39" s="11">
        <v>6</v>
      </c>
      <c r="P39" s="54">
        <f t="shared" si="19"/>
        <v>6</v>
      </c>
      <c r="Q39" s="33">
        <f>'_2023_VB_bez izmaiņām'!Q39*1.025</f>
        <v>133.77135343749998</v>
      </c>
      <c r="R39" s="4">
        <f t="shared" si="20"/>
        <v>802.62812062499984</v>
      </c>
      <c r="S39" s="15">
        <f t="shared" si="21"/>
        <v>15</v>
      </c>
      <c r="T39" s="15">
        <f t="shared" si="22"/>
        <v>15</v>
      </c>
      <c r="U39" s="1">
        <v>1</v>
      </c>
      <c r="V39" s="1"/>
    </row>
    <row r="40" spans="1:23" ht="40.5" customHeight="1" x14ac:dyDescent="0.35">
      <c r="A40" s="31">
        <v>30</v>
      </c>
      <c r="B40" s="50" t="s">
        <v>71</v>
      </c>
      <c r="C40" s="50" t="s">
        <v>72</v>
      </c>
      <c r="D40" s="49" t="s">
        <v>73</v>
      </c>
      <c r="E40" s="50" t="s">
        <v>9</v>
      </c>
      <c r="F40" s="50">
        <v>5</v>
      </c>
      <c r="G40" s="51" t="s">
        <v>74</v>
      </c>
      <c r="H40" s="48"/>
      <c r="I40" s="12">
        <f>'_2023_VB_bez izmaiņām'!S40</f>
        <v>88</v>
      </c>
      <c r="J40" s="12">
        <f>'_2023_VB_bez izmaiņām'!T40</f>
        <v>88</v>
      </c>
      <c r="K40" s="53">
        <f>ROUND('_2023_VB_bez izmaiņām'!K40*1.025,0)</f>
        <v>23</v>
      </c>
      <c r="L40" s="54">
        <f t="shared" si="16"/>
        <v>23</v>
      </c>
      <c r="M40" s="12">
        <f t="shared" si="17"/>
        <v>364</v>
      </c>
      <c r="N40" s="12">
        <f t="shared" si="18"/>
        <v>364</v>
      </c>
      <c r="O40" s="11">
        <v>185</v>
      </c>
      <c r="P40" s="54">
        <f t="shared" si="19"/>
        <v>185</v>
      </c>
      <c r="Q40" s="33">
        <f>'_2023_VB_bez izmaiņām'!Q40*1.025</f>
        <v>405.25547999999992</v>
      </c>
      <c r="R40" s="4">
        <f t="shared" si="20"/>
        <v>74972.263799999986</v>
      </c>
      <c r="S40" s="15">
        <f t="shared" si="21"/>
        <v>179</v>
      </c>
      <c r="T40" s="15">
        <f t="shared" si="22"/>
        <v>179</v>
      </c>
      <c r="U40" s="19">
        <v>1</v>
      </c>
      <c r="V40" s="19"/>
      <c r="W40" s="26"/>
    </row>
    <row r="41" spans="1:23" ht="117" customHeight="1" x14ac:dyDescent="0.35">
      <c r="A41" s="50">
        <v>31</v>
      </c>
      <c r="B41" s="50" t="s">
        <v>71</v>
      </c>
      <c r="C41" s="50" t="s">
        <v>72</v>
      </c>
      <c r="D41" s="49" t="s">
        <v>75</v>
      </c>
      <c r="E41" s="50" t="s">
        <v>9</v>
      </c>
      <c r="F41" s="50">
        <v>5</v>
      </c>
      <c r="G41" s="51" t="s">
        <v>76</v>
      </c>
      <c r="H41" s="48"/>
      <c r="I41" s="12">
        <f>'_2023_VB_bez izmaiņām'!S41</f>
        <v>37</v>
      </c>
      <c r="J41" s="12">
        <f>'_2023_VB_bez izmaiņām'!T41</f>
        <v>37</v>
      </c>
      <c r="K41" s="53">
        <f>ROUND('_2023_VB_bez izmaiņām'!K41*1.025,0)</f>
        <v>1</v>
      </c>
      <c r="L41" s="54">
        <f t="shared" si="16"/>
        <v>1</v>
      </c>
      <c r="M41" s="12">
        <f t="shared" si="17"/>
        <v>49</v>
      </c>
      <c r="N41" s="12">
        <f t="shared" si="18"/>
        <v>49</v>
      </c>
      <c r="O41" s="11">
        <v>2</v>
      </c>
      <c r="P41" s="54">
        <f t="shared" si="19"/>
        <v>2</v>
      </c>
      <c r="Q41" s="33">
        <f>'_2023_VB_bez izmaiņām'!Q41*1.025</f>
        <v>374.67178624999991</v>
      </c>
      <c r="R41" s="4">
        <f t="shared" si="20"/>
        <v>749.34357249999982</v>
      </c>
      <c r="S41" s="15">
        <f t="shared" si="21"/>
        <v>47</v>
      </c>
      <c r="T41" s="15">
        <f t="shared" si="22"/>
        <v>47</v>
      </c>
      <c r="U41" s="19">
        <v>1</v>
      </c>
      <c r="V41" s="19"/>
      <c r="W41" s="26"/>
    </row>
    <row r="42" spans="1:23" ht="42.75" customHeight="1" x14ac:dyDescent="0.35">
      <c r="A42" s="31">
        <v>32</v>
      </c>
      <c r="B42" s="32" t="s">
        <v>77</v>
      </c>
      <c r="C42" s="32" t="s">
        <v>78</v>
      </c>
      <c r="D42" s="31" t="s">
        <v>99</v>
      </c>
      <c r="E42" s="32" t="s">
        <v>9</v>
      </c>
      <c r="F42" s="32">
        <v>2</v>
      </c>
      <c r="G42" s="42" t="s">
        <v>10</v>
      </c>
      <c r="H42" s="47"/>
      <c r="I42" s="12">
        <f>'_2023_VB_bez izmaiņām'!S42</f>
        <v>248</v>
      </c>
      <c r="J42" s="12">
        <f>'_2023_VB_bez izmaiņām'!T42</f>
        <v>248</v>
      </c>
      <c r="K42" s="53">
        <f>ROUND('_2023_VB_bez izmaiņām'!K42*1.025,0)</f>
        <v>37</v>
      </c>
      <c r="L42" s="54">
        <f t="shared" si="16"/>
        <v>37</v>
      </c>
      <c r="M42" s="12">
        <f t="shared" si="17"/>
        <v>692</v>
      </c>
      <c r="N42" s="12">
        <f t="shared" si="18"/>
        <v>692</v>
      </c>
      <c r="O42" s="11">
        <v>320</v>
      </c>
      <c r="P42" s="54">
        <f t="shared" si="19"/>
        <v>320</v>
      </c>
      <c r="Q42" s="33">
        <f>'_2023_VB_bez izmaiņām'!Q42*1.025</f>
        <v>77.826885468749978</v>
      </c>
      <c r="R42" s="4">
        <f t="shared" si="20"/>
        <v>24904.603349999994</v>
      </c>
      <c r="S42" s="15">
        <f t="shared" si="21"/>
        <v>372</v>
      </c>
      <c r="T42" s="15">
        <f t="shared" si="22"/>
        <v>372</v>
      </c>
      <c r="U42" s="1"/>
      <c r="V42" s="1">
        <v>1</v>
      </c>
      <c r="W42" s="27" t="s">
        <v>111</v>
      </c>
    </row>
    <row r="43" spans="1:23" ht="20.25" customHeight="1" x14ac:dyDescent="0.35">
      <c r="A43" s="31">
        <v>33</v>
      </c>
      <c r="B43" s="32" t="s">
        <v>142</v>
      </c>
      <c r="C43" s="32" t="s">
        <v>79</v>
      </c>
      <c r="D43" s="31" t="s">
        <v>80</v>
      </c>
      <c r="E43" s="32" t="s">
        <v>9</v>
      </c>
      <c r="F43" s="32">
        <v>5</v>
      </c>
      <c r="G43" s="42" t="s">
        <v>110</v>
      </c>
      <c r="H43" s="47"/>
      <c r="I43" s="12">
        <f>'_2023_VB_bez izmaiņām'!S43</f>
        <v>0</v>
      </c>
      <c r="J43" s="12">
        <f>'_2023_VB_bez izmaiņām'!T43</f>
        <v>0</v>
      </c>
      <c r="K43" s="53">
        <f>ROUND('_2023_VB_bez izmaiņām'!K43*1.025,0)</f>
        <v>0</v>
      </c>
      <c r="L43" s="54">
        <f t="shared" si="16"/>
        <v>0</v>
      </c>
      <c r="M43" s="12">
        <f t="shared" si="17"/>
        <v>0</v>
      </c>
      <c r="N43" s="12">
        <f t="shared" si="18"/>
        <v>0</v>
      </c>
      <c r="O43" s="104">
        <v>0</v>
      </c>
      <c r="P43" s="54">
        <f t="shared" si="19"/>
        <v>0</v>
      </c>
      <c r="Q43" s="33">
        <f>'_2023_VB_bez izmaiņām'!Q43*1.025</f>
        <v>0</v>
      </c>
      <c r="R43" s="4">
        <f t="shared" si="20"/>
        <v>0</v>
      </c>
      <c r="S43" s="15">
        <f t="shared" si="21"/>
        <v>0</v>
      </c>
      <c r="T43" s="15">
        <f t="shared" si="22"/>
        <v>0</v>
      </c>
      <c r="U43" s="1"/>
      <c r="V43" s="1">
        <v>1</v>
      </c>
      <c r="W43" s="27" t="s">
        <v>126</v>
      </c>
    </row>
    <row r="44" spans="1:23" ht="22.5" customHeight="1" x14ac:dyDescent="0.35">
      <c r="A44" s="31">
        <v>34</v>
      </c>
      <c r="B44" s="32" t="s">
        <v>6</v>
      </c>
      <c r="C44" s="32" t="s">
        <v>81</v>
      </c>
      <c r="D44" s="31" t="s">
        <v>82</v>
      </c>
      <c r="E44" s="32" t="s">
        <v>9</v>
      </c>
      <c r="F44" s="32">
        <v>7</v>
      </c>
      <c r="G44" s="42" t="s">
        <v>112</v>
      </c>
      <c r="H44" s="47"/>
      <c r="I44" s="12">
        <f>'_2023_VB_bez izmaiņām'!S44</f>
        <v>0</v>
      </c>
      <c r="J44" s="12">
        <f>'_2023_VB_bez izmaiņām'!T44</f>
        <v>0</v>
      </c>
      <c r="K44" s="53">
        <f>ROUND('_2023_VB_bez izmaiņām'!K44*1.025,0)</f>
        <v>0</v>
      </c>
      <c r="L44" s="54">
        <f t="shared" si="16"/>
        <v>0</v>
      </c>
      <c r="M44" s="12">
        <f t="shared" si="17"/>
        <v>0</v>
      </c>
      <c r="N44" s="12">
        <f t="shared" si="18"/>
        <v>0</v>
      </c>
      <c r="O44" s="104">
        <v>0</v>
      </c>
      <c r="P44" s="54">
        <f t="shared" si="19"/>
        <v>0</v>
      </c>
      <c r="Q44" s="33">
        <f>'_2023_VB_bez izmaiņām'!Q44*1.025</f>
        <v>0</v>
      </c>
      <c r="R44" s="4">
        <f t="shared" si="20"/>
        <v>0</v>
      </c>
      <c r="S44" s="15">
        <f t="shared" si="21"/>
        <v>0</v>
      </c>
      <c r="T44" s="15">
        <f t="shared" si="22"/>
        <v>0</v>
      </c>
      <c r="U44" s="1"/>
      <c r="V44" s="1">
        <v>1</v>
      </c>
      <c r="W44" s="27" t="s">
        <v>126</v>
      </c>
    </row>
    <row r="45" spans="1:23" ht="30" customHeight="1" x14ac:dyDescent="0.35">
      <c r="A45" s="50">
        <v>35</v>
      </c>
      <c r="B45" s="32" t="s">
        <v>77</v>
      </c>
      <c r="C45" s="32" t="s">
        <v>78</v>
      </c>
      <c r="D45" s="31" t="s">
        <v>83</v>
      </c>
      <c r="E45" s="32" t="s">
        <v>9</v>
      </c>
      <c r="F45" s="32">
        <v>5</v>
      </c>
      <c r="G45" s="42" t="s">
        <v>74</v>
      </c>
      <c r="H45" s="47"/>
      <c r="I45" s="12">
        <f>'_2023_VB_bez izmaiņām'!S45</f>
        <v>3</v>
      </c>
      <c r="J45" s="12">
        <f>'_2023_VB_bez izmaiņām'!T45</f>
        <v>3</v>
      </c>
      <c r="K45" s="53">
        <f>ROUND('_2023_VB_bez izmaiņām'!K45*1.025,0)</f>
        <v>15</v>
      </c>
      <c r="L45" s="54">
        <f t="shared" si="16"/>
        <v>15</v>
      </c>
      <c r="M45" s="12">
        <f t="shared" si="17"/>
        <v>183</v>
      </c>
      <c r="N45" s="12">
        <f t="shared" si="18"/>
        <v>183</v>
      </c>
      <c r="O45" s="11">
        <v>183</v>
      </c>
      <c r="P45" s="54">
        <f t="shared" si="19"/>
        <v>183</v>
      </c>
      <c r="Q45" s="33">
        <f>'_2023_VB_bez izmaiņām'!Q45*1.025</f>
        <v>64.08576109374998</v>
      </c>
      <c r="R45" s="4">
        <f t="shared" si="20"/>
        <v>11727.694280156245</v>
      </c>
      <c r="S45" s="15">
        <f t="shared" si="21"/>
        <v>0</v>
      </c>
      <c r="T45" s="15">
        <f t="shared" si="22"/>
        <v>0</v>
      </c>
      <c r="U45" s="1">
        <v>1</v>
      </c>
      <c r="V45" s="1"/>
    </row>
    <row r="46" spans="1:23" ht="30" customHeight="1" x14ac:dyDescent="0.35">
      <c r="A46" s="31">
        <v>36</v>
      </c>
      <c r="B46" s="32" t="s">
        <v>169</v>
      </c>
      <c r="C46" s="32" t="s">
        <v>170</v>
      </c>
      <c r="D46" s="31" t="s">
        <v>171</v>
      </c>
      <c r="E46" s="32" t="s">
        <v>9</v>
      </c>
      <c r="F46" s="32">
        <v>5</v>
      </c>
      <c r="G46" s="42" t="s">
        <v>172</v>
      </c>
      <c r="H46" s="47"/>
      <c r="I46" s="12">
        <f>'_2023_VB_bez izmaiņām'!S46</f>
        <v>0</v>
      </c>
      <c r="J46" s="12">
        <f>'_2023_VB_bez izmaiņām'!T46</f>
        <v>0</v>
      </c>
      <c r="K46" s="53">
        <f>ROUND('_2023_VB_bez izmaiņām'!K46*1.025,0)</f>
        <v>0</v>
      </c>
      <c r="L46" s="54">
        <f t="shared" si="16"/>
        <v>0</v>
      </c>
      <c r="M46" s="12">
        <f t="shared" si="17"/>
        <v>0</v>
      </c>
      <c r="N46" s="12">
        <f t="shared" si="18"/>
        <v>0</v>
      </c>
      <c r="O46" s="104">
        <v>0</v>
      </c>
      <c r="P46" s="54">
        <f t="shared" si="19"/>
        <v>0</v>
      </c>
      <c r="Q46" s="33">
        <f>'_2023_VB_bez izmaiņām'!Q46*1.025</f>
        <v>0</v>
      </c>
      <c r="R46" s="4">
        <f t="shared" si="20"/>
        <v>0</v>
      </c>
      <c r="S46" s="15">
        <f t="shared" si="21"/>
        <v>0</v>
      </c>
      <c r="T46" s="15">
        <f t="shared" si="22"/>
        <v>0</v>
      </c>
      <c r="U46" s="1">
        <v>1</v>
      </c>
      <c r="V46" s="1"/>
      <c r="W46" s="27" t="s">
        <v>126</v>
      </c>
    </row>
    <row r="47" spans="1:23" ht="63.75" customHeight="1" x14ac:dyDescent="0.35">
      <c r="A47" s="31">
        <v>37</v>
      </c>
      <c r="B47" s="32" t="s">
        <v>84</v>
      </c>
      <c r="C47" s="32" t="s">
        <v>79</v>
      </c>
      <c r="D47" s="31" t="s">
        <v>85</v>
      </c>
      <c r="E47" s="32" t="s">
        <v>9</v>
      </c>
      <c r="F47" s="32">
        <v>5</v>
      </c>
      <c r="G47" s="42" t="s">
        <v>86</v>
      </c>
      <c r="H47" s="47"/>
      <c r="I47" s="12">
        <f>'_2023_VB_bez izmaiņām'!S47</f>
        <v>2</v>
      </c>
      <c r="J47" s="12">
        <f>'_2023_VB_bez izmaiņām'!T47</f>
        <v>2</v>
      </c>
      <c r="K47" s="53">
        <f>ROUND('_2023_VB_bez izmaiņām'!K47*1.025,0)</f>
        <v>6</v>
      </c>
      <c r="L47" s="54">
        <f t="shared" si="16"/>
        <v>6</v>
      </c>
      <c r="M47" s="12">
        <f t="shared" si="17"/>
        <v>74</v>
      </c>
      <c r="N47" s="12">
        <f t="shared" si="18"/>
        <v>74</v>
      </c>
      <c r="O47" s="11">
        <v>70</v>
      </c>
      <c r="P47" s="54">
        <f t="shared" si="19"/>
        <v>70</v>
      </c>
      <c r="Q47" s="33">
        <f>'_2023_VB_bez izmaiņām'!Q47*1.025</f>
        <v>166.78881999999996</v>
      </c>
      <c r="R47" s="4">
        <f t="shared" si="20"/>
        <v>11675.217399999998</v>
      </c>
      <c r="S47" s="15">
        <f t="shared" si="21"/>
        <v>4</v>
      </c>
      <c r="T47" s="15">
        <f t="shared" si="22"/>
        <v>4</v>
      </c>
      <c r="U47" s="1"/>
      <c r="V47" s="1">
        <v>1</v>
      </c>
    </row>
    <row r="48" spans="1:23" ht="53.25" customHeight="1" x14ac:dyDescent="0.35">
      <c r="A48" s="31">
        <v>38</v>
      </c>
      <c r="B48" s="50" t="s">
        <v>87</v>
      </c>
      <c r="C48" s="50" t="s">
        <v>88</v>
      </c>
      <c r="D48" s="49" t="s">
        <v>89</v>
      </c>
      <c r="E48" s="50" t="s">
        <v>9</v>
      </c>
      <c r="F48" s="50">
        <v>5</v>
      </c>
      <c r="G48" s="51" t="s">
        <v>10</v>
      </c>
      <c r="H48" s="48"/>
      <c r="I48" s="12">
        <f>'_2023_VB_bez izmaiņām'!S48</f>
        <v>67</v>
      </c>
      <c r="J48" s="12">
        <f>'_2023_VB_bez izmaiņām'!T48</f>
        <v>67</v>
      </c>
      <c r="K48" s="53">
        <f>ROUND('_2023_VB_bez izmaiņām'!K48*1.025,0)</f>
        <v>3</v>
      </c>
      <c r="L48" s="54">
        <f t="shared" si="16"/>
        <v>3</v>
      </c>
      <c r="M48" s="12">
        <f t="shared" si="17"/>
        <v>103</v>
      </c>
      <c r="N48" s="12">
        <f t="shared" si="18"/>
        <v>103</v>
      </c>
      <c r="O48" s="11">
        <v>10</v>
      </c>
      <c r="P48" s="54">
        <f t="shared" si="19"/>
        <v>10</v>
      </c>
      <c r="Q48" s="33">
        <f>'_2023_VB_bez izmaiņām'!Q48*1.025</f>
        <v>1366.8865014062496</v>
      </c>
      <c r="R48" s="4">
        <f t="shared" si="20"/>
        <v>13668.865014062496</v>
      </c>
      <c r="S48" s="15">
        <f t="shared" si="21"/>
        <v>93</v>
      </c>
      <c r="T48" s="15">
        <f t="shared" si="22"/>
        <v>93</v>
      </c>
      <c r="U48" s="1"/>
      <c r="V48" s="1">
        <v>1</v>
      </c>
    </row>
    <row r="49" spans="1:24" x14ac:dyDescent="0.35">
      <c r="A49" s="50">
        <v>39</v>
      </c>
      <c r="B49" s="32" t="s">
        <v>87</v>
      </c>
      <c r="C49" s="32" t="s">
        <v>90</v>
      </c>
      <c r="D49" s="31" t="s">
        <v>113</v>
      </c>
      <c r="E49" s="32" t="s">
        <v>9</v>
      </c>
      <c r="F49" s="32">
        <v>5</v>
      </c>
      <c r="G49" s="42" t="s">
        <v>10</v>
      </c>
      <c r="H49" s="47"/>
      <c r="I49" s="12">
        <f>'_2023_VB_bez izmaiņām'!S49</f>
        <v>0</v>
      </c>
      <c r="J49" s="12">
        <f>'_2023_VB_bez izmaiņām'!T49</f>
        <v>0</v>
      </c>
      <c r="K49" s="53">
        <f>ROUND('_2023_VB_bez izmaiņām'!K49*1.025,0)</f>
        <v>0</v>
      </c>
      <c r="L49" s="54">
        <f t="shared" si="16"/>
        <v>0</v>
      </c>
      <c r="M49" s="12">
        <f t="shared" si="17"/>
        <v>0</v>
      </c>
      <c r="N49" s="12">
        <f t="shared" si="18"/>
        <v>0</v>
      </c>
      <c r="O49" s="104">
        <v>0</v>
      </c>
      <c r="P49" s="54">
        <f t="shared" si="19"/>
        <v>0</v>
      </c>
      <c r="Q49" s="33">
        <f>'_2023_VB_bez izmaiņām'!Q49*1.025</f>
        <v>215.37812499999993</v>
      </c>
      <c r="R49" s="4">
        <f t="shared" si="20"/>
        <v>0</v>
      </c>
      <c r="S49" s="15">
        <f t="shared" si="21"/>
        <v>0</v>
      </c>
      <c r="T49" s="15">
        <f t="shared" si="22"/>
        <v>0</v>
      </c>
      <c r="U49" s="1"/>
      <c r="V49" s="1">
        <v>1</v>
      </c>
      <c r="W49" s="27" t="s">
        <v>109</v>
      </c>
    </row>
    <row r="50" spans="1:24" ht="20.25" customHeight="1" x14ac:dyDescent="0.35">
      <c r="A50" s="39"/>
      <c r="B50" s="40"/>
      <c r="C50" s="41">
        <v>27</v>
      </c>
      <c r="D50" s="188" t="s">
        <v>91</v>
      </c>
      <c r="E50" s="188"/>
      <c r="F50" s="188"/>
      <c r="G50" s="188"/>
      <c r="H50" s="63"/>
      <c r="I50" s="9">
        <f>I51+I52</f>
        <v>16</v>
      </c>
      <c r="J50" s="9">
        <f t="shared" ref="J50:P50" si="23">J51+J52</f>
        <v>16</v>
      </c>
      <c r="K50" s="9">
        <f t="shared" si="23"/>
        <v>10</v>
      </c>
      <c r="L50" s="9">
        <f t="shared" si="23"/>
        <v>10</v>
      </c>
      <c r="M50" s="9">
        <f t="shared" si="23"/>
        <v>136</v>
      </c>
      <c r="N50" s="9">
        <f t="shared" si="23"/>
        <v>136</v>
      </c>
      <c r="O50" s="9">
        <f t="shared" si="23"/>
        <v>115</v>
      </c>
      <c r="P50" s="9">
        <f t="shared" si="23"/>
        <v>115</v>
      </c>
      <c r="Q50" s="52" t="s">
        <v>119</v>
      </c>
      <c r="R50" s="3">
        <f t="shared" ref="R50" si="24">R51+R52</f>
        <v>7712.6798873437492</v>
      </c>
      <c r="S50" s="9">
        <f>S51+S52</f>
        <v>21</v>
      </c>
      <c r="T50" s="9">
        <f>T51+T52</f>
        <v>21</v>
      </c>
      <c r="U50" s="7"/>
      <c r="V50" s="7">
        <v>1</v>
      </c>
    </row>
    <row r="51" spans="1:24" ht="28" x14ac:dyDescent="0.35">
      <c r="A51" s="31">
        <v>40</v>
      </c>
      <c r="B51" s="32" t="s">
        <v>6</v>
      </c>
      <c r="C51" s="32" t="s">
        <v>92</v>
      </c>
      <c r="D51" s="31" t="s">
        <v>93</v>
      </c>
      <c r="E51" s="32" t="s">
        <v>9</v>
      </c>
      <c r="F51" s="32">
        <v>3</v>
      </c>
      <c r="G51" s="42" t="s">
        <v>10</v>
      </c>
      <c r="H51" s="47"/>
      <c r="I51" s="12">
        <f>'_2023_VB_bez izmaiņām'!S51</f>
        <v>0</v>
      </c>
      <c r="J51" s="12">
        <f>'_2023_VB_bez izmaiņām'!T51</f>
        <v>0</v>
      </c>
      <c r="K51" s="53">
        <f>ROUND('_2023_VB_bez izmaiņām'!K51*1.025,0)</f>
        <v>8</v>
      </c>
      <c r="L51" s="54">
        <f t="shared" ref="L51:L52" si="25">IF(I51=0,K51,K51*(J51/I51))</f>
        <v>8</v>
      </c>
      <c r="M51" s="12">
        <f t="shared" ref="M51:M52" si="26">I51+(K51*12)</f>
        <v>96</v>
      </c>
      <c r="N51" s="12">
        <f t="shared" ref="N51:N52" si="27">J51+(L51*12)</f>
        <v>96</v>
      </c>
      <c r="O51" s="11">
        <v>96</v>
      </c>
      <c r="P51" s="54">
        <f t="shared" ref="P51:P52" si="28">IF(I51=0,O51,O51*(J51/I51))</f>
        <v>96</v>
      </c>
      <c r="Q51" s="33">
        <f>'_2023_VB_bez izmaiņām'!Q51*1.025</f>
        <v>37.788092031249995</v>
      </c>
      <c r="R51" s="4">
        <f t="shared" ref="R51:R52" si="29">Q51*P51</f>
        <v>3627.6568349999998</v>
      </c>
      <c r="S51" s="15">
        <f t="shared" ref="S51:S52" si="30">M51-O51</f>
        <v>0</v>
      </c>
      <c r="T51" s="15">
        <f t="shared" ref="T51:T52" si="31">N51-P51</f>
        <v>0</v>
      </c>
      <c r="U51" s="1"/>
      <c r="V51" s="1">
        <v>1</v>
      </c>
    </row>
    <row r="52" spans="1:24" x14ac:dyDescent="0.35">
      <c r="A52" s="31">
        <v>41</v>
      </c>
      <c r="B52" s="32" t="s">
        <v>6</v>
      </c>
      <c r="C52" s="32" t="s">
        <v>94</v>
      </c>
      <c r="D52" s="31" t="s">
        <v>95</v>
      </c>
      <c r="E52" s="32" t="s">
        <v>9</v>
      </c>
      <c r="F52" s="32">
        <v>5</v>
      </c>
      <c r="G52" s="42" t="s">
        <v>10</v>
      </c>
      <c r="H52" s="47"/>
      <c r="I52" s="12">
        <f>'_2023_VB_bez izmaiņām'!S52</f>
        <v>16</v>
      </c>
      <c r="J52" s="12">
        <f>'_2023_VB_bez izmaiņām'!T52</f>
        <v>16</v>
      </c>
      <c r="K52" s="53">
        <f>ROUND('_2023_VB_bez izmaiņām'!K52*1.025,0)</f>
        <v>2</v>
      </c>
      <c r="L52" s="54">
        <f t="shared" si="25"/>
        <v>2</v>
      </c>
      <c r="M52" s="12">
        <f t="shared" si="26"/>
        <v>40</v>
      </c>
      <c r="N52" s="12">
        <f t="shared" si="27"/>
        <v>40</v>
      </c>
      <c r="O52" s="11">
        <v>19</v>
      </c>
      <c r="P52" s="54">
        <f t="shared" si="28"/>
        <v>19</v>
      </c>
      <c r="Q52" s="33">
        <f>'_2023_VB_bez izmaiņām'!Q52*1.025</f>
        <v>215.00121328124996</v>
      </c>
      <c r="R52" s="4">
        <f t="shared" si="29"/>
        <v>4085.0230523437494</v>
      </c>
      <c r="S52" s="15">
        <f t="shared" si="30"/>
        <v>21</v>
      </c>
      <c r="T52" s="15">
        <f t="shared" si="31"/>
        <v>21</v>
      </c>
      <c r="U52" s="1"/>
      <c r="V52" s="1">
        <v>1</v>
      </c>
    </row>
    <row r="53" spans="1:24" x14ac:dyDescent="0.35">
      <c r="I53" s="106">
        <f>ROUND(I8+I13+I15+I18+I21+I50,0)</f>
        <v>9349</v>
      </c>
      <c r="J53" s="17">
        <f>ROUND(J8+J13+J15+J18+J21+J50,0)</f>
        <v>14116</v>
      </c>
      <c r="K53" s="17">
        <f t="shared" ref="K53:P53" si="32">ROUND(K8+K13+K15+K18+K21+K50,0)</f>
        <v>690</v>
      </c>
      <c r="L53" s="17">
        <f t="shared" si="32"/>
        <v>897</v>
      </c>
      <c r="M53" s="17">
        <f t="shared" si="32"/>
        <v>17629</v>
      </c>
      <c r="N53" s="17">
        <f t="shared" si="32"/>
        <v>24886</v>
      </c>
      <c r="O53" s="106">
        <f>ROUND(O8+O13+O15+O18+O21+O50,0)</f>
        <v>5940</v>
      </c>
      <c r="P53" s="17">
        <f t="shared" si="32"/>
        <v>7412</v>
      </c>
      <c r="Q53" s="21" t="s">
        <v>119</v>
      </c>
      <c r="R53" s="17">
        <f>ROUND(R8+R13+R15+R18+R21+R50,0)</f>
        <v>1844850</v>
      </c>
      <c r="S53" s="106">
        <f>ROUND(S8+S13+S15+S18+S21+S50,0)</f>
        <v>11689</v>
      </c>
      <c r="T53" s="17">
        <f t="shared" ref="T53" si="33">ROUND(T8+T13+T15+T18+T21+T50,0)</f>
        <v>17474</v>
      </c>
      <c r="X53" s="57"/>
    </row>
    <row r="54" spans="1:24" x14ac:dyDescent="0.35">
      <c r="I54" s="18">
        <f>ROUND(I27+I28+I29+I30+I38+I39+I40+I41+I45+I46,0)</f>
        <v>8263</v>
      </c>
      <c r="J54" s="18">
        <f t="shared" ref="J54:W54" si="34">ROUND(J27+J28+J29+J30+J38+J39+J40+J41+J45+J46,0)</f>
        <v>13030</v>
      </c>
      <c r="K54" s="18">
        <f t="shared" si="34"/>
        <v>401</v>
      </c>
      <c r="L54" s="18">
        <f t="shared" si="34"/>
        <v>608</v>
      </c>
      <c r="M54" s="18">
        <f t="shared" si="34"/>
        <v>13075</v>
      </c>
      <c r="N54" s="18">
        <f t="shared" si="34"/>
        <v>20332</v>
      </c>
      <c r="O54" s="18">
        <f t="shared" si="34"/>
        <v>2943</v>
      </c>
      <c r="P54" s="18">
        <f t="shared" si="34"/>
        <v>4415</v>
      </c>
      <c r="Q54" s="18"/>
      <c r="R54" s="18">
        <f t="shared" si="34"/>
        <v>1166981</v>
      </c>
      <c r="S54" s="18">
        <f t="shared" si="34"/>
        <v>10132</v>
      </c>
      <c r="T54" s="18">
        <f t="shared" si="34"/>
        <v>15917</v>
      </c>
      <c r="U54" s="18">
        <f t="shared" si="34"/>
        <v>10</v>
      </c>
      <c r="V54" s="18">
        <f t="shared" si="34"/>
        <v>0</v>
      </c>
      <c r="W54" s="18" t="e">
        <f t="shared" si="34"/>
        <v>#VALUE!</v>
      </c>
    </row>
    <row r="55" spans="1:24" x14ac:dyDescent="0.35">
      <c r="P55" s="184" t="s">
        <v>231</v>
      </c>
      <c r="Q55" s="185" t="s">
        <v>130</v>
      </c>
      <c r="R55" s="18">
        <v>1166981</v>
      </c>
    </row>
    <row r="56" spans="1:24" x14ac:dyDescent="0.35">
      <c r="P56" s="184" t="s">
        <v>131</v>
      </c>
      <c r="Q56" s="185" t="s">
        <v>131</v>
      </c>
      <c r="R56" s="18">
        <f>R54-R55</f>
        <v>0</v>
      </c>
    </row>
    <row r="58" spans="1:24" x14ac:dyDescent="0.35">
      <c r="I58" s="18">
        <f>ROUND(I9+I10+I11+I12+I14+I16+I17+I19+I20+I22+I23+I24+I25+I26+I31+I32+I33+I34+I35+I36+I42+I43+I44+I47+I49+I51+I52+I48+I37,0)</f>
        <v>1086</v>
      </c>
      <c r="J58" s="18">
        <f t="shared" ref="J58:P58" si="35">ROUND(J9+J10+J11+J12+J14+J16+J17+J19+J20+J22+J23+J24+J25+J26+J31+J32+J33+J34+J35+J36+J42+J43+J44+J47+J49+J51+J52+J48+J37,0)</f>
        <v>1086</v>
      </c>
      <c r="K58" s="18">
        <f t="shared" si="35"/>
        <v>289</v>
      </c>
      <c r="L58" s="18">
        <f t="shared" si="35"/>
        <v>289</v>
      </c>
      <c r="M58" s="18">
        <f t="shared" si="35"/>
        <v>4554</v>
      </c>
      <c r="N58" s="18">
        <f t="shared" si="35"/>
        <v>4554</v>
      </c>
      <c r="O58" s="18">
        <f t="shared" si="35"/>
        <v>2997</v>
      </c>
      <c r="P58" s="18">
        <f t="shared" si="35"/>
        <v>2997</v>
      </c>
      <c r="Q58" s="18"/>
      <c r="R58" s="18">
        <f>ROUND(R9+R10+R11+R12+R14+R16+R17+R19+R20+R22+R23+R24+R25+R26+R31+R32+R33+R34+R35+R36+R42+R43+R44+R47+R49+R51+R52+R48+R37,0)</f>
        <v>677869</v>
      </c>
      <c r="S58" s="18">
        <f t="shared" ref="S58:T58" si="36">ROUND(S9+S10+S11+S12+S14+S16+S17+S19+S20+S22+S23+S24+S25+S26+S31+S32+S33+S34+S35+S36+S42+S43+S44+S47+S49+S51+S52+S48+S37,0)</f>
        <v>1557</v>
      </c>
      <c r="T58" s="18">
        <f t="shared" si="36"/>
        <v>1557</v>
      </c>
      <c r="U58" s="18"/>
      <c r="V58" s="18"/>
      <c r="W58" s="18"/>
    </row>
    <row r="59" spans="1:24" x14ac:dyDescent="0.35">
      <c r="P59" s="184" t="s">
        <v>232</v>
      </c>
      <c r="Q59" s="185" t="s">
        <v>130</v>
      </c>
      <c r="R59" s="18">
        <v>677869</v>
      </c>
    </row>
    <row r="60" spans="1:24" x14ac:dyDescent="0.35">
      <c r="P60" s="184" t="s">
        <v>132</v>
      </c>
      <c r="Q60" s="185" t="s">
        <v>131</v>
      </c>
      <c r="R60" s="18">
        <f>R58-R59</f>
        <v>0</v>
      </c>
    </row>
    <row r="62" spans="1:24" x14ac:dyDescent="0.35">
      <c r="Q62" s="65" t="s">
        <v>233</v>
      </c>
      <c r="R62" s="18">
        <f>R55+R59</f>
        <v>1844850</v>
      </c>
    </row>
    <row r="63" spans="1:24" ht="18" x14ac:dyDescent="0.35">
      <c r="O63" s="66"/>
      <c r="P63" s="66"/>
      <c r="Q63" s="67" t="s">
        <v>245</v>
      </c>
      <c r="R63" s="77">
        <f>R53-R62</f>
        <v>0</v>
      </c>
    </row>
    <row r="64" spans="1:24" x14ac:dyDescent="0.35">
      <c r="R64" s="18">
        <f>R53-R55-R59-R60-R56</f>
        <v>0</v>
      </c>
    </row>
    <row r="65" spans="9:23" x14ac:dyDescent="0.35">
      <c r="I65" s="18">
        <f>I53-I54-I58</f>
        <v>0</v>
      </c>
      <c r="J65" s="18">
        <f t="shared" ref="J65:P65" si="37">J53-J54-J58</f>
        <v>0</v>
      </c>
      <c r="K65" s="18">
        <f t="shared" si="37"/>
        <v>0</v>
      </c>
      <c r="L65" s="18">
        <f t="shared" si="37"/>
        <v>0</v>
      </c>
      <c r="M65" s="18">
        <f t="shared" si="37"/>
        <v>0</v>
      </c>
      <c r="N65" s="18">
        <f t="shared" si="37"/>
        <v>0</v>
      </c>
      <c r="O65" s="18">
        <f t="shared" si="37"/>
        <v>0</v>
      </c>
      <c r="P65" s="18">
        <f t="shared" si="37"/>
        <v>0</v>
      </c>
      <c r="Q65" s="18"/>
      <c r="R65" s="18">
        <f>R53-R54-R58</f>
        <v>0</v>
      </c>
      <c r="S65" s="18">
        <f>S53-S54-S58</f>
        <v>0</v>
      </c>
      <c r="T65" s="18">
        <f>T53-T54-T58</f>
        <v>0</v>
      </c>
    </row>
    <row r="67" spans="9:23" x14ac:dyDescent="0.35">
      <c r="I67" s="18">
        <f>ROUND(I54,0)+ ROUND(I58,0)-ROUND(I53,0)</f>
        <v>0</v>
      </c>
      <c r="J67" s="18">
        <f t="shared" ref="J67:T67" si="38">ROUND(J54,0)+ ROUND(J58,0)-ROUND(J53,0)</f>
        <v>0</v>
      </c>
      <c r="K67" s="18">
        <f t="shared" si="38"/>
        <v>0</v>
      </c>
      <c r="L67" s="18">
        <f t="shared" si="38"/>
        <v>0</v>
      </c>
      <c r="M67" s="18">
        <f t="shared" si="38"/>
        <v>0</v>
      </c>
      <c r="N67" s="18">
        <f t="shared" si="38"/>
        <v>0</v>
      </c>
      <c r="O67" s="18">
        <f t="shared" si="38"/>
        <v>0</v>
      </c>
      <c r="P67" s="18">
        <f t="shared" si="38"/>
        <v>0</v>
      </c>
      <c r="Q67" s="18"/>
      <c r="R67" s="18">
        <f t="shared" si="38"/>
        <v>0</v>
      </c>
      <c r="S67" s="18">
        <f t="shared" si="38"/>
        <v>0</v>
      </c>
      <c r="T67" s="18">
        <f t="shared" si="38"/>
        <v>0</v>
      </c>
      <c r="U67" s="18">
        <f t="shared" ref="U67:W67" si="39">ROUND(U54,0)+ ROUND(U58,0)-ROUND(U53,0)</f>
        <v>10</v>
      </c>
      <c r="V67" s="18">
        <f t="shared" si="39"/>
        <v>0</v>
      </c>
      <c r="W67" s="18" t="e">
        <f t="shared" si="39"/>
        <v>#VALUE!</v>
      </c>
    </row>
    <row r="68" spans="9:23" x14ac:dyDescent="0.35">
      <c r="I68" s="75"/>
      <c r="J68" s="75"/>
      <c r="K68" s="75"/>
      <c r="O68" s="75"/>
      <c r="Q68" s="76"/>
      <c r="R68" s="18">
        <f>ROUND(R55,0)+ROUND(R56,0)-ROUND(R54,0)</f>
        <v>0</v>
      </c>
    </row>
    <row r="69" spans="9:23" x14ac:dyDescent="0.35">
      <c r="I69" s="75"/>
      <c r="J69" s="75"/>
      <c r="K69" s="75"/>
      <c r="O69" s="75"/>
      <c r="Q69" s="76"/>
      <c r="R69" s="18">
        <f>ROUND(R59,0)+ROUND(R60,0)-ROUND(R58,0)</f>
        <v>0</v>
      </c>
    </row>
    <row r="70" spans="9:23" x14ac:dyDescent="0.35">
      <c r="I70" s="75"/>
      <c r="J70" s="75"/>
      <c r="K70" s="75"/>
      <c r="O70" s="75"/>
      <c r="Q70" s="76"/>
      <c r="R70" s="18">
        <f>ROUND(R56,0)+ROUND(R60,0)-ROUND(R63,0)</f>
        <v>0</v>
      </c>
    </row>
    <row r="71" spans="9:23" x14ac:dyDescent="0.35">
      <c r="I71" s="75"/>
      <c r="J71" s="75"/>
      <c r="K71" s="75"/>
      <c r="O71" s="75"/>
      <c r="Q71" s="76"/>
    </row>
    <row r="72" spans="9:23" x14ac:dyDescent="0.35">
      <c r="I72" s="75"/>
      <c r="J72" s="75"/>
      <c r="K72" s="75"/>
      <c r="O72" s="75"/>
      <c r="Q72" s="76"/>
    </row>
  </sheetData>
  <autoFilter ref="A7:Z52" xr:uid="{D1B79ED2-EAB1-4B47-B3F6-DBA429A86CFF}"/>
  <mergeCells count="22">
    <mergeCell ref="P60:Q60"/>
    <mergeCell ref="R5:R6"/>
    <mergeCell ref="S5:T5"/>
    <mergeCell ref="D8:G8"/>
    <mergeCell ref="D13:G13"/>
    <mergeCell ref="D15:G15"/>
    <mergeCell ref="D18:G18"/>
    <mergeCell ref="D21:G21"/>
    <mergeCell ref="D50:G50"/>
    <mergeCell ref="P55:Q55"/>
    <mergeCell ref="P56:Q56"/>
    <mergeCell ref="P59:Q59"/>
    <mergeCell ref="A1:T1"/>
    <mergeCell ref="A2:T2"/>
    <mergeCell ref="A3:T3"/>
    <mergeCell ref="I4:R4"/>
    <mergeCell ref="A5:G5"/>
    <mergeCell ref="I5:J5"/>
    <mergeCell ref="K5:L5"/>
    <mergeCell ref="M5:N5"/>
    <mergeCell ref="O5:P5"/>
    <mergeCell ref="Q5:Q6"/>
  </mergeCells>
  <pageMargins left="0.51181102362204722" right="0.31496062992125984" top="0.94488188976377963" bottom="0.59055118110236227"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378-5D9A-410B-AF2C-58D34D31579E}">
  <dimension ref="B1:E9"/>
  <sheetViews>
    <sheetView workbookViewId="0">
      <selection activeCell="K12" sqref="K12"/>
    </sheetView>
  </sheetViews>
  <sheetFormatPr defaultRowHeight="14.5" x14ac:dyDescent="0.35"/>
  <cols>
    <col min="2" max="2" width="41.453125" customWidth="1"/>
    <col min="3" max="5" width="14.08984375" customWidth="1"/>
  </cols>
  <sheetData>
    <row r="1" spans="2:5" x14ac:dyDescent="0.35">
      <c r="B1" s="204" t="s">
        <v>253</v>
      </c>
      <c r="C1" s="204"/>
      <c r="D1" s="204"/>
      <c r="E1" s="204"/>
    </row>
    <row r="2" spans="2:5" ht="14.4" customHeight="1" x14ac:dyDescent="0.35">
      <c r="B2" s="203" t="s">
        <v>259</v>
      </c>
      <c r="C2" s="169">
        <v>2021</v>
      </c>
      <c r="D2" s="169">
        <v>2022</v>
      </c>
      <c r="E2" s="169">
        <v>2023</v>
      </c>
    </row>
    <row r="3" spans="2:5" ht="20.399999999999999" customHeight="1" x14ac:dyDescent="0.35">
      <c r="B3" s="203"/>
      <c r="C3" s="172">
        <v>46813352</v>
      </c>
      <c r="D3" s="172">
        <v>58828056</v>
      </c>
      <c r="E3" s="172">
        <v>60836799</v>
      </c>
    </row>
    <row r="4" spans="2:5" x14ac:dyDescent="0.35">
      <c r="B4" s="167" t="s">
        <v>254</v>
      </c>
      <c r="C4" s="168">
        <f>KOPSAVILKUMS!C7</f>
        <v>1260593</v>
      </c>
      <c r="D4" s="168">
        <f>C4</f>
        <v>1260593</v>
      </c>
      <c r="E4" s="168">
        <f>D4</f>
        <v>1260593</v>
      </c>
    </row>
    <row r="5" spans="2:5" x14ac:dyDescent="0.35">
      <c r="B5" s="167" t="s">
        <v>255</v>
      </c>
      <c r="C5" s="168">
        <f>KOPSAVILKUMS!C8</f>
        <v>776302</v>
      </c>
      <c r="D5" s="168">
        <f t="shared" ref="D5:E5" si="0">C5</f>
        <v>776302</v>
      </c>
      <c r="E5" s="168">
        <f t="shared" si="0"/>
        <v>776302</v>
      </c>
    </row>
    <row r="6" spans="2:5" ht="42.5" x14ac:dyDescent="0.35">
      <c r="B6" s="167" t="s">
        <v>256</v>
      </c>
      <c r="C6" s="168">
        <v>386843</v>
      </c>
      <c r="D6" s="168">
        <f t="shared" ref="D6:E6" si="1">C6</f>
        <v>386843</v>
      </c>
      <c r="E6" s="168">
        <f t="shared" si="1"/>
        <v>386843</v>
      </c>
    </row>
    <row r="7" spans="2:5" ht="42.5" x14ac:dyDescent="0.35">
      <c r="B7" s="167" t="s">
        <v>257</v>
      </c>
      <c r="C7" s="168">
        <v>410199.05000000005</v>
      </c>
      <c r="D7" s="168">
        <f t="shared" ref="D7:E7" si="2">C7</f>
        <v>410199.05000000005</v>
      </c>
      <c r="E7" s="168">
        <f t="shared" si="2"/>
        <v>410199.05000000005</v>
      </c>
    </row>
    <row r="8" spans="2:5" ht="28.5" x14ac:dyDescent="0.35">
      <c r="B8" s="167" t="s">
        <v>258</v>
      </c>
      <c r="C8" s="168">
        <v>495940.95000000007</v>
      </c>
      <c r="D8" s="168">
        <f t="shared" ref="D8:E8" si="3">C8</f>
        <v>495940.95000000007</v>
      </c>
      <c r="E8" s="168">
        <f t="shared" si="3"/>
        <v>495940.95000000007</v>
      </c>
    </row>
    <row r="9" spans="2:5" x14ac:dyDescent="0.35">
      <c r="B9" s="170" t="s">
        <v>260</v>
      </c>
      <c r="C9" s="171">
        <f>C4+C5+C6+C7+C8</f>
        <v>3329878</v>
      </c>
      <c r="D9" s="171">
        <f t="shared" ref="D9:E9" si="4">D4+D5+D6+D7+D8</f>
        <v>3329878</v>
      </c>
      <c r="E9" s="171">
        <f t="shared" si="4"/>
        <v>3329878</v>
      </c>
    </row>
  </sheetData>
  <mergeCells count="2">
    <mergeCell ref="B2:B3"/>
    <mergeCell ref="B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4ED0-1F2C-401F-ADF9-B908AB88B472}">
  <sheetPr>
    <tabColor rgb="FF92D050"/>
  </sheetPr>
  <dimension ref="A1:Y70"/>
  <sheetViews>
    <sheetView zoomScale="70" zoomScaleNormal="70" workbookViewId="0">
      <pane ySplit="7" topLeftCell="A55" activePane="bottomLeft" state="frozen"/>
      <selection activeCell="D1" sqref="D1"/>
      <selection pane="bottomLeft" activeCell="A3" sqref="A3:T3"/>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22.54296875" style="27" hidden="1" customWidth="1"/>
    <col min="24" max="24" width="20.08984375" style="72" customWidth="1"/>
    <col min="25" max="26" width="9.08984375" style="72" customWidth="1"/>
    <col min="27" max="16384" width="9.08984375" style="72"/>
  </cols>
  <sheetData>
    <row r="1" spans="1:25" s="44" customFormat="1" x14ac:dyDescent="0.35">
      <c r="A1" s="189" t="s">
        <v>189</v>
      </c>
      <c r="B1" s="189"/>
      <c r="C1" s="189"/>
      <c r="D1" s="189"/>
      <c r="E1" s="189"/>
      <c r="F1" s="189"/>
      <c r="G1" s="189"/>
      <c r="H1" s="189"/>
      <c r="I1" s="189"/>
      <c r="J1" s="189"/>
      <c r="K1" s="189"/>
      <c r="L1" s="189"/>
      <c r="M1" s="189"/>
      <c r="N1" s="189"/>
      <c r="O1" s="189"/>
      <c r="P1" s="189"/>
      <c r="Q1" s="189"/>
      <c r="R1" s="189"/>
      <c r="S1" s="189"/>
      <c r="T1" s="189"/>
      <c r="U1" s="8"/>
      <c r="V1" s="8"/>
      <c r="W1" s="27"/>
    </row>
    <row r="2" spans="1:25" s="44" customFormat="1" x14ac:dyDescent="0.35">
      <c r="A2" s="190" t="s">
        <v>187</v>
      </c>
      <c r="B2" s="190"/>
      <c r="C2" s="190"/>
      <c r="D2" s="190"/>
      <c r="E2" s="190"/>
      <c r="F2" s="190"/>
      <c r="G2" s="190"/>
      <c r="H2" s="190"/>
      <c r="I2" s="190"/>
      <c r="J2" s="190"/>
      <c r="K2" s="190"/>
      <c r="L2" s="190"/>
      <c r="M2" s="190"/>
      <c r="N2" s="190"/>
      <c r="O2" s="190"/>
      <c r="P2" s="190"/>
      <c r="Q2" s="190"/>
      <c r="R2" s="190"/>
      <c r="S2" s="190"/>
      <c r="T2" s="190"/>
      <c r="U2" s="8"/>
      <c r="V2" s="8"/>
      <c r="W2" s="27"/>
    </row>
    <row r="3" spans="1:25" s="44" customFormat="1" ht="75" customHeight="1" x14ac:dyDescent="0.35">
      <c r="A3" s="191" t="s">
        <v>263</v>
      </c>
      <c r="B3" s="191"/>
      <c r="C3" s="191"/>
      <c r="D3" s="191"/>
      <c r="E3" s="191"/>
      <c r="F3" s="191"/>
      <c r="G3" s="191"/>
      <c r="H3" s="191"/>
      <c r="I3" s="191"/>
      <c r="J3" s="191"/>
      <c r="K3" s="191"/>
      <c r="L3" s="191"/>
      <c r="M3" s="191"/>
      <c r="N3" s="191"/>
      <c r="O3" s="191"/>
      <c r="P3" s="191"/>
      <c r="Q3" s="191"/>
      <c r="R3" s="191"/>
      <c r="S3" s="191"/>
      <c r="T3" s="191"/>
      <c r="U3" s="8"/>
      <c r="V3" s="8"/>
      <c r="W3" s="55"/>
      <c r="Y3" s="57"/>
    </row>
    <row r="4" spans="1:25" s="34" customFormat="1" ht="25.5" x14ac:dyDescent="0.35">
      <c r="B4" s="35"/>
      <c r="C4" s="35"/>
      <c r="E4" s="35"/>
      <c r="F4" s="35"/>
      <c r="G4" s="36"/>
      <c r="H4" s="36"/>
      <c r="I4" s="192" t="s">
        <v>177</v>
      </c>
      <c r="J4" s="193"/>
      <c r="K4" s="193"/>
      <c r="L4" s="193"/>
      <c r="M4" s="193"/>
      <c r="N4" s="193"/>
      <c r="O4" s="193"/>
      <c r="P4" s="193"/>
      <c r="Q4" s="194"/>
      <c r="R4" s="195"/>
      <c r="S4" s="36"/>
      <c r="T4" s="58"/>
      <c r="U4" s="25"/>
      <c r="V4" s="25"/>
      <c r="W4" s="130"/>
      <c r="Y4" s="68"/>
    </row>
    <row r="5" spans="1:25" s="44" customFormat="1" ht="27.75" customHeight="1" x14ac:dyDescent="0.35">
      <c r="A5" s="196" t="s">
        <v>100</v>
      </c>
      <c r="B5" s="196"/>
      <c r="C5" s="196"/>
      <c r="D5" s="196"/>
      <c r="E5" s="196"/>
      <c r="F5" s="196"/>
      <c r="G5" s="196"/>
      <c r="H5" s="6"/>
      <c r="I5" s="187" t="s">
        <v>133</v>
      </c>
      <c r="J5" s="187"/>
      <c r="K5" s="187" t="s">
        <v>240</v>
      </c>
      <c r="L5" s="187"/>
      <c r="M5" s="197" t="s">
        <v>135</v>
      </c>
      <c r="N5" s="197"/>
      <c r="O5" s="197" t="s">
        <v>242</v>
      </c>
      <c r="P5" s="197"/>
      <c r="Q5" s="198" t="s">
        <v>128</v>
      </c>
      <c r="R5" s="186" t="s">
        <v>140</v>
      </c>
      <c r="S5" s="187" t="s">
        <v>134</v>
      </c>
      <c r="T5" s="187"/>
      <c r="U5" s="6"/>
      <c r="V5" s="6"/>
      <c r="W5" s="129"/>
    </row>
    <row r="6" spans="1:25" s="44" customFormat="1" ht="150.75" customHeight="1" x14ac:dyDescent="0.25">
      <c r="A6" s="37" t="s">
        <v>96</v>
      </c>
      <c r="B6" s="2" t="s">
        <v>0</v>
      </c>
      <c r="C6" s="2" t="s">
        <v>101</v>
      </c>
      <c r="D6" s="37" t="s">
        <v>1</v>
      </c>
      <c r="E6" s="2" t="s">
        <v>2</v>
      </c>
      <c r="F6" s="2" t="s">
        <v>3</v>
      </c>
      <c r="G6" s="38" t="s">
        <v>4</v>
      </c>
      <c r="H6" s="62"/>
      <c r="I6" s="2" t="s">
        <v>127</v>
      </c>
      <c r="J6" s="2" t="s">
        <v>174</v>
      </c>
      <c r="K6" s="2" t="s">
        <v>136</v>
      </c>
      <c r="L6" s="2" t="s">
        <v>175</v>
      </c>
      <c r="M6" s="135" t="s">
        <v>117</v>
      </c>
      <c r="N6" s="135" t="s">
        <v>118</v>
      </c>
      <c r="O6" s="135" t="s">
        <v>123</v>
      </c>
      <c r="P6" s="135" t="s">
        <v>124</v>
      </c>
      <c r="Q6" s="198"/>
      <c r="R6" s="186"/>
      <c r="S6" s="2" t="s">
        <v>127</v>
      </c>
      <c r="T6" s="2" t="s">
        <v>129</v>
      </c>
      <c r="U6" s="1" t="s">
        <v>115</v>
      </c>
      <c r="V6" s="1" t="s">
        <v>116</v>
      </c>
      <c r="W6" s="28" t="s">
        <v>114</v>
      </c>
    </row>
    <row r="7" spans="1:25"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5" s="44" customFormat="1" ht="18" customHeight="1" x14ac:dyDescent="0.35">
      <c r="A8" s="39"/>
      <c r="B8" s="40"/>
      <c r="C8" s="41">
        <v>4</v>
      </c>
      <c r="D8" s="188" t="s">
        <v>5</v>
      </c>
      <c r="E8" s="188"/>
      <c r="F8" s="188"/>
      <c r="G8" s="188"/>
      <c r="H8" s="63"/>
      <c r="I8" s="9">
        <f>'_2021_VB_ar_ izmaiņām_MK'!S8</f>
        <v>201</v>
      </c>
      <c r="J8" s="9">
        <f>'_2021_VB_ar_ izmaiņām_MK'!T8</f>
        <v>201</v>
      </c>
      <c r="K8" s="9">
        <f t="shared" ref="K8:P8" si="0">K9+K10+K11+K12</f>
        <v>64</v>
      </c>
      <c r="L8" s="9">
        <f t="shared" si="0"/>
        <v>64</v>
      </c>
      <c r="M8" s="9">
        <f t="shared" si="0"/>
        <v>969</v>
      </c>
      <c r="N8" s="9">
        <f t="shared" si="0"/>
        <v>969</v>
      </c>
      <c r="O8" s="9">
        <f t="shared" si="0"/>
        <v>885</v>
      </c>
      <c r="P8" s="9">
        <f t="shared" si="0"/>
        <v>885</v>
      </c>
      <c r="Q8" s="9" t="str">
        <f>'_2021_VB_bez izmaiņām'!Q8</f>
        <v>x</v>
      </c>
      <c r="R8" s="3">
        <f t="shared" ref="R8" si="1">R9+R10+R11+R12</f>
        <v>62513.212500000001</v>
      </c>
      <c r="S8" s="9">
        <f>S9+S10+S11+S12</f>
        <v>84</v>
      </c>
      <c r="T8" s="9">
        <f>T9+T10+T11+T12</f>
        <v>84</v>
      </c>
      <c r="U8" s="7"/>
      <c r="V8" s="7">
        <v>1</v>
      </c>
      <c r="W8" s="27"/>
    </row>
    <row r="9" spans="1:25" s="44" customFormat="1" ht="27.75" customHeight="1" x14ac:dyDescent="0.35">
      <c r="A9" s="31">
        <v>1</v>
      </c>
      <c r="B9" s="32" t="s">
        <v>6</v>
      </c>
      <c r="C9" s="32" t="s">
        <v>7</v>
      </c>
      <c r="D9" s="31" t="s">
        <v>8</v>
      </c>
      <c r="E9" s="32" t="s">
        <v>9</v>
      </c>
      <c r="F9" s="32" t="s">
        <v>97</v>
      </c>
      <c r="G9" s="42" t="s">
        <v>10</v>
      </c>
      <c r="H9" s="47"/>
      <c r="I9" s="15">
        <f>'_2021_VB_ar_ izmaiņām_MK'!S9</f>
        <v>64</v>
      </c>
      <c r="J9" s="15">
        <f>'_2021_VB_ar_ izmaiņām_MK'!T9</f>
        <v>64</v>
      </c>
      <c r="K9" s="53">
        <f>ROUND('_2021_VB_ar_ izmaiņām_MK'!K9*1.025,0)</f>
        <v>25</v>
      </c>
      <c r="L9" s="54">
        <f>IF(I9=0,K9,K9*(J9/I9))</f>
        <v>25</v>
      </c>
      <c r="M9" s="12">
        <f>I9+(K9*12)</f>
        <v>364</v>
      </c>
      <c r="N9" s="12">
        <f>J9+(L9*12)</f>
        <v>364</v>
      </c>
      <c r="O9" s="11">
        <v>350</v>
      </c>
      <c r="P9" s="54">
        <f>IF(I9=0,O9,O9*(J9/I9))</f>
        <v>350</v>
      </c>
      <c r="Q9" s="33">
        <f>'_2021_VB_ar_ izmaiņām_MK'!Q9*1.025</f>
        <v>86.1</v>
      </c>
      <c r="R9" s="4">
        <f>Q9*P9</f>
        <v>30134.999999999996</v>
      </c>
      <c r="S9" s="15">
        <f>M9-O9</f>
        <v>14</v>
      </c>
      <c r="T9" s="15">
        <f>N9-P9</f>
        <v>14</v>
      </c>
      <c r="U9" s="1"/>
      <c r="V9" s="1">
        <v>1</v>
      </c>
      <c r="W9" s="27" t="s">
        <v>102</v>
      </c>
      <c r="X9" s="64"/>
    </row>
    <row r="10" spans="1:25" s="44" customFormat="1" ht="18" customHeight="1" x14ac:dyDescent="0.35">
      <c r="A10" s="31">
        <v>2</v>
      </c>
      <c r="B10" s="32" t="s">
        <v>6</v>
      </c>
      <c r="C10" s="32" t="s">
        <v>11</v>
      </c>
      <c r="D10" s="31" t="s">
        <v>12</v>
      </c>
      <c r="E10" s="32" t="s">
        <v>9</v>
      </c>
      <c r="F10" s="32">
        <v>5</v>
      </c>
      <c r="G10" s="42" t="s">
        <v>10</v>
      </c>
      <c r="H10" s="47"/>
      <c r="I10" s="15">
        <f>'_2021_VB_ar_ izmaiņām_MK'!S10</f>
        <v>41</v>
      </c>
      <c r="J10" s="15">
        <f>'_2021_VB_ar_ izmaiņām_MK'!T10</f>
        <v>41</v>
      </c>
      <c r="K10" s="53">
        <f>ROUND('_2021_VB_ar_ izmaiņām_MK'!K10*1.025,0)</f>
        <v>10</v>
      </c>
      <c r="L10" s="54">
        <f>IF(I10=0,K10,K10*(J10/I10))</f>
        <v>10</v>
      </c>
      <c r="M10" s="12">
        <f>I10+(K10*12)</f>
        <v>161</v>
      </c>
      <c r="N10" s="12">
        <f>J10+(L10*12)</f>
        <v>161</v>
      </c>
      <c r="O10" s="11">
        <v>150</v>
      </c>
      <c r="P10" s="54">
        <f>IF(I10=0,O10,O10*(J10/I10))</f>
        <v>150</v>
      </c>
      <c r="Q10" s="33">
        <f>'_2021_VB_ar_ izmaiņām_MK'!Q10*1.025</f>
        <v>86.1</v>
      </c>
      <c r="R10" s="4">
        <f t="shared" ref="R10:R12" si="2">Q10*P10</f>
        <v>12915</v>
      </c>
      <c r="S10" s="15">
        <f>M10-O10</f>
        <v>11</v>
      </c>
      <c r="T10" s="15">
        <f>N10-P10</f>
        <v>11</v>
      </c>
      <c r="U10" s="1"/>
      <c r="V10" s="1">
        <v>1</v>
      </c>
      <c r="W10" s="27"/>
    </row>
    <row r="11" spans="1:25" s="44" customFormat="1" ht="36" customHeight="1" x14ac:dyDescent="0.35">
      <c r="A11" s="31">
        <v>3</v>
      </c>
      <c r="B11" s="32" t="s">
        <v>13</v>
      </c>
      <c r="C11" s="32" t="s">
        <v>14</v>
      </c>
      <c r="D11" s="31" t="s">
        <v>15</v>
      </c>
      <c r="E11" s="32" t="s">
        <v>9</v>
      </c>
      <c r="F11" s="32">
        <v>2</v>
      </c>
      <c r="G11" s="42" t="s">
        <v>10</v>
      </c>
      <c r="H11" s="47"/>
      <c r="I11" s="15">
        <f>'_2021_VB_ar_ izmaiņām_MK'!S11</f>
        <v>42</v>
      </c>
      <c r="J11" s="15">
        <f>'_2021_VB_ar_ izmaiņām_MK'!T11</f>
        <v>42</v>
      </c>
      <c r="K11" s="53">
        <f>ROUND('_2021_VB_ar_ izmaiņām_MK'!K11*1.025,0)</f>
        <v>12</v>
      </c>
      <c r="L11" s="54">
        <f t="shared" ref="L11:L12" si="3">IF(I11=0,K11,K11*(J11/I11))</f>
        <v>12</v>
      </c>
      <c r="M11" s="12">
        <f t="shared" ref="M11:N12" si="4">I11+(K11*12)</f>
        <v>186</v>
      </c>
      <c r="N11" s="12">
        <f t="shared" si="4"/>
        <v>186</v>
      </c>
      <c r="O11" s="11">
        <v>160</v>
      </c>
      <c r="P11" s="54">
        <f t="shared" ref="P11:P12" si="5">IF(I11=0,O11,O11*(J11/I11))</f>
        <v>160</v>
      </c>
      <c r="Q11" s="33">
        <f>'_2021_VB_ar_ izmaiņām_MK'!Q11*1.025</f>
        <v>34.44</v>
      </c>
      <c r="R11" s="4">
        <f t="shared" si="2"/>
        <v>5510.4</v>
      </c>
      <c r="S11" s="15">
        <f t="shared" ref="S11:T12" si="6">M11-O11</f>
        <v>26</v>
      </c>
      <c r="T11" s="15">
        <f t="shared" si="6"/>
        <v>26</v>
      </c>
      <c r="U11" s="1"/>
      <c r="V11" s="1">
        <v>1</v>
      </c>
      <c r="W11" s="27"/>
    </row>
    <row r="12" spans="1:25" s="44" customFormat="1" ht="18" customHeight="1" x14ac:dyDescent="0.35">
      <c r="A12" s="31">
        <v>4</v>
      </c>
      <c r="B12" s="32" t="s">
        <v>16</v>
      </c>
      <c r="C12" s="32" t="s">
        <v>17</v>
      </c>
      <c r="D12" s="31" t="s">
        <v>18</v>
      </c>
      <c r="E12" s="32" t="s">
        <v>9</v>
      </c>
      <c r="F12" s="32">
        <v>5</v>
      </c>
      <c r="G12" s="42" t="s">
        <v>10</v>
      </c>
      <c r="H12" s="47"/>
      <c r="I12" s="15">
        <f>'_2021_VB_ar_ izmaiņām_MK'!S12</f>
        <v>54</v>
      </c>
      <c r="J12" s="15">
        <f>'_2021_VB_ar_ izmaiņām_MK'!T12</f>
        <v>54</v>
      </c>
      <c r="K12" s="53">
        <f>ROUND('_2021_VB_ar_ izmaiņām_MK'!K12*1.025,0)</f>
        <v>17</v>
      </c>
      <c r="L12" s="54">
        <f t="shared" si="3"/>
        <v>17</v>
      </c>
      <c r="M12" s="12">
        <f t="shared" si="4"/>
        <v>258</v>
      </c>
      <c r="N12" s="12">
        <f t="shared" si="4"/>
        <v>258</v>
      </c>
      <c r="O12" s="11">
        <v>225</v>
      </c>
      <c r="P12" s="54">
        <f t="shared" si="5"/>
        <v>225</v>
      </c>
      <c r="Q12" s="33">
        <f>'_2021_VB_ar_ izmaiņām_MK'!Q12*1.025</f>
        <v>62.012499999999996</v>
      </c>
      <c r="R12" s="4">
        <f t="shared" si="2"/>
        <v>13952.812499999998</v>
      </c>
      <c r="S12" s="15">
        <f t="shared" si="6"/>
        <v>33</v>
      </c>
      <c r="T12" s="15">
        <f t="shared" si="6"/>
        <v>33</v>
      </c>
      <c r="U12" s="1"/>
      <c r="V12" s="1">
        <v>1</v>
      </c>
      <c r="W12" s="27"/>
    </row>
    <row r="13" spans="1:25" s="44" customFormat="1" ht="18" customHeight="1" x14ac:dyDescent="0.35">
      <c r="A13" s="39"/>
      <c r="B13" s="40"/>
      <c r="C13" s="41">
        <v>6</v>
      </c>
      <c r="D13" s="188" t="s">
        <v>19</v>
      </c>
      <c r="E13" s="188"/>
      <c r="F13" s="188"/>
      <c r="G13" s="188"/>
      <c r="H13" s="63"/>
      <c r="I13" s="13">
        <f>'_2021_VB_ar_ izmaiņām_MK'!S13</f>
        <v>44</v>
      </c>
      <c r="J13" s="13">
        <f>'_2021_VB_ar_ izmaiņām_MK'!T13</f>
        <v>44</v>
      </c>
      <c r="K13" s="13">
        <f t="shared" ref="K13:P13" si="7">K14</f>
        <v>45</v>
      </c>
      <c r="L13" s="13">
        <f t="shared" si="7"/>
        <v>45</v>
      </c>
      <c r="M13" s="13">
        <f t="shared" si="7"/>
        <v>584</v>
      </c>
      <c r="N13" s="13">
        <f t="shared" si="7"/>
        <v>584</v>
      </c>
      <c r="O13" s="13">
        <f t="shared" si="7"/>
        <v>560</v>
      </c>
      <c r="P13" s="13">
        <f t="shared" si="7"/>
        <v>560</v>
      </c>
      <c r="Q13" s="9" t="str">
        <f>'_2021_VB_bez izmaiņām'!Q13</f>
        <v>x</v>
      </c>
      <c r="R13" s="5">
        <f t="shared" ref="R13" si="8">R14</f>
        <v>325515.39999999997</v>
      </c>
      <c r="S13" s="13">
        <f>S14</f>
        <v>24</v>
      </c>
      <c r="T13" s="13">
        <f>T14</f>
        <v>24</v>
      </c>
      <c r="U13" s="7"/>
      <c r="V13" s="7">
        <v>1</v>
      </c>
      <c r="W13" s="27"/>
    </row>
    <row r="14" spans="1:25" s="34" customFormat="1" ht="34.5" customHeight="1" x14ac:dyDescent="0.35">
      <c r="A14" s="29">
        <v>5</v>
      </c>
      <c r="B14" s="30" t="s">
        <v>20</v>
      </c>
      <c r="C14" s="30" t="s">
        <v>21</v>
      </c>
      <c r="D14" s="29" t="s">
        <v>22</v>
      </c>
      <c r="E14" s="30" t="s">
        <v>9</v>
      </c>
      <c r="F14" s="30">
        <v>2</v>
      </c>
      <c r="G14" s="43" t="s">
        <v>23</v>
      </c>
      <c r="H14" s="48"/>
      <c r="I14" s="15">
        <f>'_2021_VB_ar_ izmaiņām_MK'!S14</f>
        <v>44</v>
      </c>
      <c r="J14" s="15">
        <f>'_2021_VB_ar_ izmaiņām_MK'!T14</f>
        <v>44</v>
      </c>
      <c r="K14" s="53">
        <f>ROUND('_2021_VB_ar_ izmaiņām_MK'!K14*1.025,0)</f>
        <v>45</v>
      </c>
      <c r="L14" s="54">
        <f>IF(I14=0,K14,K14*(J14/I14))</f>
        <v>45</v>
      </c>
      <c r="M14" s="12">
        <f>I14+(K14*12)</f>
        <v>584</v>
      </c>
      <c r="N14" s="12">
        <f>J14+(L14*12)</f>
        <v>584</v>
      </c>
      <c r="O14" s="11">
        <v>560</v>
      </c>
      <c r="P14" s="54">
        <f>IF(I14=0,O14,O14*(J14/I14))</f>
        <v>560</v>
      </c>
      <c r="Q14" s="33">
        <f>'_2021_VB_ar_ izmaiņām_MK'!Q14*1.025</f>
        <v>581.27749999999992</v>
      </c>
      <c r="R14" s="4">
        <f>Q14*P14</f>
        <v>325515.39999999997</v>
      </c>
      <c r="S14" s="15">
        <f>M14-O14</f>
        <v>24</v>
      </c>
      <c r="T14" s="15">
        <f>N14-P14</f>
        <v>24</v>
      </c>
      <c r="U14" s="19"/>
      <c r="V14" s="19">
        <v>1</v>
      </c>
      <c r="W14" s="26"/>
    </row>
    <row r="15" spans="1:25" s="44" customFormat="1" ht="18" customHeight="1" x14ac:dyDescent="0.35">
      <c r="A15" s="39"/>
      <c r="B15" s="40"/>
      <c r="C15" s="41">
        <v>12</v>
      </c>
      <c r="D15" s="188" t="s">
        <v>24</v>
      </c>
      <c r="E15" s="188"/>
      <c r="F15" s="188"/>
      <c r="G15" s="188"/>
      <c r="H15" s="63"/>
      <c r="I15" s="9">
        <f>'_2021_VB_ar_ izmaiņām_MK'!S15</f>
        <v>31</v>
      </c>
      <c r="J15" s="9">
        <f>'_2021_VB_ar_ izmaiņām_MK'!T15</f>
        <v>31</v>
      </c>
      <c r="K15" s="9">
        <f t="shared" ref="K15:P15" si="9">K16+K17</f>
        <v>22</v>
      </c>
      <c r="L15" s="9">
        <f t="shared" si="9"/>
        <v>22</v>
      </c>
      <c r="M15" s="9">
        <f t="shared" si="9"/>
        <v>295</v>
      </c>
      <c r="N15" s="9">
        <f t="shared" si="9"/>
        <v>295</v>
      </c>
      <c r="O15" s="9">
        <f t="shared" si="9"/>
        <v>263</v>
      </c>
      <c r="P15" s="9">
        <f t="shared" si="9"/>
        <v>263</v>
      </c>
      <c r="Q15" s="9" t="str">
        <f>'_2021_VB_bez izmaiņām'!Q15</f>
        <v>x</v>
      </c>
      <c r="R15" s="3">
        <f t="shared" ref="R15" si="10">R16+R17</f>
        <v>13235.824999999999</v>
      </c>
      <c r="S15" s="9">
        <f>S16+S17</f>
        <v>32</v>
      </c>
      <c r="T15" s="9">
        <f>T16+T17</f>
        <v>32</v>
      </c>
      <c r="U15" s="7"/>
      <c r="V15" s="7">
        <v>1</v>
      </c>
      <c r="W15" s="27"/>
    </row>
    <row r="16" spans="1:25" s="44" customFormat="1" ht="33.75" customHeight="1" x14ac:dyDescent="0.35">
      <c r="A16" s="31">
        <v>6</v>
      </c>
      <c r="B16" s="32" t="s">
        <v>25</v>
      </c>
      <c r="C16" s="32" t="s">
        <v>26</v>
      </c>
      <c r="D16" s="31" t="s">
        <v>27</v>
      </c>
      <c r="E16" s="32" t="s">
        <v>9</v>
      </c>
      <c r="F16" s="32" t="s">
        <v>104</v>
      </c>
      <c r="G16" s="42" t="s">
        <v>10</v>
      </c>
      <c r="H16" s="47"/>
      <c r="I16" s="15">
        <f>'_2021_VB_ar_ izmaiņām_MK'!S16</f>
        <v>10</v>
      </c>
      <c r="J16" s="15">
        <f>'_2021_VB_ar_ izmaiņām_MK'!T16</f>
        <v>10</v>
      </c>
      <c r="K16" s="53">
        <f>ROUND('_2021_VB_ar_ izmaiņām_MK'!K16*1.025,0)</f>
        <v>10</v>
      </c>
      <c r="L16" s="54">
        <f>IF(I16=0,K16,K16*(J16/I16))</f>
        <v>10</v>
      </c>
      <c r="M16" s="12">
        <f>I16+(K16*12)</f>
        <v>130</v>
      </c>
      <c r="N16" s="12">
        <f>J16+(L16*12)</f>
        <v>130</v>
      </c>
      <c r="O16" s="11">
        <v>113</v>
      </c>
      <c r="P16" s="54">
        <f>IF(I16=0,O16,O16*(J16/I16))</f>
        <v>113</v>
      </c>
      <c r="Q16" s="33">
        <f>'_2021_VB_ar_ izmaiņām_MK'!Q16*1.025</f>
        <v>35.875</v>
      </c>
      <c r="R16" s="4">
        <f>Q16*P16</f>
        <v>4053.875</v>
      </c>
      <c r="S16" s="15">
        <f>M16-O16</f>
        <v>17</v>
      </c>
      <c r="T16" s="15">
        <f>N16-P16</f>
        <v>17</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15">
        <f>'_2021_VB_ar_ izmaiņām_MK'!S17</f>
        <v>21</v>
      </c>
      <c r="J17" s="15">
        <f>'_2021_VB_ar_ izmaiņām_MK'!T17</f>
        <v>21</v>
      </c>
      <c r="K17" s="53">
        <f>ROUND('_2021_VB_ar_ izmaiņām_MK'!K17*1.025,0)</f>
        <v>12</v>
      </c>
      <c r="L17" s="54">
        <f>IF(I17=0,K17,K17*(J17/I17))</f>
        <v>12</v>
      </c>
      <c r="M17" s="12">
        <f>I17+(K17*12)</f>
        <v>165</v>
      </c>
      <c r="N17" s="12">
        <f>J17+(L17*12)</f>
        <v>165</v>
      </c>
      <c r="O17" s="11">
        <v>150</v>
      </c>
      <c r="P17" s="54">
        <f>IF(I17=0,O17,O17*(J17/I17))</f>
        <v>150</v>
      </c>
      <c r="Q17" s="33">
        <f>'_2021_VB_ar_ izmaiņām_MK'!Q17*1.025</f>
        <v>61.212999999999994</v>
      </c>
      <c r="R17" s="4">
        <f>Q17*P17</f>
        <v>9181.9499999999989</v>
      </c>
      <c r="S17" s="15">
        <f>M17-O17</f>
        <v>15</v>
      </c>
      <c r="T17" s="15">
        <f>N17-P17</f>
        <v>15</v>
      </c>
      <c r="U17" s="1"/>
      <c r="V17" s="1">
        <v>1</v>
      </c>
      <c r="W17" s="27" t="s">
        <v>103</v>
      </c>
    </row>
    <row r="18" spans="1:23" s="44" customFormat="1" ht="18" customHeight="1" x14ac:dyDescent="0.35">
      <c r="A18" s="39"/>
      <c r="B18" s="40"/>
      <c r="C18" s="41">
        <v>15</v>
      </c>
      <c r="D18" s="188" t="s">
        <v>29</v>
      </c>
      <c r="E18" s="188"/>
      <c r="F18" s="188"/>
      <c r="G18" s="188"/>
      <c r="H18" s="63"/>
      <c r="I18" s="9">
        <f>'_2021_VB_ar_ izmaiņām_MK'!S18</f>
        <v>40</v>
      </c>
      <c r="J18" s="9">
        <f>'_2021_VB_ar_ izmaiņām_MK'!T18</f>
        <v>40</v>
      </c>
      <c r="K18" s="9">
        <f t="shared" ref="K18:P18" si="11">K19+K20</f>
        <v>16</v>
      </c>
      <c r="L18" s="9">
        <f t="shared" si="11"/>
        <v>16</v>
      </c>
      <c r="M18" s="9">
        <f t="shared" si="11"/>
        <v>232</v>
      </c>
      <c r="N18" s="9">
        <f t="shared" si="11"/>
        <v>232</v>
      </c>
      <c r="O18" s="9">
        <f t="shared" si="11"/>
        <v>199</v>
      </c>
      <c r="P18" s="9">
        <f t="shared" si="11"/>
        <v>199</v>
      </c>
      <c r="Q18" s="9" t="str">
        <f>'_2021_VB_bez izmaiņām'!Q18</f>
        <v>x</v>
      </c>
      <c r="R18" s="3">
        <f t="shared" ref="R18" si="12">R19+R20</f>
        <v>7561.8042499999992</v>
      </c>
      <c r="S18" s="9">
        <f>S19+S20</f>
        <v>33</v>
      </c>
      <c r="T18" s="9">
        <f>T19+T20</f>
        <v>33</v>
      </c>
      <c r="U18" s="7"/>
      <c r="V18" s="7">
        <v>1</v>
      </c>
      <c r="W18" s="27"/>
    </row>
    <row r="19" spans="1:23" s="44" customFormat="1" ht="18" customHeight="1" x14ac:dyDescent="0.35">
      <c r="A19" s="31">
        <v>8</v>
      </c>
      <c r="B19" s="32" t="s">
        <v>16</v>
      </c>
      <c r="C19" s="32" t="s">
        <v>30</v>
      </c>
      <c r="D19" s="31" t="s">
        <v>31</v>
      </c>
      <c r="E19" s="32" t="s">
        <v>9</v>
      </c>
      <c r="F19" s="32">
        <v>5</v>
      </c>
      <c r="G19" s="42" t="s">
        <v>10</v>
      </c>
      <c r="H19" s="47"/>
      <c r="I19" s="15">
        <f>'_2021_VB_ar_ izmaiņām_MK'!S19</f>
        <v>29</v>
      </c>
      <c r="J19" s="15">
        <f>'_2021_VB_ar_ izmaiņām_MK'!T19</f>
        <v>29</v>
      </c>
      <c r="K19" s="53">
        <f>ROUND('_2021_VB_ar_ izmaiņām_MK'!K19*1.025,0)</f>
        <v>10</v>
      </c>
      <c r="L19" s="54">
        <f>IF(I19=0,K19,K19*(J19/I19))</f>
        <v>10</v>
      </c>
      <c r="M19" s="12">
        <f>I19+(K19*12)</f>
        <v>149</v>
      </c>
      <c r="N19" s="12">
        <f>J19+(L19*12)</f>
        <v>149</v>
      </c>
      <c r="O19" s="11">
        <v>130</v>
      </c>
      <c r="P19" s="54">
        <f>IF(I19=0,O19,O19*(J19/I19))</f>
        <v>130</v>
      </c>
      <c r="Q19" s="33">
        <f>'_2021_VB_ar_ izmaiņām_MK'!Q19*1.025</f>
        <v>49.609999999999992</v>
      </c>
      <c r="R19" s="4">
        <f>Q19*P19</f>
        <v>6449.2999999999993</v>
      </c>
      <c r="S19" s="15">
        <f>M19-O19</f>
        <v>19</v>
      </c>
      <c r="T19" s="15">
        <f>N19-P19</f>
        <v>19</v>
      </c>
      <c r="U19" s="1"/>
      <c r="V19" s="1">
        <v>1</v>
      </c>
      <c r="W19" s="27"/>
    </row>
    <row r="20" spans="1:23" s="44" customFormat="1" ht="33" customHeight="1" x14ac:dyDescent="0.35">
      <c r="A20" s="31">
        <v>9</v>
      </c>
      <c r="B20" s="32" t="s">
        <v>6</v>
      </c>
      <c r="C20" s="32" t="s">
        <v>30</v>
      </c>
      <c r="D20" s="31" t="s">
        <v>32</v>
      </c>
      <c r="E20" s="32" t="s">
        <v>9</v>
      </c>
      <c r="F20" s="32">
        <v>2</v>
      </c>
      <c r="G20" s="42" t="s">
        <v>10</v>
      </c>
      <c r="H20" s="47"/>
      <c r="I20" s="15">
        <f>'_2021_VB_ar_ izmaiņām_MK'!S20</f>
        <v>11</v>
      </c>
      <c r="J20" s="15">
        <f>'_2021_VB_ar_ izmaiņām_MK'!T20</f>
        <v>11</v>
      </c>
      <c r="K20" s="53">
        <f>ROUND('_2021_VB_ar_ izmaiņām_MK'!K20*1.025,0)</f>
        <v>6</v>
      </c>
      <c r="L20" s="54">
        <f>IF(I20=0,K20,K20*(J20/I20))</f>
        <v>6</v>
      </c>
      <c r="M20" s="12">
        <f>I20+(K20*12)</f>
        <v>83</v>
      </c>
      <c r="N20" s="12">
        <f>J20+(L20*12)</f>
        <v>83</v>
      </c>
      <c r="O20" s="11">
        <v>69</v>
      </c>
      <c r="P20" s="54">
        <f>IF(I20=0,O20,O20*(J20/I20))</f>
        <v>69</v>
      </c>
      <c r="Q20" s="33">
        <f>'_2021_VB_ar_ izmaiņām_MK'!Q20*1.025</f>
        <v>16.123249999999999</v>
      </c>
      <c r="R20" s="4">
        <f>Q20*P20</f>
        <v>1112.50425</v>
      </c>
      <c r="S20" s="15">
        <f>M20-O20</f>
        <v>14</v>
      </c>
      <c r="T20" s="15">
        <f>N20-P20</f>
        <v>14</v>
      </c>
      <c r="U20" s="1"/>
      <c r="V20" s="1">
        <v>1</v>
      </c>
      <c r="W20" s="27"/>
    </row>
    <row r="21" spans="1:23" ht="18" customHeight="1" x14ac:dyDescent="0.35">
      <c r="A21" s="39"/>
      <c r="B21" s="40"/>
      <c r="C21" s="41">
        <v>22</v>
      </c>
      <c r="D21" s="188" t="s">
        <v>33</v>
      </c>
      <c r="E21" s="188"/>
      <c r="F21" s="188"/>
      <c r="G21" s="188"/>
      <c r="H21" s="63"/>
      <c r="I21" s="9">
        <f>'_2021_VB_ar_ izmaiņām_MK'!S21</f>
        <v>6089</v>
      </c>
      <c r="J21" s="9">
        <f>'_2021_VB_ar_ izmaiņām_MK'!T21</f>
        <v>9064.2930202637508</v>
      </c>
      <c r="K21" s="9">
        <f t="shared" ref="K21:P21" si="13">SUM(K22:K49)</f>
        <v>554</v>
      </c>
      <c r="L21" s="9">
        <f t="shared" si="13"/>
        <v>751.24284335799302</v>
      </c>
      <c r="M21" s="9">
        <f t="shared" si="13"/>
        <v>12737</v>
      </c>
      <c r="N21" s="9">
        <f t="shared" si="13"/>
        <v>18079.207140559665</v>
      </c>
      <c r="O21" s="9">
        <f t="shared" ref="O21" si="14">SUM(O22:O49)</f>
        <v>8652</v>
      </c>
      <c r="P21" s="9">
        <f t="shared" si="13"/>
        <v>11714.387262785462</v>
      </c>
      <c r="Q21" s="9" t="str">
        <f>'_2021_VB_bez izmaiņām'!Q21</f>
        <v>x</v>
      </c>
      <c r="R21" s="3">
        <f>SUM(R22:R49)</f>
        <v>3267251.4107479095</v>
      </c>
      <c r="S21" s="9">
        <f>SUM(S22:S49)</f>
        <v>4085</v>
      </c>
      <c r="T21" s="9">
        <f>SUM(T22:T49)</f>
        <v>6364.8198777742027</v>
      </c>
      <c r="U21" s="7">
        <v>1</v>
      </c>
      <c r="V21" s="7">
        <v>1</v>
      </c>
    </row>
    <row r="22" spans="1:23" s="44" customFormat="1" ht="17.25" customHeight="1" x14ac:dyDescent="0.35">
      <c r="A22" s="31">
        <v>10</v>
      </c>
      <c r="B22" s="32" t="s">
        <v>34</v>
      </c>
      <c r="C22" s="32" t="s">
        <v>35</v>
      </c>
      <c r="D22" s="31" t="s">
        <v>36</v>
      </c>
      <c r="E22" s="32" t="s">
        <v>9</v>
      </c>
      <c r="F22" s="32">
        <v>2</v>
      </c>
      <c r="G22" s="42" t="s">
        <v>37</v>
      </c>
      <c r="H22" s="47"/>
      <c r="I22" s="15">
        <f>'_2021_VB_ar_ izmaiņām_MK'!S22</f>
        <v>13</v>
      </c>
      <c r="J22" s="15">
        <f>'_2021_VB_ar_ izmaiņām_MK'!T22</f>
        <v>13</v>
      </c>
      <c r="K22" s="53">
        <f>ROUND('_2021_VB_ar_ izmaiņām_MK'!K22*1.025,0)</f>
        <v>9</v>
      </c>
      <c r="L22" s="54">
        <f>IF(I22=0,K22,K22*(J22/I22))</f>
        <v>9</v>
      </c>
      <c r="M22" s="12">
        <f>I22+(K22*12)</f>
        <v>121</v>
      </c>
      <c r="N22" s="12">
        <f>J22+(L22*12)</f>
        <v>121</v>
      </c>
      <c r="O22" s="11">
        <v>120</v>
      </c>
      <c r="P22" s="54">
        <f>IF(I22=0,O22,O22*(J22/I22))</f>
        <v>120</v>
      </c>
      <c r="Q22" s="33">
        <f>'_2021_VB_ar_ izmaiņām_MK'!Q22*1.025</f>
        <v>68.21374999999999</v>
      </c>
      <c r="R22" s="4">
        <f>Q22*P22</f>
        <v>8185.6499999999987</v>
      </c>
      <c r="S22" s="15">
        <f>M22-O22</f>
        <v>1</v>
      </c>
      <c r="T22" s="15">
        <f>N22-P22</f>
        <v>1</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15">
        <f>'_2021_VB_ar_ izmaiņām_MK'!S23</f>
        <v>15</v>
      </c>
      <c r="J23" s="15">
        <f>'_2021_VB_ar_ izmaiņām_MK'!T23</f>
        <v>15</v>
      </c>
      <c r="K23" s="53">
        <f>ROUND('_2021_VB_ar_ izmaiņām_MK'!K23*1.025,0)</f>
        <v>13</v>
      </c>
      <c r="L23" s="54">
        <f>IF(I23=0,K23,K23*(J23/I23))</f>
        <v>13</v>
      </c>
      <c r="M23" s="12">
        <f>I23+(K23*12)</f>
        <v>171</v>
      </c>
      <c r="N23" s="12">
        <f>J23+(L23*12)</f>
        <v>171</v>
      </c>
      <c r="O23" s="11">
        <v>160</v>
      </c>
      <c r="P23" s="54">
        <f>IF(I23=0,O23,O23*(J23/I23))</f>
        <v>160</v>
      </c>
      <c r="Q23" s="33">
        <f>'_2021_VB_ar_ izmaiņām_MK'!Q23*1.025</f>
        <v>56.149499999999996</v>
      </c>
      <c r="R23" s="4">
        <f>Q23*P23</f>
        <v>8983.92</v>
      </c>
      <c r="S23" s="15">
        <f>M23-O23</f>
        <v>11</v>
      </c>
      <c r="T23" s="15">
        <f>N23-P23</f>
        <v>11</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15">
        <f>'_2021_VB_ar_ izmaiņām_MK'!S24</f>
        <v>14</v>
      </c>
      <c r="J24" s="15">
        <f>'_2021_VB_ar_ izmaiņām_MK'!T24</f>
        <v>14</v>
      </c>
      <c r="K24" s="53">
        <f>ROUND('_2021_VB_ar_ izmaiņām_MK'!K24*1.025,0)</f>
        <v>5</v>
      </c>
      <c r="L24" s="54">
        <f t="shared" ref="L24:L49" si="15">IF(I24=0,K24,K24*(J24/I24))</f>
        <v>5</v>
      </c>
      <c r="M24" s="12">
        <f t="shared" ref="M24:N39" si="16">I24+(K24*12)</f>
        <v>74</v>
      </c>
      <c r="N24" s="12">
        <f t="shared" si="16"/>
        <v>74</v>
      </c>
      <c r="O24" s="11">
        <v>55</v>
      </c>
      <c r="P24" s="54">
        <f t="shared" ref="P24:P49" si="17">IF(I24=0,O24,O24*(J24/I24))</f>
        <v>55</v>
      </c>
      <c r="Q24" s="33">
        <f>'_2021_VB_ar_ izmaiņām_MK'!Q24*1.025</f>
        <v>73.635999999999996</v>
      </c>
      <c r="R24" s="4">
        <f t="shared" ref="R24:R49" si="18">Q24*P24</f>
        <v>4049.9799999999996</v>
      </c>
      <c r="S24" s="15">
        <f t="shared" ref="S24:T39" si="19">M24-O24</f>
        <v>19</v>
      </c>
      <c r="T24" s="15">
        <f t="shared" si="19"/>
        <v>19</v>
      </c>
      <c r="U24" s="1"/>
      <c r="V24" s="1">
        <v>1</v>
      </c>
      <c r="W24" s="27"/>
    </row>
    <row r="25" spans="1:23" s="44" customFormat="1" ht="24" customHeight="1" x14ac:dyDescent="0.35">
      <c r="A25" s="31">
        <v>13</v>
      </c>
      <c r="B25" s="32" t="s">
        <v>40</v>
      </c>
      <c r="C25" s="32" t="s">
        <v>41</v>
      </c>
      <c r="D25" s="31" t="s">
        <v>106</v>
      </c>
      <c r="E25" s="32" t="s">
        <v>9</v>
      </c>
      <c r="F25" s="32">
        <v>5</v>
      </c>
      <c r="G25" s="42" t="s">
        <v>43</v>
      </c>
      <c r="H25" s="47"/>
      <c r="I25" s="15">
        <f>'_2021_VB_ar_ izmaiņām_MK'!S25</f>
        <v>11</v>
      </c>
      <c r="J25" s="15">
        <f>'_2021_VB_ar_ izmaiņām_MK'!T25</f>
        <v>11</v>
      </c>
      <c r="K25" s="53">
        <f>ROUND('_2021_VB_ar_ izmaiņām_MK'!K25*1.025,0)</f>
        <v>2</v>
      </c>
      <c r="L25" s="54">
        <f t="shared" si="15"/>
        <v>2</v>
      </c>
      <c r="M25" s="12">
        <f t="shared" si="16"/>
        <v>35</v>
      </c>
      <c r="N25" s="12">
        <f t="shared" si="16"/>
        <v>35</v>
      </c>
      <c r="O25" s="11">
        <v>12</v>
      </c>
      <c r="P25" s="54">
        <f t="shared" si="17"/>
        <v>12</v>
      </c>
      <c r="Q25" s="33">
        <f>'_2021_VB_ar_ izmaiņām_MK'!Q25*1.025</f>
        <v>49.609999999999992</v>
      </c>
      <c r="R25" s="4">
        <f t="shared" si="18"/>
        <v>595.31999999999994</v>
      </c>
      <c r="S25" s="15">
        <f t="shared" si="19"/>
        <v>23</v>
      </c>
      <c r="T25" s="15">
        <f t="shared" si="19"/>
        <v>23</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15">
        <f>'_2021_VB_ar_ izmaiņām_MK'!S26</f>
        <v>43</v>
      </c>
      <c r="J26" s="15">
        <f>'_2021_VB_ar_ izmaiņām_MK'!T26</f>
        <v>43</v>
      </c>
      <c r="K26" s="53">
        <f>ROUND('_2021_VB_ar_ izmaiņām_MK'!K26*1.025,0)</f>
        <v>18</v>
      </c>
      <c r="L26" s="54">
        <f t="shared" si="15"/>
        <v>18</v>
      </c>
      <c r="M26" s="12">
        <f t="shared" si="16"/>
        <v>259</v>
      </c>
      <c r="N26" s="12">
        <f t="shared" si="16"/>
        <v>259</v>
      </c>
      <c r="O26" s="11">
        <v>250</v>
      </c>
      <c r="P26" s="54">
        <f t="shared" si="17"/>
        <v>250</v>
      </c>
      <c r="Q26" s="33">
        <f>'_2021_VB_ar_ izmaiņām_MK'!Q26*1.025</f>
        <v>557.56925000000001</v>
      </c>
      <c r="R26" s="4">
        <f t="shared" si="18"/>
        <v>139392.3125</v>
      </c>
      <c r="S26" s="15">
        <f t="shared" si="19"/>
        <v>9</v>
      </c>
      <c r="T26" s="15">
        <f t="shared" si="19"/>
        <v>9</v>
      </c>
      <c r="U26" s="1"/>
      <c r="V26" s="1">
        <v>1</v>
      </c>
      <c r="W26" s="27"/>
    </row>
    <row r="27" spans="1:23" s="44" customFormat="1" ht="36" customHeight="1" x14ac:dyDescent="0.35">
      <c r="A27" s="31">
        <v>15</v>
      </c>
      <c r="B27" s="32" t="s">
        <v>166</v>
      </c>
      <c r="C27" s="32" t="s">
        <v>46</v>
      </c>
      <c r="D27" s="31" t="s">
        <v>167</v>
      </c>
      <c r="E27" s="32" t="s">
        <v>9</v>
      </c>
      <c r="F27" s="32">
        <v>3</v>
      </c>
      <c r="G27" s="42" t="s">
        <v>47</v>
      </c>
      <c r="H27" s="47"/>
      <c r="I27" s="15">
        <f>'_2021_VB_ar_ izmaiņām_MK'!S27</f>
        <v>20</v>
      </c>
      <c r="J27" s="15">
        <f>'_2021_VB_ar_ izmaiņām_MK'!T27</f>
        <v>20</v>
      </c>
      <c r="K27" s="53">
        <f>ROUND('_2021_VB_ar_ izmaiņām_MK'!K27*1.025,0)</f>
        <v>2</v>
      </c>
      <c r="L27" s="54">
        <f>IF(I27=0,K27,K27*(J27/I27))</f>
        <v>2</v>
      </c>
      <c r="M27" s="12">
        <f t="shared" si="16"/>
        <v>44</v>
      </c>
      <c r="N27" s="12">
        <f t="shared" si="16"/>
        <v>44</v>
      </c>
      <c r="O27" s="11">
        <v>11</v>
      </c>
      <c r="P27" s="54">
        <f t="shared" si="17"/>
        <v>11</v>
      </c>
      <c r="Q27" s="33">
        <f>'_2021_VB_ar_ izmaiņām_MK'!Q27*1.025</f>
        <v>209.67399999999998</v>
      </c>
      <c r="R27" s="4">
        <f t="shared" si="18"/>
        <v>2306.4139999999998</v>
      </c>
      <c r="S27" s="15">
        <f t="shared" si="19"/>
        <v>33</v>
      </c>
      <c r="T27" s="15">
        <f t="shared" si="19"/>
        <v>33</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15">
        <f>'_2021_VB_ar_ izmaiņām_MK'!S28</f>
        <v>4646</v>
      </c>
      <c r="J28" s="15">
        <f>'_2021_VB_ar_ izmaiņām_MK'!T28</f>
        <v>7621.2930202637508</v>
      </c>
      <c r="K28" s="53">
        <f>ROUND('_2021_VB_ar_ izmaiņām_MK'!K28*1.025,0)</f>
        <v>308</v>
      </c>
      <c r="L28" s="54">
        <f t="shared" si="15"/>
        <v>505.24284335799297</v>
      </c>
      <c r="M28" s="12">
        <f t="shared" si="16"/>
        <v>8342</v>
      </c>
      <c r="N28" s="12">
        <f t="shared" si="16"/>
        <v>13684.207140559665</v>
      </c>
      <c r="O28" s="11">
        <f>2391*2</f>
        <v>4782</v>
      </c>
      <c r="P28" s="54">
        <f t="shared" si="17"/>
        <v>7844.3872627854626</v>
      </c>
      <c r="Q28" s="33">
        <f>'_2021_VB_ar_ izmaiņām_MK'!Q28*1.025</f>
        <v>247.05574999999999</v>
      </c>
      <c r="R28" s="4">
        <f>Q28*P28</f>
        <v>1938000.9784979094</v>
      </c>
      <c r="S28" s="15">
        <f t="shared" si="19"/>
        <v>3560</v>
      </c>
      <c r="T28" s="15">
        <f t="shared" si="19"/>
        <v>5839.8198777742027</v>
      </c>
      <c r="U28" s="1">
        <v>1</v>
      </c>
      <c r="V28" s="1"/>
      <c r="W28" s="27"/>
    </row>
    <row r="29" spans="1:23" s="44" customFormat="1" ht="46.5" customHeight="1" x14ac:dyDescent="0.35">
      <c r="A29" s="31">
        <v>19</v>
      </c>
      <c r="B29" s="32" t="s">
        <v>50</v>
      </c>
      <c r="C29" s="32" t="s">
        <v>180</v>
      </c>
      <c r="D29" s="31" t="s">
        <v>120</v>
      </c>
      <c r="E29" s="32" t="s">
        <v>9</v>
      </c>
      <c r="F29" s="32">
        <v>5</v>
      </c>
      <c r="G29" s="42" t="s">
        <v>52</v>
      </c>
      <c r="H29" s="47"/>
      <c r="I29" s="15">
        <f>'_2021_VB_ar_ izmaiņām_MK'!S29</f>
        <v>230</v>
      </c>
      <c r="J29" s="15">
        <f>'_2021_VB_ar_ izmaiņām_MK'!T29</f>
        <v>230</v>
      </c>
      <c r="K29" s="53">
        <f>ROUND('_2021_VB_ar_ izmaiņām_MK'!K29*1.025,0)</f>
        <v>19</v>
      </c>
      <c r="L29" s="54">
        <f t="shared" si="15"/>
        <v>19</v>
      </c>
      <c r="M29" s="12">
        <f t="shared" si="16"/>
        <v>458</v>
      </c>
      <c r="N29" s="12">
        <f t="shared" si="16"/>
        <v>458</v>
      </c>
      <c r="O29" s="11">
        <v>350</v>
      </c>
      <c r="P29" s="54">
        <f t="shared" si="17"/>
        <v>350</v>
      </c>
      <c r="Q29" s="33">
        <f>'_2021_VB_ar_ izmaiņām_MK'!Q29*1.025</f>
        <v>259.61199999999997</v>
      </c>
      <c r="R29" s="4">
        <f t="shared" si="18"/>
        <v>90864.199999999983</v>
      </c>
      <c r="S29" s="15">
        <f t="shared" si="19"/>
        <v>108</v>
      </c>
      <c r="T29" s="15">
        <f t="shared" si="19"/>
        <v>108</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15">
        <f>'_2021_VB_ar_ izmaiņām_MK'!S30</f>
        <v>17</v>
      </c>
      <c r="J30" s="15">
        <f>'_2021_VB_ar_ izmaiņām_MK'!T30</f>
        <v>17</v>
      </c>
      <c r="K30" s="53">
        <f>ROUND('_2021_VB_ar_ izmaiņām_MK'!K30*1.025,0)</f>
        <v>1</v>
      </c>
      <c r="L30" s="54">
        <f t="shared" si="15"/>
        <v>1</v>
      </c>
      <c r="M30" s="12">
        <f t="shared" si="16"/>
        <v>29</v>
      </c>
      <c r="N30" s="12">
        <f t="shared" si="16"/>
        <v>29</v>
      </c>
      <c r="O30" s="11">
        <v>20</v>
      </c>
      <c r="P30" s="54">
        <f t="shared" si="17"/>
        <v>20</v>
      </c>
      <c r="Q30" s="33">
        <f>'_2021_VB_ar_ izmaiņām_MK'!Q30*1.025</f>
        <v>848.69999999999993</v>
      </c>
      <c r="R30" s="4">
        <f t="shared" si="18"/>
        <v>16974</v>
      </c>
      <c r="S30" s="15">
        <f t="shared" si="19"/>
        <v>9</v>
      </c>
      <c r="T30" s="15">
        <f t="shared" si="19"/>
        <v>9</v>
      </c>
      <c r="U30" s="1">
        <v>1</v>
      </c>
      <c r="V30" s="1"/>
      <c r="W30" s="27"/>
    </row>
    <row r="31" spans="1:23" s="44" customFormat="1" ht="36" customHeight="1" x14ac:dyDescent="0.35">
      <c r="A31" s="31">
        <v>21</v>
      </c>
      <c r="B31" s="32" t="s">
        <v>6</v>
      </c>
      <c r="C31" s="32" t="s">
        <v>56</v>
      </c>
      <c r="D31" s="31" t="s">
        <v>57</v>
      </c>
      <c r="E31" s="32" t="s">
        <v>9</v>
      </c>
      <c r="F31" s="32">
        <v>2</v>
      </c>
      <c r="G31" s="42" t="s">
        <v>10</v>
      </c>
      <c r="H31" s="47"/>
      <c r="I31" s="15">
        <f>'_2021_VB_ar_ izmaiņām_MK'!S31</f>
        <v>8</v>
      </c>
      <c r="J31" s="15">
        <f>'_2021_VB_ar_ izmaiņām_MK'!T31</f>
        <v>8</v>
      </c>
      <c r="K31" s="53">
        <f>ROUND('_2021_VB_ar_ izmaiņām_MK'!K31*1.025,0)</f>
        <v>1</v>
      </c>
      <c r="L31" s="54">
        <f t="shared" si="15"/>
        <v>1</v>
      </c>
      <c r="M31" s="12">
        <f t="shared" si="16"/>
        <v>20</v>
      </c>
      <c r="N31" s="12">
        <f t="shared" si="16"/>
        <v>20</v>
      </c>
      <c r="O31" s="11">
        <v>8</v>
      </c>
      <c r="P31" s="54">
        <f t="shared" si="17"/>
        <v>8</v>
      </c>
      <c r="Q31" s="33">
        <f>'_2021_VB_ar_ izmaiņām_MK'!Q31*1.025</f>
        <v>14.349999999999998</v>
      </c>
      <c r="R31" s="4">
        <f t="shared" si="18"/>
        <v>114.79999999999998</v>
      </c>
      <c r="S31" s="15">
        <f t="shared" si="19"/>
        <v>12</v>
      </c>
      <c r="T31" s="15">
        <f t="shared" si="19"/>
        <v>12</v>
      </c>
      <c r="U31" s="1"/>
      <c r="V31" s="1">
        <v>1</v>
      </c>
      <c r="W31" s="27"/>
    </row>
    <row r="32" spans="1:23" s="44" customFormat="1" ht="21.75" customHeight="1" x14ac:dyDescent="0.35">
      <c r="A32" s="31">
        <v>22</v>
      </c>
      <c r="B32" s="32" t="s">
        <v>6</v>
      </c>
      <c r="C32" s="32" t="s">
        <v>58</v>
      </c>
      <c r="D32" s="31" t="s">
        <v>59</v>
      </c>
      <c r="E32" s="32" t="s">
        <v>9</v>
      </c>
      <c r="F32" s="32">
        <v>5</v>
      </c>
      <c r="G32" s="42" t="s">
        <v>10</v>
      </c>
      <c r="H32" s="47"/>
      <c r="I32" s="15">
        <f>'_2021_VB_ar_ izmaiņām_MK'!S32</f>
        <v>0</v>
      </c>
      <c r="J32" s="15">
        <f>'_2021_VB_ar_ izmaiņām_MK'!T32</f>
        <v>0</v>
      </c>
      <c r="K32" s="53">
        <f>ROUND('_2021_VB_ar_ izmaiņām_MK'!K32*1.025,0)</f>
        <v>1</v>
      </c>
      <c r="L32" s="54">
        <f t="shared" si="15"/>
        <v>1</v>
      </c>
      <c r="M32" s="12">
        <f t="shared" si="16"/>
        <v>12</v>
      </c>
      <c r="N32" s="12">
        <f t="shared" si="16"/>
        <v>12</v>
      </c>
      <c r="O32" s="11">
        <v>11</v>
      </c>
      <c r="P32" s="54">
        <f t="shared" si="17"/>
        <v>11</v>
      </c>
      <c r="Q32" s="33">
        <f>'_2021_VB_ar_ izmaiņām_MK'!Q32*1.025</f>
        <v>892.98</v>
      </c>
      <c r="R32" s="4">
        <f t="shared" si="18"/>
        <v>9822.7800000000007</v>
      </c>
      <c r="S32" s="15">
        <f t="shared" si="19"/>
        <v>1</v>
      </c>
      <c r="T32" s="15">
        <f t="shared" si="19"/>
        <v>1</v>
      </c>
      <c r="U32" s="1"/>
      <c r="V32" s="1">
        <v>1</v>
      </c>
      <c r="W32" s="27"/>
    </row>
    <row r="33" spans="1:23" s="44" customFormat="1" ht="21.75" customHeight="1" x14ac:dyDescent="0.35">
      <c r="A33" s="29">
        <v>23</v>
      </c>
      <c r="B33" s="30" t="s">
        <v>60</v>
      </c>
      <c r="C33" s="30" t="s">
        <v>61</v>
      </c>
      <c r="D33" s="29" t="s">
        <v>62</v>
      </c>
      <c r="E33" s="30" t="s">
        <v>9</v>
      </c>
      <c r="F33" s="30">
        <v>3</v>
      </c>
      <c r="G33" s="43" t="s">
        <v>10</v>
      </c>
      <c r="H33" s="48"/>
      <c r="I33" s="15">
        <f>'_2021_VB_ar_ izmaiņām_MK'!S33</f>
        <v>93</v>
      </c>
      <c r="J33" s="15">
        <f>'_2021_VB_ar_ izmaiņām_MK'!T33</f>
        <v>93</v>
      </c>
      <c r="K33" s="53">
        <f>ROUND('_2021_VB_ar_ izmaiņām_MK'!K33*1.025,0)</f>
        <v>26</v>
      </c>
      <c r="L33" s="54">
        <f t="shared" si="15"/>
        <v>26</v>
      </c>
      <c r="M33" s="132">
        <f t="shared" si="16"/>
        <v>405</v>
      </c>
      <c r="N33" s="132">
        <f t="shared" si="16"/>
        <v>405</v>
      </c>
      <c r="O33" s="11">
        <v>380</v>
      </c>
      <c r="P33" s="54">
        <f t="shared" si="17"/>
        <v>380</v>
      </c>
      <c r="Q33" s="33">
        <f>'_2021_VB_ar_ izmaiņām_MK'!Q33*1.025</f>
        <v>342.30899999999997</v>
      </c>
      <c r="R33" s="4">
        <f t="shared" si="18"/>
        <v>130077.41999999998</v>
      </c>
      <c r="S33" s="15">
        <f t="shared" si="19"/>
        <v>25</v>
      </c>
      <c r="T33" s="15">
        <f t="shared" si="19"/>
        <v>25</v>
      </c>
      <c r="U33" s="1"/>
      <c r="V33" s="1">
        <v>1</v>
      </c>
      <c r="W33" s="27"/>
    </row>
    <row r="34" spans="1:23" ht="32.25" customHeight="1" x14ac:dyDescent="0.35">
      <c r="A34" s="29">
        <v>24</v>
      </c>
      <c r="B34" s="30" t="s">
        <v>60</v>
      </c>
      <c r="C34" s="30" t="s">
        <v>61</v>
      </c>
      <c r="D34" s="29" t="s">
        <v>108</v>
      </c>
      <c r="E34" s="30" t="s">
        <v>9</v>
      </c>
      <c r="F34" s="30">
        <v>5</v>
      </c>
      <c r="G34" s="43" t="s">
        <v>10</v>
      </c>
      <c r="H34" s="48"/>
      <c r="I34" s="15">
        <f>'_2021_VB_ar_ izmaiņām_MK'!S34</f>
        <v>100</v>
      </c>
      <c r="J34" s="15">
        <f>'_2021_VB_ar_ izmaiņām_MK'!T34</f>
        <v>100</v>
      </c>
      <c r="K34" s="53">
        <f>ROUND('_2021_VB_ar_ izmaiņām_MK'!K34*1.025,0)</f>
        <v>10</v>
      </c>
      <c r="L34" s="54">
        <f t="shared" si="15"/>
        <v>10</v>
      </c>
      <c r="M34" s="132">
        <f t="shared" si="16"/>
        <v>220</v>
      </c>
      <c r="N34" s="132">
        <f t="shared" si="16"/>
        <v>220</v>
      </c>
      <c r="O34" s="104">
        <v>210</v>
      </c>
      <c r="P34" s="54">
        <f t="shared" si="17"/>
        <v>210</v>
      </c>
      <c r="Q34" s="33">
        <f>'_2021_VB_ar_ izmaiņām_MK'!Q34*1.025</f>
        <v>717.49999999999989</v>
      </c>
      <c r="R34" s="4">
        <f t="shared" si="18"/>
        <v>150674.99999999997</v>
      </c>
      <c r="S34" s="15">
        <f t="shared" si="19"/>
        <v>10</v>
      </c>
      <c r="T34" s="15">
        <f t="shared" si="19"/>
        <v>10</v>
      </c>
      <c r="U34" s="1"/>
      <c r="V34" s="1">
        <v>1</v>
      </c>
      <c r="W34" s="27" t="s">
        <v>176</v>
      </c>
    </row>
    <row r="35" spans="1:23" s="44" customFormat="1" ht="49.5" customHeight="1" x14ac:dyDescent="0.35">
      <c r="A35" s="29">
        <v>25</v>
      </c>
      <c r="B35" s="30" t="s">
        <v>60</v>
      </c>
      <c r="C35" s="30" t="s">
        <v>61</v>
      </c>
      <c r="D35" s="29" t="s">
        <v>63</v>
      </c>
      <c r="E35" s="30" t="s">
        <v>9</v>
      </c>
      <c r="F35" s="30">
        <v>3</v>
      </c>
      <c r="G35" s="43" t="s">
        <v>64</v>
      </c>
      <c r="H35" s="48"/>
      <c r="I35" s="15">
        <f>'_2021_VB_ar_ izmaiņām_MK'!S35</f>
        <v>3</v>
      </c>
      <c r="J35" s="15">
        <f>'_2021_VB_ar_ izmaiņām_MK'!T35</f>
        <v>3</v>
      </c>
      <c r="K35" s="53">
        <f>ROUND('_2021_VB_ar_ izmaiņām_MK'!K35*1.025,0)</f>
        <v>2</v>
      </c>
      <c r="L35" s="54">
        <f t="shared" si="15"/>
        <v>2</v>
      </c>
      <c r="M35" s="132">
        <f t="shared" si="16"/>
        <v>27</v>
      </c>
      <c r="N35" s="132">
        <f t="shared" si="16"/>
        <v>27</v>
      </c>
      <c r="O35" s="11">
        <v>19</v>
      </c>
      <c r="P35" s="54">
        <f t="shared" si="17"/>
        <v>19</v>
      </c>
      <c r="Q35" s="33">
        <f>'_2021_VB_ar_ izmaiņām_MK'!Q35*1.025</f>
        <v>148.82999999999998</v>
      </c>
      <c r="R35" s="4">
        <f t="shared" si="18"/>
        <v>2827.7699999999995</v>
      </c>
      <c r="S35" s="15">
        <f t="shared" si="19"/>
        <v>8</v>
      </c>
      <c r="T35" s="15">
        <f t="shared" si="19"/>
        <v>8</v>
      </c>
      <c r="U35" s="1"/>
      <c r="V35" s="1">
        <v>1</v>
      </c>
      <c r="W35" s="27"/>
    </row>
    <row r="36" spans="1:23" ht="25.5" customHeight="1" x14ac:dyDescent="0.35">
      <c r="A36" s="29">
        <v>26</v>
      </c>
      <c r="B36" s="30" t="s">
        <v>141</v>
      </c>
      <c r="C36" s="30" t="s">
        <v>65</v>
      </c>
      <c r="D36" s="29" t="s">
        <v>66</v>
      </c>
      <c r="E36" s="30" t="s">
        <v>9</v>
      </c>
      <c r="F36" s="30">
        <v>5</v>
      </c>
      <c r="G36" s="43" t="s">
        <v>110</v>
      </c>
      <c r="H36" s="48"/>
      <c r="I36" s="15">
        <f>'_2021_VB_ar_ izmaiņām_MK'!S36</f>
        <v>200</v>
      </c>
      <c r="J36" s="15">
        <f>'_2021_VB_ar_ izmaiņām_MK'!T36</f>
        <v>200</v>
      </c>
      <c r="K36" s="53">
        <f>ROUND('_2021_VB_ar_ izmaiņām_MK'!K36*1.025,0)</f>
        <v>21</v>
      </c>
      <c r="L36" s="54">
        <f t="shared" si="15"/>
        <v>21</v>
      </c>
      <c r="M36" s="132">
        <f t="shared" si="16"/>
        <v>452</v>
      </c>
      <c r="N36" s="132">
        <f t="shared" si="16"/>
        <v>452</v>
      </c>
      <c r="O36" s="104">
        <v>425</v>
      </c>
      <c r="P36" s="54">
        <f t="shared" si="17"/>
        <v>425</v>
      </c>
      <c r="Q36" s="33">
        <f>'_2021_VB_ar_ izmaiņām_MK'!Q36*1.025</f>
        <v>512.5</v>
      </c>
      <c r="R36" s="4">
        <f t="shared" si="18"/>
        <v>217812.5</v>
      </c>
      <c r="S36" s="15">
        <f t="shared" si="19"/>
        <v>27</v>
      </c>
      <c r="T36" s="15">
        <f t="shared" si="19"/>
        <v>27</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15">
        <f>'_2021_VB_ar_ izmaiņām_MK'!S37</f>
        <v>11</v>
      </c>
      <c r="J37" s="15">
        <f>'_2021_VB_ar_ izmaiņām_MK'!T37</f>
        <v>11</v>
      </c>
      <c r="K37" s="53">
        <f>ROUND('_2021_VB_ar_ izmaiņām_MK'!K37*1.025,0)</f>
        <v>3</v>
      </c>
      <c r="L37" s="54">
        <f t="shared" si="15"/>
        <v>3</v>
      </c>
      <c r="M37" s="12">
        <f t="shared" si="16"/>
        <v>47</v>
      </c>
      <c r="N37" s="12">
        <f t="shared" si="16"/>
        <v>47</v>
      </c>
      <c r="O37" s="11">
        <v>24</v>
      </c>
      <c r="P37" s="54">
        <f t="shared" si="17"/>
        <v>24</v>
      </c>
      <c r="Q37" s="33">
        <f>'_2021_VB_ar_ izmaiņām_MK'!Q37*1.025</f>
        <v>216.10075000000001</v>
      </c>
      <c r="R37" s="4">
        <f t="shared" si="18"/>
        <v>5186.4179999999997</v>
      </c>
      <c r="S37" s="15">
        <f t="shared" si="19"/>
        <v>23</v>
      </c>
      <c r="T37" s="15">
        <f t="shared" si="19"/>
        <v>23</v>
      </c>
      <c r="U37" s="19"/>
      <c r="V37" s="19">
        <v>1</v>
      </c>
      <c r="W37" s="26"/>
    </row>
    <row r="38" spans="1:23" s="44" customFormat="1" ht="60.75" customHeight="1" x14ac:dyDescent="0.35">
      <c r="A38" s="29">
        <v>28</v>
      </c>
      <c r="B38" s="30" t="s">
        <v>168</v>
      </c>
      <c r="C38" s="30" t="s">
        <v>67</v>
      </c>
      <c r="D38" s="29" t="s">
        <v>68</v>
      </c>
      <c r="E38" s="30" t="s">
        <v>9</v>
      </c>
      <c r="F38" s="30">
        <v>3</v>
      </c>
      <c r="G38" s="43" t="s">
        <v>69</v>
      </c>
      <c r="H38" s="48"/>
      <c r="I38" s="15">
        <f>'_2021_VB_ar_ izmaiņām_MK'!S38</f>
        <v>75</v>
      </c>
      <c r="J38" s="15">
        <f>'_2021_VB_ar_ izmaiņām_MK'!T38</f>
        <v>75</v>
      </c>
      <c r="K38" s="53">
        <f>ROUND('_2021_VB_ar_ izmaiņām_MK'!K38*1.025,0)</f>
        <v>15</v>
      </c>
      <c r="L38" s="54">
        <f t="shared" si="15"/>
        <v>15</v>
      </c>
      <c r="M38" s="12">
        <f t="shared" si="16"/>
        <v>255</v>
      </c>
      <c r="N38" s="12">
        <f t="shared" si="16"/>
        <v>255</v>
      </c>
      <c r="O38" s="11">
        <v>200</v>
      </c>
      <c r="P38" s="54">
        <f t="shared" si="17"/>
        <v>200</v>
      </c>
      <c r="Q38" s="33">
        <f>'_2021_VB_ar_ izmaiņām_MK'!Q38*1.025</f>
        <v>387.38849999999996</v>
      </c>
      <c r="R38" s="4">
        <f t="shared" si="18"/>
        <v>77477.7</v>
      </c>
      <c r="S38" s="15">
        <f t="shared" si="19"/>
        <v>55</v>
      </c>
      <c r="T38" s="15">
        <f t="shared" si="19"/>
        <v>55</v>
      </c>
      <c r="U38" s="1">
        <v>1</v>
      </c>
      <c r="V38" s="1"/>
      <c r="W38" s="27"/>
    </row>
    <row r="39" spans="1:23" s="44" customFormat="1" x14ac:dyDescent="0.35">
      <c r="A39" s="29">
        <v>29</v>
      </c>
      <c r="B39" s="30" t="s">
        <v>70</v>
      </c>
      <c r="C39" s="30" t="s">
        <v>121</v>
      </c>
      <c r="D39" s="29" t="s">
        <v>122</v>
      </c>
      <c r="E39" s="30" t="s">
        <v>9</v>
      </c>
      <c r="F39" s="30">
        <v>5</v>
      </c>
      <c r="G39" s="43" t="s">
        <v>47</v>
      </c>
      <c r="H39" s="48"/>
      <c r="I39" s="15">
        <f>'_2021_VB_ar_ izmaiņām_MK'!S39</f>
        <v>6</v>
      </c>
      <c r="J39" s="15">
        <f>'_2021_VB_ar_ izmaiņām_MK'!T39</f>
        <v>6</v>
      </c>
      <c r="K39" s="53">
        <f>ROUND('_2021_VB_ar_ izmaiņām_MK'!K39*1.025,0)</f>
        <v>1</v>
      </c>
      <c r="L39" s="54">
        <f t="shared" si="15"/>
        <v>1</v>
      </c>
      <c r="M39" s="12">
        <f t="shared" si="16"/>
        <v>18</v>
      </c>
      <c r="N39" s="12">
        <f t="shared" si="16"/>
        <v>18</v>
      </c>
      <c r="O39" s="11">
        <v>15</v>
      </c>
      <c r="P39" s="54">
        <f t="shared" si="17"/>
        <v>15</v>
      </c>
      <c r="Q39" s="33">
        <f>'_2021_VB_ar_ izmaiņām_MK'!Q39*1.025</f>
        <v>127.32549999999999</v>
      </c>
      <c r="R39" s="4">
        <f t="shared" si="18"/>
        <v>1909.8824999999999</v>
      </c>
      <c r="S39" s="15">
        <f t="shared" si="19"/>
        <v>3</v>
      </c>
      <c r="T39" s="15">
        <f t="shared" si="19"/>
        <v>3</v>
      </c>
      <c r="U39" s="1">
        <v>1</v>
      </c>
      <c r="V39" s="1"/>
      <c r="W39" s="27"/>
    </row>
    <row r="40" spans="1:23" s="44" customFormat="1" ht="40.5" customHeight="1" x14ac:dyDescent="0.35">
      <c r="A40" s="29">
        <v>30</v>
      </c>
      <c r="B40" s="50" t="s">
        <v>71</v>
      </c>
      <c r="C40" s="50" t="s">
        <v>72</v>
      </c>
      <c r="D40" s="49" t="s">
        <v>73</v>
      </c>
      <c r="E40" s="50" t="s">
        <v>9</v>
      </c>
      <c r="F40" s="50">
        <v>5</v>
      </c>
      <c r="G40" s="51" t="s">
        <v>74</v>
      </c>
      <c r="H40" s="48"/>
      <c r="I40" s="15">
        <f>'_2021_VB_ar_ izmaiņām_MK'!S40</f>
        <v>74</v>
      </c>
      <c r="J40" s="15">
        <f>'_2021_VB_ar_ izmaiņām_MK'!T40</f>
        <v>74</v>
      </c>
      <c r="K40" s="53">
        <f>ROUND('_2021_VB_ar_ izmaiņām_MK'!K40*1.025,0)</f>
        <v>21</v>
      </c>
      <c r="L40" s="54">
        <f t="shared" si="15"/>
        <v>21</v>
      </c>
      <c r="M40" s="12">
        <f t="shared" ref="M40:N49" si="20">I40+(K40*12)</f>
        <v>326</v>
      </c>
      <c r="N40" s="12">
        <f t="shared" si="20"/>
        <v>326</v>
      </c>
      <c r="O40" s="11">
        <v>280</v>
      </c>
      <c r="P40" s="54">
        <f t="shared" si="17"/>
        <v>280</v>
      </c>
      <c r="Q40" s="33">
        <f>'_2021_VB_ar_ izmaiņām_MK'!Q40*1.025</f>
        <v>385.72799999999995</v>
      </c>
      <c r="R40" s="4">
        <f t="shared" si="18"/>
        <v>108003.83999999998</v>
      </c>
      <c r="S40" s="15">
        <f t="shared" ref="S40:T49" si="21">M40-O40</f>
        <v>46</v>
      </c>
      <c r="T40" s="15">
        <f t="shared" si="21"/>
        <v>46</v>
      </c>
      <c r="U40" s="19">
        <v>1</v>
      </c>
      <c r="V40" s="19"/>
      <c r="W40" s="26"/>
    </row>
    <row r="41" spans="1:23" s="44" customFormat="1" ht="117" customHeight="1" x14ac:dyDescent="0.35">
      <c r="A41" s="50">
        <v>31</v>
      </c>
      <c r="B41" s="50" t="s">
        <v>71</v>
      </c>
      <c r="C41" s="50" t="s">
        <v>72</v>
      </c>
      <c r="D41" s="49" t="s">
        <v>75</v>
      </c>
      <c r="E41" s="50" t="s">
        <v>9</v>
      </c>
      <c r="F41" s="50">
        <v>5</v>
      </c>
      <c r="G41" s="51" t="s">
        <v>76</v>
      </c>
      <c r="H41" s="48"/>
      <c r="I41" s="15">
        <f>'_2021_VB_ar_ izmaiņām_MK'!S41</f>
        <v>17</v>
      </c>
      <c r="J41" s="15">
        <f>'_2021_VB_ar_ izmaiņām_MK'!T41</f>
        <v>17</v>
      </c>
      <c r="K41" s="53">
        <f>ROUND('_2021_VB_ar_ izmaiņām_MK'!K41*1.025,0)</f>
        <v>1</v>
      </c>
      <c r="L41" s="54">
        <f t="shared" si="15"/>
        <v>1</v>
      </c>
      <c r="M41" s="12">
        <f t="shared" si="20"/>
        <v>29</v>
      </c>
      <c r="N41" s="12">
        <f t="shared" si="20"/>
        <v>29</v>
      </c>
      <c r="O41" s="11">
        <v>20</v>
      </c>
      <c r="P41" s="54">
        <f t="shared" si="17"/>
        <v>20</v>
      </c>
      <c r="Q41" s="33">
        <f>'_2021_VB_ar_ izmaiņām_MK'!Q41*1.025</f>
        <v>356.61799999999999</v>
      </c>
      <c r="R41" s="4">
        <f t="shared" si="18"/>
        <v>7132.36</v>
      </c>
      <c r="S41" s="15">
        <f t="shared" si="21"/>
        <v>9</v>
      </c>
      <c r="T41" s="15">
        <f t="shared" si="21"/>
        <v>9</v>
      </c>
      <c r="U41" s="19">
        <v>1</v>
      </c>
      <c r="V41" s="19"/>
      <c r="W41" s="26"/>
    </row>
    <row r="42" spans="1:23" s="44" customFormat="1" ht="42.75" customHeight="1" x14ac:dyDescent="0.35">
      <c r="A42" s="29">
        <v>32</v>
      </c>
      <c r="B42" s="30" t="s">
        <v>77</v>
      </c>
      <c r="C42" s="30" t="s">
        <v>78</v>
      </c>
      <c r="D42" s="29" t="s">
        <v>99</v>
      </c>
      <c r="E42" s="30" t="s">
        <v>9</v>
      </c>
      <c r="F42" s="30">
        <v>2</v>
      </c>
      <c r="G42" s="43" t="s">
        <v>10</v>
      </c>
      <c r="H42" s="48"/>
      <c r="I42" s="15">
        <f>'_2021_VB_ar_ izmaiņām_MK'!S42</f>
        <v>245</v>
      </c>
      <c r="J42" s="15">
        <f>'_2021_VB_ar_ izmaiņām_MK'!T42</f>
        <v>245</v>
      </c>
      <c r="K42" s="53">
        <f>ROUND('_2021_VB_ar_ izmaiņām_MK'!K42*1.025,0)</f>
        <v>35</v>
      </c>
      <c r="L42" s="54">
        <f t="shared" si="15"/>
        <v>35</v>
      </c>
      <c r="M42" s="132">
        <f t="shared" si="20"/>
        <v>665</v>
      </c>
      <c r="N42" s="132">
        <f>J42+(L42*12)</f>
        <v>665</v>
      </c>
      <c r="O42" s="11">
        <v>650</v>
      </c>
      <c r="P42" s="54">
        <f t="shared" si="17"/>
        <v>650</v>
      </c>
      <c r="Q42" s="33">
        <f>'_2021_VB_ar_ izmaiņām_MK'!Q42*1.025</f>
        <v>74.07674999999999</v>
      </c>
      <c r="R42" s="4">
        <f t="shared" si="18"/>
        <v>48149.88749999999</v>
      </c>
      <c r="S42" s="15">
        <f t="shared" si="21"/>
        <v>15</v>
      </c>
      <c r="T42" s="15">
        <f t="shared" si="21"/>
        <v>15</v>
      </c>
      <c r="U42" s="1"/>
      <c r="V42" s="1">
        <v>1</v>
      </c>
      <c r="W42" s="27" t="s">
        <v>111</v>
      </c>
    </row>
    <row r="43" spans="1:23" ht="20.25" customHeight="1" x14ac:dyDescent="0.35">
      <c r="A43" s="29">
        <v>33</v>
      </c>
      <c r="B43" s="30" t="s">
        <v>142</v>
      </c>
      <c r="C43" s="30" t="s">
        <v>79</v>
      </c>
      <c r="D43" s="29" t="s">
        <v>80</v>
      </c>
      <c r="E43" s="30" t="s">
        <v>9</v>
      </c>
      <c r="F43" s="30">
        <v>5</v>
      </c>
      <c r="G43" s="43" t="s">
        <v>110</v>
      </c>
      <c r="H43" s="48"/>
      <c r="I43" s="15">
        <f>'_2021_VB_ar_ izmaiņām_MK'!S43</f>
        <v>31</v>
      </c>
      <c r="J43" s="15">
        <f>'_2021_VB_ar_ izmaiņām_MK'!T43</f>
        <v>31</v>
      </c>
      <c r="K43" s="53">
        <f>ROUND('_2021_VB_ar_ izmaiņām_MK'!K43*1.025,0)</f>
        <v>3</v>
      </c>
      <c r="L43" s="54">
        <f t="shared" si="15"/>
        <v>3</v>
      </c>
      <c r="M43" s="132">
        <f t="shared" si="20"/>
        <v>67</v>
      </c>
      <c r="N43" s="132">
        <f t="shared" si="20"/>
        <v>67</v>
      </c>
      <c r="O43" s="104">
        <v>55</v>
      </c>
      <c r="P43" s="54">
        <f t="shared" si="17"/>
        <v>55</v>
      </c>
      <c r="Q43" s="33">
        <f>'_2021_VB_ar_ izmaiņām_MK'!Q43*1.025</f>
        <v>2460</v>
      </c>
      <c r="R43" s="4">
        <f t="shared" si="18"/>
        <v>135300</v>
      </c>
      <c r="S43" s="15">
        <f t="shared" si="21"/>
        <v>12</v>
      </c>
      <c r="T43" s="15">
        <f t="shared" si="21"/>
        <v>12</v>
      </c>
      <c r="U43" s="1"/>
      <c r="V43" s="1">
        <v>1</v>
      </c>
      <c r="W43" s="27" t="s">
        <v>126</v>
      </c>
    </row>
    <row r="44" spans="1:23" ht="22.5" customHeight="1" x14ac:dyDescent="0.35">
      <c r="A44" s="29">
        <v>34</v>
      </c>
      <c r="B44" s="30" t="s">
        <v>6</v>
      </c>
      <c r="C44" s="30" t="s">
        <v>81</v>
      </c>
      <c r="D44" s="29" t="s">
        <v>82</v>
      </c>
      <c r="E44" s="30" t="s">
        <v>9</v>
      </c>
      <c r="F44" s="30">
        <v>7</v>
      </c>
      <c r="G44" s="43" t="s">
        <v>112</v>
      </c>
      <c r="H44" s="48"/>
      <c r="I44" s="15">
        <f>'_2021_VB_ar_ izmaiņām_MK'!S44</f>
        <v>7</v>
      </c>
      <c r="J44" s="15">
        <f>'_2021_VB_ar_ izmaiņām_MK'!T44</f>
        <v>7</v>
      </c>
      <c r="K44" s="53">
        <f>ROUND('_2021_VB_ar_ izmaiņām_MK'!K44*1.025,0)</f>
        <v>1</v>
      </c>
      <c r="L44" s="54">
        <f t="shared" si="15"/>
        <v>1</v>
      </c>
      <c r="M44" s="132">
        <f t="shared" si="20"/>
        <v>19</v>
      </c>
      <c r="N44" s="132">
        <f t="shared" si="20"/>
        <v>19</v>
      </c>
      <c r="O44" s="104">
        <v>18</v>
      </c>
      <c r="P44" s="54">
        <f t="shared" si="17"/>
        <v>18</v>
      </c>
      <c r="Q44" s="33">
        <f>'_2021_VB_ar_ izmaiņām_MK'!Q44*1.025</f>
        <v>2562.5</v>
      </c>
      <c r="R44" s="4">
        <f t="shared" si="18"/>
        <v>46125</v>
      </c>
      <c r="S44" s="15">
        <f t="shared" si="21"/>
        <v>1</v>
      </c>
      <c r="T44" s="15">
        <f t="shared" si="21"/>
        <v>1</v>
      </c>
      <c r="U44" s="1"/>
      <c r="V44" s="1">
        <v>1</v>
      </c>
      <c r="W44" s="27" t="s">
        <v>126</v>
      </c>
    </row>
    <row r="45" spans="1:23" s="44" customFormat="1" ht="30" customHeight="1" x14ac:dyDescent="0.35">
      <c r="A45" s="50">
        <v>35</v>
      </c>
      <c r="B45" s="30" t="s">
        <v>77</v>
      </c>
      <c r="C45" s="30" t="s">
        <v>78</v>
      </c>
      <c r="D45" s="29" t="s">
        <v>83</v>
      </c>
      <c r="E45" s="30" t="s">
        <v>9</v>
      </c>
      <c r="F45" s="30">
        <v>5</v>
      </c>
      <c r="G45" s="43" t="s">
        <v>74</v>
      </c>
      <c r="H45" s="48"/>
      <c r="I45" s="15">
        <f>'_2021_VB_ar_ izmaiņām_MK'!S45</f>
        <v>142</v>
      </c>
      <c r="J45" s="15">
        <f>'_2021_VB_ar_ izmaiņām_MK'!T45</f>
        <v>142</v>
      </c>
      <c r="K45" s="53">
        <f>ROUND('_2021_VB_ar_ izmaiņām_MK'!K45*1.025,0)</f>
        <v>15</v>
      </c>
      <c r="L45" s="54">
        <f t="shared" si="15"/>
        <v>15</v>
      </c>
      <c r="M45" s="132">
        <f t="shared" si="20"/>
        <v>322</v>
      </c>
      <c r="N45" s="132">
        <f t="shared" si="20"/>
        <v>322</v>
      </c>
      <c r="O45" s="11">
        <v>300</v>
      </c>
      <c r="P45" s="54">
        <f t="shared" si="17"/>
        <v>300</v>
      </c>
      <c r="Q45" s="33">
        <f>'_2021_VB_ar_ izmaiņām_MK'!Q45*1.025</f>
        <v>60.997749999999989</v>
      </c>
      <c r="R45" s="4">
        <f t="shared" si="18"/>
        <v>18299.324999999997</v>
      </c>
      <c r="S45" s="15">
        <f t="shared" si="21"/>
        <v>22</v>
      </c>
      <c r="T45" s="15">
        <f t="shared" si="21"/>
        <v>22</v>
      </c>
      <c r="U45" s="1">
        <v>1</v>
      </c>
      <c r="V45" s="1"/>
      <c r="W45" s="27"/>
    </row>
    <row r="46" spans="1:23" ht="30" customHeight="1" x14ac:dyDescent="0.35">
      <c r="A46" s="29">
        <v>36</v>
      </c>
      <c r="B46" s="30" t="s">
        <v>169</v>
      </c>
      <c r="C46" s="30" t="s">
        <v>170</v>
      </c>
      <c r="D46" s="29" t="s">
        <v>171</v>
      </c>
      <c r="E46" s="30" t="s">
        <v>9</v>
      </c>
      <c r="F46" s="30">
        <v>5</v>
      </c>
      <c r="G46" s="43" t="s">
        <v>172</v>
      </c>
      <c r="H46" s="48"/>
      <c r="I46" s="15">
        <f>'_2021_VB_ar_ izmaiņām_MK'!S46</f>
        <v>21</v>
      </c>
      <c r="J46" s="15">
        <f>'_2021_VB_ar_ izmaiņām_MK'!T46</f>
        <v>21</v>
      </c>
      <c r="K46" s="53">
        <f>ROUND('_2021_VB_ar_ izmaiņām_MK'!K46*1.025,0)</f>
        <v>10</v>
      </c>
      <c r="L46" s="54">
        <f t="shared" si="15"/>
        <v>10</v>
      </c>
      <c r="M46" s="132">
        <f t="shared" si="20"/>
        <v>141</v>
      </c>
      <c r="N46" s="132">
        <f t="shared" si="20"/>
        <v>141</v>
      </c>
      <c r="O46" s="104">
        <v>130</v>
      </c>
      <c r="P46" s="54">
        <f t="shared" si="17"/>
        <v>130</v>
      </c>
      <c r="Q46" s="33">
        <f>'_2021_VB_ar_ izmaiņām_MK'!Q46*1.025</f>
        <v>172.27174999999997</v>
      </c>
      <c r="R46" s="4">
        <f t="shared" si="18"/>
        <v>22395.327499999996</v>
      </c>
      <c r="S46" s="15">
        <f t="shared" si="21"/>
        <v>11</v>
      </c>
      <c r="T46" s="15">
        <f t="shared" si="21"/>
        <v>11</v>
      </c>
      <c r="U46" s="1">
        <v>1</v>
      </c>
      <c r="V46" s="1"/>
      <c r="W46" s="27" t="s">
        <v>126</v>
      </c>
    </row>
    <row r="47" spans="1:23" s="44" customFormat="1" ht="63.75" customHeight="1" x14ac:dyDescent="0.35">
      <c r="A47" s="29">
        <v>37</v>
      </c>
      <c r="B47" s="30" t="s">
        <v>84</v>
      </c>
      <c r="C47" s="30" t="s">
        <v>79</v>
      </c>
      <c r="D47" s="29" t="s">
        <v>85</v>
      </c>
      <c r="E47" s="30" t="s">
        <v>9</v>
      </c>
      <c r="F47" s="30">
        <v>5</v>
      </c>
      <c r="G47" s="43" t="s">
        <v>86</v>
      </c>
      <c r="H47" s="48"/>
      <c r="I47" s="15">
        <f>'_2021_VB_ar_ izmaiņām_MK'!S47</f>
        <v>0</v>
      </c>
      <c r="J47" s="15">
        <f>'_2021_VB_ar_ izmaiņām_MK'!T47</f>
        <v>0</v>
      </c>
      <c r="K47" s="53">
        <f>ROUND('_2021_VB_ar_ izmaiņām_MK'!K47*1.025,0)</f>
        <v>6</v>
      </c>
      <c r="L47" s="54">
        <f t="shared" si="15"/>
        <v>6</v>
      </c>
      <c r="M47" s="12">
        <f t="shared" si="20"/>
        <v>72</v>
      </c>
      <c r="N47" s="12">
        <f t="shared" si="20"/>
        <v>72</v>
      </c>
      <c r="O47" s="11">
        <v>62</v>
      </c>
      <c r="P47" s="54">
        <f t="shared" si="17"/>
        <v>62</v>
      </c>
      <c r="Q47" s="33">
        <f>'_2021_VB_ar_ izmaiņām_MK'!Q47*1.025</f>
        <v>158.75199999999998</v>
      </c>
      <c r="R47" s="4">
        <f t="shared" si="18"/>
        <v>9842.623999999998</v>
      </c>
      <c r="S47" s="15">
        <f t="shared" si="21"/>
        <v>10</v>
      </c>
      <c r="T47" s="15">
        <f t="shared" si="21"/>
        <v>10</v>
      </c>
      <c r="U47" s="1"/>
      <c r="V47" s="1">
        <v>1</v>
      </c>
      <c r="W47" s="27"/>
    </row>
    <row r="48" spans="1:23" s="44" customFormat="1" ht="53.25" customHeight="1" x14ac:dyDescent="0.35">
      <c r="A48" s="29">
        <v>38</v>
      </c>
      <c r="B48" s="50" t="s">
        <v>87</v>
      </c>
      <c r="C48" s="50" t="s">
        <v>88</v>
      </c>
      <c r="D48" s="49" t="s">
        <v>89</v>
      </c>
      <c r="E48" s="50" t="s">
        <v>9</v>
      </c>
      <c r="F48" s="50">
        <v>5</v>
      </c>
      <c r="G48" s="51" t="s">
        <v>10</v>
      </c>
      <c r="H48" s="48"/>
      <c r="I48" s="15">
        <f>'_2021_VB_ar_ izmaiņām_MK'!S48</f>
        <v>23</v>
      </c>
      <c r="J48" s="15">
        <f>'_2021_VB_ar_ izmaiņām_MK'!T48</f>
        <v>23</v>
      </c>
      <c r="K48" s="53">
        <f>ROUND('_2021_VB_ar_ izmaiņām_MK'!K48*1.025,0)</f>
        <v>3</v>
      </c>
      <c r="L48" s="54">
        <f t="shared" si="15"/>
        <v>3</v>
      </c>
      <c r="M48" s="12">
        <f t="shared" si="20"/>
        <v>59</v>
      </c>
      <c r="N48" s="12">
        <f t="shared" si="20"/>
        <v>59</v>
      </c>
      <c r="O48" s="11">
        <v>45</v>
      </c>
      <c r="P48" s="54">
        <f t="shared" si="17"/>
        <v>45</v>
      </c>
      <c r="Q48" s="33">
        <f>'_2021_VB_ar_ izmaiņām_MK'!Q48*1.025</f>
        <v>1301.0222499999998</v>
      </c>
      <c r="R48" s="4">
        <f t="shared" si="18"/>
        <v>58546.001249999987</v>
      </c>
      <c r="S48" s="15">
        <f t="shared" si="21"/>
        <v>14</v>
      </c>
      <c r="T48" s="15">
        <f t="shared" si="21"/>
        <v>14</v>
      </c>
      <c r="U48" s="1"/>
      <c r="V48" s="1">
        <v>1</v>
      </c>
      <c r="W48" s="27"/>
    </row>
    <row r="49" spans="1:24" s="44" customFormat="1" ht="23" x14ac:dyDescent="0.35">
      <c r="A49" s="50">
        <v>39</v>
      </c>
      <c r="B49" s="30" t="s">
        <v>87</v>
      </c>
      <c r="C49" s="30" t="s">
        <v>90</v>
      </c>
      <c r="D49" s="29" t="s">
        <v>113</v>
      </c>
      <c r="E49" s="30" t="s">
        <v>9</v>
      </c>
      <c r="F49" s="30">
        <v>5</v>
      </c>
      <c r="G49" s="43" t="s">
        <v>10</v>
      </c>
      <c r="H49" s="48"/>
      <c r="I49" s="15">
        <f>'_2021_VB_ar_ izmaiņām_MK'!S49</f>
        <v>24</v>
      </c>
      <c r="J49" s="15">
        <f>'_2021_VB_ar_ izmaiņām_MK'!T49</f>
        <v>24</v>
      </c>
      <c r="K49" s="53">
        <f>ROUND('_2021_VB_ar_ izmaiņām_MK'!K49*1.025,0)</f>
        <v>2</v>
      </c>
      <c r="L49" s="54">
        <f t="shared" si="15"/>
        <v>2</v>
      </c>
      <c r="M49" s="12">
        <f t="shared" si="20"/>
        <v>48</v>
      </c>
      <c r="N49" s="12">
        <f t="shared" si="20"/>
        <v>48</v>
      </c>
      <c r="O49" s="104">
        <v>40</v>
      </c>
      <c r="P49" s="54">
        <f t="shared" si="17"/>
        <v>40</v>
      </c>
      <c r="Q49" s="33">
        <f>'_2021_VB_ar_ izmaiņām_MK'!Q49*1.025</f>
        <v>204.99999999999997</v>
      </c>
      <c r="R49" s="4">
        <f t="shared" si="18"/>
        <v>8199.9999999999982</v>
      </c>
      <c r="S49" s="15">
        <f t="shared" si="21"/>
        <v>8</v>
      </c>
      <c r="T49" s="15">
        <f t="shared" si="21"/>
        <v>8</v>
      </c>
      <c r="U49" s="1"/>
      <c r="V49" s="1">
        <v>1</v>
      </c>
      <c r="W49" s="27" t="s">
        <v>109</v>
      </c>
    </row>
    <row r="50" spans="1:24" s="44" customFormat="1" ht="20.25" customHeight="1" x14ac:dyDescent="0.35">
      <c r="A50" s="39"/>
      <c r="B50" s="40"/>
      <c r="C50" s="41">
        <v>27</v>
      </c>
      <c r="D50" s="188" t="s">
        <v>91</v>
      </c>
      <c r="E50" s="188"/>
      <c r="F50" s="188"/>
      <c r="G50" s="188"/>
      <c r="H50" s="63"/>
      <c r="I50" s="9">
        <f>'_2021_VB_ar_ izmaiņām_MK'!S50</f>
        <v>12</v>
      </c>
      <c r="J50" s="9">
        <f>'_2021_VB_ar_ izmaiņām_MK'!T50</f>
        <v>12</v>
      </c>
      <c r="K50" s="9">
        <f t="shared" ref="K50:P50" si="22">K51+K52</f>
        <v>10</v>
      </c>
      <c r="L50" s="9">
        <f t="shared" si="22"/>
        <v>10</v>
      </c>
      <c r="M50" s="9">
        <f t="shared" si="22"/>
        <v>132</v>
      </c>
      <c r="N50" s="9">
        <f t="shared" si="22"/>
        <v>132</v>
      </c>
      <c r="O50" s="9">
        <f t="shared" si="22"/>
        <v>122</v>
      </c>
      <c r="P50" s="9">
        <f t="shared" si="22"/>
        <v>122</v>
      </c>
      <c r="Q50" s="9" t="str">
        <f>'_2021_VB_bez izmaiņām'!Q50</f>
        <v>x</v>
      </c>
      <c r="R50" s="3">
        <f t="shared" ref="R50" si="23">R51+R52</f>
        <v>7761.4845000000005</v>
      </c>
      <c r="S50" s="9">
        <f>S51+S52</f>
        <v>10</v>
      </c>
      <c r="T50" s="9">
        <f>T51+T52</f>
        <v>10</v>
      </c>
      <c r="U50" s="7"/>
      <c r="V50" s="7">
        <v>1</v>
      </c>
      <c r="W50" s="27"/>
    </row>
    <row r="51" spans="1:24" s="44" customFormat="1" ht="28" x14ac:dyDescent="0.35">
      <c r="A51" s="31">
        <v>40</v>
      </c>
      <c r="B51" s="32" t="s">
        <v>6</v>
      </c>
      <c r="C51" s="32" t="s">
        <v>92</v>
      </c>
      <c r="D51" s="31" t="s">
        <v>93</v>
      </c>
      <c r="E51" s="32" t="s">
        <v>9</v>
      </c>
      <c r="F51" s="32">
        <v>3</v>
      </c>
      <c r="G51" s="42" t="s">
        <v>10</v>
      </c>
      <c r="H51" s="47"/>
      <c r="I51" s="15">
        <f>'_2021_VB_ar_ izmaiņām_MK'!S51</f>
        <v>6</v>
      </c>
      <c r="J51" s="15">
        <f>'_2021_VB_ar_ izmaiņām_MK'!T51</f>
        <v>6</v>
      </c>
      <c r="K51" s="53">
        <f>ROUND('_2021_VB_ar_ izmaiņām_MK'!K51*1.025,0)</f>
        <v>8</v>
      </c>
      <c r="L51" s="54">
        <f t="shared" ref="L51:L52" si="24">IF(I51=0,K51,K51*(J51/I51))</f>
        <v>8</v>
      </c>
      <c r="M51" s="12">
        <f t="shared" ref="M51:N52" si="25">I51+(K51*12)</f>
        <v>102</v>
      </c>
      <c r="N51" s="12">
        <f t="shared" si="25"/>
        <v>102</v>
      </c>
      <c r="O51" s="11">
        <v>102</v>
      </c>
      <c r="P51" s="54">
        <f t="shared" ref="P51:P52" si="26">IF(I51=0,O51,O51*(J51/I51))</f>
        <v>102</v>
      </c>
      <c r="Q51" s="33">
        <f>'_2021_VB_ar_ izmaiņām_MK'!Q51*1.025</f>
        <v>35.96725</v>
      </c>
      <c r="R51" s="4">
        <f t="shared" ref="R51:R52" si="27">Q51*P51</f>
        <v>3668.6595000000002</v>
      </c>
      <c r="S51" s="15">
        <f t="shared" ref="S51:T52" si="28">M51-O51</f>
        <v>0</v>
      </c>
      <c r="T51" s="15">
        <f t="shared" si="28"/>
        <v>0</v>
      </c>
      <c r="U51" s="1"/>
      <c r="V51" s="1">
        <v>1</v>
      </c>
      <c r="W51" s="27"/>
    </row>
    <row r="52" spans="1:24" s="44" customFormat="1" x14ac:dyDescent="0.35">
      <c r="A52" s="31">
        <v>41</v>
      </c>
      <c r="B52" s="32" t="s">
        <v>6</v>
      </c>
      <c r="C52" s="32" t="s">
        <v>94</v>
      </c>
      <c r="D52" s="31" t="s">
        <v>95</v>
      </c>
      <c r="E52" s="32" t="s">
        <v>9</v>
      </c>
      <c r="F52" s="32">
        <v>5</v>
      </c>
      <c r="G52" s="42" t="s">
        <v>10</v>
      </c>
      <c r="H52" s="47"/>
      <c r="I52" s="15">
        <f>'_2021_VB_ar_ izmaiņām_MK'!S52</f>
        <v>6</v>
      </c>
      <c r="J52" s="15">
        <f>'_2021_VB_ar_ izmaiņām_MK'!T52</f>
        <v>6</v>
      </c>
      <c r="K52" s="53">
        <f>ROUND('_2021_VB_ar_ izmaiņām_MK'!K52*1.025,0)</f>
        <v>2</v>
      </c>
      <c r="L52" s="54">
        <f t="shared" si="24"/>
        <v>2</v>
      </c>
      <c r="M52" s="12">
        <f t="shared" si="25"/>
        <v>30</v>
      </c>
      <c r="N52" s="12">
        <f t="shared" si="25"/>
        <v>30</v>
      </c>
      <c r="O52" s="11">
        <v>20</v>
      </c>
      <c r="P52" s="54">
        <f t="shared" si="26"/>
        <v>20</v>
      </c>
      <c r="Q52" s="33">
        <f>'_2021_VB_ar_ izmaiņām_MK'!Q52*1.025</f>
        <v>204.64124999999999</v>
      </c>
      <c r="R52" s="4">
        <f t="shared" si="27"/>
        <v>4092.8249999999998</v>
      </c>
      <c r="S52" s="15">
        <f t="shared" si="28"/>
        <v>10</v>
      </c>
      <c r="T52" s="15">
        <f t="shared" si="28"/>
        <v>10</v>
      </c>
      <c r="U52" s="1"/>
      <c r="V52" s="1">
        <v>1</v>
      </c>
      <c r="W52" s="27"/>
    </row>
    <row r="53" spans="1:24" x14ac:dyDescent="0.35">
      <c r="H53" s="46"/>
      <c r="I53" s="106">
        <f>ROUND(I8+I13+I15+I18+I21+I50,0)</f>
        <v>6417</v>
      </c>
      <c r="J53" s="17">
        <f>ROUND(J8+J13+J15+J18+J21+J50,0)</f>
        <v>9392</v>
      </c>
      <c r="K53" s="17">
        <f t="shared" ref="K53:P53" si="29">ROUND(K8+K13+K15+K18+K21+K50,0)</f>
        <v>711</v>
      </c>
      <c r="L53" s="17">
        <f t="shared" si="29"/>
        <v>908</v>
      </c>
      <c r="M53" s="17">
        <f t="shared" si="29"/>
        <v>14949</v>
      </c>
      <c r="N53" s="17">
        <f t="shared" si="29"/>
        <v>20291</v>
      </c>
      <c r="O53" s="106">
        <f>ROUND(O8+O13+O15+O18+O21+O50,0)</f>
        <v>10681</v>
      </c>
      <c r="P53" s="17">
        <f t="shared" si="29"/>
        <v>13743</v>
      </c>
      <c r="Q53" s="21" t="s">
        <v>119</v>
      </c>
      <c r="R53" s="17">
        <f>ROUND(R8+R13+R15+R18+R21+R50,0)</f>
        <v>3683839</v>
      </c>
      <c r="S53" s="106">
        <f>ROUND(S8+S13+S15+S18+S21+S50,0)</f>
        <v>4268</v>
      </c>
      <c r="T53" s="17">
        <f t="shared" ref="T53" si="30">ROUND(T8+T13+T15+T18+T21+T50,0)</f>
        <v>6548</v>
      </c>
      <c r="X53" s="138"/>
    </row>
    <row r="54" spans="1:24" x14ac:dyDescent="0.35">
      <c r="H54" s="46"/>
      <c r="I54" s="18">
        <f>ROUND(I27+I28+I29+I30+I38+I39+I40+I41+I45+I46,0)</f>
        <v>5248</v>
      </c>
      <c r="J54" s="18">
        <f t="shared" ref="J54:T54" si="31">ROUND(J27+J28+J29+J30+J38+J39+J40+J41+J45+J46,0)</f>
        <v>8223</v>
      </c>
      <c r="K54" s="18">
        <f t="shared" si="31"/>
        <v>393</v>
      </c>
      <c r="L54" s="18">
        <f t="shared" si="31"/>
        <v>590</v>
      </c>
      <c r="M54" s="18">
        <f t="shared" si="31"/>
        <v>9964</v>
      </c>
      <c r="N54" s="18">
        <f t="shared" si="31"/>
        <v>15306</v>
      </c>
      <c r="O54" s="18">
        <f t="shared" si="31"/>
        <v>6108</v>
      </c>
      <c r="P54" s="18">
        <f t="shared" si="31"/>
        <v>9170</v>
      </c>
      <c r="Q54" s="18"/>
      <c r="R54" s="18">
        <f t="shared" si="31"/>
        <v>2283364</v>
      </c>
      <c r="S54" s="18">
        <f t="shared" si="31"/>
        <v>3856</v>
      </c>
      <c r="T54" s="18">
        <f t="shared" si="31"/>
        <v>6136</v>
      </c>
      <c r="X54" s="138"/>
    </row>
    <row r="55" spans="1:24" x14ac:dyDescent="0.35">
      <c r="H55" s="46"/>
      <c r="I55" s="46"/>
      <c r="J55" s="46"/>
      <c r="K55" s="46"/>
      <c r="O55" s="46"/>
      <c r="P55" s="184" t="s">
        <v>231</v>
      </c>
      <c r="Q55" s="185" t="s">
        <v>130</v>
      </c>
      <c r="R55" s="18">
        <v>1166981</v>
      </c>
      <c r="X55" s="138"/>
    </row>
    <row r="56" spans="1:24" x14ac:dyDescent="0.35">
      <c r="H56" s="46"/>
      <c r="I56" s="46"/>
      <c r="J56" s="46"/>
      <c r="K56" s="46"/>
      <c r="O56" s="46"/>
      <c r="P56" s="184" t="s">
        <v>131</v>
      </c>
      <c r="Q56" s="185" t="s">
        <v>131</v>
      </c>
      <c r="R56" s="18">
        <f>R54-R55</f>
        <v>1116383</v>
      </c>
      <c r="X56" s="138"/>
    </row>
    <row r="57" spans="1:24" x14ac:dyDescent="0.35">
      <c r="H57" s="46"/>
      <c r="I57" s="46"/>
      <c r="J57" s="46"/>
      <c r="K57" s="46"/>
      <c r="O57" s="46"/>
      <c r="Q57" s="65"/>
      <c r="X57" s="138"/>
    </row>
    <row r="58" spans="1:24" s="44" customFormat="1" x14ac:dyDescent="0.35">
      <c r="B58" s="45"/>
      <c r="C58" s="45"/>
      <c r="E58" s="45"/>
      <c r="F58" s="45"/>
      <c r="G58" s="46"/>
      <c r="H58" s="46"/>
      <c r="I58" s="18">
        <f>ROUND(I9+I10+I11+I12+I14+I16+I17+I19+I20+I22+I23+I24+I25+I26+I31+I32+I33+I34+I35+I36+I42+I43+I44+I47+I49+I51+I52+I48+I37,0)</f>
        <v>1169</v>
      </c>
      <c r="J58" s="18">
        <f t="shared" ref="J58:P58" si="32">ROUND(J9+J10+J11+J12+J14+J16+J17+J19+J20+J22+J23+J24+J25+J26+J31+J32+J33+J34+J35+J36+J42+J43+J44+J47+J49+J51+J52+J48+J37,0)</f>
        <v>1169</v>
      </c>
      <c r="K58" s="18">
        <f t="shared" si="32"/>
        <v>318</v>
      </c>
      <c r="L58" s="18">
        <f t="shared" si="32"/>
        <v>318</v>
      </c>
      <c r="M58" s="18">
        <f t="shared" si="32"/>
        <v>4985</v>
      </c>
      <c r="N58" s="18">
        <f t="shared" si="32"/>
        <v>4985</v>
      </c>
      <c r="O58" s="18">
        <f t="shared" si="32"/>
        <v>4573</v>
      </c>
      <c r="P58" s="18">
        <f t="shared" si="32"/>
        <v>4573</v>
      </c>
      <c r="Q58" s="18"/>
      <c r="R58" s="18">
        <f>ROUND(R9+R10+R11+R12+R14+R16+R17+R19+R20+R22+R23+R24+R25+R26+R31+R32+R33+R34+R35+R36+R42+R43+R44+R47+R49+R51+R52+R48+R37,0)</f>
        <v>1400475</v>
      </c>
      <c r="S58" s="18">
        <f t="shared" ref="S58:T58" si="33">ROUND(S9+S10+S11+S12+S14+S16+S17+S19+S20+S22+S23+S24+S25+S26+S31+S32+S33+S34+S35+S36+S42+S43+S44+S47+S49+S51+S52+S48+S37,0)</f>
        <v>412</v>
      </c>
      <c r="T58" s="18">
        <f t="shared" si="33"/>
        <v>412</v>
      </c>
      <c r="U58" s="18"/>
      <c r="V58" s="18"/>
      <c r="W58" s="18"/>
      <c r="X58" s="138"/>
    </row>
    <row r="59" spans="1:24"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4" s="44" customFormat="1" x14ac:dyDescent="0.35">
      <c r="B60" s="45"/>
      <c r="C60" s="45"/>
      <c r="E60" s="45"/>
      <c r="F60" s="45"/>
      <c r="G60" s="46"/>
      <c r="H60" s="46"/>
      <c r="I60" s="46"/>
      <c r="J60" s="46"/>
      <c r="K60" s="46"/>
      <c r="L60" s="46"/>
      <c r="M60" s="46"/>
      <c r="N60" s="46"/>
      <c r="O60" s="46"/>
      <c r="P60" s="184" t="s">
        <v>132</v>
      </c>
      <c r="Q60" s="185" t="s">
        <v>131</v>
      </c>
      <c r="R60" s="18">
        <f>R58-R59</f>
        <v>722606</v>
      </c>
      <c r="S60" s="46"/>
      <c r="T60" s="46"/>
      <c r="U60" s="8"/>
      <c r="V60" s="8"/>
      <c r="W60" s="27"/>
    </row>
    <row r="61" spans="1:24" x14ac:dyDescent="0.35">
      <c r="H61" s="46"/>
      <c r="I61" s="46"/>
      <c r="J61" s="46"/>
      <c r="K61" s="46"/>
      <c r="O61" s="46"/>
      <c r="Q61" s="65"/>
    </row>
    <row r="62" spans="1:24" x14ac:dyDescent="0.35">
      <c r="H62" s="46"/>
      <c r="I62" s="46"/>
      <c r="J62" s="46"/>
      <c r="K62" s="46"/>
      <c r="O62" s="46"/>
      <c r="Q62" s="65" t="s">
        <v>233</v>
      </c>
      <c r="R62" s="18">
        <f>R55+R59</f>
        <v>1844850</v>
      </c>
    </row>
    <row r="63" spans="1:24" ht="18" x14ac:dyDescent="0.35">
      <c r="H63" s="46"/>
      <c r="I63" s="46"/>
      <c r="J63" s="46"/>
      <c r="K63" s="46"/>
      <c r="O63" s="66"/>
      <c r="P63" s="66"/>
      <c r="Q63" s="67" t="s">
        <v>235</v>
      </c>
      <c r="R63" s="77">
        <f>R53-R62</f>
        <v>1838989</v>
      </c>
    </row>
    <row r="64" spans="1:24" x14ac:dyDescent="0.35">
      <c r="H64" s="46"/>
      <c r="I64" s="46"/>
      <c r="J64" s="46"/>
      <c r="K64" s="46"/>
      <c r="O64" s="46"/>
      <c r="Q64" s="65"/>
      <c r="R64" s="18">
        <f>R53-R55-R59-R60-R56</f>
        <v>0</v>
      </c>
    </row>
    <row r="65" spans="8:20" x14ac:dyDescent="0.35">
      <c r="H65" s="46"/>
      <c r="I65" s="18">
        <f>I53-I54-I58</f>
        <v>0</v>
      </c>
      <c r="J65" s="18">
        <f t="shared" ref="J65:P65" si="34">J53-J54-J58</f>
        <v>0</v>
      </c>
      <c r="K65" s="18">
        <f t="shared" si="34"/>
        <v>0</v>
      </c>
      <c r="L65" s="18">
        <f t="shared" si="34"/>
        <v>0</v>
      </c>
      <c r="M65" s="18">
        <f t="shared" si="34"/>
        <v>0</v>
      </c>
      <c r="N65" s="18">
        <f t="shared" si="34"/>
        <v>0</v>
      </c>
      <c r="O65" s="18">
        <f t="shared" si="34"/>
        <v>0</v>
      </c>
      <c r="P65" s="18">
        <f t="shared" si="34"/>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35">ROUND(J54,0)+ ROUND(J58,0)-ROUND(J53,0)</f>
        <v>0</v>
      </c>
      <c r="K67" s="18">
        <f t="shared" si="35"/>
        <v>0</v>
      </c>
      <c r="L67" s="18">
        <f t="shared" si="35"/>
        <v>0</v>
      </c>
      <c r="M67" s="18">
        <f t="shared" si="35"/>
        <v>0</v>
      </c>
      <c r="N67" s="18">
        <f t="shared" si="35"/>
        <v>0</v>
      </c>
      <c r="O67" s="18">
        <f t="shared" si="35"/>
        <v>0</v>
      </c>
      <c r="P67" s="18">
        <f t="shared" si="35"/>
        <v>0</v>
      </c>
      <c r="Q67" s="18"/>
      <c r="R67" s="18">
        <f t="shared" si="35"/>
        <v>0</v>
      </c>
      <c r="S67" s="18">
        <f t="shared" si="35"/>
        <v>0</v>
      </c>
      <c r="T67" s="18">
        <f t="shared" si="35"/>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Y52" xr:uid="{7C37CABB-E10E-4EE9-BACF-F0E0C32B851A}"/>
  <mergeCells count="22">
    <mergeCell ref="A1:T1"/>
    <mergeCell ref="A2:T2"/>
    <mergeCell ref="A3:T3"/>
    <mergeCell ref="I4:R4"/>
    <mergeCell ref="A5:G5"/>
    <mergeCell ref="I5:J5"/>
    <mergeCell ref="K5:L5"/>
    <mergeCell ref="M5:N5"/>
    <mergeCell ref="O5:P5"/>
    <mergeCell ref="Q5:Q6"/>
    <mergeCell ref="P60:Q60"/>
    <mergeCell ref="R5:R6"/>
    <mergeCell ref="S5:T5"/>
    <mergeCell ref="D8:G8"/>
    <mergeCell ref="D13:G13"/>
    <mergeCell ref="D15:G15"/>
    <mergeCell ref="D18:G18"/>
    <mergeCell ref="D21:G21"/>
    <mergeCell ref="D50:G50"/>
    <mergeCell ref="P55:Q55"/>
    <mergeCell ref="P56:Q56"/>
    <mergeCell ref="P59:Q59"/>
  </mergeCells>
  <pageMargins left="0.51181102362204722" right="0.31496062992125984" top="0.94488188976377963" bottom="0.59055118110236227"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66FC-C2D2-45E3-AE29-8B7433D2450F}">
  <sheetPr>
    <tabColor rgb="FF92D050"/>
  </sheetPr>
  <dimension ref="A1:W70"/>
  <sheetViews>
    <sheetView zoomScale="70" zoomScaleNormal="70" workbookViewId="0">
      <pane ySplit="7" topLeftCell="A49" activePane="bottomLeft" state="frozen"/>
      <selection activeCell="D1" sqref="D1"/>
      <selection pane="bottomLeft" activeCell="J6" sqref="J6"/>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50" style="27" hidden="1" customWidth="1"/>
    <col min="24" max="24" width="9.08984375" style="72" customWidth="1"/>
    <col min="25" max="16384" width="9.08984375" style="72"/>
  </cols>
  <sheetData>
    <row r="1" spans="1:23" s="44" customFormat="1" x14ac:dyDescent="0.35">
      <c r="A1" s="189" t="s">
        <v>190</v>
      </c>
      <c r="B1" s="189"/>
      <c r="C1" s="189"/>
      <c r="D1" s="189"/>
      <c r="E1" s="189"/>
      <c r="F1" s="189"/>
      <c r="G1" s="189"/>
      <c r="H1" s="189"/>
      <c r="I1" s="189"/>
      <c r="J1" s="189"/>
      <c r="K1" s="189"/>
      <c r="L1" s="189"/>
      <c r="M1" s="189"/>
      <c r="N1" s="189"/>
      <c r="O1" s="189"/>
      <c r="P1" s="189"/>
      <c r="Q1" s="189"/>
      <c r="R1" s="189"/>
      <c r="S1" s="189"/>
      <c r="T1" s="189"/>
      <c r="U1" s="8"/>
      <c r="V1" s="8"/>
      <c r="W1" s="27"/>
    </row>
    <row r="2" spans="1:23" s="44" customFormat="1" x14ac:dyDescent="0.35">
      <c r="A2" s="190" t="s">
        <v>227</v>
      </c>
      <c r="B2" s="190"/>
      <c r="C2" s="190"/>
      <c r="D2" s="190"/>
      <c r="E2" s="190"/>
      <c r="F2" s="190"/>
      <c r="G2" s="190"/>
      <c r="H2" s="190"/>
      <c r="I2" s="190"/>
      <c r="J2" s="190"/>
      <c r="K2" s="190"/>
      <c r="L2" s="190"/>
      <c r="M2" s="190"/>
      <c r="N2" s="190"/>
      <c r="O2" s="190"/>
      <c r="P2" s="190"/>
      <c r="Q2" s="190"/>
      <c r="R2" s="190"/>
      <c r="S2" s="190"/>
      <c r="T2" s="190"/>
      <c r="U2" s="8"/>
      <c r="V2" s="8"/>
      <c r="W2" s="27"/>
    </row>
    <row r="3" spans="1:23" s="44" customFormat="1" ht="75" customHeight="1" x14ac:dyDescent="0.35">
      <c r="A3" s="191" t="s">
        <v>262</v>
      </c>
      <c r="B3" s="191"/>
      <c r="C3" s="191"/>
      <c r="D3" s="191"/>
      <c r="E3" s="191"/>
      <c r="F3" s="191"/>
      <c r="G3" s="191"/>
      <c r="H3" s="191"/>
      <c r="I3" s="191"/>
      <c r="J3" s="191"/>
      <c r="K3" s="191"/>
      <c r="L3" s="191"/>
      <c r="M3" s="191"/>
      <c r="N3" s="191"/>
      <c r="O3" s="191"/>
      <c r="P3" s="191"/>
      <c r="Q3" s="191"/>
      <c r="R3" s="191"/>
      <c r="S3" s="191"/>
      <c r="T3" s="191"/>
      <c r="U3" s="8"/>
      <c r="V3" s="8"/>
      <c r="W3" s="55"/>
    </row>
    <row r="4" spans="1:23" s="34" customFormat="1" ht="25.5" x14ac:dyDescent="0.35">
      <c r="B4" s="35"/>
      <c r="C4" s="35"/>
      <c r="E4" s="35"/>
      <c r="F4" s="35"/>
      <c r="G4" s="36"/>
      <c r="H4" s="36"/>
      <c r="I4" s="192" t="s">
        <v>179</v>
      </c>
      <c r="J4" s="193"/>
      <c r="K4" s="193"/>
      <c r="L4" s="193"/>
      <c r="M4" s="193"/>
      <c r="N4" s="193"/>
      <c r="O4" s="193"/>
      <c r="P4" s="193"/>
      <c r="Q4" s="194"/>
      <c r="R4" s="195"/>
      <c r="S4" s="36"/>
      <c r="T4" s="58"/>
      <c r="U4" s="25"/>
      <c r="V4" s="25"/>
      <c r="W4" s="130"/>
    </row>
    <row r="5" spans="1:23" s="44" customFormat="1" ht="27.75" customHeight="1" x14ac:dyDescent="0.35">
      <c r="A5" s="196" t="s">
        <v>100</v>
      </c>
      <c r="B5" s="196"/>
      <c r="C5" s="196"/>
      <c r="D5" s="196"/>
      <c r="E5" s="196"/>
      <c r="F5" s="196"/>
      <c r="G5" s="196"/>
      <c r="H5" s="6"/>
      <c r="I5" s="187" t="s">
        <v>134</v>
      </c>
      <c r="J5" s="187"/>
      <c r="K5" s="187" t="s">
        <v>239</v>
      </c>
      <c r="L5" s="187"/>
      <c r="M5" s="197" t="s">
        <v>160</v>
      </c>
      <c r="N5" s="197"/>
      <c r="O5" s="197" t="s">
        <v>242</v>
      </c>
      <c r="P5" s="197"/>
      <c r="Q5" s="198" t="s">
        <v>128</v>
      </c>
      <c r="R5" s="186" t="s">
        <v>161</v>
      </c>
      <c r="S5" s="187" t="s">
        <v>162</v>
      </c>
      <c r="T5" s="187"/>
      <c r="U5" s="6"/>
      <c r="V5" s="6"/>
      <c r="W5" s="129"/>
    </row>
    <row r="6" spans="1:23" s="44" customFormat="1" ht="150.75" customHeight="1" x14ac:dyDescent="0.25">
      <c r="A6" s="37" t="s">
        <v>96</v>
      </c>
      <c r="B6" s="2" t="s">
        <v>0</v>
      </c>
      <c r="C6" s="2" t="s">
        <v>101</v>
      </c>
      <c r="D6" s="37" t="s">
        <v>1</v>
      </c>
      <c r="E6" s="2" t="s">
        <v>2</v>
      </c>
      <c r="F6" s="2" t="s">
        <v>3</v>
      </c>
      <c r="G6" s="38" t="s">
        <v>4</v>
      </c>
      <c r="H6" s="62"/>
      <c r="I6" s="2" t="s">
        <v>127</v>
      </c>
      <c r="J6" s="2" t="s">
        <v>174</v>
      </c>
      <c r="K6" s="2" t="s">
        <v>159</v>
      </c>
      <c r="L6" s="2" t="s">
        <v>175</v>
      </c>
      <c r="M6" s="135" t="s">
        <v>117</v>
      </c>
      <c r="N6" s="135" t="s">
        <v>118</v>
      </c>
      <c r="O6" s="135" t="s">
        <v>123</v>
      </c>
      <c r="P6" s="135" t="s">
        <v>124</v>
      </c>
      <c r="Q6" s="198"/>
      <c r="R6" s="186"/>
      <c r="S6" s="2" t="s">
        <v>127</v>
      </c>
      <c r="T6" s="2" t="s">
        <v>129</v>
      </c>
      <c r="U6" s="1" t="s">
        <v>115</v>
      </c>
      <c r="V6" s="1" t="s">
        <v>116</v>
      </c>
      <c r="W6" s="28" t="s">
        <v>114</v>
      </c>
    </row>
    <row r="7" spans="1:23"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3" s="44" customFormat="1" ht="18" customHeight="1" x14ac:dyDescent="0.35">
      <c r="A8" s="39"/>
      <c r="B8" s="40"/>
      <c r="C8" s="41">
        <v>4</v>
      </c>
      <c r="D8" s="188" t="s">
        <v>5</v>
      </c>
      <c r="E8" s="188"/>
      <c r="F8" s="188"/>
      <c r="G8" s="188"/>
      <c r="H8" s="63"/>
      <c r="I8" s="9">
        <f>'_2022_VB_ar_ izmaiņām_MK+ fin'!S8</f>
        <v>84</v>
      </c>
      <c r="J8" s="9">
        <f>'_2022_VB_ar_ izmaiņām_MK+ fin'!T8</f>
        <v>84</v>
      </c>
      <c r="K8" s="9">
        <f t="shared" ref="K8:P8" si="0">K9+K10+K11+K12</f>
        <v>65</v>
      </c>
      <c r="L8" s="9">
        <f t="shared" si="0"/>
        <v>65</v>
      </c>
      <c r="M8" s="9">
        <f t="shared" si="0"/>
        <v>864</v>
      </c>
      <c r="N8" s="9">
        <f t="shared" si="0"/>
        <v>864</v>
      </c>
      <c r="O8" s="9">
        <f t="shared" si="0"/>
        <v>830</v>
      </c>
      <c r="P8" s="9">
        <f t="shared" si="0"/>
        <v>830</v>
      </c>
      <c r="Q8" s="9" t="str">
        <f>'_2021_VB_bez izmaiņām'!Q8</f>
        <v>x</v>
      </c>
      <c r="R8" s="3">
        <f t="shared" ref="R8" si="1">R9+R10+R11+R12</f>
        <v>59222.155312499992</v>
      </c>
      <c r="S8" s="9">
        <f>S9+S10+S11+S12</f>
        <v>34</v>
      </c>
      <c r="T8" s="9">
        <f>T9+T10+T11+T12</f>
        <v>34</v>
      </c>
      <c r="U8" s="7"/>
      <c r="V8" s="7">
        <v>1</v>
      </c>
      <c r="W8" s="27"/>
    </row>
    <row r="9" spans="1:23" s="44" customFormat="1" ht="27.75" customHeight="1" x14ac:dyDescent="0.35">
      <c r="A9" s="31">
        <v>1</v>
      </c>
      <c r="B9" s="32" t="s">
        <v>6</v>
      </c>
      <c r="C9" s="32" t="s">
        <v>7</v>
      </c>
      <c r="D9" s="31" t="s">
        <v>8</v>
      </c>
      <c r="E9" s="32" t="s">
        <v>9</v>
      </c>
      <c r="F9" s="32" t="s">
        <v>97</v>
      </c>
      <c r="G9" s="42" t="s">
        <v>10</v>
      </c>
      <c r="H9" s="47"/>
      <c r="I9" s="15">
        <f>'_2022_VB_ar_ izmaiņām_MK+ fin'!S9</f>
        <v>14</v>
      </c>
      <c r="J9" s="15">
        <f>'_2022_VB_ar_ izmaiņām_MK+ fin'!T9</f>
        <v>14</v>
      </c>
      <c r="K9" s="53">
        <f>ROUND('_2022_VB_ar_ izmaiņām_MK'!K9*1.025,0)</f>
        <v>26</v>
      </c>
      <c r="L9" s="54">
        <f>IF(I9=0,K9,K9*(J9/I9))</f>
        <v>26</v>
      </c>
      <c r="M9" s="12">
        <f>I9+(K9*12)</f>
        <v>326</v>
      </c>
      <c r="N9" s="12">
        <f>J9+(L9*12)</f>
        <v>326</v>
      </c>
      <c r="O9" s="11">
        <v>320</v>
      </c>
      <c r="P9" s="54">
        <f>IF(I9=0,O9,O9*(J9/I9))</f>
        <v>320</v>
      </c>
      <c r="Q9" s="33">
        <f>'_2022_VB_ar_ izmaiņām_MK'!Q9*1.025</f>
        <v>88.252499999999984</v>
      </c>
      <c r="R9" s="4">
        <f>Q9*P9</f>
        <v>28240.799999999996</v>
      </c>
      <c r="S9" s="15">
        <f>M9-O9</f>
        <v>6</v>
      </c>
      <c r="T9" s="15">
        <f>N9-P9</f>
        <v>6</v>
      </c>
      <c r="U9" s="1"/>
      <c r="V9" s="1">
        <v>1</v>
      </c>
      <c r="W9" s="27" t="s">
        <v>102</v>
      </c>
    </row>
    <row r="10" spans="1:23" s="44" customFormat="1" ht="18" customHeight="1" x14ac:dyDescent="0.35">
      <c r="A10" s="31">
        <v>2</v>
      </c>
      <c r="B10" s="32" t="s">
        <v>6</v>
      </c>
      <c r="C10" s="32" t="s">
        <v>11</v>
      </c>
      <c r="D10" s="31" t="s">
        <v>12</v>
      </c>
      <c r="E10" s="32" t="s">
        <v>9</v>
      </c>
      <c r="F10" s="32">
        <v>5</v>
      </c>
      <c r="G10" s="42" t="s">
        <v>10</v>
      </c>
      <c r="H10" s="47"/>
      <c r="I10" s="15">
        <f>'_2022_VB_ar_ izmaiņām_MK+ fin'!S10</f>
        <v>11</v>
      </c>
      <c r="J10" s="15">
        <f>'_2022_VB_ar_ izmaiņām_MK+ fin'!T10</f>
        <v>11</v>
      </c>
      <c r="K10" s="53">
        <f>ROUND('_2022_VB_ar_ izmaiņām_MK'!K10*1.025,0)</f>
        <v>10</v>
      </c>
      <c r="L10" s="54">
        <f>IF(I10=0,K10,K10*(J10/I10))</f>
        <v>10</v>
      </c>
      <c r="M10" s="12">
        <f>I10+(K10*12)</f>
        <v>131</v>
      </c>
      <c r="N10" s="12">
        <f>J10+(L10*12)</f>
        <v>131</v>
      </c>
      <c r="O10" s="11">
        <v>125</v>
      </c>
      <c r="P10" s="54">
        <f>IF(I10=0,O10,O10*(J10/I10))</f>
        <v>125</v>
      </c>
      <c r="Q10" s="33">
        <f>'_2022_VB_ar_ izmaiņām_MK'!Q10*1.025</f>
        <v>88.252499999999984</v>
      </c>
      <c r="R10" s="4">
        <f t="shared" ref="R10:R12" si="2">Q10*P10</f>
        <v>11031.562499999998</v>
      </c>
      <c r="S10" s="15">
        <f>M10-O10</f>
        <v>6</v>
      </c>
      <c r="T10" s="15">
        <f>N10-P10</f>
        <v>6</v>
      </c>
      <c r="U10" s="1"/>
      <c r="V10" s="1">
        <v>1</v>
      </c>
      <c r="W10" s="27"/>
    </row>
    <row r="11" spans="1:23" s="44" customFormat="1" ht="36" customHeight="1" x14ac:dyDescent="0.35">
      <c r="A11" s="31">
        <v>3</v>
      </c>
      <c r="B11" s="32" t="s">
        <v>13</v>
      </c>
      <c r="C11" s="32" t="s">
        <v>14</v>
      </c>
      <c r="D11" s="31" t="s">
        <v>15</v>
      </c>
      <c r="E11" s="32" t="s">
        <v>9</v>
      </c>
      <c r="F11" s="32">
        <v>2</v>
      </c>
      <c r="G11" s="42" t="s">
        <v>10</v>
      </c>
      <c r="H11" s="47"/>
      <c r="I11" s="15">
        <f>'_2022_VB_ar_ izmaiņām_MK+ fin'!S11</f>
        <v>26</v>
      </c>
      <c r="J11" s="15">
        <f>'_2022_VB_ar_ izmaiņām_MK+ fin'!T11</f>
        <v>26</v>
      </c>
      <c r="K11" s="53">
        <f>ROUND('_2022_VB_ar_ izmaiņām_MK'!K11*1.025,0)</f>
        <v>12</v>
      </c>
      <c r="L11" s="54">
        <f t="shared" ref="L11:L12" si="3">IF(I11=0,K11,K11*(J11/I11))</f>
        <v>12</v>
      </c>
      <c r="M11" s="12">
        <f t="shared" ref="M11:N12" si="4">I11+(K11*12)</f>
        <v>170</v>
      </c>
      <c r="N11" s="12">
        <f t="shared" si="4"/>
        <v>170</v>
      </c>
      <c r="O11" s="11">
        <v>160</v>
      </c>
      <c r="P11" s="54">
        <f t="shared" ref="P11:P12" si="5">IF(I11=0,O11,O11*(J11/I11))</f>
        <v>160</v>
      </c>
      <c r="Q11" s="33">
        <f>'_2022_VB_ar_ izmaiņām_MK'!Q11*1.025</f>
        <v>35.300999999999995</v>
      </c>
      <c r="R11" s="4">
        <f t="shared" si="2"/>
        <v>5648.1599999999989</v>
      </c>
      <c r="S11" s="15">
        <f t="shared" ref="S11:T12" si="6">M11-O11</f>
        <v>10</v>
      </c>
      <c r="T11" s="15">
        <f t="shared" si="6"/>
        <v>10</v>
      </c>
      <c r="U11" s="1"/>
      <c r="V11" s="1">
        <v>1</v>
      </c>
      <c r="W11" s="27"/>
    </row>
    <row r="12" spans="1:23" s="44" customFormat="1" ht="18" customHeight="1" x14ac:dyDescent="0.35">
      <c r="A12" s="31">
        <v>4</v>
      </c>
      <c r="B12" s="32" t="s">
        <v>16</v>
      </c>
      <c r="C12" s="32" t="s">
        <v>17</v>
      </c>
      <c r="D12" s="31" t="s">
        <v>18</v>
      </c>
      <c r="E12" s="32" t="s">
        <v>9</v>
      </c>
      <c r="F12" s="32">
        <v>5</v>
      </c>
      <c r="G12" s="42" t="s">
        <v>10</v>
      </c>
      <c r="H12" s="47"/>
      <c r="I12" s="15">
        <f>'_2022_VB_ar_ izmaiņām_MK+ fin'!S12</f>
        <v>33</v>
      </c>
      <c r="J12" s="15">
        <f>'_2022_VB_ar_ izmaiņām_MK+ fin'!T12</f>
        <v>33</v>
      </c>
      <c r="K12" s="53">
        <f>ROUND('_2022_VB_ar_ izmaiņām_MK'!K12*1.025,0)</f>
        <v>17</v>
      </c>
      <c r="L12" s="54">
        <f t="shared" si="3"/>
        <v>17</v>
      </c>
      <c r="M12" s="12">
        <f t="shared" si="4"/>
        <v>237</v>
      </c>
      <c r="N12" s="12">
        <f t="shared" si="4"/>
        <v>237</v>
      </c>
      <c r="O12" s="11">
        <v>225</v>
      </c>
      <c r="P12" s="54">
        <f t="shared" si="5"/>
        <v>225</v>
      </c>
      <c r="Q12" s="33">
        <f>'_2022_VB_ar_ izmaiņām_MK'!Q12*1.025</f>
        <v>63.562812499999993</v>
      </c>
      <c r="R12" s="4">
        <f t="shared" si="2"/>
        <v>14301.632812499998</v>
      </c>
      <c r="S12" s="15">
        <f t="shared" si="6"/>
        <v>12</v>
      </c>
      <c r="T12" s="15">
        <f t="shared" si="6"/>
        <v>12</v>
      </c>
      <c r="U12" s="1"/>
      <c r="V12" s="1">
        <v>1</v>
      </c>
      <c r="W12" s="27"/>
    </row>
    <row r="13" spans="1:23" s="44" customFormat="1" ht="18" customHeight="1" x14ac:dyDescent="0.35">
      <c r="A13" s="39"/>
      <c r="B13" s="40"/>
      <c r="C13" s="41">
        <v>6</v>
      </c>
      <c r="D13" s="188" t="s">
        <v>19</v>
      </c>
      <c r="E13" s="188"/>
      <c r="F13" s="188"/>
      <c r="G13" s="188"/>
      <c r="H13" s="63"/>
      <c r="I13" s="13">
        <f>'_2022_VB_ar_ izmaiņām_MK+ fin'!S13</f>
        <v>24</v>
      </c>
      <c r="J13" s="13">
        <f>'_2022_VB_ar_ izmaiņām_MK+ fin'!T13</f>
        <v>24</v>
      </c>
      <c r="K13" s="13">
        <f t="shared" ref="K13:P13" si="7">K14</f>
        <v>46</v>
      </c>
      <c r="L13" s="13">
        <f t="shared" si="7"/>
        <v>46</v>
      </c>
      <c r="M13" s="13">
        <f t="shared" si="7"/>
        <v>576</v>
      </c>
      <c r="N13" s="13">
        <f t="shared" si="7"/>
        <v>576</v>
      </c>
      <c r="O13" s="13">
        <f t="shared" si="7"/>
        <v>550</v>
      </c>
      <c r="P13" s="13">
        <f t="shared" si="7"/>
        <v>550</v>
      </c>
      <c r="Q13" s="9" t="str">
        <f>'_2021_VB_bez izmaiņām'!Q13</f>
        <v>x</v>
      </c>
      <c r="R13" s="5">
        <f t="shared" ref="R13" si="8">R14</f>
        <v>327695.19062499993</v>
      </c>
      <c r="S13" s="13">
        <f>S14</f>
        <v>26</v>
      </c>
      <c r="T13" s="13">
        <f>T14</f>
        <v>26</v>
      </c>
      <c r="U13" s="7"/>
      <c r="V13" s="7">
        <v>1</v>
      </c>
      <c r="W13" s="27"/>
    </row>
    <row r="14" spans="1:23" s="34" customFormat="1" ht="34.5" customHeight="1" x14ac:dyDescent="0.35">
      <c r="A14" s="29">
        <v>5</v>
      </c>
      <c r="B14" s="30" t="s">
        <v>20</v>
      </c>
      <c r="C14" s="30" t="s">
        <v>21</v>
      </c>
      <c r="D14" s="29" t="s">
        <v>22</v>
      </c>
      <c r="E14" s="30" t="s">
        <v>9</v>
      </c>
      <c r="F14" s="30">
        <v>2</v>
      </c>
      <c r="G14" s="43" t="s">
        <v>23</v>
      </c>
      <c r="H14" s="48"/>
      <c r="I14" s="15">
        <f>'_2022_VB_ar_ izmaiņām_MK+ fin'!S14</f>
        <v>24</v>
      </c>
      <c r="J14" s="15">
        <f>'_2022_VB_ar_ izmaiņām_MK+ fin'!T14</f>
        <v>24</v>
      </c>
      <c r="K14" s="53">
        <f>ROUND('_2022_VB_ar_ izmaiņām_MK'!K14*1.025,0)</f>
        <v>46</v>
      </c>
      <c r="L14" s="54">
        <f>IF(I14=0,K14,K14*(J14/I14))</f>
        <v>46</v>
      </c>
      <c r="M14" s="12">
        <f>I14+(K14*12)</f>
        <v>576</v>
      </c>
      <c r="N14" s="12">
        <f>J14+(L14*12)</f>
        <v>576</v>
      </c>
      <c r="O14" s="11">
        <v>550</v>
      </c>
      <c r="P14" s="54">
        <f>IF(I14=0,O14,O14*(J14/I14))</f>
        <v>550</v>
      </c>
      <c r="Q14" s="33">
        <f>'_2022_VB_ar_ izmaiņām_MK'!Q14*1.025</f>
        <v>595.80943749999983</v>
      </c>
      <c r="R14" s="4">
        <f>Q14*P14</f>
        <v>327695.19062499993</v>
      </c>
      <c r="S14" s="15">
        <f>M14-O14</f>
        <v>26</v>
      </c>
      <c r="T14" s="15">
        <f>N14-P14</f>
        <v>26</v>
      </c>
      <c r="U14" s="19"/>
      <c r="V14" s="19">
        <v>1</v>
      </c>
      <c r="W14" s="26"/>
    </row>
    <row r="15" spans="1:23" s="44" customFormat="1" ht="18" customHeight="1" x14ac:dyDescent="0.35">
      <c r="A15" s="39"/>
      <c r="B15" s="40"/>
      <c r="C15" s="41">
        <v>12</v>
      </c>
      <c r="D15" s="188" t="s">
        <v>24</v>
      </c>
      <c r="E15" s="188"/>
      <c r="F15" s="188"/>
      <c r="G15" s="188"/>
      <c r="H15" s="63"/>
      <c r="I15" s="9">
        <f>'_2022_VB_ar_ izmaiņām_MK+ fin'!S15</f>
        <v>32</v>
      </c>
      <c r="J15" s="9">
        <f>'_2022_VB_ar_ izmaiņām_MK+ fin'!T15</f>
        <v>32</v>
      </c>
      <c r="K15" s="9">
        <f t="shared" ref="K15:P15" si="9">K16+K17</f>
        <v>22</v>
      </c>
      <c r="L15" s="9">
        <f t="shared" si="9"/>
        <v>22</v>
      </c>
      <c r="M15" s="9">
        <f t="shared" si="9"/>
        <v>296</v>
      </c>
      <c r="N15" s="9">
        <f t="shared" si="9"/>
        <v>296</v>
      </c>
      <c r="O15" s="9">
        <f t="shared" si="9"/>
        <v>263</v>
      </c>
      <c r="P15" s="9">
        <f t="shared" si="9"/>
        <v>263</v>
      </c>
      <c r="Q15" s="9" t="str">
        <f>'_2021_VB_bez izmaiņām'!Q15</f>
        <v>x</v>
      </c>
      <c r="R15" s="3">
        <f t="shared" ref="R15" si="10">R16+R17</f>
        <v>13566.720624999998</v>
      </c>
      <c r="S15" s="9">
        <f>S16+S17</f>
        <v>33</v>
      </c>
      <c r="T15" s="9">
        <f>T16+T17</f>
        <v>33</v>
      </c>
      <c r="U15" s="7"/>
      <c r="V15" s="7">
        <v>1</v>
      </c>
      <c r="W15" s="27"/>
    </row>
    <row r="16" spans="1:23" s="44" customFormat="1" ht="33.75" customHeight="1" x14ac:dyDescent="0.35">
      <c r="A16" s="31">
        <v>6</v>
      </c>
      <c r="B16" s="32" t="s">
        <v>25</v>
      </c>
      <c r="C16" s="32" t="s">
        <v>26</v>
      </c>
      <c r="D16" s="31" t="s">
        <v>27</v>
      </c>
      <c r="E16" s="32" t="s">
        <v>9</v>
      </c>
      <c r="F16" s="32" t="s">
        <v>104</v>
      </c>
      <c r="G16" s="42" t="s">
        <v>10</v>
      </c>
      <c r="H16" s="47"/>
      <c r="I16" s="15">
        <f>'_2022_VB_ar_ izmaiņām_MK+ fin'!S16</f>
        <v>17</v>
      </c>
      <c r="J16" s="15">
        <f>'_2022_VB_ar_ izmaiņām_MK+ fin'!T16</f>
        <v>17</v>
      </c>
      <c r="K16" s="53">
        <f>ROUND('_2022_VB_ar_ izmaiņām_MK'!K16*1.025,0)</f>
        <v>10</v>
      </c>
      <c r="L16" s="54">
        <f>IF(I16=0,K16,K16*(J16/I16))</f>
        <v>10</v>
      </c>
      <c r="M16" s="12">
        <f>I16+(K16*12)</f>
        <v>137</v>
      </c>
      <c r="N16" s="12">
        <f>J16+(L16*12)</f>
        <v>137</v>
      </c>
      <c r="O16" s="11">
        <v>113</v>
      </c>
      <c r="P16" s="54">
        <f>IF(I16=0,O16,O16*(J16/I16))</f>
        <v>113</v>
      </c>
      <c r="Q16" s="33">
        <f>'_2022_VB_ar_ izmaiņām_MK'!Q16*1.025</f>
        <v>36.771874999999994</v>
      </c>
      <c r="R16" s="4">
        <f>Q16*P16</f>
        <v>4155.2218749999993</v>
      </c>
      <c r="S16" s="15">
        <f>M16-O16</f>
        <v>24</v>
      </c>
      <c r="T16" s="15">
        <f>N16-P16</f>
        <v>24</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15">
        <f>'_2022_VB_ar_ izmaiņām_MK+ fin'!S17</f>
        <v>15</v>
      </c>
      <c r="J17" s="15">
        <f>'_2022_VB_ar_ izmaiņām_MK+ fin'!T17</f>
        <v>15</v>
      </c>
      <c r="K17" s="53">
        <f>ROUND('_2022_VB_ar_ izmaiņām_MK'!K17*1.025,0)</f>
        <v>12</v>
      </c>
      <c r="L17" s="54">
        <f>IF(I17=0,K17,K17*(J17/I17))</f>
        <v>12</v>
      </c>
      <c r="M17" s="12">
        <f>I17+(K17*12)</f>
        <v>159</v>
      </c>
      <c r="N17" s="12">
        <f>J17+(L17*12)</f>
        <v>159</v>
      </c>
      <c r="O17" s="11">
        <v>150</v>
      </c>
      <c r="P17" s="54">
        <f>IF(I17=0,O17,O17*(J17/I17))</f>
        <v>150</v>
      </c>
      <c r="Q17" s="33">
        <f>'_2022_VB_ar_ izmaiņām_MK'!Q17*1.025</f>
        <v>62.743324999999992</v>
      </c>
      <c r="R17" s="4">
        <f>Q17*P17</f>
        <v>9411.4987499999988</v>
      </c>
      <c r="S17" s="15">
        <f>M17-O17</f>
        <v>9</v>
      </c>
      <c r="T17" s="15">
        <f>N17-P17</f>
        <v>9</v>
      </c>
      <c r="U17" s="1"/>
      <c r="V17" s="1">
        <v>1</v>
      </c>
      <c r="W17" s="27" t="s">
        <v>103</v>
      </c>
    </row>
    <row r="18" spans="1:23" s="44" customFormat="1" ht="18" customHeight="1" x14ac:dyDescent="0.35">
      <c r="A18" s="39"/>
      <c r="B18" s="40"/>
      <c r="C18" s="41">
        <v>15</v>
      </c>
      <c r="D18" s="188" t="s">
        <v>29</v>
      </c>
      <c r="E18" s="188"/>
      <c r="F18" s="188"/>
      <c r="G18" s="188"/>
      <c r="H18" s="63"/>
      <c r="I18" s="9">
        <f>'_2022_VB_ar_ izmaiņām_MK+ fin'!S18</f>
        <v>33</v>
      </c>
      <c r="J18" s="9">
        <f>'_2022_VB_ar_ izmaiņām_MK+ fin'!T18</f>
        <v>33</v>
      </c>
      <c r="K18" s="9">
        <f t="shared" ref="K18:P18" si="11">K19+K20</f>
        <v>16</v>
      </c>
      <c r="L18" s="9">
        <f t="shared" si="11"/>
        <v>16</v>
      </c>
      <c r="M18" s="9">
        <f t="shared" si="11"/>
        <v>225</v>
      </c>
      <c r="N18" s="9">
        <f t="shared" si="11"/>
        <v>225</v>
      </c>
      <c r="O18" s="9">
        <f t="shared" si="11"/>
        <v>199</v>
      </c>
      <c r="P18" s="9">
        <f t="shared" si="11"/>
        <v>199</v>
      </c>
      <c r="Q18" s="9" t="str">
        <f>'_2021_VB_bez izmaiņām'!Q18</f>
        <v>x</v>
      </c>
      <c r="R18" s="3">
        <f t="shared" ref="R18" si="12">R19+R20</f>
        <v>7750.8493562499989</v>
      </c>
      <c r="S18" s="9">
        <f>S19+S20</f>
        <v>26</v>
      </c>
      <c r="T18" s="9">
        <f>T19+T20</f>
        <v>26</v>
      </c>
      <c r="U18" s="7"/>
      <c r="V18" s="7">
        <v>1</v>
      </c>
      <c r="W18" s="27"/>
    </row>
    <row r="19" spans="1:23" s="44" customFormat="1" ht="18" customHeight="1" x14ac:dyDescent="0.35">
      <c r="A19" s="31">
        <v>8</v>
      </c>
      <c r="B19" s="32" t="s">
        <v>16</v>
      </c>
      <c r="C19" s="32" t="s">
        <v>30</v>
      </c>
      <c r="D19" s="31" t="s">
        <v>31</v>
      </c>
      <c r="E19" s="32" t="s">
        <v>9</v>
      </c>
      <c r="F19" s="32">
        <v>5</v>
      </c>
      <c r="G19" s="42" t="s">
        <v>10</v>
      </c>
      <c r="H19" s="47"/>
      <c r="I19" s="15">
        <f>'_2022_VB_ar_ izmaiņām_MK+ fin'!S19</f>
        <v>19</v>
      </c>
      <c r="J19" s="15">
        <f>'_2022_VB_ar_ izmaiņām_MK+ fin'!T19</f>
        <v>19</v>
      </c>
      <c r="K19" s="53">
        <f>ROUND('_2022_VB_ar_ izmaiņām_MK'!K19*1.025,0)</f>
        <v>10</v>
      </c>
      <c r="L19" s="54">
        <f>IF(I19=0,K19,K19*(J19/I19))</f>
        <v>10</v>
      </c>
      <c r="M19" s="12">
        <f>I19+(K19*12)</f>
        <v>139</v>
      </c>
      <c r="N19" s="12">
        <f>J19+(L19*12)</f>
        <v>139</v>
      </c>
      <c r="O19" s="11">
        <v>130</v>
      </c>
      <c r="P19" s="54">
        <f>IF(I19=0,O19,O19*(J19/I19))</f>
        <v>130</v>
      </c>
      <c r="Q19" s="33">
        <f>'_2022_VB_ar_ izmaiņām_MK'!Q19*1.025</f>
        <v>50.850249999999988</v>
      </c>
      <c r="R19" s="4">
        <f>Q19*P19</f>
        <v>6610.5324999999984</v>
      </c>
      <c r="S19" s="15">
        <f>M19-O19</f>
        <v>9</v>
      </c>
      <c r="T19" s="15">
        <f>N19-P19</f>
        <v>9</v>
      </c>
      <c r="U19" s="1"/>
      <c r="V19" s="1">
        <v>1</v>
      </c>
      <c r="W19" s="27"/>
    </row>
    <row r="20" spans="1:23" s="44" customFormat="1" ht="33" customHeight="1" x14ac:dyDescent="0.35">
      <c r="A20" s="31">
        <v>9</v>
      </c>
      <c r="B20" s="32" t="s">
        <v>6</v>
      </c>
      <c r="C20" s="32" t="s">
        <v>30</v>
      </c>
      <c r="D20" s="31" t="s">
        <v>32</v>
      </c>
      <c r="E20" s="32" t="s">
        <v>9</v>
      </c>
      <c r="F20" s="32">
        <v>2</v>
      </c>
      <c r="G20" s="42" t="s">
        <v>10</v>
      </c>
      <c r="H20" s="47"/>
      <c r="I20" s="15">
        <f>'_2022_VB_ar_ izmaiņām_MK+ fin'!S20</f>
        <v>14</v>
      </c>
      <c r="J20" s="15">
        <f>'_2022_VB_ar_ izmaiņām_MK+ fin'!T20</f>
        <v>14</v>
      </c>
      <c r="K20" s="53">
        <f>ROUND('_2022_VB_ar_ izmaiņām_MK'!K20*1.025,0)</f>
        <v>6</v>
      </c>
      <c r="L20" s="54">
        <f>IF(I20=0,K20,K20*(J20/I20))</f>
        <v>6</v>
      </c>
      <c r="M20" s="12">
        <f>I20+(K20*12)</f>
        <v>86</v>
      </c>
      <c r="N20" s="12">
        <f>J20+(L20*12)</f>
        <v>86</v>
      </c>
      <c r="O20" s="11">
        <v>69</v>
      </c>
      <c r="P20" s="54">
        <f>IF(I20=0,O20,O20*(J20/I20))</f>
        <v>69</v>
      </c>
      <c r="Q20" s="33">
        <f>'_2022_VB_ar_ izmaiņām_MK'!Q20*1.025</f>
        <v>16.526331249999998</v>
      </c>
      <c r="R20" s="4">
        <f>Q20*P20</f>
        <v>1140.31685625</v>
      </c>
      <c r="S20" s="15">
        <f>M20-O20</f>
        <v>17</v>
      </c>
      <c r="T20" s="15">
        <f>N20-P20</f>
        <v>17</v>
      </c>
      <c r="U20" s="1"/>
      <c r="V20" s="1">
        <v>1</v>
      </c>
      <c r="W20" s="27"/>
    </row>
    <row r="21" spans="1:23" ht="18" customHeight="1" x14ac:dyDescent="0.35">
      <c r="A21" s="39"/>
      <c r="B21" s="40"/>
      <c r="C21" s="41">
        <v>22</v>
      </c>
      <c r="D21" s="188" t="s">
        <v>33</v>
      </c>
      <c r="E21" s="188"/>
      <c r="F21" s="188"/>
      <c r="G21" s="188"/>
      <c r="H21" s="63"/>
      <c r="I21" s="9">
        <f>'_2022_VB_ar_ izmaiņām_MK+ fin'!S21</f>
        <v>4085</v>
      </c>
      <c r="J21" s="9">
        <f>'_2022_VB_ar_ izmaiņām_MK+ fin'!T21</f>
        <v>6364.8198777742027</v>
      </c>
      <c r="K21" s="9">
        <f t="shared" ref="K21:P21" si="13">SUM(K22:K49)</f>
        <v>566</v>
      </c>
      <c r="L21" s="9">
        <f t="shared" si="13"/>
        <v>768.36603409456404</v>
      </c>
      <c r="M21" s="9">
        <f t="shared" si="13"/>
        <v>10877</v>
      </c>
      <c r="N21" s="9">
        <f t="shared" si="13"/>
        <v>15585.212286908973</v>
      </c>
      <c r="O21" s="9">
        <f t="shared" ref="O21" si="14">SUM(O22:O49)</f>
        <v>7762.9</v>
      </c>
      <c r="P21" s="9">
        <f t="shared" si="13"/>
        <v>10672.167899646187</v>
      </c>
      <c r="Q21" s="9" t="str">
        <f>'_2021_VB_bez izmaiņām'!Q21</f>
        <v>x</v>
      </c>
      <c r="R21" s="3">
        <f>SUM(R22:R49)</f>
        <v>2993239.8482810883</v>
      </c>
      <c r="S21" s="9">
        <f>SUM(S22:S49)</f>
        <v>3114.1000000000004</v>
      </c>
      <c r="T21" s="9">
        <f>SUM(T22:T49)</f>
        <v>4913.0443872627857</v>
      </c>
      <c r="U21" s="7">
        <v>1</v>
      </c>
      <c r="V21" s="7">
        <v>1</v>
      </c>
    </row>
    <row r="22" spans="1:23" s="44" customFormat="1" ht="17.25" customHeight="1" x14ac:dyDescent="0.35">
      <c r="A22" s="31">
        <v>10</v>
      </c>
      <c r="B22" s="32" t="s">
        <v>34</v>
      </c>
      <c r="C22" s="32" t="s">
        <v>35</v>
      </c>
      <c r="D22" s="31" t="s">
        <v>36</v>
      </c>
      <c r="E22" s="32" t="s">
        <v>9</v>
      </c>
      <c r="F22" s="32">
        <v>2</v>
      </c>
      <c r="G22" s="42" t="s">
        <v>37</v>
      </c>
      <c r="H22" s="47"/>
      <c r="I22" s="15">
        <f>'_2022_VB_ar_ izmaiņām_MK+ fin'!S22</f>
        <v>1</v>
      </c>
      <c r="J22" s="15">
        <f>'_2022_VB_ar_ izmaiņām_MK+ fin'!T22</f>
        <v>1</v>
      </c>
      <c r="K22" s="53">
        <f>ROUND('_2022_VB_ar_ izmaiņām_MK'!K22*1.025,0)</f>
        <v>9</v>
      </c>
      <c r="L22" s="54">
        <f>IF(I22=0,K22,K22*(J22/I22))</f>
        <v>9</v>
      </c>
      <c r="M22" s="12">
        <f>I22+(K22*12)</f>
        <v>109</v>
      </c>
      <c r="N22" s="12">
        <f>J22+(L22*12)</f>
        <v>109</v>
      </c>
      <c r="O22" s="11">
        <v>100</v>
      </c>
      <c r="P22" s="54">
        <f>IF(I22=0,O22,O22*(J22/I22))</f>
        <v>100</v>
      </c>
      <c r="Q22" s="33">
        <f>'_2022_VB_ar_ izmaiņām_MK'!Q22*1.025</f>
        <v>69.919093749999988</v>
      </c>
      <c r="R22" s="4">
        <f>Q22*P22</f>
        <v>6991.9093749999984</v>
      </c>
      <c r="S22" s="15">
        <f>M22-O22</f>
        <v>9</v>
      </c>
      <c r="T22" s="15">
        <f>N22-P22</f>
        <v>9</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15">
        <f>'_2022_VB_ar_ izmaiņām_MK+ fin'!S23</f>
        <v>11</v>
      </c>
      <c r="J23" s="15">
        <f>'_2022_VB_ar_ izmaiņām_MK+ fin'!T23</f>
        <v>11</v>
      </c>
      <c r="K23" s="53">
        <f>ROUND('_2022_VB_ar_ izmaiņām_MK'!K23*1.025,0)</f>
        <v>13</v>
      </c>
      <c r="L23" s="54">
        <f>IF(I23=0,K23,K23*(J23/I23))</f>
        <v>13</v>
      </c>
      <c r="M23" s="12">
        <f>I23+(K23*12)</f>
        <v>167</v>
      </c>
      <c r="N23" s="12">
        <f>J23+(L23*12)</f>
        <v>167</v>
      </c>
      <c r="O23" s="11">
        <v>160</v>
      </c>
      <c r="P23" s="54">
        <f>IF(I23=0,O23,O23*(J23/I23))</f>
        <v>160</v>
      </c>
      <c r="Q23" s="33">
        <f>'_2022_VB_ar_ izmaiņām_MK'!Q23*1.025</f>
        <v>57.553237499999994</v>
      </c>
      <c r="R23" s="4">
        <f>Q23*P23</f>
        <v>9208.518</v>
      </c>
      <c r="S23" s="15">
        <f>M23-O23</f>
        <v>7</v>
      </c>
      <c r="T23" s="15">
        <f>N23-P23</f>
        <v>7</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15">
        <f>'_2022_VB_ar_ izmaiņām_MK+ fin'!S24</f>
        <v>19</v>
      </c>
      <c r="J24" s="15">
        <f>'_2022_VB_ar_ izmaiņām_MK+ fin'!T24</f>
        <v>19</v>
      </c>
      <c r="K24" s="53">
        <f>ROUND('_2022_VB_ar_ izmaiņām_MK'!K24*1.025,0)</f>
        <v>5</v>
      </c>
      <c r="L24" s="54">
        <f t="shared" ref="L24:L49" si="15">IF(I24=0,K24,K24*(J24/I24))</f>
        <v>5</v>
      </c>
      <c r="M24" s="12">
        <f t="shared" ref="M24:N39" si="16">I24+(K24*12)</f>
        <v>79</v>
      </c>
      <c r="N24" s="12">
        <f t="shared" si="16"/>
        <v>79</v>
      </c>
      <c r="O24" s="11">
        <v>60</v>
      </c>
      <c r="P24" s="54">
        <f t="shared" ref="P24:P49" si="17">IF(I24=0,O24,O24*(J24/I24))</f>
        <v>60</v>
      </c>
      <c r="Q24" s="33">
        <f>'_2022_VB_ar_ izmaiņām_MK'!Q24*1.025</f>
        <v>75.476899999999986</v>
      </c>
      <c r="R24" s="4">
        <f t="shared" ref="R24:R49" si="18">Q24*P24</f>
        <v>4528.6139999999996</v>
      </c>
      <c r="S24" s="15">
        <f t="shared" ref="S24:T39" si="19">M24-O24</f>
        <v>19</v>
      </c>
      <c r="T24" s="15">
        <f t="shared" si="19"/>
        <v>19</v>
      </c>
      <c r="U24" s="1"/>
      <c r="V24" s="1">
        <v>1</v>
      </c>
      <c r="W24" s="27"/>
    </row>
    <row r="25" spans="1:23" s="44" customFormat="1" ht="24" customHeight="1" x14ac:dyDescent="0.35">
      <c r="A25" s="31">
        <v>13</v>
      </c>
      <c r="B25" s="32" t="s">
        <v>40</v>
      </c>
      <c r="C25" s="32" t="s">
        <v>41</v>
      </c>
      <c r="D25" s="31" t="s">
        <v>106</v>
      </c>
      <c r="E25" s="32" t="s">
        <v>9</v>
      </c>
      <c r="F25" s="32">
        <v>5</v>
      </c>
      <c r="G25" s="42" t="s">
        <v>43</v>
      </c>
      <c r="H25" s="47"/>
      <c r="I25" s="15">
        <f>'_2022_VB_ar_ izmaiņām_MK+ fin'!S25</f>
        <v>23</v>
      </c>
      <c r="J25" s="15">
        <f>'_2022_VB_ar_ izmaiņām_MK+ fin'!T25</f>
        <v>23</v>
      </c>
      <c r="K25" s="53">
        <f>ROUND('_2022_VB_ar_ izmaiņām_MK'!K25*1.025,0)</f>
        <v>2</v>
      </c>
      <c r="L25" s="54">
        <f t="shared" si="15"/>
        <v>2</v>
      </c>
      <c r="M25" s="12">
        <f t="shared" si="16"/>
        <v>47</v>
      </c>
      <c r="N25" s="12">
        <f t="shared" si="16"/>
        <v>47</v>
      </c>
      <c r="O25" s="11">
        <v>25</v>
      </c>
      <c r="P25" s="54">
        <f t="shared" si="17"/>
        <v>25</v>
      </c>
      <c r="Q25" s="33">
        <f>'_2022_VB_ar_ izmaiņām_MK'!Q25*1.025</f>
        <v>50.850249999999988</v>
      </c>
      <c r="R25" s="4">
        <f t="shared" si="18"/>
        <v>1271.2562499999997</v>
      </c>
      <c r="S25" s="15">
        <f t="shared" si="19"/>
        <v>22</v>
      </c>
      <c r="T25" s="15">
        <f t="shared" si="19"/>
        <v>22</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15">
        <f>'_2022_VB_ar_ izmaiņām_MK+ fin'!S26</f>
        <v>9</v>
      </c>
      <c r="J26" s="15">
        <f>'_2022_VB_ar_ izmaiņām_MK+ fin'!T26</f>
        <v>9</v>
      </c>
      <c r="K26" s="53">
        <f>ROUND('_2022_VB_ar_ izmaiņām_MK'!K26*1.025,0)</f>
        <v>18</v>
      </c>
      <c r="L26" s="54">
        <f t="shared" si="15"/>
        <v>18</v>
      </c>
      <c r="M26" s="12">
        <f t="shared" si="16"/>
        <v>225</v>
      </c>
      <c r="N26" s="12">
        <f t="shared" si="16"/>
        <v>225</v>
      </c>
      <c r="O26" s="11">
        <v>210</v>
      </c>
      <c r="P26" s="54">
        <f t="shared" si="17"/>
        <v>210</v>
      </c>
      <c r="Q26" s="33">
        <f>'_2022_VB_ar_ izmaiņām_MK'!Q26*1.025</f>
        <v>571.50848124999993</v>
      </c>
      <c r="R26" s="4">
        <f t="shared" si="18"/>
        <v>120016.78106249998</v>
      </c>
      <c r="S26" s="15">
        <f t="shared" si="19"/>
        <v>15</v>
      </c>
      <c r="T26" s="15">
        <f t="shared" si="19"/>
        <v>15</v>
      </c>
      <c r="U26" s="1"/>
      <c r="V26" s="1">
        <v>1</v>
      </c>
      <c r="W26" s="27"/>
    </row>
    <row r="27" spans="1:23" s="44" customFormat="1" ht="36" customHeight="1" x14ac:dyDescent="0.35">
      <c r="A27" s="31">
        <v>15</v>
      </c>
      <c r="B27" s="32" t="s">
        <v>166</v>
      </c>
      <c r="C27" s="32" t="s">
        <v>46</v>
      </c>
      <c r="D27" s="31" t="s">
        <v>167</v>
      </c>
      <c r="E27" s="32" t="s">
        <v>9</v>
      </c>
      <c r="F27" s="32">
        <v>3</v>
      </c>
      <c r="G27" s="42" t="s">
        <v>47</v>
      </c>
      <c r="H27" s="47"/>
      <c r="I27" s="15">
        <f>'_2022_VB_ar_ izmaiņām_MK+ fin'!S27</f>
        <v>33</v>
      </c>
      <c r="J27" s="15">
        <f>'_2022_VB_ar_ izmaiņām_MK+ fin'!T27</f>
        <v>33</v>
      </c>
      <c r="K27" s="53">
        <f>ROUND('_2022_VB_ar_ izmaiņām_MK'!K27*1.025,0)</f>
        <v>2</v>
      </c>
      <c r="L27" s="54">
        <f>IF(I27=0,K27,K27*(J27/I27))</f>
        <v>2</v>
      </c>
      <c r="M27" s="12">
        <f t="shared" si="16"/>
        <v>57</v>
      </c>
      <c r="N27" s="12">
        <f t="shared" si="16"/>
        <v>57</v>
      </c>
      <c r="O27" s="11">
        <v>25</v>
      </c>
      <c r="P27" s="54">
        <f t="shared" si="17"/>
        <v>25</v>
      </c>
      <c r="Q27" s="33">
        <f>'_2022_VB_ar_ izmaiņām_MK'!Q27*1.025</f>
        <v>214.91584999999995</v>
      </c>
      <c r="R27" s="4">
        <f t="shared" si="18"/>
        <v>5372.8962499999989</v>
      </c>
      <c r="S27" s="15">
        <f t="shared" si="19"/>
        <v>32</v>
      </c>
      <c r="T27" s="15">
        <f t="shared" si="19"/>
        <v>32</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15">
        <f>'_2022_VB_ar_ izmaiņām_MK+ fin'!S28</f>
        <v>3560</v>
      </c>
      <c r="J28" s="15">
        <f>'_2022_VB_ar_ izmaiņām_MK+ fin'!T28</f>
        <v>5839.8198777742027</v>
      </c>
      <c r="K28" s="53">
        <f>ROUND('_2022_VB_ar_ izmaiņām_MK'!K28*1.025,0)</f>
        <v>316</v>
      </c>
      <c r="L28" s="54">
        <f t="shared" si="15"/>
        <v>518.36603409456404</v>
      </c>
      <c r="M28" s="12">
        <f t="shared" si="16"/>
        <v>7352</v>
      </c>
      <c r="N28" s="12">
        <f t="shared" si="16"/>
        <v>12060.212286908973</v>
      </c>
      <c r="O28" s="11">
        <f>2391*1.9</f>
        <v>4542.8999999999996</v>
      </c>
      <c r="P28" s="54">
        <f t="shared" si="17"/>
        <v>7452.1678996461869</v>
      </c>
      <c r="Q28" s="33">
        <f>'_2022_VB_ar_ izmaiņām_MK'!Q28*1.025</f>
        <v>253.23214374999998</v>
      </c>
      <c r="R28" s="4">
        <f>Q28*P28</f>
        <v>1887128.4528123387</v>
      </c>
      <c r="S28" s="15">
        <f t="shared" si="19"/>
        <v>2809.1000000000004</v>
      </c>
      <c r="T28" s="15">
        <f t="shared" si="19"/>
        <v>4608.0443872627857</v>
      </c>
      <c r="U28" s="1">
        <v>1</v>
      </c>
      <c r="V28" s="1"/>
      <c r="W28" s="27"/>
    </row>
    <row r="29" spans="1:23" s="44" customFormat="1" ht="46.5" customHeight="1" x14ac:dyDescent="0.35">
      <c r="A29" s="31">
        <v>19</v>
      </c>
      <c r="B29" s="32" t="s">
        <v>50</v>
      </c>
      <c r="C29" s="32" t="s">
        <v>180</v>
      </c>
      <c r="D29" s="31" t="s">
        <v>120</v>
      </c>
      <c r="E29" s="32" t="s">
        <v>9</v>
      </c>
      <c r="F29" s="32">
        <v>5</v>
      </c>
      <c r="G29" s="42" t="s">
        <v>52</v>
      </c>
      <c r="H29" s="47"/>
      <c r="I29" s="15">
        <f>'_2022_VB_ar_ izmaiņām_MK+ fin'!S29</f>
        <v>108</v>
      </c>
      <c r="J29" s="15">
        <f>'_2022_VB_ar_ izmaiņām_MK+ fin'!T29</f>
        <v>108</v>
      </c>
      <c r="K29" s="53">
        <f>ROUND('_2022_VB_ar_ izmaiņām_MK'!K29*1.025,0)</f>
        <v>19</v>
      </c>
      <c r="L29" s="54">
        <f t="shared" si="15"/>
        <v>19</v>
      </c>
      <c r="M29" s="12">
        <f t="shared" si="16"/>
        <v>336</v>
      </c>
      <c r="N29" s="12">
        <f t="shared" si="16"/>
        <v>336</v>
      </c>
      <c r="O29" s="11">
        <v>310</v>
      </c>
      <c r="P29" s="54">
        <f t="shared" si="17"/>
        <v>310</v>
      </c>
      <c r="Q29" s="33">
        <f>'_2022_VB_ar_ izmaiņām_MK'!Q29*1.025</f>
        <v>266.10229999999996</v>
      </c>
      <c r="R29" s="4">
        <f t="shared" si="18"/>
        <v>82491.712999999989</v>
      </c>
      <c r="S29" s="15">
        <f t="shared" si="19"/>
        <v>26</v>
      </c>
      <c r="T29" s="15">
        <f t="shared" si="19"/>
        <v>26</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15">
        <f>'_2022_VB_ar_ izmaiņām_MK+ fin'!S30</f>
        <v>9</v>
      </c>
      <c r="J30" s="15">
        <f>'_2022_VB_ar_ izmaiņām_MK+ fin'!T30</f>
        <v>9</v>
      </c>
      <c r="K30" s="53">
        <f>ROUND('_2022_VB_ar_ izmaiņām_MK'!K30*1.025,0)</f>
        <v>1</v>
      </c>
      <c r="L30" s="54">
        <f t="shared" si="15"/>
        <v>1</v>
      </c>
      <c r="M30" s="12">
        <f t="shared" si="16"/>
        <v>21</v>
      </c>
      <c r="N30" s="12">
        <f t="shared" si="16"/>
        <v>21</v>
      </c>
      <c r="O30" s="11">
        <v>20</v>
      </c>
      <c r="P30" s="54">
        <f t="shared" si="17"/>
        <v>20</v>
      </c>
      <c r="Q30" s="33">
        <f>'_2022_VB_ar_ izmaiņām_MK'!Q30*1.025</f>
        <v>869.9174999999999</v>
      </c>
      <c r="R30" s="4">
        <f t="shared" si="18"/>
        <v>17398.349999999999</v>
      </c>
      <c r="S30" s="15">
        <f t="shared" si="19"/>
        <v>1</v>
      </c>
      <c r="T30" s="15">
        <f t="shared" si="19"/>
        <v>1</v>
      </c>
      <c r="U30" s="1">
        <v>1</v>
      </c>
      <c r="V30" s="1"/>
      <c r="W30" s="27"/>
    </row>
    <row r="31" spans="1:23" s="44" customFormat="1" ht="36" customHeight="1" x14ac:dyDescent="0.35">
      <c r="A31" s="31">
        <v>21</v>
      </c>
      <c r="B31" s="32" t="s">
        <v>6</v>
      </c>
      <c r="C31" s="32" t="s">
        <v>56</v>
      </c>
      <c r="D31" s="31" t="s">
        <v>57</v>
      </c>
      <c r="E31" s="32" t="s">
        <v>9</v>
      </c>
      <c r="F31" s="32">
        <v>2</v>
      </c>
      <c r="G31" s="42" t="s">
        <v>10</v>
      </c>
      <c r="H31" s="47"/>
      <c r="I31" s="15">
        <f>'_2022_VB_ar_ izmaiņām_MK+ fin'!S31</f>
        <v>12</v>
      </c>
      <c r="J31" s="15">
        <f>'_2022_VB_ar_ izmaiņām_MK+ fin'!T31</f>
        <v>12</v>
      </c>
      <c r="K31" s="53">
        <f>ROUND('_2022_VB_ar_ izmaiņām_MK'!K31*1.025,0)</f>
        <v>1</v>
      </c>
      <c r="L31" s="54">
        <f t="shared" si="15"/>
        <v>1</v>
      </c>
      <c r="M31" s="12">
        <f t="shared" si="16"/>
        <v>24</v>
      </c>
      <c r="N31" s="12">
        <f t="shared" si="16"/>
        <v>24</v>
      </c>
      <c r="O31" s="11">
        <v>20</v>
      </c>
      <c r="P31" s="54">
        <f t="shared" si="17"/>
        <v>20</v>
      </c>
      <c r="Q31" s="33">
        <f>'_2022_VB_ar_ izmaiņām_MK'!Q31*1.025</f>
        <v>14.708749999999997</v>
      </c>
      <c r="R31" s="4">
        <f t="shared" si="18"/>
        <v>294.17499999999995</v>
      </c>
      <c r="S31" s="15">
        <f t="shared" si="19"/>
        <v>4</v>
      </c>
      <c r="T31" s="15">
        <f t="shared" si="19"/>
        <v>4</v>
      </c>
      <c r="U31" s="1"/>
      <c r="V31" s="1">
        <v>1</v>
      </c>
      <c r="W31" s="27"/>
    </row>
    <row r="32" spans="1:23" s="44" customFormat="1" ht="21.75" customHeight="1" x14ac:dyDescent="0.35">
      <c r="A32" s="31">
        <v>22</v>
      </c>
      <c r="B32" s="32" t="s">
        <v>6</v>
      </c>
      <c r="C32" s="32" t="s">
        <v>58</v>
      </c>
      <c r="D32" s="31" t="s">
        <v>59</v>
      </c>
      <c r="E32" s="32" t="s">
        <v>9</v>
      </c>
      <c r="F32" s="32">
        <v>5</v>
      </c>
      <c r="G32" s="42" t="s">
        <v>10</v>
      </c>
      <c r="H32" s="47"/>
      <c r="I32" s="15">
        <f>'_2022_VB_ar_ izmaiņām_MK+ fin'!S32</f>
        <v>1</v>
      </c>
      <c r="J32" s="15">
        <f>'_2022_VB_ar_ izmaiņām_MK+ fin'!T32</f>
        <v>1</v>
      </c>
      <c r="K32" s="53">
        <f>ROUND('_2022_VB_ar_ izmaiņām_MK'!K32*1.025,0)</f>
        <v>1</v>
      </c>
      <c r="L32" s="54">
        <f t="shared" si="15"/>
        <v>1</v>
      </c>
      <c r="M32" s="12">
        <f t="shared" si="16"/>
        <v>13</v>
      </c>
      <c r="N32" s="12">
        <f t="shared" si="16"/>
        <v>13</v>
      </c>
      <c r="O32" s="11">
        <v>11</v>
      </c>
      <c r="P32" s="54">
        <f t="shared" si="17"/>
        <v>11</v>
      </c>
      <c r="Q32" s="33">
        <f>'_2022_VB_ar_ izmaiņām_MK'!Q32*1.025</f>
        <v>915.30449999999996</v>
      </c>
      <c r="R32" s="4">
        <f t="shared" si="18"/>
        <v>10068.3495</v>
      </c>
      <c r="S32" s="15">
        <f t="shared" si="19"/>
        <v>2</v>
      </c>
      <c r="T32" s="15">
        <f t="shared" si="19"/>
        <v>2</v>
      </c>
      <c r="U32" s="1"/>
      <c r="V32" s="1">
        <v>1</v>
      </c>
      <c r="W32" s="27"/>
    </row>
    <row r="33" spans="1:23" s="44" customFormat="1" ht="21.75" customHeight="1" x14ac:dyDescent="0.35">
      <c r="A33" s="29">
        <v>23</v>
      </c>
      <c r="B33" s="30" t="s">
        <v>60</v>
      </c>
      <c r="C33" s="30" t="s">
        <v>61</v>
      </c>
      <c r="D33" s="29" t="s">
        <v>62</v>
      </c>
      <c r="E33" s="30" t="s">
        <v>9</v>
      </c>
      <c r="F33" s="30">
        <v>3</v>
      </c>
      <c r="G33" s="43" t="s">
        <v>10</v>
      </c>
      <c r="H33" s="48"/>
      <c r="I33" s="15">
        <f>'_2022_VB_ar_ izmaiņām_MK+ fin'!S33</f>
        <v>25</v>
      </c>
      <c r="J33" s="15">
        <f>'_2022_VB_ar_ izmaiņām_MK+ fin'!T33</f>
        <v>25</v>
      </c>
      <c r="K33" s="53">
        <f>ROUND('_2022_VB_ar_ izmaiņām_MK'!K33*1.025,0)</f>
        <v>27</v>
      </c>
      <c r="L33" s="54">
        <f t="shared" si="15"/>
        <v>27</v>
      </c>
      <c r="M33" s="132">
        <f t="shared" si="16"/>
        <v>349</v>
      </c>
      <c r="N33" s="132">
        <f t="shared" si="16"/>
        <v>349</v>
      </c>
      <c r="O33" s="11">
        <v>340</v>
      </c>
      <c r="P33" s="54">
        <f t="shared" si="17"/>
        <v>340</v>
      </c>
      <c r="Q33" s="33">
        <f>'_2022_VB_ar_ izmaiņām_MK'!Q33*1.025</f>
        <v>350.86672499999992</v>
      </c>
      <c r="R33" s="4">
        <f t="shared" si="18"/>
        <v>119294.68649999997</v>
      </c>
      <c r="S33" s="15">
        <f t="shared" si="19"/>
        <v>9</v>
      </c>
      <c r="T33" s="15">
        <f t="shared" si="19"/>
        <v>9</v>
      </c>
      <c r="U33" s="1"/>
      <c r="V33" s="1">
        <v>1</v>
      </c>
      <c r="W33" s="27"/>
    </row>
    <row r="34" spans="1:23" ht="32.25" customHeight="1" x14ac:dyDescent="0.35">
      <c r="A34" s="29">
        <v>24</v>
      </c>
      <c r="B34" s="30" t="s">
        <v>60</v>
      </c>
      <c r="C34" s="30" t="s">
        <v>61</v>
      </c>
      <c r="D34" s="29" t="s">
        <v>108</v>
      </c>
      <c r="E34" s="30" t="s">
        <v>9</v>
      </c>
      <c r="F34" s="30">
        <v>5</v>
      </c>
      <c r="G34" s="43" t="s">
        <v>10</v>
      </c>
      <c r="H34" s="48"/>
      <c r="I34" s="15">
        <f>'_2022_VB_ar_ izmaiņām_MK+ fin'!S34</f>
        <v>10</v>
      </c>
      <c r="J34" s="15">
        <f>'_2022_VB_ar_ izmaiņām_MK+ fin'!T34</f>
        <v>10</v>
      </c>
      <c r="K34" s="53">
        <f>ROUND('_2022_VB_ar_ izmaiņām_MK'!K34*1.025,0)</f>
        <v>10</v>
      </c>
      <c r="L34" s="54">
        <f t="shared" si="15"/>
        <v>10</v>
      </c>
      <c r="M34" s="132">
        <f t="shared" si="16"/>
        <v>130</v>
      </c>
      <c r="N34" s="132">
        <f t="shared" si="16"/>
        <v>130</v>
      </c>
      <c r="O34" s="104">
        <v>130</v>
      </c>
      <c r="P34" s="54">
        <f t="shared" si="17"/>
        <v>130</v>
      </c>
      <c r="Q34" s="33">
        <f>'_2022_VB_ar_ izmaiņām_MK'!Q34*1.025</f>
        <v>735.43749999999977</v>
      </c>
      <c r="R34" s="4">
        <f t="shared" si="18"/>
        <v>95606.874999999971</v>
      </c>
      <c r="S34" s="15">
        <f t="shared" si="19"/>
        <v>0</v>
      </c>
      <c r="T34" s="15">
        <f t="shared" si="19"/>
        <v>0</v>
      </c>
      <c r="U34" s="1"/>
      <c r="V34" s="1">
        <v>1</v>
      </c>
      <c r="W34" s="27" t="s">
        <v>176</v>
      </c>
    </row>
    <row r="35" spans="1:23" s="44" customFormat="1" ht="49.5" customHeight="1" x14ac:dyDescent="0.35">
      <c r="A35" s="29">
        <v>25</v>
      </c>
      <c r="B35" s="30" t="s">
        <v>60</v>
      </c>
      <c r="C35" s="30" t="s">
        <v>61</v>
      </c>
      <c r="D35" s="29" t="s">
        <v>63</v>
      </c>
      <c r="E35" s="30" t="s">
        <v>9</v>
      </c>
      <c r="F35" s="30">
        <v>3</v>
      </c>
      <c r="G35" s="43" t="s">
        <v>64</v>
      </c>
      <c r="H35" s="48"/>
      <c r="I35" s="15">
        <f>'_2022_VB_ar_ izmaiņām_MK+ fin'!S35</f>
        <v>8</v>
      </c>
      <c r="J35" s="15">
        <f>'_2022_VB_ar_ izmaiņām_MK+ fin'!T35</f>
        <v>8</v>
      </c>
      <c r="K35" s="53">
        <f>ROUND('_2022_VB_ar_ izmaiņām_MK'!K35*1.025,0)</f>
        <v>2</v>
      </c>
      <c r="L35" s="54">
        <f t="shared" si="15"/>
        <v>2</v>
      </c>
      <c r="M35" s="132">
        <f t="shared" si="16"/>
        <v>32</v>
      </c>
      <c r="N35" s="132">
        <f t="shared" si="16"/>
        <v>32</v>
      </c>
      <c r="O35" s="11">
        <v>19</v>
      </c>
      <c r="P35" s="54">
        <f t="shared" si="17"/>
        <v>19</v>
      </c>
      <c r="Q35" s="33">
        <f>'_2022_VB_ar_ izmaiņām_MK'!Q35*1.025</f>
        <v>152.55074999999997</v>
      </c>
      <c r="R35" s="4">
        <f t="shared" si="18"/>
        <v>2898.4642499999995</v>
      </c>
      <c r="S35" s="15">
        <f t="shared" si="19"/>
        <v>13</v>
      </c>
      <c r="T35" s="15">
        <f t="shared" si="19"/>
        <v>13</v>
      </c>
      <c r="U35" s="1"/>
      <c r="V35" s="1">
        <v>1</v>
      </c>
      <c r="W35" s="27"/>
    </row>
    <row r="36" spans="1:23" ht="25.5" customHeight="1" x14ac:dyDescent="0.35">
      <c r="A36" s="29">
        <v>26</v>
      </c>
      <c r="B36" s="30" t="s">
        <v>141</v>
      </c>
      <c r="C36" s="30" t="s">
        <v>65</v>
      </c>
      <c r="D36" s="29" t="s">
        <v>66</v>
      </c>
      <c r="E36" s="30" t="s">
        <v>9</v>
      </c>
      <c r="F36" s="30">
        <v>5</v>
      </c>
      <c r="G36" s="43" t="s">
        <v>110</v>
      </c>
      <c r="H36" s="48"/>
      <c r="I36" s="15">
        <f>'_2022_VB_ar_ izmaiņām_MK+ fin'!S36</f>
        <v>27</v>
      </c>
      <c r="J36" s="15">
        <f>'_2022_VB_ar_ izmaiņām_MK+ fin'!T36</f>
        <v>27</v>
      </c>
      <c r="K36" s="53">
        <f>ROUND('_2022_VB_ar_ izmaiņām_MK'!K36*1.025,0)</f>
        <v>22</v>
      </c>
      <c r="L36" s="54">
        <f t="shared" si="15"/>
        <v>22</v>
      </c>
      <c r="M36" s="132">
        <f t="shared" si="16"/>
        <v>291</v>
      </c>
      <c r="N36" s="132">
        <f t="shared" si="16"/>
        <v>291</v>
      </c>
      <c r="O36" s="104">
        <v>280</v>
      </c>
      <c r="P36" s="54">
        <f t="shared" si="17"/>
        <v>280</v>
      </c>
      <c r="Q36" s="33">
        <f>'_2022_VB_ar_ izmaiņām_MK'!Q36*1.025</f>
        <v>525.3125</v>
      </c>
      <c r="R36" s="4">
        <f t="shared" si="18"/>
        <v>147087.5</v>
      </c>
      <c r="S36" s="15">
        <f t="shared" si="19"/>
        <v>11</v>
      </c>
      <c r="T36" s="15">
        <f t="shared" si="19"/>
        <v>11</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15">
        <f>'_2022_VB_ar_ izmaiņām_MK+ fin'!S37</f>
        <v>23</v>
      </c>
      <c r="J37" s="15">
        <f>'_2022_VB_ar_ izmaiņām_MK+ fin'!T37</f>
        <v>23</v>
      </c>
      <c r="K37" s="53">
        <f>ROUND('_2022_VB_ar_ izmaiņām_MK'!K37*1.025,0)</f>
        <v>3</v>
      </c>
      <c r="L37" s="54">
        <f t="shared" si="15"/>
        <v>3</v>
      </c>
      <c r="M37" s="12">
        <f t="shared" si="16"/>
        <v>59</v>
      </c>
      <c r="N37" s="12">
        <f t="shared" si="16"/>
        <v>59</v>
      </c>
      <c r="O37" s="11">
        <v>35</v>
      </c>
      <c r="P37" s="54">
        <f t="shared" si="17"/>
        <v>35</v>
      </c>
      <c r="Q37" s="33">
        <f>'_2022_VB_ar_ izmaiņām_MK'!Q37*1.025</f>
        <v>221.50326874999999</v>
      </c>
      <c r="R37" s="4">
        <f t="shared" si="18"/>
        <v>7752.6144062499998</v>
      </c>
      <c r="S37" s="15">
        <f t="shared" si="19"/>
        <v>24</v>
      </c>
      <c r="T37" s="15">
        <f t="shared" si="19"/>
        <v>24</v>
      </c>
      <c r="U37" s="19"/>
      <c r="V37" s="19">
        <v>1</v>
      </c>
      <c r="W37" s="26"/>
    </row>
    <row r="38" spans="1:23" s="44" customFormat="1" ht="60.75" customHeight="1" x14ac:dyDescent="0.35">
      <c r="A38" s="29">
        <v>28</v>
      </c>
      <c r="B38" s="30" t="s">
        <v>168</v>
      </c>
      <c r="C38" s="30" t="s">
        <v>67</v>
      </c>
      <c r="D38" s="29" t="s">
        <v>68</v>
      </c>
      <c r="E38" s="30" t="s">
        <v>9</v>
      </c>
      <c r="F38" s="30">
        <v>3</v>
      </c>
      <c r="G38" s="43" t="s">
        <v>69</v>
      </c>
      <c r="H38" s="48"/>
      <c r="I38" s="15">
        <f>'_2022_VB_ar_ izmaiņām_MK+ fin'!S38</f>
        <v>55</v>
      </c>
      <c r="J38" s="15">
        <f>'_2022_VB_ar_ izmaiņām_MK+ fin'!T38</f>
        <v>55</v>
      </c>
      <c r="K38" s="53">
        <f>ROUND('_2022_VB_ar_ izmaiņām_MK'!K38*1.025,0)</f>
        <v>15</v>
      </c>
      <c r="L38" s="54">
        <f t="shared" si="15"/>
        <v>15</v>
      </c>
      <c r="M38" s="12">
        <f t="shared" si="16"/>
        <v>235</v>
      </c>
      <c r="N38" s="12">
        <f t="shared" si="16"/>
        <v>235</v>
      </c>
      <c r="O38" s="11">
        <v>200</v>
      </c>
      <c r="P38" s="54">
        <f t="shared" si="17"/>
        <v>200</v>
      </c>
      <c r="Q38" s="33">
        <f>'_2022_VB_ar_ izmaiņām_MK'!Q38*1.025</f>
        <v>397.07321249999995</v>
      </c>
      <c r="R38" s="4">
        <f t="shared" si="18"/>
        <v>79414.642499999987</v>
      </c>
      <c r="S38" s="15">
        <f t="shared" si="19"/>
        <v>35</v>
      </c>
      <c r="T38" s="15">
        <f t="shared" si="19"/>
        <v>35</v>
      </c>
      <c r="U38" s="1">
        <v>1</v>
      </c>
      <c r="V38" s="1"/>
      <c r="W38" s="27"/>
    </row>
    <row r="39" spans="1:23" s="44" customFormat="1" x14ac:dyDescent="0.35">
      <c r="A39" s="29">
        <v>29</v>
      </c>
      <c r="B39" s="30" t="s">
        <v>70</v>
      </c>
      <c r="C39" s="30" t="s">
        <v>121</v>
      </c>
      <c r="D39" s="29" t="s">
        <v>122</v>
      </c>
      <c r="E39" s="30" t="s">
        <v>9</v>
      </c>
      <c r="F39" s="30">
        <v>5</v>
      </c>
      <c r="G39" s="43" t="s">
        <v>47</v>
      </c>
      <c r="H39" s="48"/>
      <c r="I39" s="15">
        <f>'_2022_VB_ar_ izmaiņām_MK+ fin'!S39</f>
        <v>3</v>
      </c>
      <c r="J39" s="15">
        <f>'_2022_VB_ar_ izmaiņām_MK+ fin'!T39</f>
        <v>3</v>
      </c>
      <c r="K39" s="53">
        <f>ROUND('_2022_VB_ar_ izmaiņām_MK'!K39*1.025,0)</f>
        <v>1</v>
      </c>
      <c r="L39" s="54">
        <f t="shared" si="15"/>
        <v>1</v>
      </c>
      <c r="M39" s="12">
        <f t="shared" si="16"/>
        <v>15</v>
      </c>
      <c r="N39" s="12">
        <f t="shared" si="16"/>
        <v>15</v>
      </c>
      <c r="O39" s="11">
        <v>15</v>
      </c>
      <c r="P39" s="54">
        <f t="shared" si="17"/>
        <v>15</v>
      </c>
      <c r="Q39" s="33">
        <f>'_2022_VB_ar_ izmaiņām_MK'!Q39*1.025</f>
        <v>130.50863749999999</v>
      </c>
      <c r="R39" s="4">
        <f t="shared" si="18"/>
        <v>1957.6295624999998</v>
      </c>
      <c r="S39" s="15">
        <f t="shared" si="19"/>
        <v>0</v>
      </c>
      <c r="T39" s="15">
        <f t="shared" si="19"/>
        <v>0</v>
      </c>
      <c r="U39" s="1">
        <v>1</v>
      </c>
      <c r="V39" s="1"/>
      <c r="W39" s="27"/>
    </row>
    <row r="40" spans="1:23" s="44" customFormat="1" ht="40.5" customHeight="1" x14ac:dyDescent="0.35">
      <c r="A40" s="29">
        <v>30</v>
      </c>
      <c r="B40" s="50" t="s">
        <v>71</v>
      </c>
      <c r="C40" s="50" t="s">
        <v>72</v>
      </c>
      <c r="D40" s="49" t="s">
        <v>73</v>
      </c>
      <c r="E40" s="50" t="s">
        <v>9</v>
      </c>
      <c r="F40" s="50">
        <v>5</v>
      </c>
      <c r="G40" s="51" t="s">
        <v>74</v>
      </c>
      <c r="H40" s="48"/>
      <c r="I40" s="15">
        <f>'_2022_VB_ar_ izmaiņām_MK+ fin'!S40</f>
        <v>46</v>
      </c>
      <c r="J40" s="15">
        <f>'_2022_VB_ar_ izmaiņām_MK+ fin'!T40</f>
        <v>46</v>
      </c>
      <c r="K40" s="53">
        <f>ROUND('_2022_VB_ar_ izmaiņām_MK'!K40*1.025,0)</f>
        <v>22</v>
      </c>
      <c r="L40" s="54">
        <f t="shared" si="15"/>
        <v>22</v>
      </c>
      <c r="M40" s="12">
        <f t="shared" ref="M40:N49" si="20">I40+(K40*12)</f>
        <v>310</v>
      </c>
      <c r="N40" s="12">
        <f t="shared" si="20"/>
        <v>310</v>
      </c>
      <c r="O40" s="11">
        <v>300</v>
      </c>
      <c r="P40" s="54">
        <f t="shared" si="17"/>
        <v>300</v>
      </c>
      <c r="Q40" s="33">
        <f>'_2022_VB_ar_ izmaiņām_MK'!Q40*1.025</f>
        <v>395.37119999999993</v>
      </c>
      <c r="R40" s="4">
        <f t="shared" si="18"/>
        <v>118611.35999999999</v>
      </c>
      <c r="S40" s="15">
        <f t="shared" ref="S40:T49" si="21">M40-O40</f>
        <v>10</v>
      </c>
      <c r="T40" s="15">
        <f t="shared" si="21"/>
        <v>10</v>
      </c>
      <c r="U40" s="19">
        <v>1</v>
      </c>
      <c r="V40" s="19"/>
      <c r="W40" s="26"/>
    </row>
    <row r="41" spans="1:23" s="44" customFormat="1" ht="117" customHeight="1" x14ac:dyDescent="0.35">
      <c r="A41" s="50">
        <v>31</v>
      </c>
      <c r="B41" s="50" t="s">
        <v>71</v>
      </c>
      <c r="C41" s="50" t="s">
        <v>72</v>
      </c>
      <c r="D41" s="49" t="s">
        <v>75</v>
      </c>
      <c r="E41" s="50" t="s">
        <v>9</v>
      </c>
      <c r="F41" s="50">
        <v>5</v>
      </c>
      <c r="G41" s="51" t="s">
        <v>76</v>
      </c>
      <c r="H41" s="48"/>
      <c r="I41" s="15">
        <f>'_2022_VB_ar_ izmaiņām_MK+ fin'!S41</f>
        <v>9</v>
      </c>
      <c r="J41" s="15">
        <f>'_2022_VB_ar_ izmaiņām_MK+ fin'!T41</f>
        <v>9</v>
      </c>
      <c r="K41" s="53">
        <f>ROUND('_2022_VB_ar_ izmaiņām_MK'!K41*1.025,0)</f>
        <v>1</v>
      </c>
      <c r="L41" s="54">
        <f t="shared" si="15"/>
        <v>1</v>
      </c>
      <c r="M41" s="12">
        <f t="shared" si="20"/>
        <v>21</v>
      </c>
      <c r="N41" s="12">
        <f t="shared" si="20"/>
        <v>21</v>
      </c>
      <c r="O41" s="11">
        <v>10</v>
      </c>
      <c r="P41" s="54">
        <f t="shared" si="17"/>
        <v>10</v>
      </c>
      <c r="Q41" s="33">
        <f>'_2022_VB_ar_ izmaiņām_MK'!Q41*1.025</f>
        <v>365.53344999999996</v>
      </c>
      <c r="R41" s="4">
        <f t="shared" si="18"/>
        <v>3655.3344999999995</v>
      </c>
      <c r="S41" s="15">
        <f t="shared" si="21"/>
        <v>11</v>
      </c>
      <c r="T41" s="15">
        <f t="shared" si="21"/>
        <v>11</v>
      </c>
      <c r="U41" s="19">
        <v>1</v>
      </c>
      <c r="V41" s="19"/>
      <c r="W41" s="26"/>
    </row>
    <row r="42" spans="1:23" s="44" customFormat="1" ht="42.75" customHeight="1" x14ac:dyDescent="0.35">
      <c r="A42" s="29">
        <v>32</v>
      </c>
      <c r="B42" s="30" t="s">
        <v>77</v>
      </c>
      <c r="C42" s="30" t="s">
        <v>78</v>
      </c>
      <c r="D42" s="29" t="s">
        <v>99</v>
      </c>
      <c r="E42" s="30" t="s">
        <v>9</v>
      </c>
      <c r="F42" s="30">
        <v>2</v>
      </c>
      <c r="G42" s="43" t="s">
        <v>10</v>
      </c>
      <c r="H42" s="48"/>
      <c r="I42" s="15">
        <f>'_2022_VB_ar_ izmaiņām_MK+ fin'!S42</f>
        <v>15</v>
      </c>
      <c r="J42" s="15">
        <f>'_2022_VB_ar_ izmaiņām_MK+ fin'!T42</f>
        <v>15</v>
      </c>
      <c r="K42" s="53">
        <f>ROUND('_2022_VB_ar_ izmaiņām_MK'!K42*1.025,0)</f>
        <v>36</v>
      </c>
      <c r="L42" s="54">
        <f t="shared" si="15"/>
        <v>36</v>
      </c>
      <c r="M42" s="132">
        <f t="shared" si="20"/>
        <v>447</v>
      </c>
      <c r="N42" s="132">
        <f>J42+(L42*12)</f>
        <v>447</v>
      </c>
      <c r="O42" s="11">
        <v>440</v>
      </c>
      <c r="P42" s="54">
        <f t="shared" si="17"/>
        <v>440</v>
      </c>
      <c r="Q42" s="33">
        <f>'_2022_VB_ar_ izmaiņām_MK'!Q42*1.025</f>
        <v>75.928668749999986</v>
      </c>
      <c r="R42" s="4">
        <f t="shared" si="18"/>
        <v>33408.614249999991</v>
      </c>
      <c r="S42" s="15">
        <f t="shared" si="21"/>
        <v>7</v>
      </c>
      <c r="T42" s="15">
        <f t="shared" si="21"/>
        <v>7</v>
      </c>
      <c r="U42" s="1"/>
      <c r="V42" s="1">
        <v>1</v>
      </c>
      <c r="W42" s="27" t="s">
        <v>111</v>
      </c>
    </row>
    <row r="43" spans="1:23" ht="20.25" customHeight="1" x14ac:dyDescent="0.35">
      <c r="A43" s="29">
        <v>33</v>
      </c>
      <c r="B43" s="30" t="s">
        <v>142</v>
      </c>
      <c r="C43" s="30" t="s">
        <v>79</v>
      </c>
      <c r="D43" s="29" t="s">
        <v>80</v>
      </c>
      <c r="E43" s="30" t="s">
        <v>9</v>
      </c>
      <c r="F43" s="30">
        <v>5</v>
      </c>
      <c r="G43" s="43" t="s">
        <v>110</v>
      </c>
      <c r="H43" s="48"/>
      <c r="I43" s="15">
        <f>'_2022_VB_ar_ izmaiņām_MK+ fin'!S43</f>
        <v>12</v>
      </c>
      <c r="J43" s="15">
        <f>'_2022_VB_ar_ izmaiņām_MK+ fin'!T43</f>
        <v>12</v>
      </c>
      <c r="K43" s="53">
        <f>ROUND('_2022_VB_ar_ izmaiņām_MK'!K43*1.025,0)</f>
        <v>3</v>
      </c>
      <c r="L43" s="54">
        <f t="shared" si="15"/>
        <v>3</v>
      </c>
      <c r="M43" s="132">
        <f t="shared" si="20"/>
        <v>48</v>
      </c>
      <c r="N43" s="132">
        <f t="shared" si="20"/>
        <v>48</v>
      </c>
      <c r="O43" s="104">
        <v>40</v>
      </c>
      <c r="P43" s="54">
        <f t="shared" si="17"/>
        <v>40</v>
      </c>
      <c r="Q43" s="33">
        <f>'_2022_VB_ar_ izmaiņām_MK'!Q43*1.025</f>
        <v>2521.5</v>
      </c>
      <c r="R43" s="4">
        <f t="shared" si="18"/>
        <v>100860</v>
      </c>
      <c r="S43" s="15">
        <f t="shared" si="21"/>
        <v>8</v>
      </c>
      <c r="T43" s="15">
        <f t="shared" si="21"/>
        <v>8</v>
      </c>
      <c r="U43" s="1"/>
      <c r="V43" s="1">
        <v>1</v>
      </c>
      <c r="W43" s="27" t="s">
        <v>126</v>
      </c>
    </row>
    <row r="44" spans="1:23" ht="22.5" customHeight="1" x14ac:dyDescent="0.35">
      <c r="A44" s="29">
        <v>34</v>
      </c>
      <c r="B44" s="30" t="s">
        <v>6</v>
      </c>
      <c r="C44" s="30" t="s">
        <v>81</v>
      </c>
      <c r="D44" s="29" t="s">
        <v>82</v>
      </c>
      <c r="E44" s="30" t="s">
        <v>9</v>
      </c>
      <c r="F44" s="30">
        <v>7</v>
      </c>
      <c r="G44" s="43" t="s">
        <v>112</v>
      </c>
      <c r="H44" s="48"/>
      <c r="I44" s="15">
        <f>'_2022_VB_ar_ izmaiņām_MK+ fin'!S44</f>
        <v>1</v>
      </c>
      <c r="J44" s="15">
        <f>'_2022_VB_ar_ izmaiņām_MK+ fin'!T44</f>
        <v>1</v>
      </c>
      <c r="K44" s="53">
        <f>ROUND('_2022_VB_ar_ izmaiņām_MK'!K44*1.025,0)</f>
        <v>1</v>
      </c>
      <c r="L44" s="54">
        <f t="shared" si="15"/>
        <v>1</v>
      </c>
      <c r="M44" s="132">
        <f t="shared" si="20"/>
        <v>13</v>
      </c>
      <c r="N44" s="132">
        <f t="shared" si="20"/>
        <v>13</v>
      </c>
      <c r="O44" s="104">
        <v>10</v>
      </c>
      <c r="P44" s="54">
        <f t="shared" si="17"/>
        <v>10</v>
      </c>
      <c r="Q44" s="33">
        <f>'_2022_VB_ar_ izmaiņām_MK'!Q44*1.025</f>
        <v>2626.5624999999995</v>
      </c>
      <c r="R44" s="4">
        <f t="shared" si="18"/>
        <v>26265.624999999996</v>
      </c>
      <c r="S44" s="15">
        <f t="shared" si="21"/>
        <v>3</v>
      </c>
      <c r="T44" s="15">
        <f t="shared" si="21"/>
        <v>3</v>
      </c>
      <c r="U44" s="1"/>
      <c r="V44" s="1">
        <v>1</v>
      </c>
      <c r="W44" s="27" t="s">
        <v>126</v>
      </c>
    </row>
    <row r="45" spans="1:23" s="44" customFormat="1" ht="30" customHeight="1" x14ac:dyDescent="0.35">
      <c r="A45" s="50">
        <v>35</v>
      </c>
      <c r="B45" s="30" t="s">
        <v>77</v>
      </c>
      <c r="C45" s="30" t="s">
        <v>78</v>
      </c>
      <c r="D45" s="29" t="s">
        <v>83</v>
      </c>
      <c r="E45" s="30" t="s">
        <v>9</v>
      </c>
      <c r="F45" s="30">
        <v>5</v>
      </c>
      <c r="G45" s="43" t="s">
        <v>74</v>
      </c>
      <c r="H45" s="48"/>
      <c r="I45" s="15">
        <f>'_2022_VB_ar_ izmaiņām_MK+ fin'!S45</f>
        <v>22</v>
      </c>
      <c r="J45" s="15">
        <f>'_2022_VB_ar_ izmaiņām_MK+ fin'!T45</f>
        <v>22</v>
      </c>
      <c r="K45" s="53">
        <f>ROUND('_2022_VB_ar_ izmaiņām_MK'!K45*1.025,0)</f>
        <v>15</v>
      </c>
      <c r="L45" s="54">
        <f t="shared" si="15"/>
        <v>15</v>
      </c>
      <c r="M45" s="132">
        <f t="shared" si="20"/>
        <v>202</v>
      </c>
      <c r="N45" s="132">
        <f t="shared" si="20"/>
        <v>202</v>
      </c>
      <c r="O45" s="11">
        <v>190</v>
      </c>
      <c r="P45" s="54">
        <f t="shared" si="17"/>
        <v>190</v>
      </c>
      <c r="Q45" s="33">
        <f>'_2022_VB_ar_ izmaiņām_MK'!Q45*1.025</f>
        <v>62.522693749999981</v>
      </c>
      <c r="R45" s="4">
        <f t="shared" si="18"/>
        <v>11879.311812499996</v>
      </c>
      <c r="S45" s="15">
        <f t="shared" si="21"/>
        <v>12</v>
      </c>
      <c r="T45" s="15">
        <f t="shared" si="21"/>
        <v>12</v>
      </c>
      <c r="U45" s="1">
        <v>1</v>
      </c>
      <c r="V45" s="1"/>
      <c r="W45" s="27"/>
    </row>
    <row r="46" spans="1:23" ht="30" customHeight="1" x14ac:dyDescent="0.35">
      <c r="A46" s="29">
        <v>36</v>
      </c>
      <c r="B46" s="30" t="s">
        <v>169</v>
      </c>
      <c r="C46" s="30" t="s">
        <v>170</v>
      </c>
      <c r="D46" s="29" t="s">
        <v>171</v>
      </c>
      <c r="E46" s="30" t="s">
        <v>9</v>
      </c>
      <c r="F46" s="30">
        <v>5</v>
      </c>
      <c r="G46" s="43" t="s">
        <v>172</v>
      </c>
      <c r="H46" s="48"/>
      <c r="I46" s="15">
        <f>'_2022_VB_ar_ izmaiņām_MK+ fin'!S46</f>
        <v>11</v>
      </c>
      <c r="J46" s="15">
        <f>'_2022_VB_ar_ izmaiņām_MK+ fin'!T46</f>
        <v>11</v>
      </c>
      <c r="K46" s="53">
        <f>ROUND('_2022_VB_ar_ izmaiņām_MK'!K46*1.025,0)</f>
        <v>10</v>
      </c>
      <c r="L46" s="54">
        <f t="shared" si="15"/>
        <v>10</v>
      </c>
      <c r="M46" s="132">
        <f t="shared" si="20"/>
        <v>131</v>
      </c>
      <c r="N46" s="132">
        <f t="shared" si="20"/>
        <v>131</v>
      </c>
      <c r="O46" s="104">
        <v>125</v>
      </c>
      <c r="P46" s="54">
        <f t="shared" si="17"/>
        <v>125</v>
      </c>
      <c r="Q46" s="33">
        <f>'_2022_VB_ar_ izmaiņām_MK'!Q46*1.025</f>
        <v>176.57854374999997</v>
      </c>
      <c r="R46" s="4">
        <f t="shared" si="18"/>
        <v>22072.317968749994</v>
      </c>
      <c r="S46" s="15">
        <f t="shared" si="21"/>
        <v>6</v>
      </c>
      <c r="T46" s="15">
        <f t="shared" si="21"/>
        <v>6</v>
      </c>
      <c r="U46" s="1">
        <v>1</v>
      </c>
      <c r="V46" s="1"/>
      <c r="W46" s="27" t="s">
        <v>126</v>
      </c>
    </row>
    <row r="47" spans="1:23" s="44" customFormat="1" ht="63.75" customHeight="1" x14ac:dyDescent="0.35">
      <c r="A47" s="29">
        <v>37</v>
      </c>
      <c r="B47" s="30" t="s">
        <v>84</v>
      </c>
      <c r="C47" s="30" t="s">
        <v>79</v>
      </c>
      <c r="D47" s="29" t="s">
        <v>85</v>
      </c>
      <c r="E47" s="30" t="s">
        <v>9</v>
      </c>
      <c r="F47" s="30">
        <v>5</v>
      </c>
      <c r="G47" s="43" t="s">
        <v>86</v>
      </c>
      <c r="H47" s="48"/>
      <c r="I47" s="15">
        <f>'_2022_VB_ar_ izmaiņām_MK+ fin'!S47</f>
        <v>10</v>
      </c>
      <c r="J47" s="15">
        <f>'_2022_VB_ar_ izmaiņām_MK+ fin'!T47</f>
        <v>10</v>
      </c>
      <c r="K47" s="53">
        <f>ROUND('_2022_VB_ar_ izmaiņām_MK'!K47*1.025,0)</f>
        <v>6</v>
      </c>
      <c r="L47" s="54">
        <f t="shared" si="15"/>
        <v>6</v>
      </c>
      <c r="M47" s="12">
        <f t="shared" si="20"/>
        <v>82</v>
      </c>
      <c r="N47" s="12">
        <f t="shared" si="20"/>
        <v>82</v>
      </c>
      <c r="O47" s="11">
        <v>70</v>
      </c>
      <c r="P47" s="54">
        <f t="shared" si="17"/>
        <v>70</v>
      </c>
      <c r="Q47" s="33">
        <f>'_2022_VB_ar_ izmaiņām_MK'!Q47*1.025</f>
        <v>162.72079999999997</v>
      </c>
      <c r="R47" s="4">
        <f t="shared" si="18"/>
        <v>11390.455999999998</v>
      </c>
      <c r="S47" s="15">
        <f t="shared" si="21"/>
        <v>12</v>
      </c>
      <c r="T47" s="15">
        <f t="shared" si="21"/>
        <v>12</v>
      </c>
      <c r="U47" s="1"/>
      <c r="V47" s="1">
        <v>1</v>
      </c>
      <c r="W47" s="27"/>
    </row>
    <row r="48" spans="1:23" s="44" customFormat="1" ht="53.25" customHeight="1" x14ac:dyDescent="0.35">
      <c r="A48" s="29">
        <v>38</v>
      </c>
      <c r="B48" s="50" t="s">
        <v>87</v>
      </c>
      <c r="C48" s="50" t="s">
        <v>88</v>
      </c>
      <c r="D48" s="49" t="s">
        <v>89</v>
      </c>
      <c r="E48" s="50" t="s">
        <v>9</v>
      </c>
      <c r="F48" s="50">
        <v>5</v>
      </c>
      <c r="G48" s="51" t="s">
        <v>10</v>
      </c>
      <c r="H48" s="48"/>
      <c r="I48" s="15">
        <f>'_2022_VB_ar_ izmaiņām_MK+ fin'!S48</f>
        <v>14</v>
      </c>
      <c r="J48" s="15">
        <f>'_2022_VB_ar_ izmaiņām_MK+ fin'!T48</f>
        <v>14</v>
      </c>
      <c r="K48" s="53">
        <f>ROUND('_2022_VB_ar_ izmaiņām_MK'!K48*1.025,0)</f>
        <v>3</v>
      </c>
      <c r="L48" s="54">
        <f t="shared" si="15"/>
        <v>3</v>
      </c>
      <c r="M48" s="12">
        <f t="shared" si="20"/>
        <v>50</v>
      </c>
      <c r="N48" s="12">
        <f t="shared" si="20"/>
        <v>50</v>
      </c>
      <c r="O48" s="11">
        <v>45</v>
      </c>
      <c r="P48" s="54">
        <f t="shared" si="17"/>
        <v>45</v>
      </c>
      <c r="Q48" s="33">
        <f>'_2022_VB_ar_ izmaiņām_MK'!Q48*1.025</f>
        <v>1333.5478062499997</v>
      </c>
      <c r="R48" s="4">
        <f t="shared" si="18"/>
        <v>60009.651281249986</v>
      </c>
      <c r="S48" s="15">
        <f t="shared" si="21"/>
        <v>5</v>
      </c>
      <c r="T48" s="15">
        <f t="shared" si="21"/>
        <v>5</v>
      </c>
      <c r="U48" s="1"/>
      <c r="V48" s="1">
        <v>1</v>
      </c>
      <c r="W48" s="27"/>
    </row>
    <row r="49" spans="1:23" s="44" customFormat="1" x14ac:dyDescent="0.35">
      <c r="A49" s="50">
        <v>39</v>
      </c>
      <c r="B49" s="30" t="s">
        <v>87</v>
      </c>
      <c r="C49" s="30" t="s">
        <v>90</v>
      </c>
      <c r="D49" s="29" t="s">
        <v>113</v>
      </c>
      <c r="E49" s="30" t="s">
        <v>9</v>
      </c>
      <c r="F49" s="30">
        <v>5</v>
      </c>
      <c r="G49" s="43" t="s">
        <v>10</v>
      </c>
      <c r="H49" s="48"/>
      <c r="I49" s="15">
        <f>'_2022_VB_ar_ izmaiņām_MK+ fin'!S49</f>
        <v>8</v>
      </c>
      <c r="J49" s="15">
        <f>'_2022_VB_ar_ izmaiņām_MK+ fin'!T49</f>
        <v>8</v>
      </c>
      <c r="K49" s="53">
        <f>ROUND('_2022_VB_ar_ izmaiņām_MK'!K49*1.025,0)</f>
        <v>2</v>
      </c>
      <c r="L49" s="54">
        <f t="shared" si="15"/>
        <v>2</v>
      </c>
      <c r="M49" s="12">
        <f t="shared" si="20"/>
        <v>32</v>
      </c>
      <c r="N49" s="12">
        <f t="shared" si="20"/>
        <v>32</v>
      </c>
      <c r="O49" s="104">
        <v>30</v>
      </c>
      <c r="P49" s="54">
        <f t="shared" si="17"/>
        <v>30</v>
      </c>
      <c r="Q49" s="33">
        <f>'_2022_VB_ar_ izmaiņām_MK'!Q49*1.025</f>
        <v>210.12499999999994</v>
      </c>
      <c r="R49" s="4">
        <f t="shared" si="18"/>
        <v>6303.7499999999982</v>
      </c>
      <c r="S49" s="15">
        <f t="shared" si="21"/>
        <v>2</v>
      </c>
      <c r="T49" s="15">
        <f t="shared" si="21"/>
        <v>2</v>
      </c>
      <c r="U49" s="1"/>
      <c r="V49" s="1">
        <v>1</v>
      </c>
      <c r="W49" s="27" t="s">
        <v>109</v>
      </c>
    </row>
    <row r="50" spans="1:23" s="44" customFormat="1" ht="20.25" customHeight="1" x14ac:dyDescent="0.35">
      <c r="A50" s="39"/>
      <c r="B50" s="40"/>
      <c r="C50" s="41">
        <v>27</v>
      </c>
      <c r="D50" s="188" t="s">
        <v>91</v>
      </c>
      <c r="E50" s="188"/>
      <c r="F50" s="188"/>
      <c r="G50" s="188"/>
      <c r="H50" s="63"/>
      <c r="I50" s="9">
        <f>'_2022_VB_ar_ izmaiņām_MK+ fin'!S50</f>
        <v>10</v>
      </c>
      <c r="J50" s="9">
        <f>'_2022_VB_ar_ izmaiņām_MK+ fin'!T50</f>
        <v>10</v>
      </c>
      <c r="K50" s="9">
        <f t="shared" ref="K50:P50" si="22">K51+K52</f>
        <v>10</v>
      </c>
      <c r="L50" s="9">
        <f t="shared" si="22"/>
        <v>10</v>
      </c>
      <c r="M50" s="9">
        <f t="shared" si="22"/>
        <v>130</v>
      </c>
      <c r="N50" s="9">
        <f t="shared" si="22"/>
        <v>130</v>
      </c>
      <c r="O50" s="9">
        <f t="shared" si="22"/>
        <v>110</v>
      </c>
      <c r="P50" s="9">
        <f t="shared" si="22"/>
        <v>110</v>
      </c>
      <c r="Q50" s="9" t="str">
        <f>'_2021_VB_bez izmaiņām'!Q50</f>
        <v>x</v>
      </c>
      <c r="R50" s="3">
        <f t="shared" ref="R50" si="23">R51+R52</f>
        <v>7513.1244374999987</v>
      </c>
      <c r="S50" s="9">
        <f>S51+S52</f>
        <v>20</v>
      </c>
      <c r="T50" s="9">
        <f>T51+T52</f>
        <v>20</v>
      </c>
      <c r="U50" s="7"/>
      <c r="V50" s="7">
        <v>1</v>
      </c>
      <c r="W50" s="27"/>
    </row>
    <row r="51" spans="1:23" s="44" customFormat="1" ht="28" x14ac:dyDescent="0.35">
      <c r="A51" s="31">
        <v>40</v>
      </c>
      <c r="B51" s="32" t="s">
        <v>6</v>
      </c>
      <c r="C51" s="32" t="s">
        <v>92</v>
      </c>
      <c r="D51" s="31" t="s">
        <v>93</v>
      </c>
      <c r="E51" s="32" t="s">
        <v>9</v>
      </c>
      <c r="F51" s="32">
        <v>3</v>
      </c>
      <c r="G51" s="42" t="s">
        <v>10</v>
      </c>
      <c r="H51" s="47"/>
      <c r="I51" s="15">
        <f>'_2022_VB_ar_ izmaiņām_MK+ fin'!S51</f>
        <v>0</v>
      </c>
      <c r="J51" s="15">
        <f>'_2022_VB_ar_ izmaiņām_MK+ fin'!T51</f>
        <v>0</v>
      </c>
      <c r="K51" s="53">
        <f>ROUND('_2022_VB_ar_ izmaiņām_MK'!K51*1.025,0)</f>
        <v>8</v>
      </c>
      <c r="L51" s="54">
        <f t="shared" ref="L51:L52" si="24">IF(I51=0,K51,K51*(J51/I51))</f>
        <v>8</v>
      </c>
      <c r="M51" s="12">
        <f t="shared" ref="M51:N52" si="25">I51+(K51*12)</f>
        <v>96</v>
      </c>
      <c r="N51" s="12">
        <f t="shared" si="25"/>
        <v>96</v>
      </c>
      <c r="O51" s="11">
        <v>90</v>
      </c>
      <c r="P51" s="54">
        <f t="shared" ref="P51:P52" si="26">IF(I51=0,O51,O51*(J51/I51))</f>
        <v>90</v>
      </c>
      <c r="Q51" s="33">
        <f>'_2022_VB_ar_ izmaiņām_MK'!Q51*1.025</f>
        <v>36.866431249999998</v>
      </c>
      <c r="R51" s="4">
        <f t="shared" ref="R51:R52" si="27">Q51*P51</f>
        <v>3317.9788125</v>
      </c>
      <c r="S51" s="15">
        <f t="shared" ref="S51:T52" si="28">M51-O51</f>
        <v>6</v>
      </c>
      <c r="T51" s="15">
        <f t="shared" si="28"/>
        <v>6</v>
      </c>
      <c r="U51" s="1"/>
      <c r="V51" s="1">
        <v>1</v>
      </c>
      <c r="W51" s="27"/>
    </row>
    <row r="52" spans="1:23" s="44" customFormat="1" x14ac:dyDescent="0.35">
      <c r="A52" s="31">
        <v>41</v>
      </c>
      <c r="B52" s="32" t="s">
        <v>6</v>
      </c>
      <c r="C52" s="32" t="s">
        <v>94</v>
      </c>
      <c r="D52" s="31" t="s">
        <v>95</v>
      </c>
      <c r="E52" s="32" t="s">
        <v>9</v>
      </c>
      <c r="F52" s="32">
        <v>5</v>
      </c>
      <c r="G52" s="42" t="s">
        <v>10</v>
      </c>
      <c r="H52" s="47"/>
      <c r="I52" s="15">
        <f>'_2022_VB_ar_ izmaiņām_MK+ fin'!S52</f>
        <v>10</v>
      </c>
      <c r="J52" s="15">
        <f>'_2022_VB_ar_ izmaiņām_MK+ fin'!T52</f>
        <v>10</v>
      </c>
      <c r="K52" s="53">
        <f>ROUND('_2022_VB_ar_ izmaiņām_MK'!K52*1.025,0)</f>
        <v>2</v>
      </c>
      <c r="L52" s="54">
        <f t="shared" si="24"/>
        <v>2</v>
      </c>
      <c r="M52" s="12">
        <f t="shared" si="25"/>
        <v>34</v>
      </c>
      <c r="N52" s="12">
        <f t="shared" si="25"/>
        <v>34</v>
      </c>
      <c r="O52" s="11">
        <v>20</v>
      </c>
      <c r="P52" s="54">
        <f t="shared" si="26"/>
        <v>20</v>
      </c>
      <c r="Q52" s="33">
        <f>'_2022_VB_ar_ izmaiņām_MK'!Q52*1.025</f>
        <v>209.75728124999998</v>
      </c>
      <c r="R52" s="4">
        <f t="shared" si="27"/>
        <v>4195.1456249999992</v>
      </c>
      <c r="S52" s="15">
        <f t="shared" si="28"/>
        <v>14</v>
      </c>
      <c r="T52" s="15">
        <f t="shared" si="28"/>
        <v>14</v>
      </c>
      <c r="U52" s="1"/>
      <c r="V52" s="1">
        <v>1</v>
      </c>
      <c r="W52" s="27"/>
    </row>
    <row r="53" spans="1:23" x14ac:dyDescent="0.35">
      <c r="H53" s="46"/>
      <c r="I53" s="106">
        <f>ROUND(I8+I13+I15+I18+I21+I50,0)</f>
        <v>4268</v>
      </c>
      <c r="J53" s="17">
        <f>ROUND(J8+J13+J15+J18+J21+J50,0)</f>
        <v>6548</v>
      </c>
      <c r="K53" s="17">
        <f t="shared" ref="K53:P53" si="29">ROUND(K8+K13+K15+K18+K21+K50,0)</f>
        <v>725</v>
      </c>
      <c r="L53" s="17">
        <f t="shared" si="29"/>
        <v>927</v>
      </c>
      <c r="M53" s="17">
        <f t="shared" si="29"/>
        <v>12968</v>
      </c>
      <c r="N53" s="17">
        <f t="shared" si="29"/>
        <v>17676</v>
      </c>
      <c r="O53" s="106">
        <f>ROUND(O8+O13+O15+O18+O21+O50,0)</f>
        <v>9715</v>
      </c>
      <c r="P53" s="17">
        <f t="shared" si="29"/>
        <v>12624</v>
      </c>
      <c r="Q53" s="21" t="s">
        <v>119</v>
      </c>
      <c r="R53" s="17">
        <f>ROUND(R8+R13+R15+R18+R21+R50,0)</f>
        <v>3408988</v>
      </c>
      <c r="S53" s="106">
        <f>ROUND(S8+S13+S15+S18+S21+S50,0)</f>
        <v>3253</v>
      </c>
      <c r="T53" s="17">
        <f t="shared" ref="T53" si="30">ROUND(T8+T13+T15+T18+T21+T50,0)</f>
        <v>5052</v>
      </c>
    </row>
    <row r="54" spans="1:23" x14ac:dyDescent="0.35">
      <c r="H54" s="46"/>
      <c r="I54" s="18">
        <f>ROUND(I27+I28+I29+I30+I38+I39+I40+I41+I45+I46,0)</f>
        <v>3856</v>
      </c>
      <c r="J54" s="18">
        <f t="shared" ref="J54:T54" si="31">ROUND(J27+J28+J29+J30+J38+J39+J40+J41+J45+J46,0)</f>
        <v>6136</v>
      </c>
      <c r="K54" s="18">
        <f t="shared" si="31"/>
        <v>402</v>
      </c>
      <c r="L54" s="18">
        <f t="shared" si="31"/>
        <v>604</v>
      </c>
      <c r="M54" s="18">
        <f t="shared" si="31"/>
        <v>8680</v>
      </c>
      <c r="N54" s="18">
        <f t="shared" si="31"/>
        <v>13388</v>
      </c>
      <c r="O54" s="18">
        <f t="shared" si="31"/>
        <v>5738</v>
      </c>
      <c r="P54" s="18">
        <f t="shared" si="31"/>
        <v>8647</v>
      </c>
      <c r="Q54" s="18"/>
      <c r="R54" s="18">
        <f t="shared" si="31"/>
        <v>2229982</v>
      </c>
      <c r="S54" s="18">
        <f t="shared" si="31"/>
        <v>2942</v>
      </c>
      <c r="T54" s="18">
        <f t="shared" si="31"/>
        <v>4741</v>
      </c>
    </row>
    <row r="55" spans="1:23" x14ac:dyDescent="0.35">
      <c r="H55" s="46"/>
      <c r="I55" s="46"/>
      <c r="J55" s="46"/>
      <c r="K55" s="46"/>
      <c r="O55" s="46"/>
      <c r="P55" s="184" t="s">
        <v>231</v>
      </c>
      <c r="Q55" s="185" t="s">
        <v>130</v>
      </c>
      <c r="R55" s="18">
        <v>1166981</v>
      </c>
    </row>
    <row r="56" spans="1:23" x14ac:dyDescent="0.35">
      <c r="H56" s="46"/>
      <c r="I56" s="46"/>
      <c r="J56" s="46"/>
      <c r="K56" s="46"/>
      <c r="O56" s="46"/>
      <c r="P56" s="184" t="s">
        <v>131</v>
      </c>
      <c r="Q56" s="185" t="s">
        <v>131</v>
      </c>
      <c r="R56" s="18">
        <f>R54-R55</f>
        <v>1063001</v>
      </c>
    </row>
    <row r="57" spans="1:23" x14ac:dyDescent="0.35">
      <c r="H57" s="46"/>
      <c r="I57" s="46"/>
      <c r="J57" s="46"/>
      <c r="K57" s="46"/>
      <c r="O57" s="46"/>
      <c r="Q57" s="65"/>
    </row>
    <row r="58" spans="1:23" s="44" customFormat="1" x14ac:dyDescent="0.35">
      <c r="B58" s="45"/>
      <c r="C58" s="45"/>
      <c r="E58" s="45"/>
      <c r="F58" s="45"/>
      <c r="G58" s="46"/>
      <c r="H58" s="46"/>
      <c r="I58" s="18">
        <f>ROUND(I9+I10+I11+I12+I14+I16+I17+I19+I20+I22+I23+I24+I25+I26+I31+I32+I33+I34+I35+I36+I42+I43+I44+I47+I49+I51+I52+I48+I37,0)</f>
        <v>412</v>
      </c>
      <c r="J58" s="18">
        <f t="shared" ref="J58:P58" si="32">ROUND(J9+J10+J11+J12+J14+J16+J17+J19+J20+J22+J23+J24+J25+J26+J31+J32+J33+J34+J35+J36+J42+J43+J44+J47+J49+J51+J52+J48+J37,0)</f>
        <v>412</v>
      </c>
      <c r="K58" s="18">
        <f t="shared" si="32"/>
        <v>323</v>
      </c>
      <c r="L58" s="18">
        <f t="shared" si="32"/>
        <v>323</v>
      </c>
      <c r="M58" s="18">
        <f t="shared" si="32"/>
        <v>4288</v>
      </c>
      <c r="N58" s="18">
        <f t="shared" si="32"/>
        <v>4288</v>
      </c>
      <c r="O58" s="18">
        <f t="shared" si="32"/>
        <v>3977</v>
      </c>
      <c r="P58" s="18">
        <f t="shared" si="32"/>
        <v>3977</v>
      </c>
      <c r="Q58" s="18"/>
      <c r="R58" s="18">
        <f>ROUND(R9+R10+R11+R12+R14+R16+R17+R19+R20+R22+R23+R24+R25+R26+R31+R32+R33+R34+R35+R36+R42+R43+R44+R47+R49+R51+R52+R48+R37,0)</f>
        <v>1179006</v>
      </c>
      <c r="S58" s="18">
        <f t="shared" ref="S58:T58" si="33">ROUND(S9+S10+S11+S12+S14+S16+S17+S19+S20+S22+S23+S24+S25+S26+S31+S32+S33+S34+S35+S36+S42+S43+S44+S47+S49+S51+S52+S48+S37,0)</f>
        <v>311</v>
      </c>
      <c r="T58" s="18">
        <f t="shared" si="33"/>
        <v>311</v>
      </c>
      <c r="U58" s="18"/>
      <c r="V58" s="18"/>
      <c r="W58" s="18"/>
    </row>
    <row r="59" spans="1:23"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3" s="44" customFormat="1" x14ac:dyDescent="0.35">
      <c r="B60" s="45"/>
      <c r="C60" s="45"/>
      <c r="E60" s="45"/>
      <c r="F60" s="45"/>
      <c r="G60" s="46"/>
      <c r="H60" s="46"/>
      <c r="I60" s="46"/>
      <c r="J60" s="46"/>
      <c r="K60" s="46"/>
      <c r="L60" s="46"/>
      <c r="M60" s="46"/>
      <c r="N60" s="46"/>
      <c r="O60" s="46"/>
      <c r="P60" s="184" t="s">
        <v>132</v>
      </c>
      <c r="Q60" s="185" t="s">
        <v>131</v>
      </c>
      <c r="R60" s="18">
        <f>R58-R59</f>
        <v>501137</v>
      </c>
      <c r="S60" s="46"/>
      <c r="T60" s="46"/>
      <c r="U60" s="8"/>
      <c r="V60" s="8"/>
      <c r="W60" s="27"/>
    </row>
    <row r="61" spans="1:23" x14ac:dyDescent="0.35">
      <c r="H61" s="46"/>
      <c r="I61" s="46"/>
      <c r="J61" s="46"/>
      <c r="K61" s="46"/>
      <c r="O61" s="46"/>
      <c r="Q61" s="65"/>
    </row>
    <row r="62" spans="1:23" x14ac:dyDescent="0.35">
      <c r="H62" s="46"/>
      <c r="I62" s="46"/>
      <c r="J62" s="46"/>
      <c r="K62" s="46"/>
      <c r="O62" s="46"/>
      <c r="Q62" s="65" t="s">
        <v>233</v>
      </c>
      <c r="R62" s="18">
        <f>R55+R59</f>
        <v>1844850</v>
      </c>
    </row>
    <row r="63" spans="1:23" ht="18" x14ac:dyDescent="0.35">
      <c r="H63" s="46"/>
      <c r="I63" s="46"/>
      <c r="J63" s="46"/>
      <c r="K63" s="46"/>
      <c r="O63" s="66"/>
      <c r="P63" s="66"/>
      <c r="Q63" s="67" t="s">
        <v>236</v>
      </c>
      <c r="R63" s="77">
        <f>R53-R62</f>
        <v>1564138</v>
      </c>
    </row>
    <row r="64" spans="1:23" x14ac:dyDescent="0.35">
      <c r="H64" s="46"/>
      <c r="I64" s="46"/>
      <c r="J64" s="46"/>
      <c r="K64" s="46"/>
      <c r="O64" s="46"/>
      <c r="Q64" s="65"/>
      <c r="R64" s="18">
        <f>R53-R55-R59-R60-R56</f>
        <v>0</v>
      </c>
    </row>
    <row r="65" spans="8:20" x14ac:dyDescent="0.35">
      <c r="H65" s="46"/>
      <c r="I65" s="18">
        <f>I53-I54-I58</f>
        <v>0</v>
      </c>
      <c r="J65" s="18">
        <f t="shared" ref="J65:P65" si="34">J53-J54-J58</f>
        <v>0</v>
      </c>
      <c r="K65" s="18">
        <f t="shared" si="34"/>
        <v>0</v>
      </c>
      <c r="L65" s="18">
        <f t="shared" si="34"/>
        <v>0</v>
      </c>
      <c r="M65" s="18">
        <f t="shared" si="34"/>
        <v>0</v>
      </c>
      <c r="N65" s="18">
        <f t="shared" si="34"/>
        <v>0</v>
      </c>
      <c r="O65" s="18">
        <f t="shared" si="34"/>
        <v>0</v>
      </c>
      <c r="P65" s="18">
        <f t="shared" si="34"/>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35">ROUND(J54,0)+ ROUND(J58,0)-ROUND(J53,0)</f>
        <v>0</v>
      </c>
      <c r="K67" s="18">
        <f t="shared" si="35"/>
        <v>0</v>
      </c>
      <c r="L67" s="18">
        <f t="shared" si="35"/>
        <v>0</v>
      </c>
      <c r="M67" s="18">
        <f t="shared" si="35"/>
        <v>0</v>
      </c>
      <c r="N67" s="18">
        <f t="shared" si="35"/>
        <v>0</v>
      </c>
      <c r="O67" s="18">
        <f t="shared" si="35"/>
        <v>0</v>
      </c>
      <c r="P67" s="18">
        <f t="shared" si="35"/>
        <v>0</v>
      </c>
      <c r="Q67" s="18"/>
      <c r="R67" s="18">
        <f t="shared" si="35"/>
        <v>0</v>
      </c>
      <c r="S67" s="18">
        <f t="shared" si="35"/>
        <v>0</v>
      </c>
      <c r="T67" s="18">
        <f t="shared" si="35"/>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W52" xr:uid="{7C37CABB-E10E-4EE9-BACF-F0E0C32B851A}"/>
  <mergeCells count="22">
    <mergeCell ref="A1:T1"/>
    <mergeCell ref="A2:T2"/>
    <mergeCell ref="A3:T3"/>
    <mergeCell ref="I4:R4"/>
    <mergeCell ref="A5:G5"/>
    <mergeCell ref="I5:J5"/>
    <mergeCell ref="K5:L5"/>
    <mergeCell ref="M5:N5"/>
    <mergeCell ref="O5:P5"/>
    <mergeCell ref="Q5:Q6"/>
    <mergeCell ref="P60:Q60"/>
    <mergeCell ref="R5:R6"/>
    <mergeCell ref="S5:T5"/>
    <mergeCell ref="D8:G8"/>
    <mergeCell ref="D13:G13"/>
    <mergeCell ref="D15:G15"/>
    <mergeCell ref="D18:G18"/>
    <mergeCell ref="D21:G21"/>
    <mergeCell ref="D50:G50"/>
    <mergeCell ref="P55:Q55"/>
    <mergeCell ref="P56:Q56"/>
    <mergeCell ref="P59:Q59"/>
  </mergeCells>
  <pageMargins left="0.51181102362204722" right="0.31496062992125984" top="0.94488188976377963" bottom="0.59055118110236227"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B120-61A9-48D0-B862-B5CCF9C1A6B3}">
  <sheetPr>
    <tabColor rgb="FF92D050"/>
  </sheetPr>
  <dimension ref="A1:Y70"/>
  <sheetViews>
    <sheetView zoomScale="80" zoomScaleNormal="80" workbookViewId="0">
      <pane ySplit="7" topLeftCell="A8" activePane="bottomLeft" state="frozen"/>
      <selection activeCell="D1" sqref="D1"/>
      <selection pane="bottomLeft" activeCell="A3" sqref="A3:T3"/>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25.1796875" style="27" hidden="1" customWidth="1"/>
    <col min="24" max="16384" width="9.08984375" style="72"/>
  </cols>
  <sheetData>
    <row r="1" spans="1:23" s="44" customFormat="1" x14ac:dyDescent="0.35">
      <c r="A1" s="189" t="s">
        <v>191</v>
      </c>
      <c r="B1" s="189"/>
      <c r="C1" s="189"/>
      <c r="D1" s="189"/>
      <c r="E1" s="189"/>
      <c r="F1" s="189"/>
      <c r="G1" s="189"/>
      <c r="H1" s="189"/>
      <c r="I1" s="189"/>
      <c r="J1" s="189"/>
      <c r="K1" s="189"/>
      <c r="L1" s="189"/>
      <c r="M1" s="189"/>
      <c r="N1" s="189"/>
      <c r="O1" s="189"/>
      <c r="P1" s="189"/>
      <c r="Q1" s="189"/>
      <c r="R1" s="189"/>
      <c r="S1" s="189"/>
      <c r="T1" s="189"/>
      <c r="U1" s="8"/>
      <c r="V1" s="8"/>
      <c r="W1" s="27"/>
    </row>
    <row r="2" spans="1:23" s="44" customFormat="1" x14ac:dyDescent="0.35">
      <c r="A2" s="190" t="s">
        <v>225</v>
      </c>
      <c r="B2" s="190"/>
      <c r="C2" s="190"/>
      <c r="D2" s="190"/>
      <c r="E2" s="190"/>
      <c r="F2" s="190"/>
      <c r="G2" s="190"/>
      <c r="H2" s="190"/>
      <c r="I2" s="190"/>
      <c r="J2" s="190"/>
      <c r="K2" s="190"/>
      <c r="L2" s="190"/>
      <c r="M2" s="190"/>
      <c r="N2" s="190"/>
      <c r="O2" s="190"/>
      <c r="P2" s="190"/>
      <c r="Q2" s="190"/>
      <c r="R2" s="190"/>
      <c r="S2" s="190"/>
      <c r="T2" s="190"/>
      <c r="U2" s="8"/>
      <c r="V2" s="8"/>
      <c r="W2" s="27"/>
    </row>
    <row r="3" spans="1:23" s="44" customFormat="1" ht="51" customHeight="1" x14ac:dyDescent="0.35">
      <c r="A3" s="191" t="s">
        <v>261</v>
      </c>
      <c r="B3" s="191"/>
      <c r="C3" s="191"/>
      <c r="D3" s="191"/>
      <c r="E3" s="191"/>
      <c r="F3" s="191"/>
      <c r="G3" s="191"/>
      <c r="H3" s="191"/>
      <c r="I3" s="191"/>
      <c r="J3" s="191"/>
      <c r="K3" s="191"/>
      <c r="L3" s="191"/>
      <c r="M3" s="191"/>
      <c r="N3" s="191"/>
      <c r="O3" s="191"/>
      <c r="P3" s="191"/>
      <c r="Q3" s="191"/>
      <c r="R3" s="191"/>
      <c r="S3" s="191"/>
      <c r="T3" s="191"/>
      <c r="U3" s="8"/>
      <c r="V3" s="8"/>
      <c r="W3" s="55"/>
    </row>
    <row r="4" spans="1:23" s="34" customFormat="1" ht="25.5" x14ac:dyDescent="0.35">
      <c r="B4" s="35"/>
      <c r="C4" s="35"/>
      <c r="E4" s="35"/>
      <c r="F4" s="35"/>
      <c r="G4" s="36"/>
      <c r="H4" s="36"/>
      <c r="I4" s="192" t="s">
        <v>210</v>
      </c>
      <c r="J4" s="193"/>
      <c r="K4" s="193"/>
      <c r="L4" s="193"/>
      <c r="M4" s="193"/>
      <c r="N4" s="193"/>
      <c r="O4" s="193"/>
      <c r="P4" s="193"/>
      <c r="Q4" s="194"/>
      <c r="R4" s="195"/>
      <c r="S4" s="36"/>
      <c r="T4" s="58"/>
      <c r="U4" s="25"/>
      <c r="V4" s="25"/>
      <c r="W4" s="130"/>
    </row>
    <row r="5" spans="1:23" s="44" customFormat="1" ht="27.75" customHeight="1" x14ac:dyDescent="0.35">
      <c r="A5" s="196" t="s">
        <v>100</v>
      </c>
      <c r="B5" s="196"/>
      <c r="C5" s="196"/>
      <c r="D5" s="196"/>
      <c r="E5" s="196"/>
      <c r="F5" s="196"/>
      <c r="G5" s="196"/>
      <c r="H5" s="6"/>
      <c r="I5" s="187" t="s">
        <v>162</v>
      </c>
      <c r="J5" s="187"/>
      <c r="K5" s="187" t="s">
        <v>238</v>
      </c>
      <c r="L5" s="187"/>
      <c r="M5" s="197" t="s">
        <v>211</v>
      </c>
      <c r="N5" s="197"/>
      <c r="O5" s="197" t="s">
        <v>242</v>
      </c>
      <c r="P5" s="197"/>
      <c r="Q5" s="198" t="s">
        <v>128</v>
      </c>
      <c r="R5" s="186" t="s">
        <v>214</v>
      </c>
      <c r="S5" s="187" t="s">
        <v>212</v>
      </c>
      <c r="T5" s="187"/>
      <c r="U5" s="6"/>
      <c r="V5" s="6"/>
      <c r="W5" s="129"/>
    </row>
    <row r="6" spans="1:23" s="44" customFormat="1" ht="150.75" customHeight="1" x14ac:dyDescent="0.25">
      <c r="A6" s="37" t="s">
        <v>96</v>
      </c>
      <c r="B6" s="2" t="s">
        <v>0</v>
      </c>
      <c r="C6" s="2" t="s">
        <v>101</v>
      </c>
      <c r="D6" s="37" t="s">
        <v>1</v>
      </c>
      <c r="E6" s="2" t="s">
        <v>2</v>
      </c>
      <c r="F6" s="2" t="s">
        <v>3</v>
      </c>
      <c r="G6" s="38" t="s">
        <v>4</v>
      </c>
      <c r="H6" s="62"/>
      <c r="I6" s="2" t="s">
        <v>127</v>
      </c>
      <c r="J6" s="2" t="s">
        <v>174</v>
      </c>
      <c r="K6" s="2" t="s">
        <v>213</v>
      </c>
      <c r="L6" s="2" t="s">
        <v>175</v>
      </c>
      <c r="M6" s="135" t="s">
        <v>117</v>
      </c>
      <c r="N6" s="135" t="s">
        <v>118</v>
      </c>
      <c r="O6" s="135" t="s">
        <v>123</v>
      </c>
      <c r="P6" s="135" t="s">
        <v>124</v>
      </c>
      <c r="Q6" s="198"/>
      <c r="R6" s="186"/>
      <c r="S6" s="2" t="s">
        <v>127</v>
      </c>
      <c r="T6" s="2" t="s">
        <v>129</v>
      </c>
      <c r="U6" s="1" t="s">
        <v>115</v>
      </c>
      <c r="V6" s="1" t="s">
        <v>116</v>
      </c>
      <c r="W6" s="28" t="s">
        <v>114</v>
      </c>
    </row>
    <row r="7" spans="1:23"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3" s="44" customFormat="1" ht="18" customHeight="1" x14ac:dyDescent="0.35">
      <c r="A8" s="39"/>
      <c r="B8" s="40"/>
      <c r="C8" s="41">
        <v>4</v>
      </c>
      <c r="D8" s="188" t="s">
        <v>5</v>
      </c>
      <c r="E8" s="188"/>
      <c r="F8" s="188"/>
      <c r="G8" s="188"/>
      <c r="H8" s="63"/>
      <c r="I8" s="9">
        <f>'_2023_VB_ar_ izmaiņām_MK+fin'!S8</f>
        <v>34</v>
      </c>
      <c r="J8" s="9">
        <f>'_2023_VB_ar_ izmaiņām_MK+fin'!T8</f>
        <v>34</v>
      </c>
      <c r="K8" s="9">
        <f t="shared" ref="K8:P8" si="0">K9+K10+K11+K12</f>
        <v>66</v>
      </c>
      <c r="L8" s="9">
        <f t="shared" si="0"/>
        <v>66</v>
      </c>
      <c r="M8" s="9">
        <f t="shared" si="0"/>
        <v>826</v>
      </c>
      <c r="N8" s="9">
        <f t="shared" si="0"/>
        <v>826</v>
      </c>
      <c r="O8" s="9">
        <f t="shared" si="0"/>
        <v>805</v>
      </c>
      <c r="P8" s="9">
        <f t="shared" si="0"/>
        <v>805</v>
      </c>
      <c r="Q8" s="9" t="str">
        <f>'_2021_VB_bez izmaiņām'!Q8</f>
        <v>x</v>
      </c>
      <c r="R8" s="3">
        <f t="shared" ref="R8" si="1">R9+R10+R11+R12</f>
        <v>59363.595703124985</v>
      </c>
      <c r="S8" s="9">
        <f>S9+S10+S11+S12</f>
        <v>21</v>
      </c>
      <c r="T8" s="9">
        <f>T9+T10+T11+T12</f>
        <v>21</v>
      </c>
      <c r="U8" s="7"/>
      <c r="V8" s="7">
        <v>1</v>
      </c>
      <c r="W8" s="27"/>
    </row>
    <row r="9" spans="1:23" s="44" customFormat="1" ht="27.75" customHeight="1" x14ac:dyDescent="0.35">
      <c r="A9" s="31">
        <v>1</v>
      </c>
      <c r="B9" s="32" t="s">
        <v>6</v>
      </c>
      <c r="C9" s="32" t="s">
        <v>7</v>
      </c>
      <c r="D9" s="31" t="s">
        <v>8</v>
      </c>
      <c r="E9" s="32" t="s">
        <v>9</v>
      </c>
      <c r="F9" s="32" t="s">
        <v>97</v>
      </c>
      <c r="G9" s="42" t="s">
        <v>10</v>
      </c>
      <c r="H9" s="47"/>
      <c r="I9" s="15">
        <f>'_2023_VB_ar_ izmaiņām_MK+fin'!S9</f>
        <v>6</v>
      </c>
      <c r="J9" s="15">
        <f>'_2023_VB_ar_ izmaiņām_MK+fin'!T9</f>
        <v>6</v>
      </c>
      <c r="K9" s="53">
        <f>ROUND('_2023_VB_ar_ izmaiņām_MK'!K9*1.025,0)</f>
        <v>27</v>
      </c>
      <c r="L9" s="54">
        <f>IF(I9=0,K9,K9*(J9/I9))</f>
        <v>27</v>
      </c>
      <c r="M9" s="12">
        <f>I9+(K9*12)</f>
        <v>330</v>
      </c>
      <c r="N9" s="12">
        <f>J9+(L9*12)</f>
        <v>330</v>
      </c>
      <c r="O9" s="11">
        <v>320</v>
      </c>
      <c r="P9" s="54">
        <f>IF(I9=0,O9,O9*(J9/I9))</f>
        <v>320</v>
      </c>
      <c r="Q9" s="33">
        <f>'_2023_VB_ar_ izmaiņām_MK'!Q9*1.025</f>
        <v>90.458812499999979</v>
      </c>
      <c r="R9" s="4">
        <f>Q9*P9</f>
        <v>28946.819999999992</v>
      </c>
      <c r="S9" s="15">
        <f>M9-O9</f>
        <v>10</v>
      </c>
      <c r="T9" s="15">
        <f>N9-P9</f>
        <v>10</v>
      </c>
      <c r="U9" s="1"/>
      <c r="V9" s="1">
        <v>1</v>
      </c>
      <c r="W9" s="27" t="s">
        <v>102</v>
      </c>
    </row>
    <row r="10" spans="1:23" s="44" customFormat="1" ht="18" customHeight="1" x14ac:dyDescent="0.35">
      <c r="A10" s="31">
        <v>2</v>
      </c>
      <c r="B10" s="32" t="s">
        <v>6</v>
      </c>
      <c r="C10" s="32" t="s">
        <v>11</v>
      </c>
      <c r="D10" s="31" t="s">
        <v>12</v>
      </c>
      <c r="E10" s="32" t="s">
        <v>9</v>
      </c>
      <c r="F10" s="32">
        <v>5</v>
      </c>
      <c r="G10" s="42" t="s">
        <v>10</v>
      </c>
      <c r="H10" s="47"/>
      <c r="I10" s="15">
        <f>'_2023_VB_ar_ izmaiņām_MK+fin'!S10</f>
        <v>6</v>
      </c>
      <c r="J10" s="15">
        <f>'_2023_VB_ar_ izmaiņām_MK+fin'!T10</f>
        <v>6</v>
      </c>
      <c r="K10" s="53">
        <f>ROUND('_2023_VB_ar_ izmaiņām_MK'!K10*1.025,0)</f>
        <v>10</v>
      </c>
      <c r="L10" s="54">
        <f>IF(I10=0,K10,K10*(J10/I10))</f>
        <v>10</v>
      </c>
      <c r="M10" s="12">
        <f>I10+(K10*12)</f>
        <v>126</v>
      </c>
      <c r="N10" s="12">
        <f>J10+(L10*12)</f>
        <v>126</v>
      </c>
      <c r="O10" s="11">
        <v>125</v>
      </c>
      <c r="P10" s="54">
        <f>IF(I10=0,O10,O10*(J10/I10))</f>
        <v>125</v>
      </c>
      <c r="Q10" s="33">
        <f>'_2023_VB_ar_ izmaiņām_MK'!Q10*1.025</f>
        <v>90.458812499999979</v>
      </c>
      <c r="R10" s="4">
        <f t="shared" ref="R10:R12" si="2">Q10*P10</f>
        <v>11307.351562499998</v>
      </c>
      <c r="S10" s="15">
        <f>M10-O10</f>
        <v>1</v>
      </c>
      <c r="T10" s="15">
        <f>N10-P10</f>
        <v>1</v>
      </c>
      <c r="U10" s="1"/>
      <c r="V10" s="1">
        <v>1</v>
      </c>
      <c r="W10" s="27"/>
    </row>
    <row r="11" spans="1:23" s="44" customFormat="1" ht="36" customHeight="1" x14ac:dyDescent="0.35">
      <c r="A11" s="31">
        <v>3</v>
      </c>
      <c r="B11" s="32" t="s">
        <v>13</v>
      </c>
      <c r="C11" s="32" t="s">
        <v>14</v>
      </c>
      <c r="D11" s="31" t="s">
        <v>15</v>
      </c>
      <c r="E11" s="32" t="s">
        <v>9</v>
      </c>
      <c r="F11" s="32">
        <v>2</v>
      </c>
      <c r="G11" s="42" t="s">
        <v>10</v>
      </c>
      <c r="H11" s="47"/>
      <c r="I11" s="15">
        <f>'_2023_VB_ar_ izmaiņām_MK+fin'!S11</f>
        <v>10</v>
      </c>
      <c r="J11" s="15">
        <f>'_2023_VB_ar_ izmaiņām_MK+fin'!T11</f>
        <v>10</v>
      </c>
      <c r="K11" s="53">
        <f>ROUND('_2023_VB_ar_ izmaiņām_MK'!K11*1.025,0)</f>
        <v>12</v>
      </c>
      <c r="L11" s="54">
        <f t="shared" ref="L11:L12" si="3">IF(I11=0,K11,K11*(J11/I11))</f>
        <v>12</v>
      </c>
      <c r="M11" s="12">
        <f t="shared" ref="M11:N12" si="4">I11+(K11*12)</f>
        <v>154</v>
      </c>
      <c r="N11" s="12">
        <f t="shared" si="4"/>
        <v>154</v>
      </c>
      <c r="O11" s="11">
        <v>150</v>
      </c>
      <c r="P11" s="54">
        <f t="shared" ref="P11:P12" si="5">IF(I11=0,O11,O11*(J11/I11))</f>
        <v>150</v>
      </c>
      <c r="Q11" s="33">
        <f>'_2023_VB_ar_ izmaiņām_MK'!Q11*1.025</f>
        <v>36.183524999999989</v>
      </c>
      <c r="R11" s="4">
        <f t="shared" si="2"/>
        <v>5427.5287499999986</v>
      </c>
      <c r="S11" s="15">
        <f t="shared" ref="S11:T12" si="6">M11-O11</f>
        <v>4</v>
      </c>
      <c r="T11" s="15">
        <f t="shared" si="6"/>
        <v>4</v>
      </c>
      <c r="U11" s="1"/>
      <c r="V11" s="1">
        <v>1</v>
      </c>
      <c r="W11" s="27"/>
    </row>
    <row r="12" spans="1:23" s="44" customFormat="1" ht="18" customHeight="1" x14ac:dyDescent="0.35">
      <c r="A12" s="31">
        <v>4</v>
      </c>
      <c r="B12" s="32" t="s">
        <v>16</v>
      </c>
      <c r="C12" s="32" t="s">
        <v>17</v>
      </c>
      <c r="D12" s="31" t="s">
        <v>18</v>
      </c>
      <c r="E12" s="32" t="s">
        <v>9</v>
      </c>
      <c r="F12" s="32">
        <v>5</v>
      </c>
      <c r="G12" s="42" t="s">
        <v>10</v>
      </c>
      <c r="H12" s="47"/>
      <c r="I12" s="15">
        <f>'_2023_VB_ar_ izmaiņām_MK+fin'!S12</f>
        <v>12</v>
      </c>
      <c r="J12" s="15">
        <f>'_2023_VB_ar_ izmaiņām_MK+fin'!T12</f>
        <v>12</v>
      </c>
      <c r="K12" s="53">
        <f>ROUND('_2023_VB_ar_ izmaiņām_MK'!K12*1.025,0)</f>
        <v>17</v>
      </c>
      <c r="L12" s="54">
        <f t="shared" si="3"/>
        <v>17</v>
      </c>
      <c r="M12" s="12">
        <f t="shared" si="4"/>
        <v>216</v>
      </c>
      <c r="N12" s="12">
        <f t="shared" si="4"/>
        <v>216</v>
      </c>
      <c r="O12" s="11">
        <v>210</v>
      </c>
      <c r="P12" s="54">
        <f t="shared" si="5"/>
        <v>210</v>
      </c>
      <c r="Q12" s="33">
        <f>'_2023_VB_ar_ izmaiņām_MK'!Q12*1.025</f>
        <v>65.151882812499991</v>
      </c>
      <c r="R12" s="4">
        <f t="shared" si="2"/>
        <v>13681.895390624999</v>
      </c>
      <c r="S12" s="15">
        <f t="shared" si="6"/>
        <v>6</v>
      </c>
      <c r="T12" s="15">
        <f t="shared" si="6"/>
        <v>6</v>
      </c>
      <c r="U12" s="1"/>
      <c r="V12" s="1">
        <v>1</v>
      </c>
      <c r="W12" s="27"/>
    </row>
    <row r="13" spans="1:23" s="44" customFormat="1" ht="18" customHeight="1" x14ac:dyDescent="0.35">
      <c r="A13" s="39"/>
      <c r="B13" s="40"/>
      <c r="C13" s="41">
        <v>6</v>
      </c>
      <c r="D13" s="188" t="s">
        <v>19</v>
      </c>
      <c r="E13" s="188"/>
      <c r="F13" s="188"/>
      <c r="G13" s="188"/>
      <c r="H13" s="63"/>
      <c r="I13" s="13">
        <f>'_2023_VB_ar_ izmaiņām_MK+fin'!S13</f>
        <v>26</v>
      </c>
      <c r="J13" s="13">
        <f>'_2023_VB_ar_ izmaiņām_MK+fin'!T13</f>
        <v>26</v>
      </c>
      <c r="K13" s="13">
        <f t="shared" ref="K13:P13" si="7">K14</f>
        <v>47</v>
      </c>
      <c r="L13" s="13">
        <f t="shared" si="7"/>
        <v>47</v>
      </c>
      <c r="M13" s="13">
        <f t="shared" si="7"/>
        <v>590</v>
      </c>
      <c r="N13" s="13">
        <f t="shared" si="7"/>
        <v>590</v>
      </c>
      <c r="O13" s="13">
        <f t="shared" si="7"/>
        <v>550</v>
      </c>
      <c r="P13" s="13">
        <f t="shared" si="7"/>
        <v>550</v>
      </c>
      <c r="Q13" s="9" t="str">
        <f>'_2021_VB_bez izmaiņām'!Q13</f>
        <v>x</v>
      </c>
      <c r="R13" s="5">
        <f t="shared" ref="R13" si="8">R14</f>
        <v>335887.57039062487</v>
      </c>
      <c r="S13" s="13">
        <f>S14</f>
        <v>40</v>
      </c>
      <c r="T13" s="13">
        <f>T14</f>
        <v>40</v>
      </c>
      <c r="U13" s="7"/>
      <c r="V13" s="7">
        <v>1</v>
      </c>
      <c r="W13" s="27"/>
    </row>
    <row r="14" spans="1:23" s="34" customFormat="1" ht="34.5" customHeight="1" x14ac:dyDescent="0.35">
      <c r="A14" s="29">
        <v>5</v>
      </c>
      <c r="B14" s="30" t="s">
        <v>20</v>
      </c>
      <c r="C14" s="30" t="s">
        <v>21</v>
      </c>
      <c r="D14" s="29" t="s">
        <v>22</v>
      </c>
      <c r="E14" s="30" t="s">
        <v>9</v>
      </c>
      <c r="F14" s="30">
        <v>2</v>
      </c>
      <c r="G14" s="43" t="s">
        <v>23</v>
      </c>
      <c r="H14" s="48"/>
      <c r="I14" s="15">
        <f>'_2023_VB_ar_ izmaiņām_MK+fin'!S14</f>
        <v>26</v>
      </c>
      <c r="J14" s="15">
        <f>'_2023_VB_ar_ izmaiņām_MK+fin'!T14</f>
        <v>26</v>
      </c>
      <c r="K14" s="53">
        <f>ROUND('_2023_VB_ar_ izmaiņām_MK'!K14*1.025,0)</f>
        <v>47</v>
      </c>
      <c r="L14" s="54">
        <f>IF(I14=0,K14,K14*(J14/I14))</f>
        <v>47</v>
      </c>
      <c r="M14" s="12">
        <f>I14+(K14*12)</f>
        <v>590</v>
      </c>
      <c r="N14" s="12">
        <f>J14+(L14*12)</f>
        <v>590</v>
      </c>
      <c r="O14" s="11">
        <v>550</v>
      </c>
      <c r="P14" s="54">
        <f>IF(I14=0,O14,O14*(J14/I14))</f>
        <v>550</v>
      </c>
      <c r="Q14" s="33">
        <f>'_2023_VB_ar_ izmaiņām_MK'!Q14*1.025</f>
        <v>610.70467343749976</v>
      </c>
      <c r="R14" s="4">
        <f>Q14*P14</f>
        <v>335887.57039062487</v>
      </c>
      <c r="S14" s="15">
        <f>M14-O14</f>
        <v>40</v>
      </c>
      <c r="T14" s="15">
        <f>N14-P14</f>
        <v>40</v>
      </c>
      <c r="U14" s="19"/>
      <c r="V14" s="19">
        <v>1</v>
      </c>
      <c r="W14" s="26"/>
    </row>
    <row r="15" spans="1:23" s="44" customFormat="1" ht="18" customHeight="1" x14ac:dyDescent="0.35">
      <c r="A15" s="39"/>
      <c r="B15" s="40"/>
      <c r="C15" s="41">
        <v>12</v>
      </c>
      <c r="D15" s="188" t="s">
        <v>24</v>
      </c>
      <c r="E15" s="188"/>
      <c r="F15" s="188"/>
      <c r="G15" s="188"/>
      <c r="H15" s="63"/>
      <c r="I15" s="9">
        <f>'_2023_VB_ar_ izmaiņām_MK+fin'!S15</f>
        <v>33</v>
      </c>
      <c r="J15" s="9">
        <f>'_2023_VB_ar_ izmaiņām_MK+fin'!T15</f>
        <v>33</v>
      </c>
      <c r="K15" s="9">
        <f t="shared" ref="K15:P15" si="9">K16+K17</f>
        <v>22</v>
      </c>
      <c r="L15" s="9">
        <f t="shared" si="9"/>
        <v>22</v>
      </c>
      <c r="M15" s="9">
        <f t="shared" si="9"/>
        <v>297</v>
      </c>
      <c r="N15" s="9">
        <f t="shared" si="9"/>
        <v>297</v>
      </c>
      <c r="O15" s="9">
        <f t="shared" si="9"/>
        <v>263</v>
      </c>
      <c r="P15" s="9">
        <f t="shared" si="9"/>
        <v>263</v>
      </c>
      <c r="Q15" s="9" t="str">
        <f>'_2021_VB_bez izmaiņām'!Q15</f>
        <v>x</v>
      </c>
      <c r="R15" s="3">
        <f t="shared" ref="R15" si="10">R16+R17</f>
        <v>13905.888640624997</v>
      </c>
      <c r="S15" s="9">
        <f>S16+S17</f>
        <v>34</v>
      </c>
      <c r="T15" s="9">
        <f>T16+T17</f>
        <v>34</v>
      </c>
      <c r="U15" s="7"/>
      <c r="V15" s="7">
        <v>1</v>
      </c>
      <c r="W15" s="27"/>
    </row>
    <row r="16" spans="1:23" s="44" customFormat="1" ht="33.75" customHeight="1" x14ac:dyDescent="0.35">
      <c r="A16" s="31">
        <v>6</v>
      </c>
      <c r="B16" s="32" t="s">
        <v>25</v>
      </c>
      <c r="C16" s="32" t="s">
        <v>26</v>
      </c>
      <c r="D16" s="31" t="s">
        <v>27</v>
      </c>
      <c r="E16" s="32" t="s">
        <v>9</v>
      </c>
      <c r="F16" s="32" t="s">
        <v>104</v>
      </c>
      <c r="G16" s="42" t="s">
        <v>10</v>
      </c>
      <c r="H16" s="47"/>
      <c r="I16" s="15">
        <f>'_2023_VB_ar_ izmaiņām_MK+fin'!S16</f>
        <v>24</v>
      </c>
      <c r="J16" s="15">
        <f>'_2023_VB_ar_ izmaiņām_MK+fin'!T16</f>
        <v>24</v>
      </c>
      <c r="K16" s="53">
        <f>ROUND('_2023_VB_ar_ izmaiņām_MK'!K16*1.025,0)</f>
        <v>10</v>
      </c>
      <c r="L16" s="54">
        <f>IF(I16=0,K16,K16*(J16/I16))</f>
        <v>10</v>
      </c>
      <c r="M16" s="12">
        <f>I16+(K16*12)</f>
        <v>144</v>
      </c>
      <c r="N16" s="12">
        <f>J16+(L16*12)</f>
        <v>144</v>
      </c>
      <c r="O16" s="11">
        <v>113</v>
      </c>
      <c r="P16" s="54">
        <f>IF(I16=0,O16,O16*(J16/I16))</f>
        <v>113</v>
      </c>
      <c r="Q16" s="33">
        <f>'_2023_VB_ar_ izmaiņām_MK'!Q16*1.025</f>
        <v>37.691171874999988</v>
      </c>
      <c r="R16" s="4">
        <f>Q16*P16</f>
        <v>4259.102421874999</v>
      </c>
      <c r="S16" s="15">
        <f>M16-O16</f>
        <v>31</v>
      </c>
      <c r="T16" s="15">
        <f>N16-P16</f>
        <v>31</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15">
        <f>'_2023_VB_ar_ izmaiņām_MK+fin'!S17</f>
        <v>9</v>
      </c>
      <c r="J17" s="15">
        <f>'_2023_VB_ar_ izmaiņām_MK+fin'!T17</f>
        <v>9</v>
      </c>
      <c r="K17" s="53">
        <f>ROUND('_2023_VB_ar_ izmaiņām_MK'!K17*1.025,0)</f>
        <v>12</v>
      </c>
      <c r="L17" s="54">
        <f>IF(I17=0,K17,K17*(J17/I17))</f>
        <v>12</v>
      </c>
      <c r="M17" s="12">
        <f>I17+(K17*12)</f>
        <v>153</v>
      </c>
      <c r="N17" s="12">
        <f>J17+(L17*12)</f>
        <v>153</v>
      </c>
      <c r="O17" s="11">
        <v>150</v>
      </c>
      <c r="P17" s="54">
        <f>IF(I17=0,O17,O17*(J17/I17))</f>
        <v>150</v>
      </c>
      <c r="Q17" s="33">
        <f>'_2023_VB_ar_ izmaiņām_MK'!Q17*1.025</f>
        <v>64.311908124999988</v>
      </c>
      <c r="R17" s="4">
        <f>Q17*P17</f>
        <v>9646.7862187499977</v>
      </c>
      <c r="S17" s="15">
        <f>M17-O17</f>
        <v>3</v>
      </c>
      <c r="T17" s="15">
        <f>N17-P17</f>
        <v>3</v>
      </c>
      <c r="U17" s="1"/>
      <c r="V17" s="1">
        <v>1</v>
      </c>
      <c r="W17" s="27" t="s">
        <v>103</v>
      </c>
    </row>
    <row r="18" spans="1:23" s="44" customFormat="1" ht="18" customHeight="1" x14ac:dyDescent="0.35">
      <c r="A18" s="39"/>
      <c r="B18" s="40"/>
      <c r="C18" s="41">
        <v>15</v>
      </c>
      <c r="D18" s="188" t="s">
        <v>29</v>
      </c>
      <c r="E18" s="188"/>
      <c r="F18" s="188"/>
      <c r="G18" s="188"/>
      <c r="H18" s="63"/>
      <c r="I18" s="9">
        <f>'_2023_VB_ar_ izmaiņām_MK+fin'!S18</f>
        <v>26</v>
      </c>
      <c r="J18" s="9">
        <f>'_2023_VB_ar_ izmaiņām_MK+fin'!T18</f>
        <v>26</v>
      </c>
      <c r="K18" s="9">
        <f t="shared" ref="K18:P18" si="11">K19+K20</f>
        <v>16</v>
      </c>
      <c r="L18" s="9">
        <f t="shared" si="11"/>
        <v>16</v>
      </c>
      <c r="M18" s="9">
        <f t="shared" si="11"/>
        <v>218</v>
      </c>
      <c r="N18" s="9">
        <f t="shared" si="11"/>
        <v>218</v>
      </c>
      <c r="O18" s="9">
        <f t="shared" si="11"/>
        <v>194</v>
      </c>
      <c r="P18" s="9">
        <f t="shared" si="11"/>
        <v>194</v>
      </c>
      <c r="Q18" s="9" t="str">
        <f>'_2021_VB_bez izmaiņām'!Q18</f>
        <v>x</v>
      </c>
      <c r="R18" s="3">
        <f t="shared" ref="R18" si="12">R19+R20</f>
        <v>7684.0130589062483</v>
      </c>
      <c r="S18" s="9">
        <f>S19+S20</f>
        <v>24</v>
      </c>
      <c r="T18" s="9">
        <f>T19+T20</f>
        <v>24</v>
      </c>
      <c r="U18" s="7"/>
      <c r="V18" s="7">
        <v>1</v>
      </c>
      <c r="W18" s="27"/>
    </row>
    <row r="19" spans="1:23" s="44" customFormat="1" ht="18" customHeight="1" x14ac:dyDescent="0.35">
      <c r="A19" s="31">
        <v>8</v>
      </c>
      <c r="B19" s="32" t="s">
        <v>16</v>
      </c>
      <c r="C19" s="32" t="s">
        <v>30</v>
      </c>
      <c r="D19" s="31" t="s">
        <v>31</v>
      </c>
      <c r="E19" s="32" t="s">
        <v>9</v>
      </c>
      <c r="F19" s="32">
        <v>5</v>
      </c>
      <c r="G19" s="42" t="s">
        <v>10</v>
      </c>
      <c r="H19" s="47"/>
      <c r="I19" s="15">
        <f>'_2023_VB_ar_ izmaiņām_MK+fin'!S19</f>
        <v>9</v>
      </c>
      <c r="J19" s="15">
        <f>'_2023_VB_ar_ izmaiņām_MK+fin'!T19</f>
        <v>9</v>
      </c>
      <c r="K19" s="53">
        <f>ROUND('_2023_VB_ar_ izmaiņām_MK'!K19*1.025,0)</f>
        <v>10</v>
      </c>
      <c r="L19" s="54">
        <f>IF(I19=0,K19,K19*(J19/I19))</f>
        <v>10</v>
      </c>
      <c r="M19" s="12">
        <f>I19+(K19*12)</f>
        <v>129</v>
      </c>
      <c r="N19" s="12">
        <f>J19+(L19*12)</f>
        <v>129</v>
      </c>
      <c r="O19" s="11">
        <v>125</v>
      </c>
      <c r="P19" s="54">
        <f>IF(I19=0,O19,O19*(J19/I19))</f>
        <v>125</v>
      </c>
      <c r="Q19" s="33">
        <f>'_2023_VB_ar_ izmaiņām_MK'!Q19*1.025</f>
        <v>52.121506249999982</v>
      </c>
      <c r="R19" s="4">
        <f>Q19*P19</f>
        <v>6515.188281249998</v>
      </c>
      <c r="S19" s="15">
        <f>M19-O19</f>
        <v>4</v>
      </c>
      <c r="T19" s="15">
        <f>N19-P19</f>
        <v>4</v>
      </c>
      <c r="U19" s="1"/>
      <c r="V19" s="1">
        <v>1</v>
      </c>
      <c r="W19" s="27"/>
    </row>
    <row r="20" spans="1:23" s="44" customFormat="1" ht="33" customHeight="1" x14ac:dyDescent="0.35">
      <c r="A20" s="31">
        <v>9</v>
      </c>
      <c r="B20" s="32" t="s">
        <v>6</v>
      </c>
      <c r="C20" s="32" t="s">
        <v>30</v>
      </c>
      <c r="D20" s="31" t="s">
        <v>32</v>
      </c>
      <c r="E20" s="32" t="s">
        <v>9</v>
      </c>
      <c r="F20" s="32">
        <v>2</v>
      </c>
      <c r="G20" s="42" t="s">
        <v>10</v>
      </c>
      <c r="H20" s="47"/>
      <c r="I20" s="15">
        <f>'_2023_VB_ar_ izmaiņām_MK+fin'!S20</f>
        <v>17</v>
      </c>
      <c r="J20" s="15">
        <f>'_2023_VB_ar_ izmaiņām_MK+fin'!T20</f>
        <v>17</v>
      </c>
      <c r="K20" s="53">
        <f>ROUND('_2023_VB_ar_ izmaiņām_MK'!K20*1.025,0)</f>
        <v>6</v>
      </c>
      <c r="L20" s="54">
        <f>IF(I20=0,K20,K20*(J20/I20))</f>
        <v>6</v>
      </c>
      <c r="M20" s="12">
        <f>I20+(K20*12)</f>
        <v>89</v>
      </c>
      <c r="N20" s="12">
        <f>J20+(L20*12)</f>
        <v>89</v>
      </c>
      <c r="O20" s="11">
        <v>69</v>
      </c>
      <c r="P20" s="54">
        <f>IF(I20=0,O20,O20*(J20/I20))</f>
        <v>69</v>
      </c>
      <c r="Q20" s="33">
        <f>'_2023_VB_ar_ izmaiņām_MK'!Q20*1.025</f>
        <v>16.939489531249997</v>
      </c>
      <c r="R20" s="4">
        <f>Q20*P20</f>
        <v>1168.8247776562498</v>
      </c>
      <c r="S20" s="15">
        <f>M20-O20</f>
        <v>20</v>
      </c>
      <c r="T20" s="15">
        <f>N20-P20</f>
        <v>20</v>
      </c>
      <c r="U20" s="1"/>
      <c r="V20" s="1">
        <v>1</v>
      </c>
      <c r="W20" s="27"/>
    </row>
    <row r="21" spans="1:23" ht="18" customHeight="1" x14ac:dyDescent="0.35">
      <c r="A21" s="39"/>
      <c r="B21" s="40"/>
      <c r="C21" s="41">
        <v>22</v>
      </c>
      <c r="D21" s="188" t="s">
        <v>33</v>
      </c>
      <c r="E21" s="188"/>
      <c r="F21" s="188"/>
      <c r="G21" s="188"/>
      <c r="H21" s="63"/>
      <c r="I21" s="9">
        <f>'_2023_VB_ar_ izmaiņām_MK+fin'!S21</f>
        <v>3114.1000000000004</v>
      </c>
      <c r="J21" s="9">
        <f>'_2023_VB_ar_ izmaiņām_MK+fin'!T21</f>
        <v>4913.0443872627857</v>
      </c>
      <c r="K21" s="9">
        <f t="shared" ref="K21:P21" si="13">SUM(K22:K49)</f>
        <v>578</v>
      </c>
      <c r="L21" s="9">
        <f t="shared" si="13"/>
        <v>785.4892248311354</v>
      </c>
      <c r="M21" s="9">
        <f t="shared" si="13"/>
        <v>10050.1</v>
      </c>
      <c r="N21" s="9">
        <f t="shared" si="13"/>
        <v>14338.915085236411</v>
      </c>
      <c r="O21" s="9">
        <f t="shared" ref="O21" si="14">SUM(O22:O49)</f>
        <v>7357.8</v>
      </c>
      <c r="P21" s="9">
        <f t="shared" si="13"/>
        <v>10113.948536506916</v>
      </c>
      <c r="Q21" s="9" t="str">
        <f>'_2021_VB_bez izmaiņām'!Q21</f>
        <v>x</v>
      </c>
      <c r="R21" s="3">
        <f>SUM(R22:R49)</f>
        <v>2895090.3092771792</v>
      </c>
      <c r="S21" s="9">
        <f>SUM(S22:S49)</f>
        <v>2692.3</v>
      </c>
      <c r="T21" s="9">
        <f>SUM(T22:T49)</f>
        <v>4224.966548729496</v>
      </c>
      <c r="U21" s="7">
        <v>1</v>
      </c>
      <c r="V21" s="7">
        <v>1</v>
      </c>
    </row>
    <row r="22" spans="1:23" s="44" customFormat="1" ht="17.25" customHeight="1" x14ac:dyDescent="0.35">
      <c r="A22" s="31">
        <v>10</v>
      </c>
      <c r="B22" s="32" t="s">
        <v>34</v>
      </c>
      <c r="C22" s="32" t="s">
        <v>35</v>
      </c>
      <c r="D22" s="31" t="s">
        <v>36</v>
      </c>
      <c r="E22" s="32" t="s">
        <v>9</v>
      </c>
      <c r="F22" s="32">
        <v>2</v>
      </c>
      <c r="G22" s="42" t="s">
        <v>37</v>
      </c>
      <c r="H22" s="47"/>
      <c r="I22" s="15">
        <f>'_2023_VB_ar_ izmaiņām_MK+fin'!S22</f>
        <v>9</v>
      </c>
      <c r="J22" s="15">
        <f>'_2023_VB_ar_ izmaiņām_MK+fin'!T22</f>
        <v>9</v>
      </c>
      <c r="K22" s="53">
        <f>ROUND('_2023_VB_ar_ izmaiņām_MK'!K22*1.025,0)</f>
        <v>9</v>
      </c>
      <c r="L22" s="54">
        <f>IF(I22=0,K22,K22*(J22/I22))</f>
        <v>9</v>
      </c>
      <c r="M22" s="12">
        <f>I22+(K22*12)</f>
        <v>117</v>
      </c>
      <c r="N22" s="12">
        <f>J22+(L22*12)</f>
        <v>117</v>
      </c>
      <c r="O22" s="11">
        <v>100</v>
      </c>
      <c r="P22" s="54">
        <f>IF(I22=0,O22,O22*(J22/I22))</f>
        <v>100</v>
      </c>
      <c r="Q22" s="33">
        <f>'_2023_VB_ar_ izmaiņām_MK'!Q22*1.025</f>
        <v>71.667071093749982</v>
      </c>
      <c r="R22" s="4">
        <f>Q22*P22</f>
        <v>7166.7071093749983</v>
      </c>
      <c r="S22" s="15">
        <f>M22-O22</f>
        <v>17</v>
      </c>
      <c r="T22" s="15">
        <f>N22-P22</f>
        <v>17</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15">
        <f>'_2023_VB_ar_ izmaiņām_MK+fin'!S23</f>
        <v>7</v>
      </c>
      <c r="J23" s="15">
        <f>'_2023_VB_ar_ izmaiņām_MK+fin'!T23</f>
        <v>7</v>
      </c>
      <c r="K23" s="53">
        <f>ROUND('_2023_VB_ar_ izmaiņām_MK'!K23*1.025,0)</f>
        <v>13</v>
      </c>
      <c r="L23" s="54">
        <f>IF(I23=0,K23,K23*(J23/I23))</f>
        <v>13</v>
      </c>
      <c r="M23" s="12">
        <f>I23+(K23*12)</f>
        <v>163</v>
      </c>
      <c r="N23" s="12">
        <f>J23+(L23*12)</f>
        <v>163</v>
      </c>
      <c r="O23" s="11">
        <v>160</v>
      </c>
      <c r="P23" s="54">
        <f>IF(I23=0,O23,O23*(J23/I23))</f>
        <v>160</v>
      </c>
      <c r="Q23" s="33">
        <f>'_2023_VB_ar_ izmaiņām_MK'!Q23*1.025</f>
        <v>58.992068437499988</v>
      </c>
      <c r="R23" s="4">
        <f>Q23*P23</f>
        <v>9438.7309499999974</v>
      </c>
      <c r="S23" s="15">
        <f>M23-O23</f>
        <v>3</v>
      </c>
      <c r="T23" s="15">
        <f>N23-P23</f>
        <v>3</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15">
        <f>'_2023_VB_ar_ izmaiņām_MK+fin'!S24</f>
        <v>19</v>
      </c>
      <c r="J24" s="15">
        <f>'_2023_VB_ar_ izmaiņām_MK+fin'!T24</f>
        <v>19</v>
      </c>
      <c r="K24" s="53">
        <f>ROUND('_2023_VB_ar_ izmaiņām_MK'!K24*1.025,0)</f>
        <v>5</v>
      </c>
      <c r="L24" s="54">
        <f t="shared" ref="L24:L49" si="15">IF(I24=0,K24,K24*(J24/I24))</f>
        <v>5</v>
      </c>
      <c r="M24" s="12">
        <f t="shared" ref="M24:N39" si="16">I24+(K24*12)</f>
        <v>79</v>
      </c>
      <c r="N24" s="12">
        <f t="shared" si="16"/>
        <v>79</v>
      </c>
      <c r="O24" s="11">
        <v>60</v>
      </c>
      <c r="P24" s="54">
        <f t="shared" ref="P24:P49" si="17">IF(I24=0,O24,O24*(J24/I24))</f>
        <v>60</v>
      </c>
      <c r="Q24" s="33">
        <f>'_2023_VB_ar_ izmaiņām_MK'!Q24*1.025</f>
        <v>77.363822499999984</v>
      </c>
      <c r="R24" s="4">
        <f t="shared" ref="R24:R49" si="18">Q24*P24</f>
        <v>4641.8293499999991</v>
      </c>
      <c r="S24" s="15">
        <f t="shared" ref="S24:T39" si="19">M24-O24</f>
        <v>19</v>
      </c>
      <c r="T24" s="15">
        <f t="shared" si="19"/>
        <v>19</v>
      </c>
      <c r="U24" s="1"/>
      <c r="V24" s="1">
        <v>1</v>
      </c>
      <c r="W24" s="27"/>
    </row>
    <row r="25" spans="1:23" s="44" customFormat="1" ht="24" customHeight="1" x14ac:dyDescent="0.35">
      <c r="A25" s="31">
        <v>13</v>
      </c>
      <c r="B25" s="32" t="s">
        <v>40</v>
      </c>
      <c r="C25" s="32" t="s">
        <v>41</v>
      </c>
      <c r="D25" s="31" t="s">
        <v>106</v>
      </c>
      <c r="E25" s="32" t="s">
        <v>9</v>
      </c>
      <c r="F25" s="32">
        <v>5</v>
      </c>
      <c r="G25" s="42" t="s">
        <v>43</v>
      </c>
      <c r="H25" s="47"/>
      <c r="I25" s="15">
        <f>'_2023_VB_ar_ izmaiņām_MK+fin'!S25</f>
        <v>22</v>
      </c>
      <c r="J25" s="15">
        <f>'_2023_VB_ar_ izmaiņām_MK+fin'!T25</f>
        <v>22</v>
      </c>
      <c r="K25" s="53">
        <f>ROUND('_2023_VB_ar_ izmaiņām_MK'!K25*1.025,0)</f>
        <v>2</v>
      </c>
      <c r="L25" s="54">
        <f t="shared" si="15"/>
        <v>2</v>
      </c>
      <c r="M25" s="12">
        <f t="shared" si="16"/>
        <v>46</v>
      </c>
      <c r="N25" s="12">
        <f t="shared" si="16"/>
        <v>46</v>
      </c>
      <c r="O25" s="11">
        <v>25</v>
      </c>
      <c r="P25" s="54">
        <f t="shared" si="17"/>
        <v>25</v>
      </c>
      <c r="Q25" s="33">
        <f>'_2023_VB_ar_ izmaiņām_MK'!Q25*1.025</f>
        <v>52.121506249999982</v>
      </c>
      <c r="R25" s="4">
        <f t="shared" si="18"/>
        <v>1303.0376562499996</v>
      </c>
      <c r="S25" s="15">
        <f t="shared" si="19"/>
        <v>21</v>
      </c>
      <c r="T25" s="15">
        <f t="shared" si="19"/>
        <v>21</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15">
        <f>'_2023_VB_ar_ izmaiņām_MK+fin'!S26</f>
        <v>15</v>
      </c>
      <c r="J26" s="15">
        <f>'_2023_VB_ar_ izmaiņām_MK+fin'!T26</f>
        <v>15</v>
      </c>
      <c r="K26" s="53">
        <f>ROUND('_2023_VB_ar_ izmaiņām_MK'!K26*1.025,0)</f>
        <v>18</v>
      </c>
      <c r="L26" s="54">
        <f t="shared" si="15"/>
        <v>18</v>
      </c>
      <c r="M26" s="12">
        <f t="shared" si="16"/>
        <v>231</v>
      </c>
      <c r="N26" s="12">
        <f t="shared" si="16"/>
        <v>231</v>
      </c>
      <c r="O26" s="11">
        <v>210</v>
      </c>
      <c r="P26" s="54">
        <f t="shared" si="17"/>
        <v>210</v>
      </c>
      <c r="Q26" s="33">
        <f>'_2023_VB_ar_ izmaiņām_MK'!Q26*1.025</f>
        <v>585.79619328124988</v>
      </c>
      <c r="R26" s="4">
        <f t="shared" si="18"/>
        <v>123017.20058906247</v>
      </c>
      <c r="S26" s="15">
        <f t="shared" si="19"/>
        <v>21</v>
      </c>
      <c r="T26" s="15">
        <f t="shared" si="19"/>
        <v>21</v>
      </c>
      <c r="U26" s="1"/>
      <c r="V26" s="1">
        <v>1</v>
      </c>
      <c r="W26" s="27"/>
    </row>
    <row r="27" spans="1:23" s="44" customFormat="1" ht="36" customHeight="1" x14ac:dyDescent="0.35">
      <c r="A27" s="31">
        <v>15</v>
      </c>
      <c r="B27" s="32" t="s">
        <v>166</v>
      </c>
      <c r="C27" s="32" t="s">
        <v>46</v>
      </c>
      <c r="D27" s="31" t="s">
        <v>167</v>
      </c>
      <c r="E27" s="32" t="s">
        <v>9</v>
      </c>
      <c r="F27" s="32">
        <v>3</v>
      </c>
      <c r="G27" s="42" t="s">
        <v>47</v>
      </c>
      <c r="H27" s="47"/>
      <c r="I27" s="15">
        <f>'_2023_VB_ar_ izmaiņām_MK+fin'!S27</f>
        <v>32</v>
      </c>
      <c r="J27" s="15">
        <f>'_2023_VB_ar_ izmaiņām_MK+fin'!T27</f>
        <v>32</v>
      </c>
      <c r="K27" s="53">
        <f>ROUND('_2023_VB_ar_ izmaiņām_MK'!K27*1.025,0)</f>
        <v>2</v>
      </c>
      <c r="L27" s="54">
        <f>IF(I27=0,K27,K27*(J27/I27))</f>
        <v>2</v>
      </c>
      <c r="M27" s="12">
        <f t="shared" si="16"/>
        <v>56</v>
      </c>
      <c r="N27" s="12">
        <f t="shared" si="16"/>
        <v>56</v>
      </c>
      <c r="O27" s="11">
        <v>25</v>
      </c>
      <c r="P27" s="54">
        <f t="shared" si="17"/>
        <v>25</v>
      </c>
      <c r="Q27" s="33">
        <f>'_2023_VB_ar_ izmaiņām_MK'!Q27*1.025</f>
        <v>220.28874624999992</v>
      </c>
      <c r="R27" s="4">
        <f t="shared" si="18"/>
        <v>5507.2186562499983</v>
      </c>
      <c r="S27" s="15">
        <f t="shared" si="19"/>
        <v>31</v>
      </c>
      <c r="T27" s="15">
        <f t="shared" si="19"/>
        <v>31</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15">
        <f>'_2023_VB_ar_ izmaiņām_MK+fin'!S28</f>
        <v>2809.1000000000004</v>
      </c>
      <c r="J28" s="15">
        <f>'_2023_VB_ar_ izmaiņām_MK+fin'!T28</f>
        <v>4608.0443872627857</v>
      </c>
      <c r="K28" s="53">
        <f>ROUND('_2023_VB_ar_ izmaiņām_MK'!K28*1.025,0)</f>
        <v>324</v>
      </c>
      <c r="L28" s="54">
        <f t="shared" si="15"/>
        <v>531.4892248311354</v>
      </c>
      <c r="M28" s="12">
        <f t="shared" si="16"/>
        <v>6697.1</v>
      </c>
      <c r="N28" s="12">
        <f t="shared" si="16"/>
        <v>10985.915085236411</v>
      </c>
      <c r="O28" s="11">
        <f>2391*1.8</f>
        <v>4303.8</v>
      </c>
      <c r="P28" s="54">
        <f t="shared" si="17"/>
        <v>7059.9485365069149</v>
      </c>
      <c r="Q28" s="33">
        <f>'_2023_VB_ar_ izmaiņām_MK'!Q28*1.025</f>
        <v>259.56294734374995</v>
      </c>
      <c r="R28" s="4">
        <f>Q28*P28</f>
        <v>1832501.0502309289</v>
      </c>
      <c r="S28" s="15">
        <f t="shared" si="19"/>
        <v>2393.3000000000002</v>
      </c>
      <c r="T28" s="15">
        <f t="shared" si="19"/>
        <v>3925.966548729496</v>
      </c>
      <c r="U28" s="1">
        <v>1</v>
      </c>
      <c r="V28" s="1"/>
      <c r="W28" s="27"/>
    </row>
    <row r="29" spans="1:23" s="44" customFormat="1" ht="46.5" customHeight="1" x14ac:dyDescent="0.35">
      <c r="A29" s="31">
        <v>19</v>
      </c>
      <c r="B29" s="32" t="s">
        <v>50</v>
      </c>
      <c r="C29" s="32" t="s">
        <v>180</v>
      </c>
      <c r="D29" s="31" t="s">
        <v>120</v>
      </c>
      <c r="E29" s="32" t="s">
        <v>9</v>
      </c>
      <c r="F29" s="32">
        <v>5</v>
      </c>
      <c r="G29" s="42" t="s">
        <v>52</v>
      </c>
      <c r="H29" s="47"/>
      <c r="I29" s="15">
        <f>'_2023_VB_ar_ izmaiņām_MK+fin'!S29</f>
        <v>26</v>
      </c>
      <c r="J29" s="15">
        <f>'_2023_VB_ar_ izmaiņām_MK+fin'!T29</f>
        <v>26</v>
      </c>
      <c r="K29" s="53">
        <f>ROUND('_2023_VB_ar_ izmaiņām_MK'!K29*1.025,0)</f>
        <v>19</v>
      </c>
      <c r="L29" s="54">
        <f t="shared" si="15"/>
        <v>19</v>
      </c>
      <c r="M29" s="12">
        <f t="shared" si="16"/>
        <v>254</v>
      </c>
      <c r="N29" s="12">
        <f t="shared" si="16"/>
        <v>254</v>
      </c>
      <c r="O29" s="11">
        <v>250</v>
      </c>
      <c r="P29" s="54">
        <f t="shared" si="17"/>
        <v>250</v>
      </c>
      <c r="Q29" s="33">
        <f>'_2023_VB_ar_ izmaiņām_MK'!Q29*1.025</f>
        <v>272.75485749999996</v>
      </c>
      <c r="R29" s="4">
        <f t="shared" si="18"/>
        <v>68188.714374999996</v>
      </c>
      <c r="S29" s="15">
        <f t="shared" si="19"/>
        <v>4</v>
      </c>
      <c r="T29" s="15">
        <f t="shared" si="19"/>
        <v>4</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15">
        <f>'_2023_VB_ar_ izmaiņām_MK+fin'!S30</f>
        <v>1</v>
      </c>
      <c r="J30" s="15">
        <f>'_2023_VB_ar_ izmaiņām_MK+fin'!T30</f>
        <v>1</v>
      </c>
      <c r="K30" s="53">
        <f>ROUND('_2023_VB_ar_ izmaiņām_MK'!K30*1.025,0)</f>
        <v>1</v>
      </c>
      <c r="L30" s="54">
        <f t="shared" si="15"/>
        <v>1</v>
      </c>
      <c r="M30" s="12">
        <f t="shared" si="16"/>
        <v>13</v>
      </c>
      <c r="N30" s="12">
        <f t="shared" si="16"/>
        <v>13</v>
      </c>
      <c r="O30" s="11">
        <v>10</v>
      </c>
      <c r="P30" s="54">
        <f t="shared" si="17"/>
        <v>10</v>
      </c>
      <c r="Q30" s="33">
        <f>'_2023_VB_ar_ izmaiņām_MK'!Q30*1.025</f>
        <v>891.66543749999983</v>
      </c>
      <c r="R30" s="4">
        <f t="shared" si="18"/>
        <v>8916.6543749999983</v>
      </c>
      <c r="S30" s="15">
        <f t="shared" si="19"/>
        <v>3</v>
      </c>
      <c r="T30" s="15">
        <f t="shared" si="19"/>
        <v>3</v>
      </c>
      <c r="U30" s="1">
        <v>1</v>
      </c>
      <c r="V30" s="1"/>
      <c r="W30" s="27"/>
    </row>
    <row r="31" spans="1:23" s="44" customFormat="1" ht="36" customHeight="1" x14ac:dyDescent="0.35">
      <c r="A31" s="31">
        <v>21</v>
      </c>
      <c r="B31" s="32" t="s">
        <v>6</v>
      </c>
      <c r="C31" s="32" t="s">
        <v>56</v>
      </c>
      <c r="D31" s="31" t="s">
        <v>57</v>
      </c>
      <c r="E31" s="32" t="s">
        <v>9</v>
      </c>
      <c r="F31" s="32">
        <v>2</v>
      </c>
      <c r="G31" s="42" t="s">
        <v>10</v>
      </c>
      <c r="H31" s="47"/>
      <c r="I31" s="15">
        <f>'_2023_VB_ar_ izmaiņām_MK+fin'!S31</f>
        <v>4</v>
      </c>
      <c r="J31" s="15">
        <f>'_2023_VB_ar_ izmaiņām_MK+fin'!T31</f>
        <v>4</v>
      </c>
      <c r="K31" s="53">
        <f>ROUND('_2023_VB_ar_ izmaiņām_MK'!K31*1.025,0)</f>
        <v>1</v>
      </c>
      <c r="L31" s="54">
        <f t="shared" si="15"/>
        <v>1</v>
      </c>
      <c r="M31" s="12">
        <f t="shared" si="16"/>
        <v>16</v>
      </c>
      <c r="N31" s="12">
        <f t="shared" si="16"/>
        <v>16</v>
      </c>
      <c r="O31" s="11">
        <v>15</v>
      </c>
      <c r="P31" s="54">
        <f t="shared" si="17"/>
        <v>15</v>
      </c>
      <c r="Q31" s="33">
        <f>'_2023_VB_ar_ izmaiņām_MK'!Q31*1.025</f>
        <v>15.076468749999995</v>
      </c>
      <c r="R31" s="4">
        <f t="shared" si="18"/>
        <v>226.14703124999991</v>
      </c>
      <c r="S31" s="15">
        <f t="shared" si="19"/>
        <v>1</v>
      </c>
      <c r="T31" s="15">
        <f t="shared" si="19"/>
        <v>1</v>
      </c>
      <c r="U31" s="1"/>
      <c r="V31" s="1">
        <v>1</v>
      </c>
      <c r="W31" s="27"/>
    </row>
    <row r="32" spans="1:23" s="44" customFormat="1" ht="21.75" customHeight="1" x14ac:dyDescent="0.35">
      <c r="A32" s="31">
        <v>22</v>
      </c>
      <c r="B32" s="32" t="s">
        <v>6</v>
      </c>
      <c r="C32" s="32" t="s">
        <v>58</v>
      </c>
      <c r="D32" s="31" t="s">
        <v>59</v>
      </c>
      <c r="E32" s="32" t="s">
        <v>9</v>
      </c>
      <c r="F32" s="32">
        <v>5</v>
      </c>
      <c r="G32" s="42" t="s">
        <v>10</v>
      </c>
      <c r="H32" s="47"/>
      <c r="I32" s="15">
        <f>'_2023_VB_ar_ izmaiņām_MK+fin'!S32</f>
        <v>2</v>
      </c>
      <c r="J32" s="15">
        <f>'_2023_VB_ar_ izmaiņām_MK+fin'!T32</f>
        <v>2</v>
      </c>
      <c r="K32" s="53">
        <f>ROUND('_2023_VB_ar_ izmaiņām_MK'!K32*1.025,0)</f>
        <v>1</v>
      </c>
      <c r="L32" s="54">
        <f t="shared" si="15"/>
        <v>1</v>
      </c>
      <c r="M32" s="12">
        <f t="shared" si="16"/>
        <v>14</v>
      </c>
      <c r="N32" s="12">
        <f t="shared" si="16"/>
        <v>14</v>
      </c>
      <c r="O32" s="11">
        <v>11</v>
      </c>
      <c r="P32" s="54">
        <f t="shared" si="17"/>
        <v>11</v>
      </c>
      <c r="Q32" s="33">
        <f>'_2023_VB_ar_ izmaiņām_MK'!Q32*1.025</f>
        <v>938.1871124999999</v>
      </c>
      <c r="R32" s="4">
        <f t="shared" si="18"/>
        <v>10320.058237499999</v>
      </c>
      <c r="S32" s="15">
        <f t="shared" si="19"/>
        <v>3</v>
      </c>
      <c r="T32" s="15">
        <f t="shared" si="19"/>
        <v>3</v>
      </c>
      <c r="U32" s="1"/>
      <c r="V32" s="1">
        <v>1</v>
      </c>
      <c r="W32" s="27"/>
    </row>
    <row r="33" spans="1:23" s="44" customFormat="1" ht="21.75" customHeight="1" x14ac:dyDescent="0.35">
      <c r="A33" s="29">
        <v>23</v>
      </c>
      <c r="B33" s="30" t="s">
        <v>60</v>
      </c>
      <c r="C33" s="30" t="s">
        <v>61</v>
      </c>
      <c r="D33" s="29" t="s">
        <v>62</v>
      </c>
      <c r="E33" s="30" t="s">
        <v>9</v>
      </c>
      <c r="F33" s="30">
        <v>3</v>
      </c>
      <c r="G33" s="43" t="s">
        <v>10</v>
      </c>
      <c r="H33" s="48"/>
      <c r="I33" s="15">
        <f>'_2023_VB_ar_ izmaiņām_MK+fin'!S33</f>
        <v>9</v>
      </c>
      <c r="J33" s="15">
        <f>'_2023_VB_ar_ izmaiņām_MK+fin'!T33</f>
        <v>9</v>
      </c>
      <c r="K33" s="53">
        <f>ROUND('_2023_VB_ar_ izmaiņām_MK'!K33*1.025,0)</f>
        <v>28</v>
      </c>
      <c r="L33" s="54">
        <f t="shared" si="15"/>
        <v>28</v>
      </c>
      <c r="M33" s="132">
        <f t="shared" si="16"/>
        <v>345</v>
      </c>
      <c r="N33" s="132">
        <f t="shared" si="16"/>
        <v>345</v>
      </c>
      <c r="O33" s="11">
        <v>340</v>
      </c>
      <c r="P33" s="54">
        <f t="shared" si="17"/>
        <v>340</v>
      </c>
      <c r="Q33" s="33">
        <f>'_2023_VB_ar_ izmaiņām_MK'!Q33*1.025</f>
        <v>359.63839312499988</v>
      </c>
      <c r="R33" s="4">
        <f t="shared" si="18"/>
        <v>122277.05366249997</v>
      </c>
      <c r="S33" s="15">
        <f t="shared" si="19"/>
        <v>5</v>
      </c>
      <c r="T33" s="15">
        <f t="shared" si="19"/>
        <v>5</v>
      </c>
      <c r="U33" s="1"/>
      <c r="V33" s="1">
        <v>1</v>
      </c>
      <c r="W33" s="27"/>
    </row>
    <row r="34" spans="1:23" ht="32.25" customHeight="1" x14ac:dyDescent="0.35">
      <c r="A34" s="29">
        <v>24</v>
      </c>
      <c r="B34" s="30" t="s">
        <v>60</v>
      </c>
      <c r="C34" s="30" t="s">
        <v>61</v>
      </c>
      <c r="D34" s="29" t="s">
        <v>108</v>
      </c>
      <c r="E34" s="30" t="s">
        <v>9</v>
      </c>
      <c r="F34" s="30">
        <v>5</v>
      </c>
      <c r="G34" s="43" t="s">
        <v>10</v>
      </c>
      <c r="H34" s="48"/>
      <c r="I34" s="15">
        <f>'_2023_VB_ar_ izmaiņām_MK+fin'!S34</f>
        <v>0</v>
      </c>
      <c r="J34" s="15">
        <f>'_2023_VB_ar_ izmaiņām_MK+fin'!T34</f>
        <v>0</v>
      </c>
      <c r="K34" s="53">
        <f>ROUND('_2023_VB_ar_ izmaiņām_MK'!K34*1.025,0)</f>
        <v>10</v>
      </c>
      <c r="L34" s="54">
        <f t="shared" si="15"/>
        <v>10</v>
      </c>
      <c r="M34" s="132">
        <f t="shared" si="16"/>
        <v>120</v>
      </c>
      <c r="N34" s="132">
        <f t="shared" si="16"/>
        <v>120</v>
      </c>
      <c r="O34" s="104">
        <v>115</v>
      </c>
      <c r="P34" s="54">
        <f t="shared" si="17"/>
        <v>115</v>
      </c>
      <c r="Q34" s="33">
        <f>'_2023_VB_ar_ izmaiņām_MK'!Q34*1.025</f>
        <v>753.82343749999973</v>
      </c>
      <c r="R34" s="4">
        <f t="shared" si="18"/>
        <v>86689.695312499971</v>
      </c>
      <c r="S34" s="15">
        <f t="shared" si="19"/>
        <v>5</v>
      </c>
      <c r="T34" s="15">
        <f t="shared" si="19"/>
        <v>5</v>
      </c>
      <c r="U34" s="1"/>
      <c r="V34" s="1">
        <v>1</v>
      </c>
      <c r="W34" s="27" t="s">
        <v>176</v>
      </c>
    </row>
    <row r="35" spans="1:23" s="44" customFormat="1" ht="49.5" customHeight="1" x14ac:dyDescent="0.35">
      <c r="A35" s="29">
        <v>25</v>
      </c>
      <c r="B35" s="30" t="s">
        <v>60</v>
      </c>
      <c r="C35" s="30" t="s">
        <v>61</v>
      </c>
      <c r="D35" s="29" t="s">
        <v>63</v>
      </c>
      <c r="E35" s="30" t="s">
        <v>9</v>
      </c>
      <c r="F35" s="30">
        <v>3</v>
      </c>
      <c r="G35" s="43" t="s">
        <v>64</v>
      </c>
      <c r="H35" s="48"/>
      <c r="I35" s="15">
        <f>'_2023_VB_ar_ izmaiņām_MK+fin'!S35</f>
        <v>13</v>
      </c>
      <c r="J35" s="15">
        <f>'_2023_VB_ar_ izmaiņām_MK+fin'!T35</f>
        <v>13</v>
      </c>
      <c r="K35" s="53">
        <f>ROUND('_2023_VB_ar_ izmaiņām_MK'!K35*1.025,0)</f>
        <v>2</v>
      </c>
      <c r="L35" s="54">
        <f t="shared" si="15"/>
        <v>2</v>
      </c>
      <c r="M35" s="132">
        <f t="shared" si="16"/>
        <v>37</v>
      </c>
      <c r="N35" s="132">
        <f t="shared" si="16"/>
        <v>37</v>
      </c>
      <c r="O35" s="11">
        <v>19</v>
      </c>
      <c r="P35" s="54">
        <f t="shared" si="17"/>
        <v>19</v>
      </c>
      <c r="Q35" s="33">
        <f>'_2023_VB_ar_ izmaiņām_MK'!Q35*1.025</f>
        <v>156.36451874999995</v>
      </c>
      <c r="R35" s="4">
        <f t="shared" si="18"/>
        <v>2970.925856249999</v>
      </c>
      <c r="S35" s="15">
        <f t="shared" si="19"/>
        <v>18</v>
      </c>
      <c r="T35" s="15">
        <f t="shared" si="19"/>
        <v>18</v>
      </c>
      <c r="U35" s="1"/>
      <c r="V35" s="1">
        <v>1</v>
      </c>
      <c r="W35" s="27"/>
    </row>
    <row r="36" spans="1:23" ht="25.5" customHeight="1" x14ac:dyDescent="0.35">
      <c r="A36" s="29">
        <v>26</v>
      </c>
      <c r="B36" s="30" t="s">
        <v>141</v>
      </c>
      <c r="C36" s="30" t="s">
        <v>65</v>
      </c>
      <c r="D36" s="29" t="s">
        <v>66</v>
      </c>
      <c r="E36" s="30" t="s">
        <v>9</v>
      </c>
      <c r="F36" s="30">
        <v>5</v>
      </c>
      <c r="G36" s="43" t="s">
        <v>110</v>
      </c>
      <c r="H36" s="48"/>
      <c r="I36" s="15">
        <f>'_2023_VB_ar_ izmaiņām_MK+fin'!S36</f>
        <v>11</v>
      </c>
      <c r="J36" s="15">
        <f>'_2023_VB_ar_ izmaiņām_MK+fin'!T36</f>
        <v>11</v>
      </c>
      <c r="K36" s="53">
        <f>ROUND('_2023_VB_ar_ izmaiņām_MK'!K36*1.025,0)</f>
        <v>23</v>
      </c>
      <c r="L36" s="54">
        <f t="shared" si="15"/>
        <v>23</v>
      </c>
      <c r="M36" s="132">
        <f t="shared" si="16"/>
        <v>287</v>
      </c>
      <c r="N36" s="132">
        <f t="shared" si="16"/>
        <v>287</v>
      </c>
      <c r="O36" s="104">
        <v>280</v>
      </c>
      <c r="P36" s="54">
        <f t="shared" si="17"/>
        <v>280</v>
      </c>
      <c r="Q36" s="33">
        <f>'_2023_VB_ar_ izmaiņām_MK'!Q36*1.025</f>
        <v>538.4453125</v>
      </c>
      <c r="R36" s="4">
        <f t="shared" si="18"/>
        <v>150764.6875</v>
      </c>
      <c r="S36" s="15">
        <f t="shared" si="19"/>
        <v>7</v>
      </c>
      <c r="T36" s="15">
        <f t="shared" si="19"/>
        <v>7</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15">
        <f>'_2023_VB_ar_ izmaiņām_MK+fin'!S37</f>
        <v>24</v>
      </c>
      <c r="J37" s="15">
        <f>'_2023_VB_ar_ izmaiņām_MK+fin'!T37</f>
        <v>24</v>
      </c>
      <c r="K37" s="53">
        <f>ROUND('_2023_VB_ar_ izmaiņām_MK'!K37*1.025,0)</f>
        <v>3</v>
      </c>
      <c r="L37" s="54">
        <f t="shared" si="15"/>
        <v>3</v>
      </c>
      <c r="M37" s="12">
        <f t="shared" si="16"/>
        <v>60</v>
      </c>
      <c r="N37" s="12">
        <f t="shared" si="16"/>
        <v>60</v>
      </c>
      <c r="O37" s="11">
        <v>35</v>
      </c>
      <c r="P37" s="54">
        <f t="shared" si="17"/>
        <v>35</v>
      </c>
      <c r="Q37" s="33">
        <f>'_2023_VB_ar_ izmaiņām_MK'!Q37*1.025</f>
        <v>227.04085046874997</v>
      </c>
      <c r="R37" s="4">
        <f t="shared" si="18"/>
        <v>7946.4297664062487</v>
      </c>
      <c r="S37" s="15">
        <f t="shared" si="19"/>
        <v>25</v>
      </c>
      <c r="T37" s="15">
        <f t="shared" si="19"/>
        <v>25</v>
      </c>
      <c r="U37" s="19"/>
      <c r="V37" s="19">
        <v>1</v>
      </c>
      <c r="W37" s="26"/>
    </row>
    <row r="38" spans="1:23" s="44" customFormat="1" ht="60.75" customHeight="1" x14ac:dyDescent="0.35">
      <c r="A38" s="29">
        <v>28</v>
      </c>
      <c r="B38" s="30" t="s">
        <v>168</v>
      </c>
      <c r="C38" s="30" t="s">
        <v>67</v>
      </c>
      <c r="D38" s="29" t="s">
        <v>68</v>
      </c>
      <c r="E38" s="30" t="s">
        <v>9</v>
      </c>
      <c r="F38" s="30">
        <v>3</v>
      </c>
      <c r="G38" s="43" t="s">
        <v>69</v>
      </c>
      <c r="H38" s="48"/>
      <c r="I38" s="15">
        <f>'_2023_VB_ar_ izmaiņām_MK+fin'!S38</f>
        <v>35</v>
      </c>
      <c r="J38" s="15">
        <f>'_2023_VB_ar_ izmaiņām_MK+fin'!T38</f>
        <v>35</v>
      </c>
      <c r="K38" s="53">
        <f>ROUND('_2023_VB_ar_ izmaiņām_MK'!K38*1.025,0)</f>
        <v>15</v>
      </c>
      <c r="L38" s="54">
        <f t="shared" si="15"/>
        <v>15</v>
      </c>
      <c r="M38" s="12">
        <f t="shared" si="16"/>
        <v>215</v>
      </c>
      <c r="N38" s="12">
        <f t="shared" si="16"/>
        <v>215</v>
      </c>
      <c r="O38" s="11">
        <v>200</v>
      </c>
      <c r="P38" s="54">
        <f t="shared" si="17"/>
        <v>200</v>
      </c>
      <c r="Q38" s="33">
        <f>'_2023_VB_ar_ izmaiņām_MK'!Q38*1.025</f>
        <v>407.00004281249994</v>
      </c>
      <c r="R38" s="4">
        <f t="shared" si="18"/>
        <v>81400.008562499992</v>
      </c>
      <c r="S38" s="15">
        <f t="shared" si="19"/>
        <v>15</v>
      </c>
      <c r="T38" s="15">
        <f t="shared" si="19"/>
        <v>15</v>
      </c>
      <c r="U38" s="1">
        <v>1</v>
      </c>
      <c r="V38" s="1"/>
      <c r="W38" s="27"/>
    </row>
    <row r="39" spans="1:23" s="44" customFormat="1" x14ac:dyDescent="0.35">
      <c r="A39" s="29">
        <v>29</v>
      </c>
      <c r="B39" s="30" t="s">
        <v>70</v>
      </c>
      <c r="C39" s="30" t="s">
        <v>121</v>
      </c>
      <c r="D39" s="29" t="s">
        <v>122</v>
      </c>
      <c r="E39" s="30" t="s">
        <v>9</v>
      </c>
      <c r="F39" s="30">
        <v>5</v>
      </c>
      <c r="G39" s="43" t="s">
        <v>47</v>
      </c>
      <c r="H39" s="48"/>
      <c r="I39" s="15">
        <f>'_2023_VB_ar_ izmaiņām_MK+fin'!S39</f>
        <v>0</v>
      </c>
      <c r="J39" s="15">
        <f>'_2023_VB_ar_ izmaiņām_MK+fin'!T39</f>
        <v>0</v>
      </c>
      <c r="K39" s="53">
        <f>ROUND('_2023_VB_ar_ izmaiņām_MK'!K39*1.025,0)</f>
        <v>1</v>
      </c>
      <c r="L39" s="54">
        <f t="shared" si="15"/>
        <v>1</v>
      </c>
      <c r="M39" s="12">
        <f t="shared" si="16"/>
        <v>12</v>
      </c>
      <c r="N39" s="12">
        <f t="shared" si="16"/>
        <v>12</v>
      </c>
      <c r="O39" s="11">
        <v>10</v>
      </c>
      <c r="P39" s="54">
        <f t="shared" si="17"/>
        <v>10</v>
      </c>
      <c r="Q39" s="33">
        <f>'_2023_VB_ar_ izmaiņām_MK'!Q39*1.025</f>
        <v>133.77135343749998</v>
      </c>
      <c r="R39" s="4">
        <f t="shared" si="18"/>
        <v>1337.7135343749999</v>
      </c>
      <c r="S39" s="15">
        <f t="shared" si="19"/>
        <v>2</v>
      </c>
      <c r="T39" s="15">
        <f t="shared" si="19"/>
        <v>2</v>
      </c>
      <c r="U39" s="1">
        <v>1</v>
      </c>
      <c r="V39" s="1"/>
      <c r="W39" s="27"/>
    </row>
    <row r="40" spans="1:23" s="44" customFormat="1" ht="40.5" customHeight="1" x14ac:dyDescent="0.35">
      <c r="A40" s="29">
        <v>30</v>
      </c>
      <c r="B40" s="50" t="s">
        <v>71</v>
      </c>
      <c r="C40" s="50" t="s">
        <v>72</v>
      </c>
      <c r="D40" s="49" t="s">
        <v>73</v>
      </c>
      <c r="E40" s="50" t="s">
        <v>9</v>
      </c>
      <c r="F40" s="50">
        <v>5</v>
      </c>
      <c r="G40" s="51" t="s">
        <v>74</v>
      </c>
      <c r="H40" s="48"/>
      <c r="I40" s="15">
        <f>'_2023_VB_ar_ izmaiņām_MK+fin'!S40</f>
        <v>10</v>
      </c>
      <c r="J40" s="15">
        <f>'_2023_VB_ar_ izmaiņām_MK+fin'!T40</f>
        <v>10</v>
      </c>
      <c r="K40" s="53">
        <f>ROUND('_2023_VB_ar_ izmaiņām_MK'!K40*1.025,0)</f>
        <v>23</v>
      </c>
      <c r="L40" s="54">
        <f t="shared" si="15"/>
        <v>23</v>
      </c>
      <c r="M40" s="12">
        <f t="shared" ref="M40:N49" si="20">I40+(K40*12)</f>
        <v>286</v>
      </c>
      <c r="N40" s="12">
        <f t="shared" si="20"/>
        <v>286</v>
      </c>
      <c r="O40" s="11">
        <v>260</v>
      </c>
      <c r="P40" s="54">
        <f t="shared" si="17"/>
        <v>260</v>
      </c>
      <c r="Q40" s="33">
        <f>'_2023_VB_ar_ izmaiņām_MK'!Q40*1.025</f>
        <v>405.25547999999992</v>
      </c>
      <c r="R40" s="4">
        <f t="shared" si="18"/>
        <v>105366.42479999998</v>
      </c>
      <c r="S40" s="15">
        <f t="shared" ref="S40:T49" si="21">M40-O40</f>
        <v>26</v>
      </c>
      <c r="T40" s="15">
        <f t="shared" si="21"/>
        <v>26</v>
      </c>
      <c r="U40" s="19">
        <v>1</v>
      </c>
      <c r="V40" s="19"/>
      <c r="W40" s="26"/>
    </row>
    <row r="41" spans="1:23" s="44" customFormat="1" ht="117" customHeight="1" x14ac:dyDescent="0.35">
      <c r="A41" s="50">
        <v>31</v>
      </c>
      <c r="B41" s="50" t="s">
        <v>71</v>
      </c>
      <c r="C41" s="50" t="s">
        <v>72</v>
      </c>
      <c r="D41" s="49" t="s">
        <v>75</v>
      </c>
      <c r="E41" s="50" t="s">
        <v>9</v>
      </c>
      <c r="F41" s="50">
        <v>5</v>
      </c>
      <c r="G41" s="51" t="s">
        <v>76</v>
      </c>
      <c r="H41" s="48"/>
      <c r="I41" s="15">
        <f>'_2023_VB_ar_ izmaiņām_MK+fin'!S41</f>
        <v>11</v>
      </c>
      <c r="J41" s="15">
        <f>'_2023_VB_ar_ izmaiņām_MK+fin'!T41</f>
        <v>11</v>
      </c>
      <c r="K41" s="53">
        <f>ROUND('_2023_VB_ar_ izmaiņām_MK'!K41*1.025,0)</f>
        <v>1</v>
      </c>
      <c r="L41" s="54">
        <f t="shared" si="15"/>
        <v>1</v>
      </c>
      <c r="M41" s="12">
        <f t="shared" si="20"/>
        <v>23</v>
      </c>
      <c r="N41" s="12">
        <f t="shared" si="20"/>
        <v>23</v>
      </c>
      <c r="O41" s="11">
        <v>10</v>
      </c>
      <c r="P41" s="54">
        <f t="shared" si="17"/>
        <v>10</v>
      </c>
      <c r="Q41" s="33">
        <f>'_2023_VB_ar_ izmaiņām_MK'!Q41*1.025</f>
        <v>374.67178624999991</v>
      </c>
      <c r="R41" s="4">
        <f t="shared" si="18"/>
        <v>3746.7178624999992</v>
      </c>
      <c r="S41" s="15">
        <f t="shared" si="21"/>
        <v>13</v>
      </c>
      <c r="T41" s="15">
        <f t="shared" si="21"/>
        <v>13</v>
      </c>
      <c r="U41" s="19">
        <v>1</v>
      </c>
      <c r="V41" s="19"/>
      <c r="W41" s="26"/>
    </row>
    <row r="42" spans="1:23" s="44" customFormat="1" ht="42.75" customHeight="1" x14ac:dyDescent="0.35">
      <c r="A42" s="29">
        <v>32</v>
      </c>
      <c r="B42" s="30" t="s">
        <v>77</v>
      </c>
      <c r="C42" s="30" t="s">
        <v>78</v>
      </c>
      <c r="D42" s="29" t="s">
        <v>99</v>
      </c>
      <c r="E42" s="30" t="s">
        <v>9</v>
      </c>
      <c r="F42" s="30">
        <v>2</v>
      </c>
      <c r="G42" s="43" t="s">
        <v>10</v>
      </c>
      <c r="H42" s="48"/>
      <c r="I42" s="15">
        <f>'_2023_VB_ar_ izmaiņām_MK+fin'!S42</f>
        <v>7</v>
      </c>
      <c r="J42" s="15">
        <f>'_2023_VB_ar_ izmaiņām_MK+fin'!T42</f>
        <v>7</v>
      </c>
      <c r="K42" s="53">
        <f>ROUND('_2023_VB_ar_ izmaiņām_MK'!K42*1.025,0)</f>
        <v>37</v>
      </c>
      <c r="L42" s="54">
        <f t="shared" si="15"/>
        <v>37</v>
      </c>
      <c r="M42" s="132">
        <f t="shared" si="20"/>
        <v>451</v>
      </c>
      <c r="N42" s="132">
        <f>J42+(L42*12)</f>
        <v>451</v>
      </c>
      <c r="O42" s="11">
        <v>440</v>
      </c>
      <c r="P42" s="54">
        <f t="shared" si="17"/>
        <v>440</v>
      </c>
      <c r="Q42" s="33">
        <f>'_2023_VB_ar_ izmaiņām_MK'!Q42*1.025</f>
        <v>77.826885468749978</v>
      </c>
      <c r="R42" s="4">
        <f t="shared" si="18"/>
        <v>34243.829606249994</v>
      </c>
      <c r="S42" s="15">
        <f t="shared" si="21"/>
        <v>11</v>
      </c>
      <c r="T42" s="15">
        <f t="shared" si="21"/>
        <v>11</v>
      </c>
      <c r="U42" s="1"/>
      <c r="V42" s="1">
        <v>1</v>
      </c>
      <c r="W42" s="27" t="s">
        <v>111</v>
      </c>
    </row>
    <row r="43" spans="1:23" ht="20.25" customHeight="1" x14ac:dyDescent="0.35">
      <c r="A43" s="29">
        <v>33</v>
      </c>
      <c r="B43" s="30" t="s">
        <v>142</v>
      </c>
      <c r="C43" s="30" t="s">
        <v>79</v>
      </c>
      <c r="D43" s="29" t="s">
        <v>80</v>
      </c>
      <c r="E43" s="30" t="s">
        <v>9</v>
      </c>
      <c r="F43" s="30">
        <v>5</v>
      </c>
      <c r="G43" s="43" t="s">
        <v>110</v>
      </c>
      <c r="H43" s="48"/>
      <c r="I43" s="15">
        <f>'_2023_VB_ar_ izmaiņām_MK+fin'!S43</f>
        <v>8</v>
      </c>
      <c r="J43" s="15">
        <f>'_2023_VB_ar_ izmaiņām_MK+fin'!T43</f>
        <v>8</v>
      </c>
      <c r="K43" s="53">
        <f>ROUND('_2023_VB_ar_ izmaiņām_MK'!K43*1.025,0)</f>
        <v>3</v>
      </c>
      <c r="L43" s="54">
        <f t="shared" si="15"/>
        <v>3</v>
      </c>
      <c r="M43" s="132">
        <f t="shared" si="20"/>
        <v>44</v>
      </c>
      <c r="N43" s="132">
        <f t="shared" si="20"/>
        <v>44</v>
      </c>
      <c r="O43" s="104">
        <v>40</v>
      </c>
      <c r="P43" s="54">
        <f t="shared" si="17"/>
        <v>40</v>
      </c>
      <c r="Q43" s="33">
        <f>'_2023_VB_ar_ izmaiņām_MK'!Q43*1.025</f>
        <v>2584.5374999999999</v>
      </c>
      <c r="R43" s="4">
        <f t="shared" si="18"/>
        <v>103381.5</v>
      </c>
      <c r="S43" s="15">
        <f t="shared" si="21"/>
        <v>4</v>
      </c>
      <c r="T43" s="15">
        <f t="shared" si="21"/>
        <v>4</v>
      </c>
      <c r="U43" s="1"/>
      <c r="V43" s="1">
        <v>1</v>
      </c>
      <c r="W43" s="27" t="s">
        <v>126</v>
      </c>
    </row>
    <row r="44" spans="1:23" ht="22.5" customHeight="1" x14ac:dyDescent="0.35">
      <c r="A44" s="29">
        <v>34</v>
      </c>
      <c r="B44" s="30" t="s">
        <v>6</v>
      </c>
      <c r="C44" s="30" t="s">
        <v>81</v>
      </c>
      <c r="D44" s="29" t="s">
        <v>82</v>
      </c>
      <c r="E44" s="30" t="s">
        <v>9</v>
      </c>
      <c r="F44" s="30">
        <v>7</v>
      </c>
      <c r="G44" s="43" t="s">
        <v>112</v>
      </c>
      <c r="H44" s="48"/>
      <c r="I44" s="15">
        <f>'_2023_VB_ar_ izmaiņām_MK+fin'!S44</f>
        <v>3</v>
      </c>
      <c r="J44" s="15">
        <f>'_2023_VB_ar_ izmaiņām_MK+fin'!T44</f>
        <v>3</v>
      </c>
      <c r="K44" s="53">
        <f>ROUND('_2023_VB_ar_ izmaiņām_MK'!K44*1.025,0)</f>
        <v>1</v>
      </c>
      <c r="L44" s="54">
        <f t="shared" si="15"/>
        <v>1</v>
      </c>
      <c r="M44" s="132">
        <f t="shared" si="20"/>
        <v>15</v>
      </c>
      <c r="N44" s="132">
        <f t="shared" si="20"/>
        <v>15</v>
      </c>
      <c r="O44" s="104">
        <v>10</v>
      </c>
      <c r="P44" s="54">
        <f t="shared" si="17"/>
        <v>10</v>
      </c>
      <c r="Q44" s="33">
        <f>'_2023_VB_ar_ izmaiņām_MK'!Q44*1.025</f>
        <v>2692.2265624999991</v>
      </c>
      <c r="R44" s="4">
        <f t="shared" si="18"/>
        <v>26922.265624999993</v>
      </c>
      <c r="S44" s="15">
        <f t="shared" si="21"/>
        <v>5</v>
      </c>
      <c r="T44" s="15">
        <f t="shared" si="21"/>
        <v>5</v>
      </c>
      <c r="U44" s="1"/>
      <c r="V44" s="1">
        <v>1</v>
      </c>
      <c r="W44" s="27" t="s">
        <v>126</v>
      </c>
    </row>
    <row r="45" spans="1:23" s="44" customFormat="1" ht="30" customHeight="1" x14ac:dyDescent="0.35">
      <c r="A45" s="50">
        <v>35</v>
      </c>
      <c r="B45" s="30" t="s">
        <v>77</v>
      </c>
      <c r="C45" s="30" t="s">
        <v>78</v>
      </c>
      <c r="D45" s="29" t="s">
        <v>83</v>
      </c>
      <c r="E45" s="30" t="s">
        <v>9</v>
      </c>
      <c r="F45" s="30">
        <v>5</v>
      </c>
      <c r="G45" s="43" t="s">
        <v>74</v>
      </c>
      <c r="H45" s="48"/>
      <c r="I45" s="15">
        <f>'_2023_VB_ar_ izmaiņām_MK+fin'!S45</f>
        <v>12</v>
      </c>
      <c r="J45" s="15">
        <f>'_2023_VB_ar_ izmaiņām_MK+fin'!T45</f>
        <v>12</v>
      </c>
      <c r="K45" s="53">
        <f>ROUND('_2023_VB_ar_ izmaiņām_MK'!K45*1.025,0)</f>
        <v>15</v>
      </c>
      <c r="L45" s="54">
        <f t="shared" si="15"/>
        <v>15</v>
      </c>
      <c r="M45" s="132">
        <f t="shared" si="20"/>
        <v>192</v>
      </c>
      <c r="N45" s="132">
        <f t="shared" si="20"/>
        <v>192</v>
      </c>
      <c r="O45" s="11">
        <v>190</v>
      </c>
      <c r="P45" s="54">
        <f t="shared" si="17"/>
        <v>190</v>
      </c>
      <c r="Q45" s="33">
        <f>'_2023_VB_ar_ izmaiņām_MK'!Q45*1.025</f>
        <v>64.08576109374998</v>
      </c>
      <c r="R45" s="4">
        <f t="shared" si="18"/>
        <v>12176.294607812497</v>
      </c>
      <c r="S45" s="15">
        <f t="shared" si="21"/>
        <v>2</v>
      </c>
      <c r="T45" s="15">
        <f t="shared" si="21"/>
        <v>2</v>
      </c>
      <c r="U45" s="1">
        <v>1</v>
      </c>
      <c r="V45" s="1"/>
      <c r="W45" s="27"/>
    </row>
    <row r="46" spans="1:23" ht="30" customHeight="1" x14ac:dyDescent="0.35">
      <c r="A46" s="29">
        <v>36</v>
      </c>
      <c r="B46" s="30" t="s">
        <v>169</v>
      </c>
      <c r="C46" s="30" t="s">
        <v>170</v>
      </c>
      <c r="D46" s="29" t="s">
        <v>171</v>
      </c>
      <c r="E46" s="30" t="s">
        <v>9</v>
      </c>
      <c r="F46" s="30">
        <v>5</v>
      </c>
      <c r="G46" s="43" t="s">
        <v>172</v>
      </c>
      <c r="H46" s="48"/>
      <c r="I46" s="15">
        <f>'_2023_VB_ar_ izmaiņām_MK+fin'!S46</f>
        <v>6</v>
      </c>
      <c r="J46" s="15">
        <f>'_2023_VB_ar_ izmaiņām_MK+fin'!T46</f>
        <v>6</v>
      </c>
      <c r="K46" s="53">
        <f>ROUND('_2023_VB_ar_ izmaiņām_MK'!K46*1.025,0)</f>
        <v>10</v>
      </c>
      <c r="L46" s="54">
        <f t="shared" si="15"/>
        <v>10</v>
      </c>
      <c r="M46" s="132">
        <f t="shared" si="20"/>
        <v>126</v>
      </c>
      <c r="N46" s="132">
        <f t="shared" si="20"/>
        <v>126</v>
      </c>
      <c r="O46" s="104">
        <v>120</v>
      </c>
      <c r="P46" s="54">
        <f t="shared" si="17"/>
        <v>120</v>
      </c>
      <c r="Q46" s="33">
        <f>'_2023_VB_ar_ izmaiņām_MK'!Q46*1.025</f>
        <v>180.99300734374995</v>
      </c>
      <c r="R46" s="4">
        <f t="shared" si="18"/>
        <v>21719.160881249994</v>
      </c>
      <c r="S46" s="15">
        <f t="shared" si="21"/>
        <v>6</v>
      </c>
      <c r="T46" s="15">
        <f t="shared" si="21"/>
        <v>6</v>
      </c>
      <c r="U46" s="1">
        <v>1</v>
      </c>
      <c r="V46" s="1"/>
      <c r="W46" s="27" t="s">
        <v>126</v>
      </c>
    </row>
    <row r="47" spans="1:23" s="44" customFormat="1" ht="63.75" customHeight="1" x14ac:dyDescent="0.35">
      <c r="A47" s="29">
        <v>37</v>
      </c>
      <c r="B47" s="30" t="s">
        <v>84</v>
      </c>
      <c r="C47" s="30" t="s">
        <v>79</v>
      </c>
      <c r="D47" s="29" t="s">
        <v>85</v>
      </c>
      <c r="E47" s="30" t="s">
        <v>9</v>
      </c>
      <c r="F47" s="30">
        <v>5</v>
      </c>
      <c r="G47" s="43" t="s">
        <v>86</v>
      </c>
      <c r="H47" s="48"/>
      <c r="I47" s="15">
        <f>'_2023_VB_ar_ izmaiņām_MK+fin'!S47</f>
        <v>12</v>
      </c>
      <c r="J47" s="15">
        <f>'_2023_VB_ar_ izmaiņām_MK+fin'!T47</f>
        <v>12</v>
      </c>
      <c r="K47" s="53">
        <f>ROUND('_2023_VB_ar_ izmaiņām_MK'!K47*1.025,0)</f>
        <v>6</v>
      </c>
      <c r="L47" s="54">
        <f t="shared" si="15"/>
        <v>6</v>
      </c>
      <c r="M47" s="12">
        <f t="shared" si="20"/>
        <v>84</v>
      </c>
      <c r="N47" s="12">
        <f t="shared" si="20"/>
        <v>84</v>
      </c>
      <c r="O47" s="11">
        <v>62</v>
      </c>
      <c r="P47" s="54">
        <f t="shared" si="17"/>
        <v>62</v>
      </c>
      <c r="Q47" s="33">
        <f>'_2023_VB_ar_ izmaiņām_MK'!Q47*1.025</f>
        <v>166.78881999999996</v>
      </c>
      <c r="R47" s="4">
        <f t="shared" si="18"/>
        <v>10340.906839999998</v>
      </c>
      <c r="S47" s="15">
        <f t="shared" si="21"/>
        <v>22</v>
      </c>
      <c r="T47" s="15">
        <f t="shared" si="21"/>
        <v>22</v>
      </c>
      <c r="U47" s="1"/>
      <c r="V47" s="1">
        <v>1</v>
      </c>
      <c r="W47" s="27"/>
    </row>
    <row r="48" spans="1:23" s="44" customFormat="1" ht="53.25" customHeight="1" x14ac:dyDescent="0.35">
      <c r="A48" s="29">
        <v>38</v>
      </c>
      <c r="B48" s="50" t="s">
        <v>87</v>
      </c>
      <c r="C48" s="50" t="s">
        <v>88</v>
      </c>
      <c r="D48" s="49" t="s">
        <v>89</v>
      </c>
      <c r="E48" s="50" t="s">
        <v>9</v>
      </c>
      <c r="F48" s="50">
        <v>5</v>
      </c>
      <c r="G48" s="51" t="s">
        <v>10</v>
      </c>
      <c r="H48" s="48"/>
      <c r="I48" s="15">
        <f>'_2023_VB_ar_ izmaiņām_MK+fin'!S48</f>
        <v>5</v>
      </c>
      <c r="J48" s="15">
        <f>'_2023_VB_ar_ izmaiņām_MK+fin'!T48</f>
        <v>5</v>
      </c>
      <c r="K48" s="53">
        <f>ROUND('_2023_VB_ar_ izmaiņām_MK'!K48*1.025,0)</f>
        <v>3</v>
      </c>
      <c r="L48" s="54">
        <f t="shared" si="15"/>
        <v>3</v>
      </c>
      <c r="M48" s="12">
        <f t="shared" si="20"/>
        <v>41</v>
      </c>
      <c r="N48" s="12">
        <f t="shared" si="20"/>
        <v>41</v>
      </c>
      <c r="O48" s="11">
        <v>35</v>
      </c>
      <c r="P48" s="54">
        <f t="shared" si="17"/>
        <v>35</v>
      </c>
      <c r="Q48" s="33">
        <f>'_2023_VB_ar_ izmaiņām_MK'!Q48*1.025</f>
        <v>1366.8865014062496</v>
      </c>
      <c r="R48" s="4">
        <f t="shared" si="18"/>
        <v>47841.027549218736</v>
      </c>
      <c r="S48" s="15">
        <f t="shared" si="21"/>
        <v>6</v>
      </c>
      <c r="T48" s="15">
        <f t="shared" si="21"/>
        <v>6</v>
      </c>
      <c r="U48" s="1"/>
      <c r="V48" s="1">
        <v>1</v>
      </c>
      <c r="W48" s="27"/>
    </row>
    <row r="49" spans="1:25" s="44" customFormat="1" ht="23" x14ac:dyDescent="0.35">
      <c r="A49" s="50">
        <v>39</v>
      </c>
      <c r="B49" s="30" t="s">
        <v>87</v>
      </c>
      <c r="C49" s="30" t="s">
        <v>90</v>
      </c>
      <c r="D49" s="29" t="s">
        <v>113</v>
      </c>
      <c r="E49" s="30" t="s">
        <v>9</v>
      </c>
      <c r="F49" s="30">
        <v>5</v>
      </c>
      <c r="G49" s="43" t="s">
        <v>10</v>
      </c>
      <c r="H49" s="48"/>
      <c r="I49" s="15">
        <f>'_2023_VB_ar_ izmaiņām_MK+fin'!S49</f>
        <v>2</v>
      </c>
      <c r="J49" s="15">
        <f>'_2023_VB_ar_ izmaiņām_MK+fin'!T49</f>
        <v>2</v>
      </c>
      <c r="K49" s="53">
        <f>ROUND('_2023_VB_ar_ izmaiņām_MK'!K49*1.025,0)</f>
        <v>2</v>
      </c>
      <c r="L49" s="54">
        <f t="shared" si="15"/>
        <v>2</v>
      </c>
      <c r="M49" s="12">
        <f t="shared" si="20"/>
        <v>26</v>
      </c>
      <c r="N49" s="12">
        <f t="shared" si="20"/>
        <v>26</v>
      </c>
      <c r="O49" s="104">
        <v>22</v>
      </c>
      <c r="P49" s="54">
        <f t="shared" si="17"/>
        <v>22</v>
      </c>
      <c r="Q49" s="33">
        <f>'_2023_VB_ar_ izmaiņām_MK'!Q49*1.025</f>
        <v>215.37812499999993</v>
      </c>
      <c r="R49" s="4">
        <f t="shared" si="18"/>
        <v>4738.3187499999985</v>
      </c>
      <c r="S49" s="15">
        <f t="shared" si="21"/>
        <v>4</v>
      </c>
      <c r="T49" s="15">
        <f t="shared" si="21"/>
        <v>4</v>
      </c>
      <c r="U49" s="1"/>
      <c r="V49" s="1">
        <v>1</v>
      </c>
      <c r="W49" s="27" t="s">
        <v>109</v>
      </c>
    </row>
    <row r="50" spans="1:25" s="44" customFormat="1" ht="20.25" customHeight="1" x14ac:dyDescent="0.35">
      <c r="A50" s="39"/>
      <c r="B50" s="40"/>
      <c r="C50" s="41">
        <v>27</v>
      </c>
      <c r="D50" s="188" t="s">
        <v>91</v>
      </c>
      <c r="E50" s="188"/>
      <c r="F50" s="188"/>
      <c r="G50" s="188"/>
      <c r="H50" s="63"/>
      <c r="I50" s="9">
        <f>'_2023_VB_ar_ izmaiņām_MK+fin'!S50</f>
        <v>20</v>
      </c>
      <c r="J50" s="9">
        <f>'_2023_VB_ar_ izmaiņām_MK+fin'!T50</f>
        <v>20</v>
      </c>
      <c r="K50" s="9">
        <f t="shared" ref="K50:P50" si="22">K51+K52</f>
        <v>10</v>
      </c>
      <c r="L50" s="9">
        <f t="shared" si="22"/>
        <v>10</v>
      </c>
      <c r="M50" s="9">
        <f t="shared" si="22"/>
        <v>140</v>
      </c>
      <c r="N50" s="9">
        <f t="shared" si="22"/>
        <v>140</v>
      </c>
      <c r="O50" s="9">
        <f t="shared" si="22"/>
        <v>110</v>
      </c>
      <c r="P50" s="9">
        <f t="shared" si="22"/>
        <v>110</v>
      </c>
      <c r="Q50" s="9" t="str">
        <f>'_2021_VB_bez izmaiņām'!Q50</f>
        <v>x</v>
      </c>
      <c r="R50" s="3">
        <f t="shared" ref="R50" si="23">R51+R52</f>
        <v>7700.952548437499</v>
      </c>
      <c r="S50" s="9">
        <f>S51+S52</f>
        <v>30</v>
      </c>
      <c r="T50" s="9">
        <f>T51+T52</f>
        <v>30</v>
      </c>
      <c r="U50" s="7"/>
      <c r="V50" s="7">
        <v>1</v>
      </c>
      <c r="W50" s="27"/>
    </row>
    <row r="51" spans="1:25" s="44" customFormat="1" ht="28" x14ac:dyDescent="0.35">
      <c r="A51" s="31">
        <v>40</v>
      </c>
      <c r="B51" s="32" t="s">
        <v>6</v>
      </c>
      <c r="C51" s="32" t="s">
        <v>92</v>
      </c>
      <c r="D51" s="31" t="s">
        <v>93</v>
      </c>
      <c r="E51" s="32" t="s">
        <v>9</v>
      </c>
      <c r="F51" s="32">
        <v>3</v>
      </c>
      <c r="G51" s="42" t="s">
        <v>10</v>
      </c>
      <c r="H51" s="47"/>
      <c r="I51" s="15">
        <f>'_2023_VB_ar_ izmaiņām_MK+fin'!S51</f>
        <v>6</v>
      </c>
      <c r="J51" s="15">
        <f>'_2023_VB_ar_ izmaiņām_MK+fin'!T51</f>
        <v>6</v>
      </c>
      <c r="K51" s="53">
        <f>ROUND('_2023_VB_ar_ izmaiņām_MK'!K51*1.025,0)</f>
        <v>8</v>
      </c>
      <c r="L51" s="54">
        <f t="shared" ref="L51:L52" si="24">IF(I51=0,K51,K51*(J51/I51))</f>
        <v>8</v>
      </c>
      <c r="M51" s="12">
        <f t="shared" ref="M51:N52" si="25">I51+(K51*12)</f>
        <v>102</v>
      </c>
      <c r="N51" s="12">
        <f t="shared" si="25"/>
        <v>102</v>
      </c>
      <c r="O51" s="11">
        <v>90</v>
      </c>
      <c r="P51" s="54">
        <f t="shared" ref="P51:P52" si="26">IF(I51=0,O51,O51*(J51/I51))</f>
        <v>90</v>
      </c>
      <c r="Q51" s="33">
        <f>'_2023_VB_ar_ izmaiņām_MK'!Q51*1.025</f>
        <v>37.788092031249995</v>
      </c>
      <c r="R51" s="4">
        <f t="shared" ref="R51:R52" si="27">Q51*P51</f>
        <v>3400.9282828124997</v>
      </c>
      <c r="S51" s="15">
        <f t="shared" ref="S51:T52" si="28">M51-O51</f>
        <v>12</v>
      </c>
      <c r="T51" s="15">
        <f t="shared" si="28"/>
        <v>12</v>
      </c>
      <c r="U51" s="1"/>
      <c r="V51" s="1">
        <v>1</v>
      </c>
      <c r="W51" s="27"/>
    </row>
    <row r="52" spans="1:25" s="44" customFormat="1" x14ac:dyDescent="0.35">
      <c r="A52" s="31">
        <v>41</v>
      </c>
      <c r="B52" s="32" t="s">
        <v>6</v>
      </c>
      <c r="C52" s="32" t="s">
        <v>94</v>
      </c>
      <c r="D52" s="31" t="s">
        <v>95</v>
      </c>
      <c r="E52" s="32" t="s">
        <v>9</v>
      </c>
      <c r="F52" s="32">
        <v>5</v>
      </c>
      <c r="G52" s="42" t="s">
        <v>10</v>
      </c>
      <c r="H52" s="47"/>
      <c r="I52" s="15">
        <f>'_2023_VB_ar_ izmaiņām_MK+fin'!S52</f>
        <v>14</v>
      </c>
      <c r="J52" s="15">
        <f>'_2023_VB_ar_ izmaiņām_MK+fin'!T52</f>
        <v>14</v>
      </c>
      <c r="K52" s="53">
        <f>ROUND('_2023_VB_ar_ izmaiņām_MK'!K52*1.025,0)</f>
        <v>2</v>
      </c>
      <c r="L52" s="54">
        <f t="shared" si="24"/>
        <v>2</v>
      </c>
      <c r="M52" s="12">
        <f t="shared" si="25"/>
        <v>38</v>
      </c>
      <c r="N52" s="12">
        <f t="shared" si="25"/>
        <v>38</v>
      </c>
      <c r="O52" s="11">
        <v>20</v>
      </c>
      <c r="P52" s="54">
        <f t="shared" si="26"/>
        <v>20</v>
      </c>
      <c r="Q52" s="33">
        <f>'_2023_VB_ar_ izmaiņām_MK'!Q52*1.025</f>
        <v>215.00121328124996</v>
      </c>
      <c r="R52" s="4">
        <f t="shared" si="27"/>
        <v>4300.0242656249993</v>
      </c>
      <c r="S52" s="15">
        <f t="shared" si="28"/>
        <v>18</v>
      </c>
      <c r="T52" s="15">
        <f t="shared" si="28"/>
        <v>18</v>
      </c>
      <c r="U52" s="1"/>
      <c r="V52" s="1">
        <v>1</v>
      </c>
      <c r="W52" s="27"/>
    </row>
    <row r="53" spans="1:25" x14ac:dyDescent="0.35">
      <c r="H53" s="46"/>
      <c r="I53" s="106">
        <f>ROUND(I8+I13+I15+I18+I21+I50,0)</f>
        <v>3253</v>
      </c>
      <c r="J53" s="17">
        <f>ROUND(J8+J13+J15+J18+J21+J50,0)</f>
        <v>5052</v>
      </c>
      <c r="K53" s="17">
        <f t="shared" ref="K53:P53" si="29">ROUND(K8+K13+K15+K18+K21+K50,0)</f>
        <v>739</v>
      </c>
      <c r="L53" s="17">
        <f t="shared" si="29"/>
        <v>946</v>
      </c>
      <c r="M53" s="17">
        <f t="shared" si="29"/>
        <v>12121</v>
      </c>
      <c r="N53" s="17">
        <f t="shared" si="29"/>
        <v>16410</v>
      </c>
      <c r="O53" s="106">
        <f>ROUND(O8+O13+O15+O18+O21+O50,0)</f>
        <v>9280</v>
      </c>
      <c r="P53" s="17">
        <f t="shared" si="29"/>
        <v>12036</v>
      </c>
      <c r="Q53" s="21" t="s">
        <v>119</v>
      </c>
      <c r="R53" s="17">
        <f>ROUND(R8+R13+R15+R18+R21+R50,0)</f>
        <v>3319632</v>
      </c>
      <c r="S53" s="106">
        <f>ROUND(S8+S13+S15+S18+S21+S50,0)</f>
        <v>2841</v>
      </c>
      <c r="T53" s="17">
        <f t="shared" ref="T53" si="30">ROUND(T8+T13+T15+T18+T21+T50,0)</f>
        <v>4374</v>
      </c>
    </row>
    <row r="54" spans="1:25" x14ac:dyDescent="0.35">
      <c r="H54" s="46"/>
      <c r="I54" s="18">
        <f>ROUND(I27+I28+I29+I30+I38+I39+I40+I41+I45+I46,0)</f>
        <v>2942</v>
      </c>
      <c r="J54" s="18">
        <f t="shared" ref="J54:T54" si="31">ROUND(J27+J28+J29+J30+J38+J39+J40+J41+J45+J46,0)</f>
        <v>4741</v>
      </c>
      <c r="K54" s="18">
        <f t="shared" si="31"/>
        <v>411</v>
      </c>
      <c r="L54" s="18">
        <f t="shared" si="31"/>
        <v>618</v>
      </c>
      <c r="M54" s="18">
        <f t="shared" si="31"/>
        <v>7874</v>
      </c>
      <c r="N54" s="18">
        <f t="shared" si="31"/>
        <v>12163</v>
      </c>
      <c r="O54" s="18">
        <f t="shared" si="31"/>
        <v>5379</v>
      </c>
      <c r="P54" s="18">
        <f t="shared" si="31"/>
        <v>8135</v>
      </c>
      <c r="Q54" s="18"/>
      <c r="R54" s="18">
        <f t="shared" si="31"/>
        <v>2140860</v>
      </c>
      <c r="S54" s="18">
        <f t="shared" si="31"/>
        <v>2495</v>
      </c>
      <c r="T54" s="18">
        <f t="shared" si="31"/>
        <v>4028</v>
      </c>
    </row>
    <row r="55" spans="1:25" x14ac:dyDescent="0.35">
      <c r="H55" s="46"/>
      <c r="I55" s="46"/>
      <c r="J55" s="46"/>
      <c r="K55" s="46"/>
      <c r="O55" s="46"/>
      <c r="P55" s="184" t="s">
        <v>231</v>
      </c>
      <c r="Q55" s="185" t="s">
        <v>130</v>
      </c>
      <c r="R55" s="18">
        <v>1166981</v>
      </c>
    </row>
    <row r="56" spans="1:25" x14ac:dyDescent="0.35">
      <c r="H56" s="46"/>
      <c r="I56" s="46"/>
      <c r="J56" s="46"/>
      <c r="K56" s="46"/>
      <c r="O56" s="46"/>
      <c r="P56" s="184" t="s">
        <v>131</v>
      </c>
      <c r="Q56" s="185" t="s">
        <v>131</v>
      </c>
      <c r="R56" s="18">
        <f>R54-R55</f>
        <v>973879</v>
      </c>
    </row>
    <row r="57" spans="1:25" x14ac:dyDescent="0.35">
      <c r="H57" s="46"/>
      <c r="I57" s="46"/>
      <c r="J57" s="46"/>
      <c r="K57" s="46"/>
      <c r="O57" s="46"/>
      <c r="Q57" s="65"/>
    </row>
    <row r="58" spans="1:25" s="44" customFormat="1" x14ac:dyDescent="0.35">
      <c r="B58" s="45"/>
      <c r="C58" s="45"/>
      <c r="E58" s="45"/>
      <c r="F58" s="45"/>
      <c r="G58" s="46"/>
      <c r="H58" s="46"/>
      <c r="I58" s="18">
        <f>ROUND(I9+I10+I11+I12+I14+I16+I17+I19+I20+I22+I23+I24+I25+I26+I31+I32+I33+I34+I35+I36+I42+I43+I44+I47+I49+I51+I52+I48+I37,0)</f>
        <v>311</v>
      </c>
      <c r="J58" s="18">
        <f t="shared" ref="J58:P58" si="32">ROUND(J9+J10+J11+J12+J14+J16+J17+J19+J20+J22+J23+J24+J25+J26+J31+J32+J33+J34+J35+J36+J42+J43+J44+J47+J49+J51+J52+J48+J37,0)</f>
        <v>311</v>
      </c>
      <c r="K58" s="18">
        <f t="shared" si="32"/>
        <v>328</v>
      </c>
      <c r="L58" s="18">
        <f t="shared" si="32"/>
        <v>328</v>
      </c>
      <c r="M58" s="18">
        <f t="shared" si="32"/>
        <v>4247</v>
      </c>
      <c r="N58" s="18">
        <f t="shared" si="32"/>
        <v>4247</v>
      </c>
      <c r="O58" s="18">
        <f t="shared" si="32"/>
        <v>3901</v>
      </c>
      <c r="P58" s="18">
        <f t="shared" si="32"/>
        <v>3901</v>
      </c>
      <c r="Q58" s="18"/>
      <c r="R58" s="18">
        <f>ROUND(R9+R10+R11+R12+R14+R16+R17+R19+R20+R22+R23+R24+R25+R26+R31+R32+R33+R34+R35+R36+R42+R43+R44+R47+R49+R51+R52+R48+R37,0)</f>
        <v>1178772</v>
      </c>
      <c r="S58" s="18">
        <f t="shared" ref="S58:T58" si="33">ROUND(S9+S10+S11+S12+S14+S16+S17+S19+S20+S22+S23+S24+S25+S26+S31+S32+S33+S34+S35+S36+S42+S43+S44+S47+S49+S51+S52+S48+S37,0)</f>
        <v>346</v>
      </c>
      <c r="T58" s="18">
        <f t="shared" si="33"/>
        <v>346</v>
      </c>
      <c r="U58" s="18"/>
      <c r="V58" s="18"/>
      <c r="W58" s="18"/>
    </row>
    <row r="59" spans="1:25"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5" s="44" customFormat="1" x14ac:dyDescent="0.35">
      <c r="B60" s="45"/>
      <c r="C60" s="45"/>
      <c r="E60" s="45"/>
      <c r="F60" s="45"/>
      <c r="G60" s="46"/>
      <c r="H60" s="46"/>
      <c r="I60" s="46"/>
      <c r="J60" s="46"/>
      <c r="K60" s="46"/>
      <c r="L60" s="46"/>
      <c r="M60" s="46"/>
      <c r="N60" s="46"/>
      <c r="O60" s="46"/>
      <c r="P60" s="184" t="s">
        <v>132</v>
      </c>
      <c r="Q60" s="185" t="s">
        <v>131</v>
      </c>
      <c r="R60" s="18">
        <f>R58-R59</f>
        <v>500903</v>
      </c>
      <c r="S60" s="46"/>
      <c r="T60" s="46"/>
      <c r="U60" s="8"/>
      <c r="V60" s="8"/>
      <c r="W60" s="27"/>
    </row>
    <row r="61" spans="1:25" x14ac:dyDescent="0.35">
      <c r="H61" s="46"/>
      <c r="I61" s="46"/>
      <c r="J61" s="46"/>
      <c r="K61" s="46"/>
      <c r="O61" s="46"/>
      <c r="Q61" s="65"/>
    </row>
    <row r="62" spans="1:25" x14ac:dyDescent="0.35">
      <c r="H62" s="46"/>
      <c r="I62" s="46"/>
      <c r="J62" s="46"/>
      <c r="K62" s="46"/>
      <c r="O62" s="46"/>
      <c r="Q62" s="65" t="s">
        <v>233</v>
      </c>
      <c r="R62" s="18">
        <f>R55+R59</f>
        <v>1844850</v>
      </c>
    </row>
    <row r="63" spans="1:25" ht="18" x14ac:dyDescent="0.35">
      <c r="H63" s="46"/>
      <c r="I63" s="46"/>
      <c r="J63" s="46"/>
      <c r="K63" s="46"/>
      <c r="O63" s="66"/>
      <c r="P63" s="66"/>
      <c r="Q63" s="67" t="s">
        <v>237</v>
      </c>
      <c r="R63" s="77">
        <f>R53-R62</f>
        <v>1474782</v>
      </c>
      <c r="Y63" s="73"/>
    </row>
    <row r="64" spans="1:25" x14ac:dyDescent="0.35">
      <c r="H64" s="46"/>
      <c r="I64" s="46"/>
      <c r="J64" s="46"/>
      <c r="K64" s="46"/>
      <c r="O64" s="46"/>
      <c r="Q64" s="65"/>
      <c r="R64" s="18">
        <f>R53-R55-R59-R60-R56</f>
        <v>0</v>
      </c>
    </row>
    <row r="65" spans="8:20" x14ac:dyDescent="0.35">
      <c r="H65" s="46"/>
      <c r="I65" s="18">
        <f>I53-I54-I58</f>
        <v>0</v>
      </c>
      <c r="J65" s="18">
        <f t="shared" ref="J65:P65" si="34">J53-J54-J58</f>
        <v>0</v>
      </c>
      <c r="K65" s="18">
        <f t="shared" si="34"/>
        <v>0</v>
      </c>
      <c r="L65" s="18">
        <f t="shared" si="34"/>
        <v>0</v>
      </c>
      <c r="M65" s="18">
        <f t="shared" si="34"/>
        <v>0</v>
      </c>
      <c r="N65" s="18">
        <f t="shared" si="34"/>
        <v>0</v>
      </c>
      <c r="O65" s="18">
        <f t="shared" si="34"/>
        <v>0</v>
      </c>
      <c r="P65" s="18">
        <f t="shared" si="34"/>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35">ROUND(J54,0)+ ROUND(J58,0)-ROUND(J53,0)</f>
        <v>0</v>
      </c>
      <c r="K67" s="18">
        <f t="shared" si="35"/>
        <v>0</v>
      </c>
      <c r="L67" s="18">
        <f t="shared" si="35"/>
        <v>0</v>
      </c>
      <c r="M67" s="18">
        <f t="shared" si="35"/>
        <v>0</v>
      </c>
      <c r="N67" s="18">
        <f t="shared" si="35"/>
        <v>0</v>
      </c>
      <c r="O67" s="18">
        <f t="shared" si="35"/>
        <v>0</v>
      </c>
      <c r="P67" s="18">
        <f t="shared" si="35"/>
        <v>0</v>
      </c>
      <c r="Q67" s="18"/>
      <c r="R67" s="18">
        <f t="shared" si="35"/>
        <v>0</v>
      </c>
      <c r="S67" s="18">
        <f t="shared" si="35"/>
        <v>0</v>
      </c>
      <c r="T67" s="18">
        <f t="shared" si="35"/>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W52" xr:uid="{7C37CABB-E10E-4EE9-BACF-F0E0C32B851A}"/>
  <mergeCells count="22">
    <mergeCell ref="A1:T1"/>
    <mergeCell ref="A2:T2"/>
    <mergeCell ref="A3:T3"/>
    <mergeCell ref="I4:R4"/>
    <mergeCell ref="A5:G5"/>
    <mergeCell ref="I5:J5"/>
    <mergeCell ref="K5:L5"/>
    <mergeCell ref="M5:N5"/>
    <mergeCell ref="O5:P5"/>
    <mergeCell ref="Q5:Q6"/>
    <mergeCell ref="P60:Q60"/>
    <mergeCell ref="R5:R6"/>
    <mergeCell ref="S5:T5"/>
    <mergeCell ref="D8:G8"/>
    <mergeCell ref="D13:G13"/>
    <mergeCell ref="D15:G15"/>
    <mergeCell ref="D18:G18"/>
    <mergeCell ref="D21:G21"/>
    <mergeCell ref="D50:G50"/>
    <mergeCell ref="P55:Q55"/>
    <mergeCell ref="P56:Q56"/>
    <mergeCell ref="P59:Q59"/>
  </mergeCells>
  <pageMargins left="0.51181102362204722" right="0.31496062992125984" top="0.94488188976377963" bottom="0.59055118110236227"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2BD9-6AFF-4C4B-AD0D-70C5401D8530}">
  <sheetPr>
    <tabColor rgb="FF92D050"/>
  </sheetPr>
  <dimension ref="A1:Z70"/>
  <sheetViews>
    <sheetView zoomScale="70" zoomScaleNormal="70" workbookViewId="0">
      <pane ySplit="7" topLeftCell="A65" activePane="bottomLeft" state="frozen"/>
      <selection activeCell="D1" sqref="D1"/>
      <selection pane="bottomLeft" activeCell="I53" sqref="I53:T58"/>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50" style="27" hidden="1" customWidth="1"/>
    <col min="24" max="24" width="20.08984375" style="72" customWidth="1"/>
    <col min="25" max="27" width="9.08984375" style="72" customWidth="1"/>
    <col min="28" max="16384" width="9.08984375" style="72"/>
  </cols>
  <sheetData>
    <row r="1" spans="1:26" s="44" customFormat="1" x14ac:dyDescent="0.35">
      <c r="A1" s="189" t="s">
        <v>192</v>
      </c>
      <c r="B1" s="189"/>
      <c r="C1" s="189"/>
      <c r="D1" s="189"/>
      <c r="E1" s="189"/>
      <c r="F1" s="189"/>
      <c r="G1" s="189"/>
      <c r="H1" s="189"/>
      <c r="I1" s="189"/>
      <c r="J1" s="189"/>
      <c r="K1" s="189"/>
      <c r="L1" s="189"/>
      <c r="M1" s="189"/>
      <c r="N1" s="189"/>
      <c r="O1" s="189"/>
      <c r="P1" s="189"/>
      <c r="Q1" s="189"/>
      <c r="R1" s="189"/>
      <c r="S1" s="189"/>
      <c r="T1" s="189"/>
      <c r="U1" s="8"/>
      <c r="V1" s="8"/>
      <c r="W1" s="27"/>
    </row>
    <row r="2" spans="1:26" s="44" customFormat="1" x14ac:dyDescent="0.35">
      <c r="A2" s="190" t="s">
        <v>187</v>
      </c>
      <c r="B2" s="190"/>
      <c r="C2" s="190"/>
      <c r="D2" s="190"/>
      <c r="E2" s="190"/>
      <c r="F2" s="190"/>
      <c r="G2" s="190"/>
      <c r="H2" s="190"/>
      <c r="I2" s="190"/>
      <c r="J2" s="190"/>
      <c r="K2" s="190"/>
      <c r="L2" s="190"/>
      <c r="M2" s="190"/>
      <c r="N2" s="190"/>
      <c r="O2" s="190"/>
      <c r="P2" s="190"/>
      <c r="Q2" s="190"/>
      <c r="R2" s="190"/>
      <c r="S2" s="190"/>
      <c r="T2" s="190"/>
      <c r="U2" s="8"/>
      <c r="V2" s="8"/>
      <c r="W2" s="27"/>
    </row>
    <row r="3" spans="1:26" s="44" customFormat="1" ht="75" customHeight="1" x14ac:dyDescent="0.35">
      <c r="A3" s="191" t="s">
        <v>223</v>
      </c>
      <c r="B3" s="191"/>
      <c r="C3" s="191"/>
      <c r="D3" s="191"/>
      <c r="E3" s="191"/>
      <c r="F3" s="191"/>
      <c r="G3" s="191"/>
      <c r="H3" s="191"/>
      <c r="I3" s="191"/>
      <c r="J3" s="191"/>
      <c r="K3" s="191"/>
      <c r="L3" s="191"/>
      <c r="M3" s="191"/>
      <c r="N3" s="191"/>
      <c r="O3" s="191"/>
      <c r="P3" s="191"/>
      <c r="Q3" s="191"/>
      <c r="R3" s="191"/>
      <c r="S3" s="191"/>
      <c r="T3" s="191"/>
      <c r="U3" s="8"/>
      <c r="V3" s="8"/>
      <c r="W3" s="55"/>
      <c r="Y3" s="56"/>
      <c r="Z3" s="57"/>
    </row>
    <row r="4" spans="1:26" s="34" customFormat="1" ht="25.5" x14ac:dyDescent="0.35">
      <c r="B4" s="35"/>
      <c r="C4" s="35"/>
      <c r="E4" s="35"/>
      <c r="F4" s="35"/>
      <c r="G4" s="36"/>
      <c r="H4" s="36"/>
      <c r="I4" s="192" t="s">
        <v>178</v>
      </c>
      <c r="J4" s="193"/>
      <c r="K4" s="193"/>
      <c r="L4" s="193"/>
      <c r="M4" s="193"/>
      <c r="N4" s="193"/>
      <c r="O4" s="193"/>
      <c r="P4" s="193"/>
      <c r="Q4" s="194"/>
      <c r="R4" s="195"/>
      <c r="S4" s="36"/>
      <c r="T4" s="58"/>
      <c r="U4" s="25"/>
      <c r="V4" s="25"/>
      <c r="W4" s="130"/>
      <c r="Y4" s="61"/>
      <c r="Z4" s="68"/>
    </row>
    <row r="5" spans="1:26" s="44" customFormat="1" ht="27.75" customHeight="1" x14ac:dyDescent="0.35">
      <c r="A5" s="196" t="s">
        <v>100</v>
      </c>
      <c r="B5" s="196"/>
      <c r="C5" s="196"/>
      <c r="D5" s="196"/>
      <c r="E5" s="196"/>
      <c r="F5" s="196"/>
      <c r="G5" s="196"/>
      <c r="H5" s="6"/>
      <c r="I5" s="187" t="s">
        <v>125</v>
      </c>
      <c r="J5" s="187"/>
      <c r="K5" s="187" t="s">
        <v>241</v>
      </c>
      <c r="L5" s="187"/>
      <c r="M5" s="197" t="s">
        <v>137</v>
      </c>
      <c r="N5" s="197"/>
      <c r="O5" s="197" t="s">
        <v>242</v>
      </c>
      <c r="P5" s="197"/>
      <c r="Q5" s="198" t="s">
        <v>128</v>
      </c>
      <c r="R5" s="186" t="s">
        <v>138</v>
      </c>
      <c r="S5" s="187" t="s">
        <v>133</v>
      </c>
      <c r="T5" s="187"/>
      <c r="U5" s="6"/>
      <c r="V5" s="6"/>
      <c r="W5" s="129"/>
    </row>
    <row r="6" spans="1:26" s="44" customFormat="1" ht="150.75" customHeight="1" x14ac:dyDescent="0.25">
      <c r="A6" s="37" t="s">
        <v>96</v>
      </c>
      <c r="B6" s="2" t="s">
        <v>0</v>
      </c>
      <c r="C6" s="2" t="s">
        <v>101</v>
      </c>
      <c r="D6" s="37" t="s">
        <v>1</v>
      </c>
      <c r="E6" s="2" t="s">
        <v>2</v>
      </c>
      <c r="F6" s="2" t="s">
        <v>3</v>
      </c>
      <c r="G6" s="38" t="s">
        <v>4</v>
      </c>
      <c r="H6" s="62"/>
      <c r="I6" s="2" t="s">
        <v>206</v>
      </c>
      <c r="J6" s="2" t="s">
        <v>174</v>
      </c>
      <c r="K6" s="2" t="s">
        <v>139</v>
      </c>
      <c r="L6" s="2" t="s">
        <v>175</v>
      </c>
      <c r="M6" s="126" t="s">
        <v>117</v>
      </c>
      <c r="N6" s="126" t="s">
        <v>118</v>
      </c>
      <c r="O6" s="126" t="s">
        <v>123</v>
      </c>
      <c r="P6" s="126" t="s">
        <v>124</v>
      </c>
      <c r="Q6" s="198"/>
      <c r="R6" s="186"/>
      <c r="S6" s="2" t="s">
        <v>127</v>
      </c>
      <c r="T6" s="2" t="s">
        <v>129</v>
      </c>
      <c r="U6" s="1" t="s">
        <v>115</v>
      </c>
      <c r="V6" s="1" t="s">
        <v>116</v>
      </c>
      <c r="W6" s="28" t="s">
        <v>114</v>
      </c>
    </row>
    <row r="7" spans="1:26"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6" s="44" customFormat="1" ht="18" customHeight="1" x14ac:dyDescent="0.35">
      <c r="A8" s="39"/>
      <c r="B8" s="40"/>
      <c r="C8" s="41">
        <v>4</v>
      </c>
      <c r="D8" s="188" t="s">
        <v>5</v>
      </c>
      <c r="E8" s="188"/>
      <c r="F8" s="188"/>
      <c r="G8" s="188"/>
      <c r="H8" s="63"/>
      <c r="I8" s="9">
        <f>'_2021_VB_bez izmaiņām'!I8</f>
        <v>105</v>
      </c>
      <c r="J8" s="9">
        <f>'_2021_VB_bez izmaiņām'!J8</f>
        <v>105</v>
      </c>
      <c r="K8" s="9">
        <f t="shared" ref="K8:P8" si="0">K9+K10+K11+K12</f>
        <v>63</v>
      </c>
      <c r="L8" s="9">
        <f t="shared" si="0"/>
        <v>63</v>
      </c>
      <c r="M8" s="9">
        <f t="shared" si="0"/>
        <v>861</v>
      </c>
      <c r="N8" s="9">
        <f t="shared" si="0"/>
        <v>861</v>
      </c>
      <c r="O8" s="9">
        <f t="shared" si="0"/>
        <v>660</v>
      </c>
      <c r="P8" s="9">
        <f t="shared" si="0"/>
        <v>660</v>
      </c>
      <c r="Q8" s="9" t="str">
        <f>'_2021_VB_bez izmaiņām'!Q8</f>
        <v>x</v>
      </c>
      <c r="R8" s="3">
        <f t="shared" ref="R8" si="1">R9+R10+R11+R12</f>
        <v>44120</v>
      </c>
      <c r="S8" s="9">
        <f>S9+S10+S11+S12</f>
        <v>201</v>
      </c>
      <c r="T8" s="9">
        <f>T9+T10+T11+T12</f>
        <v>201</v>
      </c>
      <c r="U8" s="7"/>
      <c r="V8" s="7">
        <v>1</v>
      </c>
      <c r="W8" s="27"/>
    </row>
    <row r="9" spans="1:26" s="44" customFormat="1" ht="27.75" customHeight="1" x14ac:dyDescent="0.35">
      <c r="A9" s="31">
        <v>1</v>
      </c>
      <c r="B9" s="32" t="s">
        <v>6</v>
      </c>
      <c r="C9" s="32" t="s">
        <v>7</v>
      </c>
      <c r="D9" s="31" t="s">
        <v>8</v>
      </c>
      <c r="E9" s="32" t="s">
        <v>9</v>
      </c>
      <c r="F9" s="32" t="s">
        <v>97</v>
      </c>
      <c r="G9" s="42" t="s">
        <v>10</v>
      </c>
      <c r="H9" s="47"/>
      <c r="I9" s="54">
        <f>'_2021_VB_bez izmaiņām'!I9</f>
        <v>26</v>
      </c>
      <c r="J9" s="54">
        <f>'_2021_VB_bez izmaiņām'!J9</f>
        <v>26</v>
      </c>
      <c r="K9" s="54">
        <f>'_2021_VB_bez izmaiņām'!K9</f>
        <v>24</v>
      </c>
      <c r="L9" s="54">
        <f>IF(I9=0,K9,K9*(J9/I9))</f>
        <v>24</v>
      </c>
      <c r="M9" s="12">
        <f>I9+(K9*12)</f>
        <v>314</v>
      </c>
      <c r="N9" s="12">
        <f>J9+(L9*12)</f>
        <v>314</v>
      </c>
      <c r="O9" s="11">
        <v>250</v>
      </c>
      <c r="P9" s="54">
        <f>IF(I9=0,O9,O9*(J9/I9))</f>
        <v>250</v>
      </c>
      <c r="Q9" s="133">
        <f>'_2021_VB_bez izmaiņām'!Q9</f>
        <v>84</v>
      </c>
      <c r="R9" s="4">
        <f>Q9*P9</f>
        <v>21000</v>
      </c>
      <c r="S9" s="15">
        <f>M9-O9</f>
        <v>64</v>
      </c>
      <c r="T9" s="15">
        <f>N9-P9</f>
        <v>64</v>
      </c>
      <c r="U9" s="1"/>
      <c r="V9" s="1">
        <v>1</v>
      </c>
      <c r="W9" s="27" t="s">
        <v>102</v>
      </c>
      <c r="X9" s="64"/>
    </row>
    <row r="10" spans="1:26" s="44" customFormat="1" ht="18" customHeight="1" x14ac:dyDescent="0.35">
      <c r="A10" s="31">
        <v>2</v>
      </c>
      <c r="B10" s="32" t="s">
        <v>6</v>
      </c>
      <c r="C10" s="32" t="s">
        <v>11</v>
      </c>
      <c r="D10" s="31" t="s">
        <v>12</v>
      </c>
      <c r="E10" s="32" t="s">
        <v>9</v>
      </c>
      <c r="F10" s="32">
        <v>5</v>
      </c>
      <c r="G10" s="42" t="s">
        <v>10</v>
      </c>
      <c r="H10" s="47"/>
      <c r="I10" s="54">
        <f>'_2021_VB_bez izmaiņām'!I10</f>
        <v>21</v>
      </c>
      <c r="J10" s="54">
        <f>'_2021_VB_bez izmaiņām'!J10</f>
        <v>21</v>
      </c>
      <c r="K10" s="54">
        <f>'_2021_VB_bez izmaiņām'!K10</f>
        <v>10</v>
      </c>
      <c r="L10" s="54">
        <f>IF(I10=0,K10,K10*(J10/I10))</f>
        <v>10</v>
      </c>
      <c r="M10" s="12">
        <f>I10+(K10*12)</f>
        <v>141</v>
      </c>
      <c r="N10" s="12">
        <f>J10+(L10*12)</f>
        <v>141</v>
      </c>
      <c r="O10" s="11">
        <v>100</v>
      </c>
      <c r="P10" s="54">
        <f>IF(I10=0,O10,O10*(J10/I10))</f>
        <v>100</v>
      </c>
      <c r="Q10" s="133">
        <f>'_2021_VB_bez izmaiņām'!Q10</f>
        <v>84</v>
      </c>
      <c r="R10" s="4">
        <f t="shared" ref="R10:R12" si="2">Q10*P10</f>
        <v>8400</v>
      </c>
      <c r="S10" s="15">
        <f>M10-O10</f>
        <v>41</v>
      </c>
      <c r="T10" s="15">
        <f>N10-P10</f>
        <v>41</v>
      </c>
      <c r="U10" s="1"/>
      <c r="V10" s="1">
        <v>1</v>
      </c>
      <c r="W10" s="27"/>
    </row>
    <row r="11" spans="1:26" s="44" customFormat="1" ht="36" customHeight="1" x14ac:dyDescent="0.35">
      <c r="A11" s="31">
        <v>3</v>
      </c>
      <c r="B11" s="32" t="s">
        <v>13</v>
      </c>
      <c r="C11" s="32" t="s">
        <v>14</v>
      </c>
      <c r="D11" s="31" t="s">
        <v>15</v>
      </c>
      <c r="E11" s="32" t="s">
        <v>9</v>
      </c>
      <c r="F11" s="32">
        <v>2</v>
      </c>
      <c r="G11" s="42" t="s">
        <v>10</v>
      </c>
      <c r="H11" s="47"/>
      <c r="I11" s="54">
        <f>'_2021_VB_bez izmaiņām'!I11</f>
        <v>48</v>
      </c>
      <c r="J11" s="54">
        <f>'_2021_VB_bez izmaiņām'!J11</f>
        <v>48</v>
      </c>
      <c r="K11" s="54">
        <f>'_2021_VB_bez izmaiņām'!K11</f>
        <v>12</v>
      </c>
      <c r="L11" s="54">
        <f t="shared" ref="L11:L12" si="3">IF(I11=0,K11,K11*(J11/I11))</f>
        <v>12</v>
      </c>
      <c r="M11" s="12">
        <f t="shared" ref="M11:N12" si="4">I11+(K11*12)</f>
        <v>192</v>
      </c>
      <c r="N11" s="12">
        <f t="shared" si="4"/>
        <v>192</v>
      </c>
      <c r="O11" s="11">
        <v>150</v>
      </c>
      <c r="P11" s="54">
        <f t="shared" ref="P11:P12" si="5">IF(I11=0,O11,O11*(J11/I11))</f>
        <v>150</v>
      </c>
      <c r="Q11" s="133">
        <f>'_2021_VB_bez izmaiņām'!Q11</f>
        <v>33.6</v>
      </c>
      <c r="R11" s="4">
        <f t="shared" si="2"/>
        <v>5040</v>
      </c>
      <c r="S11" s="15">
        <f t="shared" ref="S11:T12" si="6">M11-O11</f>
        <v>42</v>
      </c>
      <c r="T11" s="15">
        <f t="shared" si="6"/>
        <v>42</v>
      </c>
      <c r="U11" s="1"/>
      <c r="V11" s="1">
        <v>1</v>
      </c>
      <c r="W11" s="27"/>
    </row>
    <row r="12" spans="1:26" s="44" customFormat="1" ht="18" customHeight="1" x14ac:dyDescent="0.35">
      <c r="A12" s="31">
        <v>4</v>
      </c>
      <c r="B12" s="32" t="s">
        <v>16</v>
      </c>
      <c r="C12" s="32" t="s">
        <v>17</v>
      </c>
      <c r="D12" s="31" t="s">
        <v>18</v>
      </c>
      <c r="E12" s="32" t="s">
        <v>9</v>
      </c>
      <c r="F12" s="32">
        <v>5</v>
      </c>
      <c r="G12" s="42" t="s">
        <v>10</v>
      </c>
      <c r="H12" s="47"/>
      <c r="I12" s="54">
        <f>'_2021_VB_bez izmaiņām'!I12</f>
        <v>10</v>
      </c>
      <c r="J12" s="54">
        <f>'_2021_VB_bez izmaiņām'!J12</f>
        <v>10</v>
      </c>
      <c r="K12" s="54">
        <f>'_2021_VB_bez izmaiņām'!K12</f>
        <v>17</v>
      </c>
      <c r="L12" s="54">
        <f t="shared" si="3"/>
        <v>17</v>
      </c>
      <c r="M12" s="12">
        <f t="shared" si="4"/>
        <v>214</v>
      </c>
      <c r="N12" s="12">
        <f t="shared" si="4"/>
        <v>214</v>
      </c>
      <c r="O12" s="11">
        <v>160</v>
      </c>
      <c r="P12" s="54">
        <f t="shared" si="5"/>
        <v>160</v>
      </c>
      <c r="Q12" s="133">
        <f>'_2021_VB_bez izmaiņām'!Q12</f>
        <v>60.5</v>
      </c>
      <c r="R12" s="4">
        <f t="shared" si="2"/>
        <v>9680</v>
      </c>
      <c r="S12" s="15">
        <f t="shared" si="6"/>
        <v>54</v>
      </c>
      <c r="T12" s="15">
        <f t="shared" si="6"/>
        <v>54</v>
      </c>
      <c r="U12" s="1"/>
      <c r="V12" s="1">
        <v>1</v>
      </c>
      <c r="W12" s="27"/>
    </row>
    <row r="13" spans="1:26" s="44" customFormat="1" ht="18" customHeight="1" x14ac:dyDescent="0.35">
      <c r="A13" s="39"/>
      <c r="B13" s="40"/>
      <c r="C13" s="41">
        <v>6</v>
      </c>
      <c r="D13" s="188" t="s">
        <v>19</v>
      </c>
      <c r="E13" s="188"/>
      <c r="F13" s="188"/>
      <c r="G13" s="188"/>
      <c r="H13" s="63"/>
      <c r="I13" s="13">
        <f>'_2021_VB_bez izmaiņām'!I13</f>
        <v>18</v>
      </c>
      <c r="J13" s="13">
        <f>'_2021_VB_bez izmaiņām'!J13</f>
        <v>18</v>
      </c>
      <c r="K13" s="13">
        <f t="shared" ref="K13:P13" si="7">K14</f>
        <v>44</v>
      </c>
      <c r="L13" s="13">
        <f t="shared" si="7"/>
        <v>44</v>
      </c>
      <c r="M13" s="13">
        <f t="shared" si="7"/>
        <v>546</v>
      </c>
      <c r="N13" s="13">
        <f t="shared" si="7"/>
        <v>546</v>
      </c>
      <c r="O13" s="13">
        <f t="shared" si="7"/>
        <v>502</v>
      </c>
      <c r="P13" s="13">
        <f t="shared" si="7"/>
        <v>502</v>
      </c>
      <c r="Q13" s="9" t="str">
        <f>'_2021_VB_bez izmaiņām'!Q13</f>
        <v>x</v>
      </c>
      <c r="R13" s="5">
        <f t="shared" ref="R13" si="8">R14</f>
        <v>284654.86</v>
      </c>
      <c r="S13" s="13">
        <f>S14</f>
        <v>44</v>
      </c>
      <c r="T13" s="13">
        <f>T14</f>
        <v>44</v>
      </c>
      <c r="U13" s="7"/>
      <c r="V13" s="7">
        <v>1</v>
      </c>
      <c r="W13" s="27"/>
    </row>
    <row r="14" spans="1:26" s="34" customFormat="1" ht="34.5" customHeight="1" x14ac:dyDescent="0.35">
      <c r="A14" s="29">
        <v>5</v>
      </c>
      <c r="B14" s="30" t="s">
        <v>20</v>
      </c>
      <c r="C14" s="30" t="s">
        <v>21</v>
      </c>
      <c r="D14" s="29" t="s">
        <v>22</v>
      </c>
      <c r="E14" s="30" t="s">
        <v>9</v>
      </c>
      <c r="F14" s="30">
        <v>2</v>
      </c>
      <c r="G14" s="43" t="s">
        <v>23</v>
      </c>
      <c r="H14" s="48"/>
      <c r="I14" s="54">
        <f>'_2021_VB_bez izmaiņām'!I14</f>
        <v>18</v>
      </c>
      <c r="J14" s="54">
        <f>'_2021_VB_bez izmaiņām'!J14</f>
        <v>18</v>
      </c>
      <c r="K14" s="54">
        <f>'_2021_VB_bez izmaiņām'!K14</f>
        <v>44</v>
      </c>
      <c r="L14" s="54">
        <f>IF(I14=0,K14,K14*(J14/I14))</f>
        <v>44</v>
      </c>
      <c r="M14" s="12">
        <f>I14+(K14*12)</f>
        <v>546</v>
      </c>
      <c r="N14" s="12">
        <f>J14+(L14*12)</f>
        <v>546</v>
      </c>
      <c r="O14" s="11">
        <v>502</v>
      </c>
      <c r="P14" s="54">
        <f>IF(I14=0,O14,O14*(J14/I14))</f>
        <v>502</v>
      </c>
      <c r="Q14" s="133">
        <f>'_2021_VB_bez izmaiņām'!Q14</f>
        <v>567.1</v>
      </c>
      <c r="R14" s="4">
        <f>Q14*P14-29.34</f>
        <v>284654.86</v>
      </c>
      <c r="S14" s="15">
        <f>M14-O14</f>
        <v>44</v>
      </c>
      <c r="T14" s="15">
        <f>N14-P14</f>
        <v>44</v>
      </c>
      <c r="U14" s="19"/>
      <c r="V14" s="19">
        <v>1</v>
      </c>
      <c r="W14" s="26"/>
    </row>
    <row r="15" spans="1:26" s="44" customFormat="1" ht="18" customHeight="1" x14ac:dyDescent="0.35">
      <c r="A15" s="39"/>
      <c r="B15" s="40"/>
      <c r="C15" s="41">
        <v>12</v>
      </c>
      <c r="D15" s="188" t="s">
        <v>24</v>
      </c>
      <c r="E15" s="188"/>
      <c r="F15" s="188"/>
      <c r="G15" s="188"/>
      <c r="H15" s="63"/>
      <c r="I15" s="9">
        <f>'_2021_VB_bez izmaiņām'!I15</f>
        <v>15</v>
      </c>
      <c r="J15" s="9">
        <f>'_2021_VB_bez izmaiņām'!J15</f>
        <v>15</v>
      </c>
      <c r="K15" s="9">
        <f t="shared" ref="K15:P15" si="9">K16+K17</f>
        <v>22</v>
      </c>
      <c r="L15" s="9">
        <f t="shared" si="9"/>
        <v>22</v>
      </c>
      <c r="M15" s="9">
        <f t="shared" si="9"/>
        <v>279</v>
      </c>
      <c r="N15" s="9">
        <f t="shared" si="9"/>
        <v>279</v>
      </c>
      <c r="O15" s="9">
        <f t="shared" si="9"/>
        <v>248</v>
      </c>
      <c r="P15" s="9">
        <f t="shared" si="9"/>
        <v>248</v>
      </c>
      <c r="Q15" s="9" t="str">
        <f>'_2021_VB_bez izmaiņām'!Q15</f>
        <v>x</v>
      </c>
      <c r="R15" s="3">
        <f t="shared" ref="R15" si="10">R16+R17</f>
        <v>11893.599999999999</v>
      </c>
      <c r="S15" s="9">
        <f>S16+S17</f>
        <v>31</v>
      </c>
      <c r="T15" s="9">
        <f>T16+T17</f>
        <v>31</v>
      </c>
      <c r="U15" s="7"/>
      <c r="V15" s="7">
        <v>1</v>
      </c>
      <c r="W15" s="27"/>
    </row>
    <row r="16" spans="1:26" s="44" customFormat="1" ht="33.75" customHeight="1" x14ac:dyDescent="0.35">
      <c r="A16" s="31">
        <v>6</v>
      </c>
      <c r="B16" s="32" t="s">
        <v>25</v>
      </c>
      <c r="C16" s="32" t="s">
        <v>26</v>
      </c>
      <c r="D16" s="31" t="s">
        <v>27</v>
      </c>
      <c r="E16" s="32" t="s">
        <v>9</v>
      </c>
      <c r="F16" s="32" t="s">
        <v>104</v>
      </c>
      <c r="G16" s="42" t="s">
        <v>10</v>
      </c>
      <c r="H16" s="47"/>
      <c r="I16" s="54">
        <f>'_2021_VB_bez izmaiņām'!I16</f>
        <v>8</v>
      </c>
      <c r="J16" s="54">
        <f>'_2021_VB_bez izmaiņām'!J16</f>
        <v>8</v>
      </c>
      <c r="K16" s="54">
        <f>'_2021_VB_bez izmaiņām'!K16</f>
        <v>10</v>
      </c>
      <c r="L16" s="54">
        <f>IF(I16=0,K16,K16*(J16/I16))</f>
        <v>10</v>
      </c>
      <c r="M16" s="12">
        <f>I16+(K16*12)</f>
        <v>128</v>
      </c>
      <c r="N16" s="12">
        <f>J16+(L16*12)</f>
        <v>128</v>
      </c>
      <c r="O16" s="11">
        <v>118</v>
      </c>
      <c r="P16" s="54">
        <f>IF(I16=0,O16,O16*(J16/I16))</f>
        <v>118</v>
      </c>
      <c r="Q16" s="133">
        <f>'_2021_VB_bez izmaiņām'!Q16</f>
        <v>35</v>
      </c>
      <c r="R16" s="4">
        <f>Q16*P16</f>
        <v>4130</v>
      </c>
      <c r="S16" s="15">
        <f>M16-O16</f>
        <v>10</v>
      </c>
      <c r="T16" s="15">
        <f>N16-P16</f>
        <v>10</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54">
        <f>'_2021_VB_bez izmaiņām'!I17</f>
        <v>7</v>
      </c>
      <c r="J17" s="54">
        <f>'_2021_VB_bez izmaiņām'!J17</f>
        <v>7</v>
      </c>
      <c r="K17" s="54">
        <f>'_2021_VB_bez izmaiņām'!K17</f>
        <v>12</v>
      </c>
      <c r="L17" s="54">
        <f>IF(I17=0,K17,K17*(J17/I17))</f>
        <v>12</v>
      </c>
      <c r="M17" s="12">
        <f>I17+(K17*12)</f>
        <v>151</v>
      </c>
      <c r="N17" s="12">
        <f>J17+(L17*12)</f>
        <v>151</v>
      </c>
      <c r="O17" s="11">
        <v>130</v>
      </c>
      <c r="P17" s="54">
        <f>IF(I17=0,O17,O17*(J17/I17))</f>
        <v>130</v>
      </c>
      <c r="Q17" s="133">
        <f>'_2021_VB_bez izmaiņām'!Q17</f>
        <v>59.72</v>
      </c>
      <c r="R17" s="4">
        <f>Q17*P17</f>
        <v>7763.5999999999995</v>
      </c>
      <c r="S17" s="15">
        <f>M17-O17</f>
        <v>21</v>
      </c>
      <c r="T17" s="15">
        <f>N17-P17</f>
        <v>21</v>
      </c>
      <c r="U17" s="1"/>
      <c r="V17" s="1">
        <v>1</v>
      </c>
      <c r="W17" s="27" t="s">
        <v>103</v>
      </c>
    </row>
    <row r="18" spans="1:23" s="44" customFormat="1" ht="18" customHeight="1" x14ac:dyDescent="0.35">
      <c r="A18" s="39"/>
      <c r="B18" s="40"/>
      <c r="C18" s="41">
        <v>15</v>
      </c>
      <c r="D18" s="188" t="s">
        <v>29</v>
      </c>
      <c r="E18" s="188"/>
      <c r="F18" s="188"/>
      <c r="G18" s="188"/>
      <c r="H18" s="63"/>
      <c r="I18" s="9">
        <f>'_2021_VB_bez izmaiņām'!I18</f>
        <v>16</v>
      </c>
      <c r="J18" s="9">
        <f>'_2021_VB_bez izmaiņām'!J18</f>
        <v>16</v>
      </c>
      <c r="K18" s="9">
        <f t="shared" ref="K18:P18" si="11">K19+K20</f>
        <v>16</v>
      </c>
      <c r="L18" s="9">
        <f t="shared" si="11"/>
        <v>16</v>
      </c>
      <c r="M18" s="9">
        <f t="shared" si="11"/>
        <v>208</v>
      </c>
      <c r="N18" s="9">
        <f t="shared" si="11"/>
        <v>208</v>
      </c>
      <c r="O18" s="9">
        <f t="shared" si="11"/>
        <v>168</v>
      </c>
      <c r="P18" s="9">
        <f t="shared" si="11"/>
        <v>168</v>
      </c>
      <c r="Q18" s="9" t="str">
        <f>'_2021_VB_bez izmaiņām'!Q18</f>
        <v>x</v>
      </c>
      <c r="R18" s="3">
        <f t="shared" ref="R18" si="12">R19+R20</f>
        <v>5778.9599999999991</v>
      </c>
      <c r="S18" s="9">
        <f>S19+S20</f>
        <v>40</v>
      </c>
      <c r="T18" s="9">
        <f>T19+T20</f>
        <v>40</v>
      </c>
      <c r="U18" s="7"/>
      <c r="V18" s="7">
        <v>1</v>
      </c>
      <c r="W18" s="27"/>
    </row>
    <row r="19" spans="1:23" s="44" customFormat="1" ht="18" customHeight="1" x14ac:dyDescent="0.35">
      <c r="A19" s="31">
        <v>8</v>
      </c>
      <c r="B19" s="32" t="s">
        <v>16</v>
      </c>
      <c r="C19" s="32" t="s">
        <v>30</v>
      </c>
      <c r="D19" s="31" t="s">
        <v>31</v>
      </c>
      <c r="E19" s="32" t="s">
        <v>9</v>
      </c>
      <c r="F19" s="32">
        <v>5</v>
      </c>
      <c r="G19" s="42" t="s">
        <v>10</v>
      </c>
      <c r="H19" s="47"/>
      <c r="I19" s="54">
        <f>'_2021_VB_bez izmaiņām'!I19</f>
        <v>5</v>
      </c>
      <c r="J19" s="54">
        <f>'_2021_VB_bez izmaiņām'!J19</f>
        <v>5</v>
      </c>
      <c r="K19" s="54">
        <f>'_2021_VB_bez izmaiņām'!K19</f>
        <v>10</v>
      </c>
      <c r="L19" s="54">
        <f>IF(I19=0,K19,K19*(J19/I19))</f>
        <v>10</v>
      </c>
      <c r="M19" s="12">
        <f>I19+(K19*12)</f>
        <v>125</v>
      </c>
      <c r="N19" s="12">
        <f>J19+(L19*12)</f>
        <v>125</v>
      </c>
      <c r="O19" s="11">
        <v>96</v>
      </c>
      <c r="P19" s="54">
        <f>IF(I19=0,O19,O19*(J19/I19))</f>
        <v>96</v>
      </c>
      <c r="Q19" s="133">
        <f>'_2021_VB_bez izmaiņām'!Q19</f>
        <v>48.4</v>
      </c>
      <c r="R19" s="4">
        <f>Q19*P19</f>
        <v>4646.3999999999996</v>
      </c>
      <c r="S19" s="15">
        <f>M19-O19</f>
        <v>29</v>
      </c>
      <c r="T19" s="15">
        <f>N19-P19</f>
        <v>29</v>
      </c>
      <c r="U19" s="1"/>
      <c r="V19" s="1">
        <v>1</v>
      </c>
      <c r="W19" s="27"/>
    </row>
    <row r="20" spans="1:23" s="44" customFormat="1" ht="33" customHeight="1" x14ac:dyDescent="0.35">
      <c r="A20" s="31">
        <v>9</v>
      </c>
      <c r="B20" s="32" t="s">
        <v>6</v>
      </c>
      <c r="C20" s="32" t="s">
        <v>30</v>
      </c>
      <c r="D20" s="31" t="s">
        <v>32</v>
      </c>
      <c r="E20" s="32" t="s">
        <v>9</v>
      </c>
      <c r="F20" s="32">
        <v>2</v>
      </c>
      <c r="G20" s="42" t="s">
        <v>10</v>
      </c>
      <c r="H20" s="47"/>
      <c r="I20" s="54">
        <f>'_2021_VB_bez izmaiņām'!I20</f>
        <v>11</v>
      </c>
      <c r="J20" s="54">
        <f>'_2021_VB_bez izmaiņām'!J20</f>
        <v>11</v>
      </c>
      <c r="K20" s="54">
        <f>'_2021_VB_bez izmaiņām'!K20</f>
        <v>6</v>
      </c>
      <c r="L20" s="54">
        <f>IF(I20=0,K20,K20*(J20/I20))</f>
        <v>6</v>
      </c>
      <c r="M20" s="12">
        <f>I20+(K20*12)</f>
        <v>83</v>
      </c>
      <c r="N20" s="12">
        <f>J20+(L20*12)</f>
        <v>83</v>
      </c>
      <c r="O20" s="11">
        <v>72</v>
      </c>
      <c r="P20" s="54">
        <f>IF(I20=0,O20,O20*(J20/I20))</f>
        <v>72</v>
      </c>
      <c r="Q20" s="133">
        <f>'_2021_VB_bez izmaiņām'!Q20</f>
        <v>15.73</v>
      </c>
      <c r="R20" s="4">
        <f>Q20*P20</f>
        <v>1132.56</v>
      </c>
      <c r="S20" s="15">
        <f>M20-O20</f>
        <v>11</v>
      </c>
      <c r="T20" s="15">
        <f>N20-P20</f>
        <v>11</v>
      </c>
      <c r="U20" s="1"/>
      <c r="V20" s="1">
        <v>1</v>
      </c>
      <c r="W20" s="27"/>
    </row>
    <row r="21" spans="1:23" ht="18" customHeight="1" x14ac:dyDescent="0.35">
      <c r="A21" s="39"/>
      <c r="B21" s="40"/>
      <c r="C21" s="41">
        <v>22</v>
      </c>
      <c r="D21" s="188" t="s">
        <v>33</v>
      </c>
      <c r="E21" s="188"/>
      <c r="F21" s="188"/>
      <c r="G21" s="188"/>
      <c r="H21" s="63"/>
      <c r="I21" s="9">
        <f>'_2021_VB_bez izmaiņām'!I21</f>
        <v>3949</v>
      </c>
      <c r="J21" s="9">
        <f>'_2021_VB_bez izmaiņām'!J21</f>
        <v>5940</v>
      </c>
      <c r="K21" s="9">
        <f t="shared" ref="K21:P21" si="13">SUM(K22:K49)</f>
        <v>542</v>
      </c>
      <c r="L21" s="9">
        <f t="shared" si="13"/>
        <v>734.11965262142166</v>
      </c>
      <c r="M21" s="9">
        <f t="shared" si="13"/>
        <v>10453</v>
      </c>
      <c r="N21" s="9">
        <f t="shared" si="13"/>
        <v>14749.43583145706</v>
      </c>
      <c r="O21" s="9">
        <f t="shared" si="13"/>
        <v>4364</v>
      </c>
      <c r="P21" s="9">
        <f t="shared" si="13"/>
        <v>5685.1428111933092</v>
      </c>
      <c r="Q21" s="9" t="str">
        <f>'_2021_VB_bez izmaiņām'!Q21</f>
        <v>x</v>
      </c>
      <c r="R21" s="3">
        <f>SUM(R22:R49)</f>
        <v>1490689.5417819233</v>
      </c>
      <c r="S21" s="9">
        <f>SUM(S22:S49)</f>
        <v>6089</v>
      </c>
      <c r="T21" s="9">
        <f>SUM(T22:T49)</f>
        <v>9064.2930202637508</v>
      </c>
      <c r="U21" s="7">
        <v>1</v>
      </c>
      <c r="V21" s="7">
        <v>1</v>
      </c>
    </row>
    <row r="22" spans="1:23" s="44" customFormat="1" ht="17.25" customHeight="1" x14ac:dyDescent="0.35">
      <c r="A22" s="31">
        <v>10</v>
      </c>
      <c r="B22" s="32" t="s">
        <v>34</v>
      </c>
      <c r="C22" s="32" t="s">
        <v>35</v>
      </c>
      <c r="D22" s="31" t="s">
        <v>36</v>
      </c>
      <c r="E22" s="32" t="s">
        <v>9</v>
      </c>
      <c r="F22" s="32">
        <v>2</v>
      </c>
      <c r="G22" s="42" t="s">
        <v>37</v>
      </c>
      <c r="H22" s="47"/>
      <c r="I22" s="54">
        <f>'_2021_VB_bez izmaiņām'!I22</f>
        <v>36</v>
      </c>
      <c r="J22" s="54">
        <f>'_2021_VB_bez izmaiņām'!J22</f>
        <v>36</v>
      </c>
      <c r="K22" s="54">
        <f>'_2021_VB_bez izmaiņām'!K22</f>
        <v>9</v>
      </c>
      <c r="L22" s="54">
        <f>IF(I22=0,K22,K22*(J22/I22))</f>
        <v>9</v>
      </c>
      <c r="M22" s="12">
        <f>I22+(K22*12)</f>
        <v>144</v>
      </c>
      <c r="N22" s="12">
        <f>J22+(L22*12)</f>
        <v>144</v>
      </c>
      <c r="O22" s="11">
        <v>131</v>
      </c>
      <c r="P22" s="54">
        <f>IF(I22=0,O22,O22*(J22/I22))</f>
        <v>131</v>
      </c>
      <c r="Q22" s="133">
        <f>'_2021_VB_bez izmaiņām'!Q22</f>
        <v>66.55</v>
      </c>
      <c r="R22" s="4">
        <f>Q22*P22</f>
        <v>8718.0499999999993</v>
      </c>
      <c r="S22" s="15">
        <f>M22-O22</f>
        <v>13</v>
      </c>
      <c r="T22" s="15">
        <f>N22-P22</f>
        <v>13</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54">
        <f>'_2021_VB_bez izmaiņām'!I23</f>
        <v>17</v>
      </c>
      <c r="J23" s="54">
        <f>'_2021_VB_bez izmaiņām'!J23</f>
        <v>17</v>
      </c>
      <c r="K23" s="54">
        <f>'_2021_VB_bez izmaiņām'!K23</f>
        <v>13</v>
      </c>
      <c r="L23" s="54">
        <f>IF(I23=0,K23,K23*(J23/I23))</f>
        <v>13</v>
      </c>
      <c r="M23" s="12">
        <f>I23+(K23*12)</f>
        <v>173</v>
      </c>
      <c r="N23" s="12">
        <f>J23+(L23*12)</f>
        <v>173</v>
      </c>
      <c r="O23" s="11">
        <v>158</v>
      </c>
      <c r="P23" s="54">
        <f>IF(I23=0,O23,O23*(J23/I23))</f>
        <v>158</v>
      </c>
      <c r="Q23" s="133">
        <f>'_2021_VB_bez izmaiņām'!Q23</f>
        <v>54.78</v>
      </c>
      <c r="R23" s="4">
        <f>Q23*P23</f>
        <v>8655.24</v>
      </c>
      <c r="S23" s="15">
        <f>M23-O23</f>
        <v>15</v>
      </c>
      <c r="T23" s="15">
        <f>N23-P23</f>
        <v>15</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54">
        <f>'_2021_VB_bez izmaiņām'!I24</f>
        <v>1</v>
      </c>
      <c r="J24" s="54">
        <f>'_2021_VB_bez izmaiņām'!J24</f>
        <v>1</v>
      </c>
      <c r="K24" s="54">
        <f>'_2021_VB_bez izmaiņām'!K24</f>
        <v>5</v>
      </c>
      <c r="L24" s="54">
        <f t="shared" ref="L24:L49" si="14">IF(I24=0,K24,K24*(J24/I24))</f>
        <v>5</v>
      </c>
      <c r="M24" s="12">
        <f t="shared" ref="M24:N39" si="15">I24+(K24*12)</f>
        <v>61</v>
      </c>
      <c r="N24" s="12">
        <f t="shared" si="15"/>
        <v>61</v>
      </c>
      <c r="O24" s="11">
        <v>47</v>
      </c>
      <c r="P24" s="54">
        <f t="shared" ref="P24:P49" si="16">IF(I24=0,O24,O24*(J24/I24))</f>
        <v>47</v>
      </c>
      <c r="Q24" s="133">
        <f>'_2021_VB_bez izmaiņām'!Q24</f>
        <v>71.84</v>
      </c>
      <c r="R24" s="4">
        <f t="shared" ref="R24:R49" si="17">Q24*P24</f>
        <v>3376.48</v>
      </c>
      <c r="S24" s="15">
        <f t="shared" ref="S24:T39" si="18">M24-O24</f>
        <v>14</v>
      </c>
      <c r="T24" s="15">
        <f t="shared" si="18"/>
        <v>14</v>
      </c>
      <c r="U24" s="1"/>
      <c r="V24" s="1">
        <v>1</v>
      </c>
      <c r="W24" s="27"/>
    </row>
    <row r="25" spans="1:23" s="44" customFormat="1" ht="24" customHeight="1" x14ac:dyDescent="0.35">
      <c r="A25" s="31">
        <v>13</v>
      </c>
      <c r="B25" s="32" t="s">
        <v>40</v>
      </c>
      <c r="C25" s="32" t="s">
        <v>41</v>
      </c>
      <c r="D25" s="31" t="s">
        <v>106</v>
      </c>
      <c r="E25" s="32" t="s">
        <v>9</v>
      </c>
      <c r="F25" s="32">
        <v>5</v>
      </c>
      <c r="G25" s="42" t="s">
        <v>43</v>
      </c>
      <c r="H25" s="47"/>
      <c r="I25" s="54">
        <f>'_2021_VB_bez izmaiņām'!I25</f>
        <v>0</v>
      </c>
      <c r="J25" s="54">
        <f>'_2021_VB_bez izmaiņām'!J25</f>
        <v>0</v>
      </c>
      <c r="K25" s="54">
        <f>'_2021_VB_bez izmaiņām'!K25</f>
        <v>2</v>
      </c>
      <c r="L25" s="54">
        <f t="shared" si="14"/>
        <v>2</v>
      </c>
      <c r="M25" s="12">
        <f t="shared" si="15"/>
        <v>24</v>
      </c>
      <c r="N25" s="12">
        <f t="shared" si="15"/>
        <v>24</v>
      </c>
      <c r="O25" s="11">
        <v>13</v>
      </c>
      <c r="P25" s="54">
        <f t="shared" si="16"/>
        <v>13</v>
      </c>
      <c r="Q25" s="133">
        <f>'_2021_VB_bez izmaiņām'!Q25</f>
        <v>48.4</v>
      </c>
      <c r="R25" s="4">
        <f t="shared" si="17"/>
        <v>629.19999999999993</v>
      </c>
      <c r="S25" s="15">
        <f t="shared" si="18"/>
        <v>11</v>
      </c>
      <c r="T25" s="15">
        <f t="shared" si="18"/>
        <v>11</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54">
        <f>'_2021_VB_bez izmaiņām'!I26</f>
        <v>6</v>
      </c>
      <c r="J26" s="54">
        <f>'_2021_VB_bez izmaiņām'!J26</f>
        <v>6</v>
      </c>
      <c r="K26" s="54">
        <f>'_2021_VB_bez izmaiņām'!K26</f>
        <v>18</v>
      </c>
      <c r="L26" s="54">
        <f t="shared" si="14"/>
        <v>18</v>
      </c>
      <c r="M26" s="12">
        <f t="shared" si="15"/>
        <v>222</v>
      </c>
      <c r="N26" s="12">
        <f t="shared" si="15"/>
        <v>222</v>
      </c>
      <c r="O26" s="11">
        <v>179</v>
      </c>
      <c r="P26" s="54">
        <f t="shared" si="16"/>
        <v>179</v>
      </c>
      <c r="Q26" s="133">
        <f>'_2021_VB_bez izmaiņām'!Q26</f>
        <v>543.97</v>
      </c>
      <c r="R26" s="4">
        <f t="shared" si="17"/>
        <v>97370.63</v>
      </c>
      <c r="S26" s="15">
        <f t="shared" si="18"/>
        <v>43</v>
      </c>
      <c r="T26" s="15">
        <f t="shared" si="18"/>
        <v>43</v>
      </c>
      <c r="U26" s="1"/>
      <c r="V26" s="1">
        <v>1</v>
      </c>
      <c r="W26" s="27"/>
    </row>
    <row r="27" spans="1:23" s="44" customFormat="1" ht="36" customHeight="1" x14ac:dyDescent="0.35">
      <c r="A27" s="31">
        <v>15</v>
      </c>
      <c r="B27" s="32" t="s">
        <v>166</v>
      </c>
      <c r="C27" s="32" t="s">
        <v>46</v>
      </c>
      <c r="D27" s="31" t="s">
        <v>167</v>
      </c>
      <c r="E27" s="32" t="s">
        <v>9</v>
      </c>
      <c r="F27" s="32">
        <v>3</v>
      </c>
      <c r="G27" s="42" t="s">
        <v>47</v>
      </c>
      <c r="H27" s="47"/>
      <c r="I27" s="54">
        <f>'_2021_VB_bez izmaiņām'!I27</f>
        <v>6</v>
      </c>
      <c r="J27" s="54">
        <f>'_2021_VB_bez izmaiņām'!J27</f>
        <v>6</v>
      </c>
      <c r="K27" s="54">
        <f>'_2021_VB_bez izmaiņām'!K27</f>
        <v>2</v>
      </c>
      <c r="L27" s="54">
        <f>IF(I27=0,K27,K27*(J27/I27))</f>
        <v>2</v>
      </c>
      <c r="M27" s="12">
        <f t="shared" si="15"/>
        <v>30</v>
      </c>
      <c r="N27" s="12">
        <f t="shared" si="15"/>
        <v>30</v>
      </c>
      <c r="O27" s="11">
        <v>10</v>
      </c>
      <c r="P27" s="54">
        <f t="shared" si="16"/>
        <v>10</v>
      </c>
      <c r="Q27" s="133">
        <f>'_2021_VB_bez izmaiņām'!Q27</f>
        <v>204.56</v>
      </c>
      <c r="R27" s="4">
        <f t="shared" si="17"/>
        <v>2045.6</v>
      </c>
      <c r="S27" s="15">
        <f t="shared" si="18"/>
        <v>20</v>
      </c>
      <c r="T27" s="15">
        <f t="shared" si="18"/>
        <v>20</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54">
        <f>'_2021_VB_bez izmaiņām'!I28</f>
        <v>3109</v>
      </c>
      <c r="J28" s="54">
        <f>'_2021_VB_bez izmaiņām'!J28</f>
        <v>5100</v>
      </c>
      <c r="K28" s="54">
        <f>'_2021_VB_bez izmaiņām'!K28</f>
        <v>300</v>
      </c>
      <c r="L28" s="54">
        <f t="shared" si="14"/>
        <v>492.11965262142166</v>
      </c>
      <c r="M28" s="12">
        <f t="shared" si="15"/>
        <v>6709</v>
      </c>
      <c r="N28" s="12">
        <f t="shared" si="15"/>
        <v>11005.43583145706</v>
      </c>
      <c r="O28" s="11">
        <v>2063</v>
      </c>
      <c r="P28" s="54">
        <f t="shared" si="16"/>
        <v>3384.1428111933096</v>
      </c>
      <c r="Q28" s="133">
        <f>'_2021_VB_bez izmaiņām'!Q28</f>
        <v>241.03</v>
      </c>
      <c r="R28" s="4">
        <f>Q28*P28-22.78</f>
        <v>815657.16178192338</v>
      </c>
      <c r="S28" s="15">
        <f t="shared" si="18"/>
        <v>4646</v>
      </c>
      <c r="T28" s="15">
        <f t="shared" si="18"/>
        <v>7621.2930202637508</v>
      </c>
      <c r="U28" s="1">
        <v>1</v>
      </c>
      <c r="V28" s="1"/>
      <c r="W28" s="27"/>
    </row>
    <row r="29" spans="1:23" s="44" customFormat="1" ht="46.5" customHeight="1" x14ac:dyDescent="0.35">
      <c r="A29" s="31">
        <v>19</v>
      </c>
      <c r="B29" s="32" t="s">
        <v>50</v>
      </c>
      <c r="C29" s="32" t="s">
        <v>180</v>
      </c>
      <c r="D29" s="31" t="s">
        <v>120</v>
      </c>
      <c r="E29" s="32" t="s">
        <v>9</v>
      </c>
      <c r="F29" s="32">
        <v>5</v>
      </c>
      <c r="G29" s="42" t="s">
        <v>52</v>
      </c>
      <c r="H29" s="47"/>
      <c r="I29" s="54">
        <f>'_2021_VB_bez izmaiņām'!I29</f>
        <v>77</v>
      </c>
      <c r="J29" s="54">
        <f>'_2021_VB_bez izmaiņām'!J29</f>
        <v>77</v>
      </c>
      <c r="K29" s="54">
        <f>'_2021_VB_bez izmaiņām'!K29</f>
        <v>19</v>
      </c>
      <c r="L29" s="54">
        <f t="shared" si="14"/>
        <v>19</v>
      </c>
      <c r="M29" s="12">
        <f t="shared" si="15"/>
        <v>305</v>
      </c>
      <c r="N29" s="12">
        <f t="shared" si="15"/>
        <v>305</v>
      </c>
      <c r="O29" s="11">
        <v>75</v>
      </c>
      <c r="P29" s="54">
        <f t="shared" si="16"/>
        <v>75</v>
      </c>
      <c r="Q29" s="133">
        <f>'_2021_VB_bez izmaiņām'!Q29</f>
        <v>253.28</v>
      </c>
      <c r="R29" s="4">
        <f t="shared" si="17"/>
        <v>18996</v>
      </c>
      <c r="S29" s="15">
        <f t="shared" si="18"/>
        <v>230</v>
      </c>
      <c r="T29" s="15">
        <f t="shared" si="18"/>
        <v>230</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54">
        <f>'_2021_VB_bez izmaiņām'!I30</f>
        <v>10</v>
      </c>
      <c r="J30" s="54">
        <f>'_2021_VB_bez izmaiņām'!J30</f>
        <v>10</v>
      </c>
      <c r="K30" s="54">
        <f>'_2021_VB_bez izmaiņām'!K30</f>
        <v>1</v>
      </c>
      <c r="L30" s="54">
        <f t="shared" si="14"/>
        <v>1</v>
      </c>
      <c r="M30" s="12">
        <f t="shared" si="15"/>
        <v>22</v>
      </c>
      <c r="N30" s="12">
        <f t="shared" si="15"/>
        <v>22</v>
      </c>
      <c r="O30" s="11">
        <v>5</v>
      </c>
      <c r="P30" s="54">
        <f t="shared" si="16"/>
        <v>5</v>
      </c>
      <c r="Q30" s="133">
        <f>'_2021_VB_bez izmaiņām'!Q30</f>
        <v>828</v>
      </c>
      <c r="R30" s="4">
        <f t="shared" si="17"/>
        <v>4140</v>
      </c>
      <c r="S30" s="15">
        <f t="shared" si="18"/>
        <v>17</v>
      </c>
      <c r="T30" s="15">
        <f t="shared" si="18"/>
        <v>17</v>
      </c>
      <c r="U30" s="1">
        <v>1</v>
      </c>
      <c r="V30" s="1"/>
      <c r="W30" s="27"/>
    </row>
    <row r="31" spans="1:23" s="44" customFormat="1" ht="36" customHeight="1" x14ac:dyDescent="0.35">
      <c r="A31" s="31">
        <v>21</v>
      </c>
      <c r="B31" s="32" t="s">
        <v>6</v>
      </c>
      <c r="C31" s="32" t="s">
        <v>56</v>
      </c>
      <c r="D31" s="31" t="s">
        <v>57</v>
      </c>
      <c r="E31" s="32" t="s">
        <v>9</v>
      </c>
      <c r="F31" s="32">
        <v>2</v>
      </c>
      <c r="G31" s="42" t="s">
        <v>10</v>
      </c>
      <c r="H31" s="47"/>
      <c r="I31" s="54">
        <f>'_2021_VB_bez izmaiņām'!I31</f>
        <v>0</v>
      </c>
      <c r="J31" s="54">
        <f>'_2021_VB_bez izmaiņām'!J31</f>
        <v>0</v>
      </c>
      <c r="K31" s="54">
        <f>'_2021_VB_bez izmaiņām'!K31</f>
        <v>1</v>
      </c>
      <c r="L31" s="54">
        <f t="shared" si="14"/>
        <v>1</v>
      </c>
      <c r="M31" s="12">
        <f t="shared" si="15"/>
        <v>12</v>
      </c>
      <c r="N31" s="12">
        <f t="shared" si="15"/>
        <v>12</v>
      </c>
      <c r="O31" s="11">
        <v>4</v>
      </c>
      <c r="P31" s="54">
        <f t="shared" si="16"/>
        <v>4</v>
      </c>
      <c r="Q31" s="133">
        <f>'_2021_VB_bez izmaiņām'!Q31</f>
        <v>14</v>
      </c>
      <c r="R31" s="4">
        <f t="shared" si="17"/>
        <v>56</v>
      </c>
      <c r="S31" s="15">
        <f t="shared" si="18"/>
        <v>8</v>
      </c>
      <c r="T31" s="15">
        <f t="shared" si="18"/>
        <v>8</v>
      </c>
      <c r="U31" s="1"/>
      <c r="V31" s="1">
        <v>1</v>
      </c>
      <c r="W31" s="27"/>
    </row>
    <row r="32" spans="1:23" s="44" customFormat="1" ht="21.75" customHeight="1" x14ac:dyDescent="0.35">
      <c r="A32" s="31">
        <v>22</v>
      </c>
      <c r="B32" s="32" t="s">
        <v>6</v>
      </c>
      <c r="C32" s="32" t="s">
        <v>58</v>
      </c>
      <c r="D32" s="31" t="s">
        <v>59</v>
      </c>
      <c r="E32" s="32" t="s">
        <v>9</v>
      </c>
      <c r="F32" s="32">
        <v>5</v>
      </c>
      <c r="G32" s="42" t="s">
        <v>10</v>
      </c>
      <c r="H32" s="47"/>
      <c r="I32" s="54">
        <f>'_2021_VB_bez izmaiņām'!I32</f>
        <v>0</v>
      </c>
      <c r="J32" s="54">
        <f>'_2021_VB_bez izmaiņām'!J32</f>
        <v>0</v>
      </c>
      <c r="K32" s="54">
        <f>'_2021_VB_bez izmaiņām'!K32</f>
        <v>1</v>
      </c>
      <c r="L32" s="54">
        <f t="shared" si="14"/>
        <v>1</v>
      </c>
      <c r="M32" s="12">
        <f t="shared" si="15"/>
        <v>12</v>
      </c>
      <c r="N32" s="12">
        <f t="shared" si="15"/>
        <v>12</v>
      </c>
      <c r="O32" s="11">
        <v>12</v>
      </c>
      <c r="P32" s="54">
        <f t="shared" si="16"/>
        <v>12</v>
      </c>
      <c r="Q32" s="133">
        <f>'_2021_VB_bez izmaiņām'!Q32</f>
        <v>871.2</v>
      </c>
      <c r="R32" s="4">
        <f t="shared" si="17"/>
        <v>10454.400000000001</v>
      </c>
      <c r="S32" s="15">
        <f t="shared" si="18"/>
        <v>0</v>
      </c>
      <c r="T32" s="15">
        <f t="shared" si="18"/>
        <v>0</v>
      </c>
      <c r="U32" s="1"/>
      <c r="V32" s="1">
        <v>1</v>
      </c>
      <c r="W32" s="27"/>
    </row>
    <row r="33" spans="1:23" s="44" customFormat="1" ht="21.75" customHeight="1" x14ac:dyDescent="0.35">
      <c r="A33" s="29">
        <v>23</v>
      </c>
      <c r="B33" s="30" t="s">
        <v>60</v>
      </c>
      <c r="C33" s="30" t="s">
        <v>61</v>
      </c>
      <c r="D33" s="29" t="s">
        <v>62</v>
      </c>
      <c r="E33" s="30" t="s">
        <v>9</v>
      </c>
      <c r="F33" s="30">
        <v>3</v>
      </c>
      <c r="G33" s="43" t="s">
        <v>10</v>
      </c>
      <c r="H33" s="48"/>
      <c r="I33" s="54">
        <f>'_2021_VB_bez izmaiņām'!I33</f>
        <v>42</v>
      </c>
      <c r="J33" s="54">
        <f>'_2021_VB_bez izmaiņām'!J33</f>
        <v>42</v>
      </c>
      <c r="K33" s="54">
        <f>'_2021_VB_bez izmaiņām'!K33</f>
        <v>25</v>
      </c>
      <c r="L33" s="54">
        <f t="shared" si="14"/>
        <v>25</v>
      </c>
      <c r="M33" s="132">
        <f t="shared" si="15"/>
        <v>342</v>
      </c>
      <c r="N33" s="132">
        <f t="shared" si="15"/>
        <v>342</v>
      </c>
      <c r="O33" s="11">
        <v>249</v>
      </c>
      <c r="P33" s="54">
        <f t="shared" si="16"/>
        <v>249</v>
      </c>
      <c r="Q33" s="133">
        <f>'_2021_VB_bez izmaiņām'!Q33</f>
        <v>333.96</v>
      </c>
      <c r="R33" s="4">
        <f t="shared" si="17"/>
        <v>83156.039999999994</v>
      </c>
      <c r="S33" s="15">
        <f t="shared" si="18"/>
        <v>93</v>
      </c>
      <c r="T33" s="15">
        <f t="shared" si="18"/>
        <v>93</v>
      </c>
      <c r="U33" s="1"/>
      <c r="V33" s="1">
        <v>1</v>
      </c>
      <c r="W33" s="27"/>
    </row>
    <row r="34" spans="1:23" ht="32.25" customHeight="1" x14ac:dyDescent="0.35">
      <c r="A34" s="29">
        <v>24</v>
      </c>
      <c r="B34" s="30" t="s">
        <v>60</v>
      </c>
      <c r="C34" s="30" t="s">
        <v>61</v>
      </c>
      <c r="D34" s="29" t="s">
        <v>108</v>
      </c>
      <c r="E34" s="30" t="s">
        <v>9</v>
      </c>
      <c r="F34" s="30">
        <v>5</v>
      </c>
      <c r="G34" s="43" t="s">
        <v>10</v>
      </c>
      <c r="H34" s="48"/>
      <c r="I34" s="54">
        <f>'_2021_VB_bez izmaiņām'!I34</f>
        <v>0</v>
      </c>
      <c r="J34" s="54">
        <f>'_2021_VB_bez izmaiņām'!J34</f>
        <v>0</v>
      </c>
      <c r="K34" s="104">
        <v>10</v>
      </c>
      <c r="L34" s="104">
        <f>IF(I34=0,K34,K34*(J34/I34))</f>
        <v>10</v>
      </c>
      <c r="M34" s="132">
        <f t="shared" si="15"/>
        <v>120</v>
      </c>
      <c r="N34" s="132">
        <f t="shared" si="15"/>
        <v>120</v>
      </c>
      <c r="O34" s="104">
        <v>20</v>
      </c>
      <c r="P34" s="54">
        <f t="shared" si="16"/>
        <v>20</v>
      </c>
      <c r="Q34" s="134">
        <v>700</v>
      </c>
      <c r="R34" s="4">
        <f t="shared" si="17"/>
        <v>14000</v>
      </c>
      <c r="S34" s="15">
        <f t="shared" si="18"/>
        <v>100</v>
      </c>
      <c r="T34" s="15">
        <f t="shared" si="18"/>
        <v>100</v>
      </c>
      <c r="U34" s="1"/>
      <c r="V34" s="1">
        <v>1</v>
      </c>
      <c r="W34" s="27" t="s">
        <v>176</v>
      </c>
    </row>
    <row r="35" spans="1:23" s="44" customFormat="1" ht="49.5" customHeight="1" x14ac:dyDescent="0.35">
      <c r="A35" s="29">
        <v>25</v>
      </c>
      <c r="B35" s="30" t="s">
        <v>60</v>
      </c>
      <c r="C35" s="30" t="s">
        <v>61</v>
      </c>
      <c r="D35" s="29" t="s">
        <v>63</v>
      </c>
      <c r="E35" s="30" t="s">
        <v>9</v>
      </c>
      <c r="F35" s="30">
        <v>3</v>
      </c>
      <c r="G35" s="43" t="s">
        <v>64</v>
      </c>
      <c r="H35" s="48"/>
      <c r="I35" s="54">
        <f>'_2021_VB_bez izmaiņām'!I35</f>
        <v>0</v>
      </c>
      <c r="J35" s="54">
        <f>'_2021_VB_bez izmaiņām'!J35</f>
        <v>0</v>
      </c>
      <c r="K35" s="54">
        <f>'_2021_VB_bez izmaiņām'!K35</f>
        <v>2</v>
      </c>
      <c r="L35" s="54">
        <f t="shared" si="14"/>
        <v>2</v>
      </c>
      <c r="M35" s="132">
        <f t="shared" si="15"/>
        <v>24</v>
      </c>
      <c r="N35" s="132">
        <f t="shared" si="15"/>
        <v>24</v>
      </c>
      <c r="O35" s="11">
        <v>21</v>
      </c>
      <c r="P35" s="54">
        <f t="shared" si="16"/>
        <v>21</v>
      </c>
      <c r="Q35" s="133">
        <f>'_2021_VB_bez izmaiņām'!Q35</f>
        <v>145.19999999999999</v>
      </c>
      <c r="R35" s="4">
        <f t="shared" si="17"/>
        <v>3049.2</v>
      </c>
      <c r="S35" s="15">
        <f t="shared" si="18"/>
        <v>3</v>
      </c>
      <c r="T35" s="15">
        <f t="shared" si="18"/>
        <v>3</v>
      </c>
      <c r="U35" s="1"/>
      <c r="V35" s="1">
        <v>1</v>
      </c>
      <c r="W35" s="27"/>
    </row>
    <row r="36" spans="1:23" ht="25.5" customHeight="1" x14ac:dyDescent="0.35">
      <c r="A36" s="29">
        <v>26</v>
      </c>
      <c r="B36" s="30" t="s">
        <v>141</v>
      </c>
      <c r="C36" s="30" t="s">
        <v>65</v>
      </c>
      <c r="D36" s="29" t="s">
        <v>66</v>
      </c>
      <c r="E36" s="30" t="s">
        <v>9</v>
      </c>
      <c r="F36" s="30">
        <v>5</v>
      </c>
      <c r="G36" s="43" t="s">
        <v>110</v>
      </c>
      <c r="H36" s="48"/>
      <c r="I36" s="54">
        <f>'_2021_VB_bez izmaiņām'!I36</f>
        <v>0</v>
      </c>
      <c r="J36" s="54">
        <f>'_2021_VB_bez izmaiņām'!J36</f>
        <v>0</v>
      </c>
      <c r="K36" s="104">
        <v>20</v>
      </c>
      <c r="L36" s="104">
        <f t="shared" si="14"/>
        <v>20</v>
      </c>
      <c r="M36" s="132">
        <f t="shared" si="15"/>
        <v>240</v>
      </c>
      <c r="N36" s="132">
        <f t="shared" si="15"/>
        <v>240</v>
      </c>
      <c r="O36" s="104">
        <v>40</v>
      </c>
      <c r="P36" s="54">
        <f t="shared" si="16"/>
        <v>40</v>
      </c>
      <c r="Q36" s="134">
        <v>500</v>
      </c>
      <c r="R36" s="4">
        <f t="shared" si="17"/>
        <v>20000</v>
      </c>
      <c r="S36" s="15">
        <f t="shared" si="18"/>
        <v>200</v>
      </c>
      <c r="T36" s="15">
        <f t="shared" si="18"/>
        <v>200</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54">
        <f>'_2021_VB_bez izmaiņām'!I37</f>
        <v>3</v>
      </c>
      <c r="J37" s="54">
        <f>'_2021_VB_bez izmaiņām'!J37</f>
        <v>3</v>
      </c>
      <c r="K37" s="54">
        <f>'_2021_VB_bez izmaiņām'!K37</f>
        <v>3</v>
      </c>
      <c r="L37" s="54">
        <f t="shared" si="14"/>
        <v>3</v>
      </c>
      <c r="M37" s="12">
        <f t="shared" si="15"/>
        <v>39</v>
      </c>
      <c r="N37" s="12">
        <f t="shared" si="15"/>
        <v>39</v>
      </c>
      <c r="O37" s="11">
        <v>28</v>
      </c>
      <c r="P37" s="54">
        <f t="shared" si="16"/>
        <v>28</v>
      </c>
      <c r="Q37" s="133">
        <f>'_2021_VB_bez izmaiņām'!Q37</f>
        <v>210.83</v>
      </c>
      <c r="R37" s="4">
        <f t="shared" si="17"/>
        <v>5903.2400000000007</v>
      </c>
      <c r="S37" s="15">
        <f t="shared" si="18"/>
        <v>11</v>
      </c>
      <c r="T37" s="15">
        <f t="shared" si="18"/>
        <v>11</v>
      </c>
      <c r="U37" s="19"/>
      <c r="V37" s="19">
        <v>1</v>
      </c>
      <c r="W37" s="26"/>
    </row>
    <row r="38" spans="1:23" s="44" customFormat="1" ht="60.75" customHeight="1" x14ac:dyDescent="0.35">
      <c r="A38" s="29">
        <v>28</v>
      </c>
      <c r="B38" s="30" t="s">
        <v>168</v>
      </c>
      <c r="C38" s="30" t="s">
        <v>67</v>
      </c>
      <c r="D38" s="29" t="s">
        <v>68</v>
      </c>
      <c r="E38" s="30" t="s">
        <v>9</v>
      </c>
      <c r="F38" s="30">
        <v>3</v>
      </c>
      <c r="G38" s="43" t="s">
        <v>69</v>
      </c>
      <c r="H38" s="48"/>
      <c r="I38" s="54">
        <f>'_2021_VB_bez izmaiņām'!I38</f>
        <v>45</v>
      </c>
      <c r="J38" s="54">
        <f>'_2021_VB_bez izmaiņām'!J38</f>
        <v>45</v>
      </c>
      <c r="K38" s="54">
        <f>'_2021_VB_bez izmaiņām'!K38</f>
        <v>15</v>
      </c>
      <c r="L38" s="54">
        <f t="shared" si="14"/>
        <v>15</v>
      </c>
      <c r="M38" s="12">
        <f t="shared" si="15"/>
        <v>225</v>
      </c>
      <c r="N38" s="12">
        <f t="shared" si="15"/>
        <v>225</v>
      </c>
      <c r="O38" s="11">
        <v>150</v>
      </c>
      <c r="P38" s="54">
        <f t="shared" si="16"/>
        <v>150</v>
      </c>
      <c r="Q38" s="133">
        <f>'_2021_VB_bez izmaiņām'!Q38</f>
        <v>377.94</v>
      </c>
      <c r="R38" s="4">
        <f t="shared" si="17"/>
        <v>56691</v>
      </c>
      <c r="S38" s="15">
        <f t="shared" si="18"/>
        <v>75</v>
      </c>
      <c r="T38" s="15">
        <f t="shared" si="18"/>
        <v>75</v>
      </c>
      <c r="U38" s="1">
        <v>1</v>
      </c>
      <c r="V38" s="1"/>
      <c r="W38" s="27"/>
    </row>
    <row r="39" spans="1:23" s="44" customFormat="1" x14ac:dyDescent="0.35">
      <c r="A39" s="29">
        <v>29</v>
      </c>
      <c r="B39" s="30" t="s">
        <v>70</v>
      </c>
      <c r="C39" s="30" t="s">
        <v>121</v>
      </c>
      <c r="D39" s="29" t="s">
        <v>122</v>
      </c>
      <c r="E39" s="30" t="s">
        <v>9</v>
      </c>
      <c r="F39" s="30">
        <v>5</v>
      </c>
      <c r="G39" s="43" t="s">
        <v>47</v>
      </c>
      <c r="H39" s="48"/>
      <c r="I39" s="54">
        <f>'_2021_VB_bez izmaiņām'!I39</f>
        <v>0</v>
      </c>
      <c r="J39" s="54">
        <f>'_2021_VB_bez izmaiņām'!J39</f>
        <v>0</v>
      </c>
      <c r="K39" s="54">
        <f>'_2021_VB_bez izmaiņām'!K39</f>
        <v>1</v>
      </c>
      <c r="L39" s="54">
        <f t="shared" si="14"/>
        <v>1</v>
      </c>
      <c r="M39" s="12">
        <f t="shared" si="15"/>
        <v>12</v>
      </c>
      <c r="N39" s="12">
        <f t="shared" si="15"/>
        <v>12</v>
      </c>
      <c r="O39" s="11">
        <v>6</v>
      </c>
      <c r="P39" s="54">
        <f t="shared" si="16"/>
        <v>6</v>
      </c>
      <c r="Q39" s="133">
        <f>'_2021_VB_bez izmaiņām'!Q39</f>
        <v>124.22</v>
      </c>
      <c r="R39" s="4">
        <f t="shared" si="17"/>
        <v>745.31999999999994</v>
      </c>
      <c r="S39" s="15">
        <f t="shared" si="18"/>
        <v>6</v>
      </c>
      <c r="T39" s="15">
        <f t="shared" si="18"/>
        <v>6</v>
      </c>
      <c r="U39" s="1">
        <v>1</v>
      </c>
      <c r="V39" s="1"/>
      <c r="W39" s="27"/>
    </row>
    <row r="40" spans="1:23" s="44" customFormat="1" ht="40.5" customHeight="1" x14ac:dyDescent="0.35">
      <c r="A40" s="29">
        <v>30</v>
      </c>
      <c r="B40" s="50" t="s">
        <v>71</v>
      </c>
      <c r="C40" s="50" t="s">
        <v>72</v>
      </c>
      <c r="D40" s="49" t="s">
        <v>73</v>
      </c>
      <c r="E40" s="50" t="s">
        <v>9</v>
      </c>
      <c r="F40" s="50">
        <v>5</v>
      </c>
      <c r="G40" s="51" t="s">
        <v>74</v>
      </c>
      <c r="H40" s="48"/>
      <c r="I40" s="54">
        <f>'_2021_VB_bez izmaiņām'!I40</f>
        <v>486</v>
      </c>
      <c r="J40" s="54">
        <f>'_2021_VB_bez izmaiņām'!J40</f>
        <v>486</v>
      </c>
      <c r="K40" s="54">
        <f>'_2021_VB_bez izmaiņām'!K40</f>
        <v>20</v>
      </c>
      <c r="L40" s="54">
        <f t="shared" si="14"/>
        <v>20</v>
      </c>
      <c r="M40" s="12">
        <f t="shared" ref="M40:N49" si="19">I40+(K40*12)</f>
        <v>726</v>
      </c>
      <c r="N40" s="12">
        <f t="shared" si="19"/>
        <v>726</v>
      </c>
      <c r="O40" s="11">
        <v>652</v>
      </c>
      <c r="P40" s="54">
        <f t="shared" si="16"/>
        <v>652</v>
      </c>
      <c r="Q40" s="133">
        <f>'_2021_VB_bez izmaiņām'!Q40</f>
        <v>376.32</v>
      </c>
      <c r="R40" s="4">
        <f t="shared" si="17"/>
        <v>245360.63999999998</v>
      </c>
      <c r="S40" s="15">
        <f t="shared" ref="S40:T49" si="20">M40-O40</f>
        <v>74</v>
      </c>
      <c r="T40" s="15">
        <f t="shared" si="20"/>
        <v>74</v>
      </c>
      <c r="U40" s="19">
        <v>1</v>
      </c>
      <c r="V40" s="19"/>
      <c r="W40" s="26"/>
    </row>
    <row r="41" spans="1:23" s="44" customFormat="1" ht="117" customHeight="1" x14ac:dyDescent="0.35">
      <c r="A41" s="50">
        <v>31</v>
      </c>
      <c r="B41" s="50" t="s">
        <v>71</v>
      </c>
      <c r="C41" s="50" t="s">
        <v>72</v>
      </c>
      <c r="D41" s="49" t="s">
        <v>75</v>
      </c>
      <c r="E41" s="50" t="s">
        <v>9</v>
      </c>
      <c r="F41" s="50">
        <v>5</v>
      </c>
      <c r="G41" s="51" t="s">
        <v>76</v>
      </c>
      <c r="H41" s="48"/>
      <c r="I41" s="54">
        <f>'_2021_VB_bez izmaiņām'!I41</f>
        <v>7</v>
      </c>
      <c r="J41" s="54">
        <f>'_2021_VB_bez izmaiņām'!J41</f>
        <v>7</v>
      </c>
      <c r="K41" s="54">
        <f>'_2021_VB_bez izmaiņām'!K41</f>
        <v>1</v>
      </c>
      <c r="L41" s="54">
        <f t="shared" si="14"/>
        <v>1</v>
      </c>
      <c r="M41" s="12">
        <f t="shared" si="19"/>
        <v>19</v>
      </c>
      <c r="N41" s="12">
        <f t="shared" si="19"/>
        <v>19</v>
      </c>
      <c r="O41" s="11">
        <v>2</v>
      </c>
      <c r="P41" s="54">
        <f t="shared" si="16"/>
        <v>2</v>
      </c>
      <c r="Q41" s="133">
        <f>'_2021_VB_bez izmaiņām'!Q41</f>
        <v>347.92</v>
      </c>
      <c r="R41" s="4">
        <f t="shared" si="17"/>
        <v>695.84</v>
      </c>
      <c r="S41" s="15">
        <f t="shared" si="20"/>
        <v>17</v>
      </c>
      <c r="T41" s="15">
        <f t="shared" si="20"/>
        <v>17</v>
      </c>
      <c r="U41" s="19">
        <v>1</v>
      </c>
      <c r="V41" s="19"/>
      <c r="W41" s="26"/>
    </row>
    <row r="42" spans="1:23" s="44" customFormat="1" ht="42.75" customHeight="1" x14ac:dyDescent="0.35">
      <c r="A42" s="29">
        <v>32</v>
      </c>
      <c r="B42" s="30" t="s">
        <v>77</v>
      </c>
      <c r="C42" s="30" t="s">
        <v>78</v>
      </c>
      <c r="D42" s="29" t="s">
        <v>99</v>
      </c>
      <c r="E42" s="30" t="s">
        <v>9</v>
      </c>
      <c r="F42" s="30">
        <v>2</v>
      </c>
      <c r="G42" s="43" t="s">
        <v>10</v>
      </c>
      <c r="H42" s="48"/>
      <c r="I42" s="54">
        <f>'_2021_VB_bez izmaiņām'!I42</f>
        <v>37</v>
      </c>
      <c r="J42" s="54">
        <f>'_2021_VB_bez izmaiņām'!J42</f>
        <v>37</v>
      </c>
      <c r="K42" s="54">
        <f>'_2021_VB_bez izmaiņām'!K42</f>
        <v>34</v>
      </c>
      <c r="L42" s="54">
        <f t="shared" si="14"/>
        <v>34</v>
      </c>
      <c r="M42" s="132">
        <f t="shared" si="19"/>
        <v>445</v>
      </c>
      <c r="N42" s="132">
        <f>J42+(L42*12)</f>
        <v>445</v>
      </c>
      <c r="O42" s="11">
        <v>200</v>
      </c>
      <c r="P42" s="54">
        <f t="shared" si="16"/>
        <v>200</v>
      </c>
      <c r="Q42" s="133">
        <f>'_2021_VB_bez izmaiņām'!Q42</f>
        <v>72.27</v>
      </c>
      <c r="R42" s="4">
        <f t="shared" si="17"/>
        <v>14454</v>
      </c>
      <c r="S42" s="15">
        <f t="shared" si="20"/>
        <v>245</v>
      </c>
      <c r="T42" s="15">
        <f t="shared" si="20"/>
        <v>245</v>
      </c>
      <c r="U42" s="1"/>
      <c r="V42" s="1">
        <v>1</v>
      </c>
      <c r="W42" s="27" t="s">
        <v>111</v>
      </c>
    </row>
    <row r="43" spans="1:23" ht="20.25" customHeight="1" x14ac:dyDescent="0.35">
      <c r="A43" s="29">
        <v>33</v>
      </c>
      <c r="B43" s="30" t="s">
        <v>142</v>
      </c>
      <c r="C43" s="30" t="s">
        <v>79</v>
      </c>
      <c r="D43" s="29" t="s">
        <v>80</v>
      </c>
      <c r="E43" s="30" t="s">
        <v>9</v>
      </c>
      <c r="F43" s="30">
        <v>5</v>
      </c>
      <c r="G43" s="43" t="s">
        <v>110</v>
      </c>
      <c r="H43" s="48"/>
      <c r="I43" s="54">
        <f>'_2021_VB_bez izmaiņām'!I43</f>
        <v>0</v>
      </c>
      <c r="J43" s="54">
        <f>'_2021_VB_bez izmaiņām'!J43</f>
        <v>0</v>
      </c>
      <c r="K43" s="104">
        <v>3</v>
      </c>
      <c r="L43" s="99">
        <f t="shared" si="14"/>
        <v>3</v>
      </c>
      <c r="M43" s="132">
        <f t="shared" si="19"/>
        <v>36</v>
      </c>
      <c r="N43" s="132">
        <f t="shared" si="19"/>
        <v>36</v>
      </c>
      <c r="O43" s="104">
        <v>5</v>
      </c>
      <c r="P43" s="54">
        <f t="shared" si="16"/>
        <v>5</v>
      </c>
      <c r="Q43" s="134">
        <v>2400</v>
      </c>
      <c r="R43" s="4">
        <f t="shared" si="17"/>
        <v>12000</v>
      </c>
      <c r="S43" s="15">
        <f t="shared" si="20"/>
        <v>31</v>
      </c>
      <c r="T43" s="15">
        <f t="shared" si="20"/>
        <v>31</v>
      </c>
      <c r="U43" s="1"/>
      <c r="V43" s="1">
        <v>1</v>
      </c>
      <c r="W43" s="27" t="s">
        <v>126</v>
      </c>
    </row>
    <row r="44" spans="1:23" ht="22.5" customHeight="1" x14ac:dyDescent="0.35">
      <c r="A44" s="29">
        <v>34</v>
      </c>
      <c r="B44" s="30" t="s">
        <v>6</v>
      </c>
      <c r="C44" s="30" t="s">
        <v>81</v>
      </c>
      <c r="D44" s="29" t="s">
        <v>82</v>
      </c>
      <c r="E44" s="30" t="s">
        <v>9</v>
      </c>
      <c r="F44" s="30">
        <v>7</v>
      </c>
      <c r="G44" s="43" t="s">
        <v>112</v>
      </c>
      <c r="H44" s="48"/>
      <c r="I44" s="54">
        <f>'_2021_VB_bez izmaiņām'!I44</f>
        <v>0</v>
      </c>
      <c r="J44" s="54">
        <f>'_2021_VB_bez izmaiņām'!J44</f>
        <v>0</v>
      </c>
      <c r="K44" s="104">
        <v>1</v>
      </c>
      <c r="L44" s="99">
        <f t="shared" si="14"/>
        <v>1</v>
      </c>
      <c r="M44" s="132">
        <f t="shared" si="19"/>
        <v>12</v>
      </c>
      <c r="N44" s="132">
        <f t="shared" si="19"/>
        <v>12</v>
      </c>
      <c r="O44" s="104">
        <v>5</v>
      </c>
      <c r="P44" s="54">
        <f t="shared" si="16"/>
        <v>5</v>
      </c>
      <c r="Q44" s="134">
        <v>2500</v>
      </c>
      <c r="R44" s="4">
        <f t="shared" si="17"/>
        <v>12500</v>
      </c>
      <c r="S44" s="15">
        <f t="shared" si="20"/>
        <v>7</v>
      </c>
      <c r="T44" s="15">
        <f t="shared" si="20"/>
        <v>7</v>
      </c>
      <c r="U44" s="1"/>
      <c r="V44" s="1">
        <v>1</v>
      </c>
      <c r="W44" s="27" t="s">
        <v>126</v>
      </c>
    </row>
    <row r="45" spans="1:23" s="44" customFormat="1" ht="30" customHeight="1" x14ac:dyDescent="0.35">
      <c r="A45" s="50">
        <v>35</v>
      </c>
      <c r="B45" s="30" t="s">
        <v>77</v>
      </c>
      <c r="C45" s="30" t="s">
        <v>78</v>
      </c>
      <c r="D45" s="29" t="s">
        <v>83</v>
      </c>
      <c r="E45" s="30" t="s">
        <v>9</v>
      </c>
      <c r="F45" s="30">
        <v>5</v>
      </c>
      <c r="G45" s="43" t="s">
        <v>74</v>
      </c>
      <c r="H45" s="48"/>
      <c r="I45" s="54">
        <f>'_2021_VB_bez izmaiņām'!I45</f>
        <v>63</v>
      </c>
      <c r="J45" s="54">
        <f>'_2021_VB_bez izmaiņām'!J45</f>
        <v>63</v>
      </c>
      <c r="K45" s="54">
        <f>'_2021_VB_bez izmaiņām'!K45</f>
        <v>15</v>
      </c>
      <c r="L45" s="54">
        <f t="shared" si="14"/>
        <v>15</v>
      </c>
      <c r="M45" s="132">
        <f t="shared" si="19"/>
        <v>243</v>
      </c>
      <c r="N45" s="132">
        <f t="shared" si="19"/>
        <v>243</v>
      </c>
      <c r="O45" s="11">
        <v>101</v>
      </c>
      <c r="P45" s="54">
        <f t="shared" si="16"/>
        <v>101</v>
      </c>
      <c r="Q45" s="133">
        <f>'_2021_VB_bez izmaiņām'!Q45</f>
        <v>59.51</v>
      </c>
      <c r="R45" s="4">
        <f t="shared" si="17"/>
        <v>6010.51</v>
      </c>
      <c r="S45" s="15">
        <f t="shared" si="20"/>
        <v>142</v>
      </c>
      <c r="T45" s="15">
        <f t="shared" si="20"/>
        <v>142</v>
      </c>
      <c r="U45" s="1">
        <v>1</v>
      </c>
      <c r="V45" s="1"/>
      <c r="W45" s="27"/>
    </row>
    <row r="46" spans="1:23" ht="30" customHeight="1" x14ac:dyDescent="0.35">
      <c r="A46" s="29">
        <v>36</v>
      </c>
      <c r="B46" s="30" t="s">
        <v>169</v>
      </c>
      <c r="C46" s="30" t="s">
        <v>170</v>
      </c>
      <c r="D46" s="29" t="s">
        <v>171</v>
      </c>
      <c r="E46" s="30" t="s">
        <v>9</v>
      </c>
      <c r="F46" s="30">
        <v>5</v>
      </c>
      <c r="G46" s="43" t="s">
        <v>172</v>
      </c>
      <c r="H46" s="48"/>
      <c r="I46" s="54">
        <f>'_2021_VB_bez izmaiņām'!I46</f>
        <v>0</v>
      </c>
      <c r="J46" s="54">
        <f>'_2021_VB_bez izmaiņām'!J46</f>
        <v>0</v>
      </c>
      <c r="K46" s="104">
        <v>10</v>
      </c>
      <c r="L46" s="104">
        <v>10</v>
      </c>
      <c r="M46" s="132">
        <f t="shared" si="19"/>
        <v>120</v>
      </c>
      <c r="N46" s="132">
        <f t="shared" si="19"/>
        <v>120</v>
      </c>
      <c r="O46" s="104">
        <v>99</v>
      </c>
      <c r="P46" s="54">
        <f t="shared" si="16"/>
        <v>99</v>
      </c>
      <c r="Q46" s="134">
        <v>168.07</v>
      </c>
      <c r="R46" s="4">
        <f t="shared" si="17"/>
        <v>16638.93</v>
      </c>
      <c r="S46" s="15">
        <f t="shared" si="20"/>
        <v>21</v>
      </c>
      <c r="T46" s="15">
        <f t="shared" si="20"/>
        <v>21</v>
      </c>
      <c r="U46" s="1">
        <v>1</v>
      </c>
      <c r="V46" s="1"/>
      <c r="W46" s="27" t="s">
        <v>126</v>
      </c>
    </row>
    <row r="47" spans="1:23" s="44" customFormat="1" ht="63.75" customHeight="1" x14ac:dyDescent="0.35">
      <c r="A47" s="29">
        <v>37</v>
      </c>
      <c r="B47" s="30" t="s">
        <v>84</v>
      </c>
      <c r="C47" s="30" t="s">
        <v>79</v>
      </c>
      <c r="D47" s="29" t="s">
        <v>85</v>
      </c>
      <c r="E47" s="30" t="s">
        <v>9</v>
      </c>
      <c r="F47" s="30">
        <v>5</v>
      </c>
      <c r="G47" s="43" t="s">
        <v>86</v>
      </c>
      <c r="H47" s="48"/>
      <c r="I47" s="54">
        <f>'_2021_VB_bez izmaiņām'!I47</f>
        <v>3</v>
      </c>
      <c r="J47" s="54">
        <f>'_2021_VB_bez izmaiņām'!J47</f>
        <v>3</v>
      </c>
      <c r="K47" s="54">
        <f>'_2021_VB_bez izmaiņām'!K47</f>
        <v>6</v>
      </c>
      <c r="L47" s="54">
        <f t="shared" si="14"/>
        <v>6</v>
      </c>
      <c r="M47" s="12">
        <f t="shared" si="19"/>
        <v>75</v>
      </c>
      <c r="N47" s="12">
        <f t="shared" si="19"/>
        <v>75</v>
      </c>
      <c r="O47" s="11">
        <v>75</v>
      </c>
      <c r="P47" s="54">
        <f t="shared" si="16"/>
        <v>75</v>
      </c>
      <c r="Q47" s="133">
        <f>'_2021_VB_bez izmaiņām'!Q47</f>
        <v>154.88</v>
      </c>
      <c r="R47" s="4">
        <f t="shared" si="17"/>
        <v>11616</v>
      </c>
      <c r="S47" s="15">
        <f t="shared" si="20"/>
        <v>0</v>
      </c>
      <c r="T47" s="15">
        <f t="shared" si="20"/>
        <v>0</v>
      </c>
      <c r="U47" s="1"/>
      <c r="V47" s="1">
        <v>1</v>
      </c>
      <c r="W47" s="27"/>
    </row>
    <row r="48" spans="1:23" s="44" customFormat="1" ht="53.25" customHeight="1" x14ac:dyDescent="0.35">
      <c r="A48" s="29">
        <v>38</v>
      </c>
      <c r="B48" s="50" t="s">
        <v>87</v>
      </c>
      <c r="C48" s="50" t="s">
        <v>88</v>
      </c>
      <c r="D48" s="49" t="s">
        <v>89</v>
      </c>
      <c r="E48" s="50" t="s">
        <v>9</v>
      </c>
      <c r="F48" s="50">
        <v>5</v>
      </c>
      <c r="G48" s="51" t="s">
        <v>10</v>
      </c>
      <c r="H48" s="48"/>
      <c r="I48" s="54">
        <f>'_2021_VB_bez izmaiņām'!I48</f>
        <v>1</v>
      </c>
      <c r="J48" s="54">
        <f>'_2021_VB_bez izmaiņām'!J48</f>
        <v>1</v>
      </c>
      <c r="K48" s="54">
        <f>'_2021_VB_bez izmaiņām'!K48</f>
        <v>3</v>
      </c>
      <c r="L48" s="54">
        <f t="shared" si="14"/>
        <v>3</v>
      </c>
      <c r="M48" s="12">
        <f t="shared" si="19"/>
        <v>37</v>
      </c>
      <c r="N48" s="12">
        <f t="shared" si="19"/>
        <v>37</v>
      </c>
      <c r="O48" s="11">
        <v>14</v>
      </c>
      <c r="P48" s="54">
        <f t="shared" si="16"/>
        <v>14</v>
      </c>
      <c r="Q48" s="133">
        <f>'_2021_VB_bez izmaiņām'!Q48</f>
        <v>1269.29</v>
      </c>
      <c r="R48" s="4">
        <f t="shared" si="17"/>
        <v>17770.059999999998</v>
      </c>
      <c r="S48" s="15">
        <f t="shared" si="20"/>
        <v>23</v>
      </c>
      <c r="T48" s="15">
        <f t="shared" si="20"/>
        <v>23</v>
      </c>
      <c r="U48" s="1"/>
      <c r="V48" s="1">
        <v>1</v>
      </c>
      <c r="W48" s="27"/>
    </row>
    <row r="49" spans="1:23" s="44" customFormat="1" x14ac:dyDescent="0.35">
      <c r="A49" s="50">
        <v>39</v>
      </c>
      <c r="B49" s="30" t="s">
        <v>87</v>
      </c>
      <c r="C49" s="30" t="s">
        <v>90</v>
      </c>
      <c r="D49" s="29" t="s">
        <v>113</v>
      </c>
      <c r="E49" s="30" t="s">
        <v>9</v>
      </c>
      <c r="F49" s="30">
        <v>5</v>
      </c>
      <c r="G49" s="43" t="s">
        <v>10</v>
      </c>
      <c r="H49" s="48"/>
      <c r="I49" s="54">
        <f>'_2021_VB_bez izmaiņām'!I49</f>
        <v>0</v>
      </c>
      <c r="J49" s="54">
        <f>'_2021_VB_bez izmaiņām'!J49</f>
        <v>0</v>
      </c>
      <c r="K49" s="104">
        <v>2</v>
      </c>
      <c r="L49" s="104">
        <f t="shared" si="14"/>
        <v>2</v>
      </c>
      <c r="M49" s="132">
        <f t="shared" si="19"/>
        <v>24</v>
      </c>
      <c r="N49" s="132">
        <f t="shared" si="19"/>
        <v>24</v>
      </c>
      <c r="O49" s="104">
        <v>0</v>
      </c>
      <c r="P49" s="54">
        <f t="shared" si="16"/>
        <v>0</v>
      </c>
      <c r="Q49" s="134">
        <f>'_2021_VB_bez izmaiņām'!Q49</f>
        <v>200</v>
      </c>
      <c r="R49" s="4">
        <f t="shared" si="17"/>
        <v>0</v>
      </c>
      <c r="S49" s="15">
        <f t="shared" si="20"/>
        <v>24</v>
      </c>
      <c r="T49" s="15">
        <f t="shared" si="20"/>
        <v>24</v>
      </c>
      <c r="U49" s="1"/>
      <c r="V49" s="1">
        <v>1</v>
      </c>
      <c r="W49" s="27" t="s">
        <v>109</v>
      </c>
    </row>
    <row r="50" spans="1:23" s="44" customFormat="1" ht="20.25" customHeight="1" x14ac:dyDescent="0.35">
      <c r="A50" s="39"/>
      <c r="B50" s="40"/>
      <c r="C50" s="41">
        <v>27</v>
      </c>
      <c r="D50" s="188" t="s">
        <v>91</v>
      </c>
      <c r="E50" s="188"/>
      <c r="F50" s="188"/>
      <c r="G50" s="188"/>
      <c r="H50" s="63"/>
      <c r="I50" s="9">
        <f>'_2021_VB_bez izmaiņām'!I50</f>
        <v>18</v>
      </c>
      <c r="J50" s="9">
        <f>'_2021_VB_bez izmaiņām'!J50</f>
        <v>18</v>
      </c>
      <c r="K50" s="9">
        <f t="shared" ref="K50:P50" si="21">K51+K52</f>
        <v>10</v>
      </c>
      <c r="L50" s="9">
        <f t="shared" si="21"/>
        <v>10</v>
      </c>
      <c r="M50" s="9">
        <f t="shared" si="21"/>
        <v>138</v>
      </c>
      <c r="N50" s="9">
        <f t="shared" si="21"/>
        <v>138</v>
      </c>
      <c r="O50" s="9">
        <f t="shared" si="21"/>
        <v>126</v>
      </c>
      <c r="P50" s="9">
        <f t="shared" si="21"/>
        <v>126</v>
      </c>
      <c r="Q50" s="9" t="str">
        <f>'_2021_VB_bez izmaiņām'!Q50</f>
        <v>x</v>
      </c>
      <c r="R50" s="3">
        <f t="shared" ref="R50" si="22">R51+R52</f>
        <v>7712.5400000000009</v>
      </c>
      <c r="S50" s="9">
        <f>S51+S52</f>
        <v>12</v>
      </c>
      <c r="T50" s="9">
        <f>T51+T52</f>
        <v>12</v>
      </c>
      <c r="U50" s="7"/>
      <c r="V50" s="7">
        <v>1</v>
      </c>
      <c r="W50" s="27"/>
    </row>
    <row r="51" spans="1:23" s="44" customFormat="1" ht="28" x14ac:dyDescent="0.35">
      <c r="A51" s="31">
        <v>40</v>
      </c>
      <c r="B51" s="32" t="s">
        <v>6</v>
      </c>
      <c r="C51" s="32" t="s">
        <v>92</v>
      </c>
      <c r="D51" s="31" t="s">
        <v>93</v>
      </c>
      <c r="E51" s="32" t="s">
        <v>9</v>
      </c>
      <c r="F51" s="32">
        <v>3</v>
      </c>
      <c r="G51" s="42" t="s">
        <v>10</v>
      </c>
      <c r="H51" s="47"/>
      <c r="I51" s="54">
        <f>'_2021_VB_bez izmaiņām'!I51</f>
        <v>16</v>
      </c>
      <c r="J51" s="54">
        <f>'_2021_VB_bez izmaiņām'!J51</f>
        <v>16</v>
      </c>
      <c r="K51" s="54">
        <f>'_2021_VB_bez izmaiņām'!K51</f>
        <v>8</v>
      </c>
      <c r="L51" s="54">
        <f t="shared" ref="L51:L52" si="23">IF(I51=0,K51,K51*(J51/I51))</f>
        <v>8</v>
      </c>
      <c r="M51" s="12">
        <f t="shared" ref="M51:N52" si="24">I51+(K51*12)</f>
        <v>112</v>
      </c>
      <c r="N51" s="12">
        <f t="shared" si="24"/>
        <v>112</v>
      </c>
      <c r="O51" s="11">
        <v>106</v>
      </c>
      <c r="P51" s="54">
        <f t="shared" ref="P51:P52" si="25">IF(I51=0,O51,O51*(J51/I51))</f>
        <v>106</v>
      </c>
      <c r="Q51" s="133">
        <f>'_2021_VB_bez izmaiņām'!Q51</f>
        <v>35.090000000000003</v>
      </c>
      <c r="R51" s="4">
        <f t="shared" ref="R51:R52" si="26">Q51*P51</f>
        <v>3719.5400000000004</v>
      </c>
      <c r="S51" s="15">
        <f t="shared" ref="S51:T52" si="27">M51-O51</f>
        <v>6</v>
      </c>
      <c r="T51" s="15">
        <f t="shared" si="27"/>
        <v>6</v>
      </c>
      <c r="U51" s="1"/>
      <c r="V51" s="1">
        <v>1</v>
      </c>
      <c r="W51" s="27"/>
    </row>
    <row r="52" spans="1:23" s="44" customFormat="1" x14ac:dyDescent="0.35">
      <c r="A52" s="31">
        <v>41</v>
      </c>
      <c r="B52" s="32" t="s">
        <v>6</v>
      </c>
      <c r="C52" s="32" t="s">
        <v>94</v>
      </c>
      <c r="D52" s="31" t="s">
        <v>95</v>
      </c>
      <c r="E52" s="32" t="s">
        <v>9</v>
      </c>
      <c r="F52" s="32">
        <v>5</v>
      </c>
      <c r="G52" s="42" t="s">
        <v>10</v>
      </c>
      <c r="H52" s="47"/>
      <c r="I52" s="54">
        <f>'_2021_VB_bez izmaiņām'!I52</f>
        <v>2</v>
      </c>
      <c r="J52" s="54">
        <f>'_2021_VB_bez izmaiņām'!J52</f>
        <v>2</v>
      </c>
      <c r="K52" s="54">
        <f>'_2021_VB_bez izmaiņām'!K52</f>
        <v>2</v>
      </c>
      <c r="L52" s="54">
        <f t="shared" si="23"/>
        <v>2</v>
      </c>
      <c r="M52" s="12">
        <f t="shared" si="24"/>
        <v>26</v>
      </c>
      <c r="N52" s="12">
        <f t="shared" si="24"/>
        <v>26</v>
      </c>
      <c r="O52" s="11">
        <v>20</v>
      </c>
      <c r="P52" s="54">
        <f t="shared" si="25"/>
        <v>20</v>
      </c>
      <c r="Q52" s="133">
        <f>'_2021_VB_bez izmaiņām'!Q52</f>
        <v>199.65</v>
      </c>
      <c r="R52" s="4">
        <f t="shared" si="26"/>
        <v>3993</v>
      </c>
      <c r="S52" s="15">
        <f t="shared" si="27"/>
        <v>6</v>
      </c>
      <c r="T52" s="15">
        <f t="shared" si="27"/>
        <v>6</v>
      </c>
      <c r="U52" s="1"/>
      <c r="V52" s="1">
        <v>1</v>
      </c>
      <c r="W52" s="27"/>
    </row>
    <row r="53" spans="1:23" x14ac:dyDescent="0.35">
      <c r="H53" s="46"/>
      <c r="I53" s="106">
        <f>ROUND(I8+I13+I15+I18+I21+I50,0)</f>
        <v>4121</v>
      </c>
      <c r="J53" s="17">
        <f>ROUND(J8+J13+J15+J18+J21+J50,0)</f>
        <v>6112</v>
      </c>
      <c r="K53" s="17">
        <f t="shared" ref="K53:P53" si="28">ROUND(K8+K13+K15+K18+K21+K50,0)</f>
        <v>697</v>
      </c>
      <c r="L53" s="17">
        <f t="shared" si="28"/>
        <v>889</v>
      </c>
      <c r="M53" s="17">
        <f t="shared" si="28"/>
        <v>12485</v>
      </c>
      <c r="N53" s="17">
        <f t="shared" si="28"/>
        <v>16781</v>
      </c>
      <c r="O53" s="106">
        <f>ROUND(O8+O13+O15+O18+O21+O50,0)</f>
        <v>6068</v>
      </c>
      <c r="P53" s="17">
        <f t="shared" si="28"/>
        <v>7389</v>
      </c>
      <c r="Q53" s="21" t="s">
        <v>119</v>
      </c>
      <c r="R53" s="17">
        <f>ROUND(R8+R13+R15+R18+R21+R50,0)</f>
        <v>1844850</v>
      </c>
      <c r="S53" s="106">
        <f>ROUND(S8+S13+S15+S18+S21+S50,0)</f>
        <v>6417</v>
      </c>
      <c r="T53" s="17">
        <f t="shared" ref="T53" si="29">ROUND(T8+T13+T15+T18+T21+T50,0)</f>
        <v>9392</v>
      </c>
    </row>
    <row r="54" spans="1:23" x14ac:dyDescent="0.35">
      <c r="H54" s="46"/>
      <c r="I54" s="18">
        <f>ROUND(I27+I28+I29+I30+I38+I39+I40+I41+I45+I46,0)</f>
        <v>3803</v>
      </c>
      <c r="J54" s="18">
        <f t="shared" ref="J54:T54" si="30">ROUND(J27+J28+J29+J30+J38+J39+J40+J41+J45+J46,0)</f>
        <v>5794</v>
      </c>
      <c r="K54" s="18">
        <f t="shared" si="30"/>
        <v>384</v>
      </c>
      <c r="L54" s="18">
        <f t="shared" si="30"/>
        <v>576</v>
      </c>
      <c r="M54" s="18">
        <f t="shared" si="30"/>
        <v>8411</v>
      </c>
      <c r="N54" s="18">
        <f t="shared" si="30"/>
        <v>12707</v>
      </c>
      <c r="O54" s="18">
        <f t="shared" si="30"/>
        <v>3163</v>
      </c>
      <c r="P54" s="18">
        <f t="shared" si="30"/>
        <v>4484</v>
      </c>
      <c r="Q54" s="18"/>
      <c r="R54" s="18">
        <f t="shared" si="30"/>
        <v>1166981</v>
      </c>
      <c r="S54" s="18">
        <f t="shared" si="30"/>
        <v>5248</v>
      </c>
      <c r="T54" s="18">
        <f t="shared" si="30"/>
        <v>8223</v>
      </c>
    </row>
    <row r="55" spans="1:23" x14ac:dyDescent="0.35">
      <c r="H55" s="46"/>
      <c r="I55" s="46"/>
      <c r="J55" s="46"/>
      <c r="K55" s="46"/>
      <c r="O55" s="46"/>
      <c r="P55" s="184" t="s">
        <v>231</v>
      </c>
      <c r="Q55" s="185" t="s">
        <v>130</v>
      </c>
      <c r="R55" s="18">
        <v>1166981</v>
      </c>
    </row>
    <row r="56" spans="1:23" x14ac:dyDescent="0.35">
      <c r="H56" s="46"/>
      <c r="I56" s="46"/>
      <c r="J56" s="46"/>
      <c r="K56" s="46"/>
      <c r="O56" s="46"/>
      <c r="P56" s="184" t="s">
        <v>131</v>
      </c>
      <c r="Q56" s="185" t="s">
        <v>131</v>
      </c>
      <c r="R56" s="18">
        <f>R54-R55</f>
        <v>0</v>
      </c>
    </row>
    <row r="57" spans="1:23" x14ac:dyDescent="0.35">
      <c r="H57" s="46"/>
      <c r="I57" s="46"/>
      <c r="J57" s="46"/>
      <c r="K57" s="46"/>
      <c r="O57" s="46"/>
      <c r="Q57" s="65"/>
    </row>
    <row r="58" spans="1:23" s="44" customFormat="1" x14ac:dyDescent="0.35">
      <c r="B58" s="45"/>
      <c r="C58" s="45"/>
      <c r="E58" s="45"/>
      <c r="F58" s="45"/>
      <c r="G58" s="46"/>
      <c r="H58" s="46"/>
      <c r="I58" s="18">
        <f>ROUND(I9+I10+I11+I12+I14+I16+I17+I19+I20+I22+I23+I24+I25+I26+I31+I32+I33+I34+I35+I36+I42+I43+I44+I47+I49+I51+I52+I48+I37,0)</f>
        <v>318</v>
      </c>
      <c r="J58" s="18">
        <f t="shared" ref="J58:P58" si="31">ROUND(J9+J10+J11+J12+J14+J16+J17+J19+J20+J22+J23+J24+J25+J26+J31+J32+J33+J34+J35+J36+J42+J43+J44+J47+J49+J51+J52+J48+J37,0)</f>
        <v>318</v>
      </c>
      <c r="K58" s="18">
        <f t="shared" si="31"/>
        <v>313</v>
      </c>
      <c r="L58" s="18">
        <f t="shared" si="31"/>
        <v>313</v>
      </c>
      <c r="M58" s="18">
        <f t="shared" si="31"/>
        <v>4074</v>
      </c>
      <c r="N58" s="18">
        <f t="shared" si="31"/>
        <v>4074</v>
      </c>
      <c r="O58" s="18">
        <f t="shared" si="31"/>
        <v>2905</v>
      </c>
      <c r="P58" s="18">
        <f t="shared" si="31"/>
        <v>2905</v>
      </c>
      <c r="Q58" s="18"/>
      <c r="R58" s="18">
        <f>ROUND(R9+R10+R11+R12+R14+R16+R17+R19+R20+R22+R23+R24+R25+R26+R31+R32+R33+R34+R35+R36+R42+R43+R44+R47+R49+R51+R52+R48+R37,0)</f>
        <v>677869</v>
      </c>
      <c r="S58" s="18">
        <f t="shared" ref="S58:T58" si="32">ROUND(S9+S10+S11+S12+S14+S16+S17+S19+S20+S22+S23+S24+S25+S26+S31+S32+S33+S34+S35+S36+S42+S43+S44+S47+S49+S51+S52+S48+S37,0)</f>
        <v>1169</v>
      </c>
      <c r="T58" s="18">
        <f t="shared" si="32"/>
        <v>1169</v>
      </c>
      <c r="U58" s="18"/>
      <c r="V58" s="18"/>
      <c r="W58" s="18"/>
    </row>
    <row r="59" spans="1:23"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3" s="44" customFormat="1" x14ac:dyDescent="0.35">
      <c r="B60" s="45"/>
      <c r="C60" s="45"/>
      <c r="E60" s="45"/>
      <c r="F60" s="45"/>
      <c r="G60" s="46"/>
      <c r="H60" s="46"/>
      <c r="I60" s="46"/>
      <c r="J60" s="46"/>
      <c r="K60" s="46"/>
      <c r="L60" s="46"/>
      <c r="M60" s="46"/>
      <c r="N60" s="46"/>
      <c r="O60" s="46"/>
      <c r="P60" s="184" t="s">
        <v>132</v>
      </c>
      <c r="Q60" s="185" t="s">
        <v>131</v>
      </c>
      <c r="R60" s="18">
        <f>R58-R59</f>
        <v>0</v>
      </c>
      <c r="S60" s="46"/>
      <c r="T60" s="46"/>
      <c r="U60" s="8"/>
      <c r="V60" s="8"/>
      <c r="W60" s="27"/>
    </row>
    <row r="61" spans="1:23" x14ac:dyDescent="0.35">
      <c r="H61" s="46"/>
      <c r="I61" s="46"/>
      <c r="J61" s="46"/>
      <c r="K61" s="46"/>
      <c r="O61" s="46"/>
      <c r="Q61" s="65"/>
    </row>
    <row r="62" spans="1:23" x14ac:dyDescent="0.35">
      <c r="H62" s="46"/>
      <c r="I62" s="46"/>
      <c r="J62" s="46"/>
      <c r="K62" s="46"/>
      <c r="O62" s="46"/>
      <c r="Q62" s="65" t="s">
        <v>233</v>
      </c>
      <c r="R62" s="18">
        <f>R55+R59</f>
        <v>1844850</v>
      </c>
    </row>
    <row r="63" spans="1:23" ht="18" x14ac:dyDescent="0.35">
      <c r="H63" s="46"/>
      <c r="I63" s="46"/>
      <c r="J63" s="46"/>
      <c r="K63" s="46"/>
      <c r="O63" s="66"/>
      <c r="P63" s="66"/>
      <c r="Q63" s="67" t="s">
        <v>234</v>
      </c>
      <c r="R63" s="77">
        <f>R53-R62</f>
        <v>0</v>
      </c>
    </row>
    <row r="64" spans="1:23" x14ac:dyDescent="0.35">
      <c r="H64" s="46"/>
      <c r="I64" s="46"/>
      <c r="J64" s="46"/>
      <c r="K64" s="46"/>
      <c r="O64" s="46"/>
      <c r="Q64" s="65"/>
      <c r="R64" s="18">
        <f>R53-R55-R59-R60-R56</f>
        <v>0</v>
      </c>
    </row>
    <row r="65" spans="8:20" x14ac:dyDescent="0.35">
      <c r="H65" s="46"/>
      <c r="I65" s="18">
        <f>I53-I54-I58</f>
        <v>0</v>
      </c>
      <c r="J65" s="18">
        <f t="shared" ref="J65:P65" si="33">J53-J54-J58</f>
        <v>0</v>
      </c>
      <c r="K65" s="18">
        <f t="shared" si="33"/>
        <v>0</v>
      </c>
      <c r="L65" s="18">
        <f t="shared" si="33"/>
        <v>0</v>
      </c>
      <c r="M65" s="18">
        <f t="shared" si="33"/>
        <v>0</v>
      </c>
      <c r="N65" s="18">
        <f t="shared" si="33"/>
        <v>0</v>
      </c>
      <c r="O65" s="18">
        <f t="shared" si="33"/>
        <v>0</v>
      </c>
      <c r="P65" s="18">
        <f t="shared" si="33"/>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34">ROUND(J54,0)+ ROUND(J58,0)-ROUND(J53,0)</f>
        <v>0</v>
      </c>
      <c r="K67" s="18">
        <f t="shared" si="34"/>
        <v>0</v>
      </c>
      <c r="L67" s="18">
        <f t="shared" si="34"/>
        <v>0</v>
      </c>
      <c r="M67" s="18">
        <f t="shared" si="34"/>
        <v>0</v>
      </c>
      <c r="N67" s="18">
        <f t="shared" si="34"/>
        <v>0</v>
      </c>
      <c r="O67" s="18">
        <f t="shared" si="34"/>
        <v>0</v>
      </c>
      <c r="P67" s="18">
        <f t="shared" si="34"/>
        <v>0</v>
      </c>
      <c r="Q67" s="18"/>
      <c r="R67" s="18">
        <f t="shared" si="34"/>
        <v>0</v>
      </c>
      <c r="S67" s="18">
        <f t="shared" si="34"/>
        <v>0</v>
      </c>
      <c r="T67" s="18">
        <f t="shared" si="34"/>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Z52" xr:uid="{7C37CABB-E10E-4EE9-BACF-F0E0C32B851A}"/>
  <mergeCells count="22">
    <mergeCell ref="A1:T1"/>
    <mergeCell ref="A2:T2"/>
    <mergeCell ref="A3:T3"/>
    <mergeCell ref="I4:R4"/>
    <mergeCell ref="A5:G5"/>
    <mergeCell ref="I5:J5"/>
    <mergeCell ref="K5:L5"/>
    <mergeCell ref="M5:N5"/>
    <mergeCell ref="O5:P5"/>
    <mergeCell ref="Q5:Q6"/>
    <mergeCell ref="P60:Q60"/>
    <mergeCell ref="R5:R6"/>
    <mergeCell ref="S5:T5"/>
    <mergeCell ref="D8:G8"/>
    <mergeCell ref="D13:G13"/>
    <mergeCell ref="D15:G15"/>
    <mergeCell ref="D18:G18"/>
    <mergeCell ref="D21:G21"/>
    <mergeCell ref="D50:G50"/>
    <mergeCell ref="P55:Q55"/>
    <mergeCell ref="P56:Q56"/>
    <mergeCell ref="P59:Q59"/>
  </mergeCells>
  <pageMargins left="0.51181102362204722" right="0.31496062992125984" top="0.94488188976377963" bottom="0.59055118110236227"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A0FC5-BE59-47EC-BF48-38A113BEFE92}">
  <sheetPr>
    <tabColor theme="0" tint="-0.14999847407452621"/>
  </sheetPr>
  <dimension ref="A1:Y70"/>
  <sheetViews>
    <sheetView zoomScale="70" zoomScaleNormal="70" workbookViewId="0">
      <pane ySplit="7" topLeftCell="A8" activePane="bottomLeft" state="frozen"/>
      <selection activeCell="D1" sqref="D1"/>
      <selection pane="bottomLeft" activeCell="I53" sqref="I53:T58"/>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50" style="27" hidden="1" customWidth="1"/>
    <col min="24" max="24" width="20.08984375" style="72" customWidth="1"/>
    <col min="25" max="26" width="9.08984375" style="72" customWidth="1"/>
    <col min="27" max="16384" width="9.08984375" style="72"/>
  </cols>
  <sheetData>
    <row r="1" spans="1:25" s="44" customFormat="1" x14ac:dyDescent="0.35">
      <c r="A1" s="189" t="s">
        <v>193</v>
      </c>
      <c r="B1" s="189"/>
      <c r="C1" s="189"/>
      <c r="D1" s="189"/>
      <c r="E1" s="189"/>
      <c r="F1" s="189"/>
      <c r="G1" s="189"/>
      <c r="H1" s="189"/>
      <c r="I1" s="189"/>
      <c r="J1" s="189"/>
      <c r="K1" s="189"/>
      <c r="L1" s="189"/>
      <c r="M1" s="189"/>
      <c r="N1" s="189"/>
      <c r="O1" s="189"/>
      <c r="P1" s="189"/>
      <c r="Q1" s="189"/>
      <c r="R1" s="189"/>
      <c r="S1" s="189"/>
      <c r="T1" s="189"/>
      <c r="U1" s="8"/>
      <c r="V1" s="8"/>
      <c r="W1" s="27"/>
    </row>
    <row r="2" spans="1:25" s="44" customFormat="1" x14ac:dyDescent="0.35">
      <c r="A2" s="190" t="s">
        <v>187</v>
      </c>
      <c r="B2" s="190"/>
      <c r="C2" s="190"/>
      <c r="D2" s="190"/>
      <c r="E2" s="190"/>
      <c r="F2" s="190"/>
      <c r="G2" s="190"/>
      <c r="H2" s="190"/>
      <c r="I2" s="190"/>
      <c r="J2" s="190"/>
      <c r="K2" s="190"/>
      <c r="L2" s="190"/>
      <c r="M2" s="190"/>
      <c r="N2" s="190"/>
      <c r="O2" s="190"/>
      <c r="P2" s="190"/>
      <c r="Q2" s="190"/>
      <c r="R2" s="190"/>
      <c r="S2" s="190"/>
      <c r="T2" s="190"/>
      <c r="U2" s="8"/>
      <c r="V2" s="8"/>
      <c r="W2" s="27"/>
    </row>
    <row r="3" spans="1:25" s="44" customFormat="1" ht="75" customHeight="1" x14ac:dyDescent="0.35">
      <c r="A3" s="191" t="s">
        <v>224</v>
      </c>
      <c r="B3" s="191"/>
      <c r="C3" s="191"/>
      <c r="D3" s="191"/>
      <c r="E3" s="191"/>
      <c r="F3" s="191"/>
      <c r="G3" s="191"/>
      <c r="H3" s="191"/>
      <c r="I3" s="191"/>
      <c r="J3" s="191"/>
      <c r="K3" s="191"/>
      <c r="L3" s="191"/>
      <c r="M3" s="191"/>
      <c r="N3" s="191"/>
      <c r="O3" s="191"/>
      <c r="P3" s="191"/>
      <c r="Q3" s="191"/>
      <c r="R3" s="191"/>
      <c r="S3" s="191"/>
      <c r="T3" s="191"/>
      <c r="U3" s="8"/>
      <c r="V3" s="8"/>
      <c r="W3" s="55"/>
      <c r="Y3" s="57"/>
    </row>
    <row r="4" spans="1:25" s="34" customFormat="1" ht="25.5" x14ac:dyDescent="0.35">
      <c r="B4" s="35"/>
      <c r="C4" s="35"/>
      <c r="E4" s="35"/>
      <c r="F4" s="35"/>
      <c r="G4" s="36"/>
      <c r="H4" s="36"/>
      <c r="I4" s="192" t="s">
        <v>177</v>
      </c>
      <c r="J4" s="193"/>
      <c r="K4" s="193"/>
      <c r="L4" s="193"/>
      <c r="M4" s="193"/>
      <c r="N4" s="193"/>
      <c r="O4" s="193"/>
      <c r="P4" s="193"/>
      <c r="Q4" s="194"/>
      <c r="R4" s="195"/>
      <c r="S4" s="36"/>
      <c r="T4" s="58"/>
      <c r="U4" s="25"/>
      <c r="V4" s="25"/>
      <c r="W4" s="130"/>
      <c r="Y4" s="68"/>
    </row>
    <row r="5" spans="1:25" s="44" customFormat="1" ht="27.75" customHeight="1" x14ac:dyDescent="0.35">
      <c r="A5" s="196" t="s">
        <v>100</v>
      </c>
      <c r="B5" s="196"/>
      <c r="C5" s="196"/>
      <c r="D5" s="196"/>
      <c r="E5" s="196"/>
      <c r="F5" s="196"/>
      <c r="G5" s="196"/>
      <c r="H5" s="6"/>
      <c r="I5" s="187" t="s">
        <v>133</v>
      </c>
      <c r="J5" s="187"/>
      <c r="K5" s="187" t="s">
        <v>240</v>
      </c>
      <c r="L5" s="187"/>
      <c r="M5" s="197" t="s">
        <v>135</v>
      </c>
      <c r="N5" s="197"/>
      <c r="O5" s="197" t="s">
        <v>242</v>
      </c>
      <c r="P5" s="197"/>
      <c r="Q5" s="198" t="s">
        <v>128</v>
      </c>
      <c r="R5" s="186" t="s">
        <v>140</v>
      </c>
      <c r="S5" s="187" t="s">
        <v>134</v>
      </c>
      <c r="T5" s="187"/>
      <c r="U5" s="6"/>
      <c r="V5" s="6"/>
      <c r="W5" s="129"/>
    </row>
    <row r="6" spans="1:25" s="44" customFormat="1" ht="150.75" customHeight="1" x14ac:dyDescent="0.25">
      <c r="A6" s="37" t="s">
        <v>96</v>
      </c>
      <c r="B6" s="2" t="s">
        <v>0</v>
      </c>
      <c r="C6" s="2" t="s">
        <v>101</v>
      </c>
      <c r="D6" s="37" t="s">
        <v>1</v>
      </c>
      <c r="E6" s="2" t="s">
        <v>2</v>
      </c>
      <c r="F6" s="2" t="s">
        <v>3</v>
      </c>
      <c r="G6" s="38" t="s">
        <v>4</v>
      </c>
      <c r="H6" s="62"/>
      <c r="I6" s="2" t="s">
        <v>127</v>
      </c>
      <c r="J6" s="2" t="s">
        <v>174</v>
      </c>
      <c r="K6" s="2" t="s">
        <v>136</v>
      </c>
      <c r="L6" s="2" t="s">
        <v>175</v>
      </c>
      <c r="M6" s="127" t="s">
        <v>117</v>
      </c>
      <c r="N6" s="127" t="s">
        <v>118</v>
      </c>
      <c r="O6" s="127" t="s">
        <v>123</v>
      </c>
      <c r="P6" s="127" t="s">
        <v>124</v>
      </c>
      <c r="Q6" s="198"/>
      <c r="R6" s="186"/>
      <c r="S6" s="2" t="s">
        <v>127</v>
      </c>
      <c r="T6" s="2" t="s">
        <v>129</v>
      </c>
      <c r="U6" s="1" t="s">
        <v>115</v>
      </c>
      <c r="V6" s="1" t="s">
        <v>116</v>
      </c>
      <c r="W6" s="28" t="s">
        <v>114</v>
      </c>
    </row>
    <row r="7" spans="1:25"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5" s="44" customFormat="1" ht="18" customHeight="1" x14ac:dyDescent="0.35">
      <c r="A8" s="39"/>
      <c r="B8" s="40"/>
      <c r="C8" s="41">
        <v>4</v>
      </c>
      <c r="D8" s="188" t="s">
        <v>5</v>
      </c>
      <c r="E8" s="188"/>
      <c r="F8" s="188"/>
      <c r="G8" s="188"/>
      <c r="H8" s="63"/>
      <c r="I8" s="9">
        <f>'_2021_VB_ar_ izmaiņām_MK'!S8</f>
        <v>201</v>
      </c>
      <c r="J8" s="9">
        <f>'_2021_VB_ar_ izmaiņām_MK'!T8</f>
        <v>201</v>
      </c>
      <c r="K8" s="9">
        <f t="shared" ref="K8:P8" si="0">K9+K10+K11+K12</f>
        <v>64</v>
      </c>
      <c r="L8" s="9">
        <f t="shared" si="0"/>
        <v>64</v>
      </c>
      <c r="M8" s="9">
        <f t="shared" si="0"/>
        <v>969</v>
      </c>
      <c r="N8" s="9">
        <f t="shared" si="0"/>
        <v>969</v>
      </c>
      <c r="O8" s="9">
        <f t="shared" si="0"/>
        <v>649</v>
      </c>
      <c r="P8" s="9">
        <f t="shared" si="0"/>
        <v>649</v>
      </c>
      <c r="Q8" s="9" t="str">
        <f>'_2021_VB_bez izmaiņām'!Q8</f>
        <v>x</v>
      </c>
      <c r="R8" s="3">
        <f t="shared" ref="R8" si="1">R9+R10+R11+R12</f>
        <v>43990.334999999992</v>
      </c>
      <c r="S8" s="9">
        <f>S9+S10+S11+S12</f>
        <v>320</v>
      </c>
      <c r="T8" s="9">
        <f>T9+T10+T11+T12</f>
        <v>320</v>
      </c>
      <c r="U8" s="7"/>
      <c r="V8" s="7">
        <v>1</v>
      </c>
      <c r="W8" s="27"/>
    </row>
    <row r="9" spans="1:25" s="44" customFormat="1" ht="27.75" customHeight="1" x14ac:dyDescent="0.35">
      <c r="A9" s="31">
        <v>1</v>
      </c>
      <c r="B9" s="32" t="s">
        <v>6</v>
      </c>
      <c r="C9" s="32" t="s">
        <v>7</v>
      </c>
      <c r="D9" s="31" t="s">
        <v>8</v>
      </c>
      <c r="E9" s="32" t="s">
        <v>9</v>
      </c>
      <c r="F9" s="32" t="s">
        <v>97</v>
      </c>
      <c r="G9" s="42" t="s">
        <v>10</v>
      </c>
      <c r="H9" s="47"/>
      <c r="I9" s="15">
        <f>'_2021_VB_ar_ izmaiņām_MK'!S9</f>
        <v>64</v>
      </c>
      <c r="J9" s="15">
        <f>'_2021_VB_ar_ izmaiņām_MK'!T9</f>
        <v>64</v>
      </c>
      <c r="K9" s="53">
        <f>ROUND('_2021_VB_ar_ izmaiņām_MK'!K9*1.025,0)</f>
        <v>25</v>
      </c>
      <c r="L9" s="54">
        <f>IF(I9=0,K9,K9*(J9/I9))</f>
        <v>25</v>
      </c>
      <c r="M9" s="12">
        <f>I9+(K9*12)</f>
        <v>364</v>
      </c>
      <c r="N9" s="12">
        <f>J9+(L9*12)</f>
        <v>364</v>
      </c>
      <c r="O9" s="11">
        <v>199</v>
      </c>
      <c r="P9" s="54">
        <f>IF(I9=0,O9,O9*(J9/I9))</f>
        <v>199</v>
      </c>
      <c r="Q9" s="33">
        <f>'_2021_VB_ar_ izmaiņām_MK'!Q9*1.025</f>
        <v>86.1</v>
      </c>
      <c r="R9" s="4">
        <f>Q9*P9</f>
        <v>17133.899999999998</v>
      </c>
      <c r="S9" s="15">
        <f>M9-O9</f>
        <v>165</v>
      </c>
      <c r="T9" s="15">
        <f>N9-P9</f>
        <v>165</v>
      </c>
      <c r="U9" s="1"/>
      <c r="V9" s="1">
        <v>1</v>
      </c>
      <c r="W9" s="27" t="s">
        <v>102</v>
      </c>
      <c r="X9" s="64"/>
    </row>
    <row r="10" spans="1:25" s="44" customFormat="1" ht="18" customHeight="1" x14ac:dyDescent="0.35">
      <c r="A10" s="31">
        <v>2</v>
      </c>
      <c r="B10" s="32" t="s">
        <v>6</v>
      </c>
      <c r="C10" s="32" t="s">
        <v>11</v>
      </c>
      <c r="D10" s="31" t="s">
        <v>12</v>
      </c>
      <c r="E10" s="32" t="s">
        <v>9</v>
      </c>
      <c r="F10" s="32">
        <v>5</v>
      </c>
      <c r="G10" s="42" t="s">
        <v>10</v>
      </c>
      <c r="H10" s="47"/>
      <c r="I10" s="15">
        <f>'_2021_VB_ar_ izmaiņām_MK'!S10</f>
        <v>41</v>
      </c>
      <c r="J10" s="15">
        <f>'_2021_VB_ar_ izmaiņām_MK'!T10</f>
        <v>41</v>
      </c>
      <c r="K10" s="53">
        <f>ROUND('_2021_VB_ar_ izmaiņām_MK'!K10*1.025,0)</f>
        <v>10</v>
      </c>
      <c r="L10" s="54">
        <f>IF(I10=0,K10,K10*(J10/I10))</f>
        <v>10</v>
      </c>
      <c r="M10" s="12">
        <f>I10+(K10*12)</f>
        <v>161</v>
      </c>
      <c r="N10" s="12">
        <f>J10+(L10*12)</f>
        <v>161</v>
      </c>
      <c r="O10" s="11">
        <v>127</v>
      </c>
      <c r="P10" s="54">
        <f>IF(I10=0,O10,O10*(J10/I10))</f>
        <v>127</v>
      </c>
      <c r="Q10" s="33">
        <f>'_2021_VB_ar_ izmaiņām_MK'!Q10*1.025</f>
        <v>86.1</v>
      </c>
      <c r="R10" s="4">
        <f t="shared" ref="R10:R12" si="2">Q10*P10</f>
        <v>10934.699999999999</v>
      </c>
      <c r="S10" s="15">
        <f>M10-O10</f>
        <v>34</v>
      </c>
      <c r="T10" s="15">
        <f>N10-P10</f>
        <v>34</v>
      </c>
      <c r="U10" s="1"/>
      <c r="V10" s="1">
        <v>1</v>
      </c>
      <c r="W10" s="27"/>
    </row>
    <row r="11" spans="1:25" s="44" customFormat="1" ht="36" customHeight="1" x14ac:dyDescent="0.35">
      <c r="A11" s="31">
        <v>3</v>
      </c>
      <c r="B11" s="32" t="s">
        <v>13</v>
      </c>
      <c r="C11" s="32" t="s">
        <v>14</v>
      </c>
      <c r="D11" s="31" t="s">
        <v>15</v>
      </c>
      <c r="E11" s="32" t="s">
        <v>9</v>
      </c>
      <c r="F11" s="32">
        <v>2</v>
      </c>
      <c r="G11" s="42" t="s">
        <v>10</v>
      </c>
      <c r="H11" s="47"/>
      <c r="I11" s="15">
        <f>'_2021_VB_ar_ izmaiņām_MK'!S11</f>
        <v>42</v>
      </c>
      <c r="J11" s="15">
        <f>'_2021_VB_ar_ izmaiņām_MK'!T11</f>
        <v>42</v>
      </c>
      <c r="K11" s="53">
        <f>ROUND('_2021_VB_ar_ izmaiņām_MK'!K11*1.025,0)</f>
        <v>12</v>
      </c>
      <c r="L11" s="54">
        <f t="shared" ref="L11:L12" si="3">IF(I11=0,K11,K11*(J11/I11))</f>
        <v>12</v>
      </c>
      <c r="M11" s="12">
        <f t="shared" ref="M11:N12" si="4">I11+(K11*12)</f>
        <v>186</v>
      </c>
      <c r="N11" s="12">
        <f t="shared" si="4"/>
        <v>186</v>
      </c>
      <c r="O11" s="11">
        <v>149</v>
      </c>
      <c r="P11" s="54">
        <f t="shared" ref="P11:P12" si="5">IF(I11=0,O11,O11*(J11/I11))</f>
        <v>149</v>
      </c>
      <c r="Q11" s="33">
        <f>'_2021_VB_ar_ izmaiņām_MK'!Q11*1.025</f>
        <v>34.44</v>
      </c>
      <c r="R11" s="4">
        <f t="shared" si="2"/>
        <v>5131.5599999999995</v>
      </c>
      <c r="S11" s="15">
        <f t="shared" ref="S11:T12" si="6">M11-O11</f>
        <v>37</v>
      </c>
      <c r="T11" s="15">
        <f t="shared" si="6"/>
        <v>37</v>
      </c>
      <c r="U11" s="1"/>
      <c r="V11" s="1">
        <v>1</v>
      </c>
      <c r="W11" s="27"/>
    </row>
    <row r="12" spans="1:25" s="44" customFormat="1" ht="18" customHeight="1" x14ac:dyDescent="0.35">
      <c r="A12" s="31">
        <v>4</v>
      </c>
      <c r="B12" s="32" t="s">
        <v>16</v>
      </c>
      <c r="C12" s="32" t="s">
        <v>17</v>
      </c>
      <c r="D12" s="31" t="s">
        <v>18</v>
      </c>
      <c r="E12" s="32" t="s">
        <v>9</v>
      </c>
      <c r="F12" s="32">
        <v>5</v>
      </c>
      <c r="G12" s="42" t="s">
        <v>10</v>
      </c>
      <c r="H12" s="47"/>
      <c r="I12" s="15">
        <f>'_2021_VB_ar_ izmaiņām_MK'!S12</f>
        <v>54</v>
      </c>
      <c r="J12" s="15">
        <f>'_2021_VB_ar_ izmaiņām_MK'!T12</f>
        <v>54</v>
      </c>
      <c r="K12" s="53">
        <f>ROUND('_2021_VB_ar_ izmaiņām_MK'!K12*1.025,0)</f>
        <v>17</v>
      </c>
      <c r="L12" s="54">
        <f t="shared" si="3"/>
        <v>17</v>
      </c>
      <c r="M12" s="12">
        <f t="shared" si="4"/>
        <v>258</v>
      </c>
      <c r="N12" s="12">
        <f t="shared" si="4"/>
        <v>258</v>
      </c>
      <c r="O12" s="11">
        <v>174</v>
      </c>
      <c r="P12" s="54">
        <f t="shared" si="5"/>
        <v>174</v>
      </c>
      <c r="Q12" s="33">
        <f>'_2021_VB_ar_ izmaiņām_MK'!Q12*1.025</f>
        <v>62.012499999999996</v>
      </c>
      <c r="R12" s="4">
        <f t="shared" si="2"/>
        <v>10790.174999999999</v>
      </c>
      <c r="S12" s="15">
        <f t="shared" si="6"/>
        <v>84</v>
      </c>
      <c r="T12" s="15">
        <f t="shared" si="6"/>
        <v>84</v>
      </c>
      <c r="U12" s="1"/>
      <c r="V12" s="1">
        <v>1</v>
      </c>
      <c r="W12" s="27"/>
    </row>
    <row r="13" spans="1:25" s="44" customFormat="1" ht="18" customHeight="1" x14ac:dyDescent="0.35">
      <c r="A13" s="39"/>
      <c r="B13" s="40"/>
      <c r="C13" s="41">
        <v>6</v>
      </c>
      <c r="D13" s="188" t="s">
        <v>19</v>
      </c>
      <c r="E13" s="188"/>
      <c r="F13" s="188"/>
      <c r="G13" s="188"/>
      <c r="H13" s="63"/>
      <c r="I13" s="13">
        <f>'_2021_VB_ar_ izmaiņām_MK'!S13</f>
        <v>44</v>
      </c>
      <c r="J13" s="13">
        <f>'_2021_VB_ar_ izmaiņām_MK'!T13</f>
        <v>44</v>
      </c>
      <c r="K13" s="13">
        <f t="shared" ref="K13:P13" si="7">K14</f>
        <v>45</v>
      </c>
      <c r="L13" s="13">
        <f t="shared" si="7"/>
        <v>45</v>
      </c>
      <c r="M13" s="13">
        <f t="shared" si="7"/>
        <v>584</v>
      </c>
      <c r="N13" s="13">
        <f t="shared" si="7"/>
        <v>584</v>
      </c>
      <c r="O13" s="13">
        <f t="shared" si="7"/>
        <v>490</v>
      </c>
      <c r="P13" s="13">
        <f t="shared" si="7"/>
        <v>490</v>
      </c>
      <c r="Q13" s="9" t="str">
        <f>'_2021_VB_bez izmaiņām'!Q13</f>
        <v>x</v>
      </c>
      <c r="R13" s="5">
        <f t="shared" ref="R13" si="8">R14</f>
        <v>284822.96499999997</v>
      </c>
      <c r="S13" s="13">
        <f>S14</f>
        <v>94</v>
      </c>
      <c r="T13" s="13">
        <f>T14</f>
        <v>94</v>
      </c>
      <c r="U13" s="7"/>
      <c r="V13" s="7">
        <v>1</v>
      </c>
      <c r="W13" s="27"/>
    </row>
    <row r="14" spans="1:25" s="34" customFormat="1" ht="34.5" customHeight="1" x14ac:dyDescent="0.35">
      <c r="A14" s="29">
        <v>5</v>
      </c>
      <c r="B14" s="30" t="s">
        <v>20</v>
      </c>
      <c r="C14" s="30" t="s">
        <v>21</v>
      </c>
      <c r="D14" s="29" t="s">
        <v>22</v>
      </c>
      <c r="E14" s="30" t="s">
        <v>9</v>
      </c>
      <c r="F14" s="30">
        <v>2</v>
      </c>
      <c r="G14" s="43" t="s">
        <v>23</v>
      </c>
      <c r="H14" s="48"/>
      <c r="I14" s="15">
        <f>'_2021_VB_ar_ izmaiņām_MK'!S14</f>
        <v>44</v>
      </c>
      <c r="J14" s="15">
        <f>'_2021_VB_ar_ izmaiņām_MK'!T14</f>
        <v>44</v>
      </c>
      <c r="K14" s="53">
        <f>ROUND('_2021_VB_ar_ izmaiņām_MK'!K14*1.025,0)</f>
        <v>45</v>
      </c>
      <c r="L14" s="54">
        <f>IF(I14=0,K14,K14*(J14/I14))</f>
        <v>45</v>
      </c>
      <c r="M14" s="12">
        <f>I14+(K14*12)</f>
        <v>584</v>
      </c>
      <c r="N14" s="12">
        <f>J14+(L14*12)</f>
        <v>584</v>
      </c>
      <c r="O14" s="11">
        <v>490</v>
      </c>
      <c r="P14" s="54">
        <f>IF(I14=0,O14,O14*(J14/I14))</f>
        <v>490</v>
      </c>
      <c r="Q14" s="33">
        <f>'_2021_VB_ar_ izmaiņām_MK'!Q14*1.025</f>
        <v>581.27749999999992</v>
      </c>
      <c r="R14" s="4">
        <f>Q14*P14-4.01+1</f>
        <v>284822.96499999997</v>
      </c>
      <c r="S14" s="15">
        <f>M14-O14</f>
        <v>94</v>
      </c>
      <c r="T14" s="15">
        <f>N14-P14</f>
        <v>94</v>
      </c>
      <c r="U14" s="19"/>
      <c r="V14" s="19">
        <v>1</v>
      </c>
      <c r="W14" s="26"/>
    </row>
    <row r="15" spans="1:25" s="44" customFormat="1" ht="18" customHeight="1" x14ac:dyDescent="0.35">
      <c r="A15" s="39"/>
      <c r="B15" s="40"/>
      <c r="C15" s="41">
        <v>12</v>
      </c>
      <c r="D15" s="188" t="s">
        <v>24</v>
      </c>
      <c r="E15" s="188"/>
      <c r="F15" s="188"/>
      <c r="G15" s="188"/>
      <c r="H15" s="63"/>
      <c r="I15" s="9">
        <f>'_2021_VB_ar_ izmaiņām_MK'!S15</f>
        <v>31</v>
      </c>
      <c r="J15" s="9">
        <f>'_2021_VB_ar_ izmaiņām_MK'!T15</f>
        <v>31</v>
      </c>
      <c r="K15" s="9">
        <f t="shared" ref="K15:P15" si="9">K16+K17</f>
        <v>22</v>
      </c>
      <c r="L15" s="9">
        <f t="shared" si="9"/>
        <v>22</v>
      </c>
      <c r="M15" s="9">
        <f t="shared" si="9"/>
        <v>295</v>
      </c>
      <c r="N15" s="9">
        <f t="shared" si="9"/>
        <v>295</v>
      </c>
      <c r="O15" s="9">
        <f t="shared" si="9"/>
        <v>238</v>
      </c>
      <c r="P15" s="9">
        <f t="shared" si="9"/>
        <v>238</v>
      </c>
      <c r="Q15" s="9" t="str">
        <f>'_2021_VB_bez izmaiņām'!Q15</f>
        <v>x</v>
      </c>
      <c r="R15" s="3">
        <f t="shared" ref="R15" si="10">R16+R17</f>
        <v>11705.5</v>
      </c>
      <c r="S15" s="9">
        <f>S16+S17</f>
        <v>57</v>
      </c>
      <c r="T15" s="9">
        <f>T16+T17</f>
        <v>57</v>
      </c>
      <c r="U15" s="7"/>
      <c r="V15" s="7">
        <v>1</v>
      </c>
      <c r="W15" s="27"/>
    </row>
    <row r="16" spans="1:25" s="44" customFormat="1" ht="33.75" customHeight="1" x14ac:dyDescent="0.35">
      <c r="A16" s="31">
        <v>6</v>
      </c>
      <c r="B16" s="32" t="s">
        <v>25</v>
      </c>
      <c r="C16" s="32" t="s">
        <v>26</v>
      </c>
      <c r="D16" s="31" t="s">
        <v>27</v>
      </c>
      <c r="E16" s="32" t="s">
        <v>9</v>
      </c>
      <c r="F16" s="32" t="s">
        <v>104</v>
      </c>
      <c r="G16" s="42" t="s">
        <v>10</v>
      </c>
      <c r="H16" s="47"/>
      <c r="I16" s="15">
        <f>'_2021_VB_ar_ izmaiņām_MK'!S16</f>
        <v>10</v>
      </c>
      <c r="J16" s="15">
        <f>'_2021_VB_ar_ izmaiņām_MK'!T16</f>
        <v>10</v>
      </c>
      <c r="K16" s="53">
        <f>ROUND('_2021_VB_ar_ izmaiņām_MK'!K16*1.025,0)</f>
        <v>10</v>
      </c>
      <c r="L16" s="54">
        <f>IF(I16=0,K16,K16*(J16/I16))</f>
        <v>10</v>
      </c>
      <c r="M16" s="12">
        <f>I16+(K16*12)</f>
        <v>130</v>
      </c>
      <c r="N16" s="12">
        <f>J16+(L16*12)</f>
        <v>130</v>
      </c>
      <c r="O16" s="11">
        <v>113</v>
      </c>
      <c r="P16" s="54">
        <f>IF(I16=0,O16,O16*(J16/I16))</f>
        <v>113</v>
      </c>
      <c r="Q16" s="33">
        <f>'_2021_VB_ar_ izmaiņām_MK'!Q16*1.025</f>
        <v>35.875</v>
      </c>
      <c r="R16" s="4">
        <f>Q16*P16</f>
        <v>4053.875</v>
      </c>
      <c r="S16" s="15">
        <f>M16-O16</f>
        <v>17</v>
      </c>
      <c r="T16" s="15">
        <f>N16-P16</f>
        <v>17</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15">
        <f>'_2021_VB_ar_ izmaiņām_MK'!S17</f>
        <v>21</v>
      </c>
      <c r="J17" s="15">
        <f>'_2021_VB_ar_ izmaiņām_MK'!T17</f>
        <v>21</v>
      </c>
      <c r="K17" s="53">
        <f>ROUND('_2021_VB_ar_ izmaiņām_MK'!K17*1.025,0)</f>
        <v>12</v>
      </c>
      <c r="L17" s="54">
        <f>IF(I17=0,K17,K17*(J17/I17))</f>
        <v>12</v>
      </c>
      <c r="M17" s="12">
        <f>I17+(K17*12)</f>
        <v>165</v>
      </c>
      <c r="N17" s="12">
        <f>J17+(L17*12)</f>
        <v>165</v>
      </c>
      <c r="O17" s="11">
        <v>125</v>
      </c>
      <c r="P17" s="54">
        <f>IF(I17=0,O17,O17*(J17/I17))</f>
        <v>125</v>
      </c>
      <c r="Q17" s="33">
        <f>'_2021_VB_ar_ izmaiņām_MK'!Q17*1.025</f>
        <v>61.212999999999994</v>
      </c>
      <c r="R17" s="4">
        <f>Q17*P17</f>
        <v>7651.6249999999991</v>
      </c>
      <c r="S17" s="15">
        <f>M17-O17</f>
        <v>40</v>
      </c>
      <c r="T17" s="15">
        <f>N17-P17</f>
        <v>40</v>
      </c>
      <c r="U17" s="1"/>
      <c r="V17" s="1">
        <v>1</v>
      </c>
      <c r="W17" s="27" t="s">
        <v>103</v>
      </c>
    </row>
    <row r="18" spans="1:23" s="44" customFormat="1" ht="18" customHeight="1" x14ac:dyDescent="0.35">
      <c r="A18" s="39"/>
      <c r="B18" s="40"/>
      <c r="C18" s="41">
        <v>15</v>
      </c>
      <c r="D18" s="188" t="s">
        <v>29</v>
      </c>
      <c r="E18" s="188"/>
      <c r="F18" s="188"/>
      <c r="G18" s="188"/>
      <c r="H18" s="63"/>
      <c r="I18" s="9">
        <f>'_2021_VB_ar_ izmaiņām_MK'!S18</f>
        <v>40</v>
      </c>
      <c r="J18" s="9">
        <f>'_2021_VB_ar_ izmaiņām_MK'!T18</f>
        <v>40</v>
      </c>
      <c r="K18" s="9">
        <f t="shared" ref="K18:P18" si="11">K19+K20</f>
        <v>16</v>
      </c>
      <c r="L18" s="9">
        <f t="shared" si="11"/>
        <v>16</v>
      </c>
      <c r="M18" s="9">
        <f t="shared" si="11"/>
        <v>232</v>
      </c>
      <c r="N18" s="9">
        <f t="shared" si="11"/>
        <v>232</v>
      </c>
      <c r="O18" s="9">
        <f t="shared" si="11"/>
        <v>161</v>
      </c>
      <c r="P18" s="9">
        <f t="shared" si="11"/>
        <v>161</v>
      </c>
      <c r="Q18" s="9" t="str">
        <f>'_2021_VB_bez izmaiņām'!Q18</f>
        <v>x</v>
      </c>
      <c r="R18" s="3">
        <f t="shared" ref="R18" si="12">R19+R20</f>
        <v>5676.6242499999989</v>
      </c>
      <c r="S18" s="9">
        <f>S19+S20</f>
        <v>71</v>
      </c>
      <c r="T18" s="9">
        <f>T19+T20</f>
        <v>71</v>
      </c>
      <c r="U18" s="7"/>
      <c r="V18" s="7">
        <v>1</v>
      </c>
      <c r="W18" s="27"/>
    </row>
    <row r="19" spans="1:23" s="44" customFormat="1" ht="18" customHeight="1" x14ac:dyDescent="0.35">
      <c r="A19" s="31">
        <v>8</v>
      </c>
      <c r="B19" s="32" t="s">
        <v>16</v>
      </c>
      <c r="C19" s="32" t="s">
        <v>30</v>
      </c>
      <c r="D19" s="31" t="s">
        <v>31</v>
      </c>
      <c r="E19" s="32" t="s">
        <v>9</v>
      </c>
      <c r="F19" s="32">
        <v>5</v>
      </c>
      <c r="G19" s="42" t="s">
        <v>10</v>
      </c>
      <c r="H19" s="47"/>
      <c r="I19" s="15">
        <f>'_2021_VB_ar_ izmaiņām_MK'!S19</f>
        <v>29</v>
      </c>
      <c r="J19" s="15">
        <f>'_2021_VB_ar_ izmaiņām_MK'!T19</f>
        <v>29</v>
      </c>
      <c r="K19" s="53">
        <f>ROUND('_2021_VB_ar_ izmaiņām_MK'!K19*1.025,0)</f>
        <v>10</v>
      </c>
      <c r="L19" s="54">
        <f>IF(I19=0,K19,K19*(J19/I19))</f>
        <v>10</v>
      </c>
      <c r="M19" s="12">
        <f>I19+(K19*12)</f>
        <v>149</v>
      </c>
      <c r="N19" s="12">
        <f>J19+(L19*12)</f>
        <v>149</v>
      </c>
      <c r="O19" s="11">
        <v>92</v>
      </c>
      <c r="P19" s="54">
        <f>IF(I19=0,O19,O19*(J19/I19))</f>
        <v>92</v>
      </c>
      <c r="Q19" s="33">
        <f>'_2021_VB_ar_ izmaiņām_MK'!Q19*1.025</f>
        <v>49.609999999999992</v>
      </c>
      <c r="R19" s="4">
        <f>Q19*P19</f>
        <v>4564.119999999999</v>
      </c>
      <c r="S19" s="15">
        <f>M19-O19</f>
        <v>57</v>
      </c>
      <c r="T19" s="15">
        <f>N19-P19</f>
        <v>57</v>
      </c>
      <c r="U19" s="1"/>
      <c r="V19" s="1">
        <v>1</v>
      </c>
      <c r="W19" s="27"/>
    </row>
    <row r="20" spans="1:23" s="44" customFormat="1" ht="33" customHeight="1" x14ac:dyDescent="0.35">
      <c r="A20" s="31">
        <v>9</v>
      </c>
      <c r="B20" s="32" t="s">
        <v>6</v>
      </c>
      <c r="C20" s="32" t="s">
        <v>30</v>
      </c>
      <c r="D20" s="31" t="s">
        <v>32</v>
      </c>
      <c r="E20" s="32" t="s">
        <v>9</v>
      </c>
      <c r="F20" s="32">
        <v>2</v>
      </c>
      <c r="G20" s="42" t="s">
        <v>10</v>
      </c>
      <c r="H20" s="47"/>
      <c r="I20" s="15">
        <f>'_2021_VB_ar_ izmaiņām_MK'!S20</f>
        <v>11</v>
      </c>
      <c r="J20" s="15">
        <f>'_2021_VB_ar_ izmaiņām_MK'!T20</f>
        <v>11</v>
      </c>
      <c r="K20" s="53">
        <f>ROUND('_2021_VB_ar_ izmaiņām_MK'!K20*1.025,0)</f>
        <v>6</v>
      </c>
      <c r="L20" s="54">
        <f>IF(I20=0,K20,K20*(J20/I20))</f>
        <v>6</v>
      </c>
      <c r="M20" s="12">
        <f>I20+(K20*12)</f>
        <v>83</v>
      </c>
      <c r="N20" s="12">
        <f>J20+(L20*12)</f>
        <v>83</v>
      </c>
      <c r="O20" s="11">
        <v>69</v>
      </c>
      <c r="P20" s="54">
        <f>IF(I20=0,O20,O20*(J20/I20))</f>
        <v>69</v>
      </c>
      <c r="Q20" s="33">
        <f>'_2021_VB_ar_ izmaiņām_MK'!Q20*1.025</f>
        <v>16.123249999999999</v>
      </c>
      <c r="R20" s="4">
        <f>Q20*P20</f>
        <v>1112.50425</v>
      </c>
      <c r="S20" s="15">
        <f>M20-O20</f>
        <v>14</v>
      </c>
      <c r="T20" s="15">
        <f>N20-P20</f>
        <v>14</v>
      </c>
      <c r="U20" s="1"/>
      <c r="V20" s="1">
        <v>1</v>
      </c>
      <c r="W20" s="27"/>
    </row>
    <row r="21" spans="1:23" ht="18" customHeight="1" x14ac:dyDescent="0.35">
      <c r="A21" s="39"/>
      <c r="B21" s="40"/>
      <c r="C21" s="41">
        <v>22</v>
      </c>
      <c r="D21" s="188" t="s">
        <v>33</v>
      </c>
      <c r="E21" s="188"/>
      <c r="F21" s="188"/>
      <c r="G21" s="188"/>
      <c r="H21" s="63"/>
      <c r="I21" s="9">
        <f>'_2021_VB_ar_ izmaiņām_MK'!S21</f>
        <v>6089</v>
      </c>
      <c r="J21" s="9">
        <f>'_2021_VB_ar_ izmaiņām_MK'!T21</f>
        <v>9064.2930202637508</v>
      </c>
      <c r="K21" s="9">
        <f t="shared" ref="K21:P21" si="13">SUM(K22:K49)</f>
        <v>554</v>
      </c>
      <c r="L21" s="9">
        <f t="shared" si="13"/>
        <v>751.24284335799302</v>
      </c>
      <c r="M21" s="9">
        <f t="shared" si="13"/>
        <v>12737</v>
      </c>
      <c r="N21" s="9">
        <f t="shared" si="13"/>
        <v>18079.207140559665</v>
      </c>
      <c r="O21" s="9">
        <f t="shared" ref="O21" si="14">SUM(O22:O49)</f>
        <v>4377</v>
      </c>
      <c r="P21" s="9">
        <f t="shared" si="13"/>
        <v>5908.1936313927308</v>
      </c>
      <c r="Q21" s="9" t="str">
        <f>'_2021_VB_bez izmaiņām'!Q21</f>
        <v>x</v>
      </c>
      <c r="R21" s="3">
        <f>SUM(R22:R49)</f>
        <v>1491098.2279989547</v>
      </c>
      <c r="S21" s="9">
        <f>SUM(S22:S49)</f>
        <v>8360</v>
      </c>
      <c r="T21" s="9">
        <f>SUM(T22:T49)</f>
        <v>12171.013509166934</v>
      </c>
      <c r="U21" s="7">
        <v>1</v>
      </c>
      <c r="V21" s="7">
        <v>1</v>
      </c>
    </row>
    <row r="22" spans="1:23" s="44" customFormat="1" ht="17.25" customHeight="1" x14ac:dyDescent="0.35">
      <c r="A22" s="31">
        <v>10</v>
      </c>
      <c r="B22" s="32" t="s">
        <v>34</v>
      </c>
      <c r="C22" s="32" t="s">
        <v>35</v>
      </c>
      <c r="D22" s="31" t="s">
        <v>36</v>
      </c>
      <c r="E22" s="32" t="s">
        <v>9</v>
      </c>
      <c r="F22" s="32">
        <v>2</v>
      </c>
      <c r="G22" s="42" t="s">
        <v>37</v>
      </c>
      <c r="H22" s="47"/>
      <c r="I22" s="15">
        <f>'_2021_VB_ar_ izmaiņām_MK'!S22</f>
        <v>13</v>
      </c>
      <c r="J22" s="15">
        <f>'_2021_VB_ar_ izmaiņām_MK'!T22</f>
        <v>13</v>
      </c>
      <c r="K22" s="53">
        <f>ROUND('_2021_VB_ar_ izmaiņām_MK'!K22*1.025,0)</f>
        <v>9</v>
      </c>
      <c r="L22" s="54">
        <f>IF(I22=0,K22,K22*(J22/I22))</f>
        <v>9</v>
      </c>
      <c r="M22" s="12">
        <f>I22+(K22*12)</f>
        <v>121</v>
      </c>
      <c r="N22" s="12">
        <f>J22+(L22*12)</f>
        <v>121</v>
      </c>
      <c r="O22" s="11">
        <v>120</v>
      </c>
      <c r="P22" s="54">
        <f>IF(I22=0,O22,O22*(J22/I22))</f>
        <v>120</v>
      </c>
      <c r="Q22" s="33">
        <f>'_2021_VB_ar_ izmaiņām_MK'!Q22*1.025</f>
        <v>68.21374999999999</v>
      </c>
      <c r="R22" s="4">
        <f>Q22*P22</f>
        <v>8185.6499999999987</v>
      </c>
      <c r="S22" s="15">
        <f>M22-O22</f>
        <v>1</v>
      </c>
      <c r="T22" s="15">
        <f>N22-P22</f>
        <v>1</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15">
        <f>'_2021_VB_ar_ izmaiņām_MK'!S23</f>
        <v>15</v>
      </c>
      <c r="J23" s="15">
        <f>'_2021_VB_ar_ izmaiņām_MK'!T23</f>
        <v>15</v>
      </c>
      <c r="K23" s="53">
        <f>ROUND('_2021_VB_ar_ izmaiņām_MK'!K23*1.025,0)</f>
        <v>13</v>
      </c>
      <c r="L23" s="54">
        <f>IF(I23=0,K23,K23*(J23/I23))</f>
        <v>13</v>
      </c>
      <c r="M23" s="12">
        <f>I23+(K23*12)</f>
        <v>171</v>
      </c>
      <c r="N23" s="12">
        <f>J23+(L23*12)</f>
        <v>171</v>
      </c>
      <c r="O23" s="11">
        <v>153</v>
      </c>
      <c r="P23" s="54">
        <f>IF(I23=0,O23,O23*(J23/I23))</f>
        <v>153</v>
      </c>
      <c r="Q23" s="33">
        <f>'_2021_VB_ar_ izmaiņām_MK'!Q23*1.025</f>
        <v>56.149499999999996</v>
      </c>
      <c r="R23" s="4">
        <f>Q23*P23</f>
        <v>8590.8734999999997</v>
      </c>
      <c r="S23" s="15">
        <f>M23-O23</f>
        <v>18</v>
      </c>
      <c r="T23" s="15">
        <f>N23-P23</f>
        <v>18</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15">
        <f>'_2021_VB_ar_ izmaiņām_MK'!S24</f>
        <v>14</v>
      </c>
      <c r="J24" s="15">
        <f>'_2021_VB_ar_ izmaiņām_MK'!T24</f>
        <v>14</v>
      </c>
      <c r="K24" s="53">
        <f>ROUND('_2021_VB_ar_ izmaiņām_MK'!K24*1.025,0)</f>
        <v>5</v>
      </c>
      <c r="L24" s="54">
        <f t="shared" ref="L24:L49" si="15">IF(I24=0,K24,K24*(J24/I24))</f>
        <v>5</v>
      </c>
      <c r="M24" s="12">
        <f t="shared" ref="M24:N39" si="16">I24+(K24*12)</f>
        <v>74</v>
      </c>
      <c r="N24" s="12">
        <f t="shared" si="16"/>
        <v>74</v>
      </c>
      <c r="O24" s="11">
        <v>45</v>
      </c>
      <c r="P24" s="54">
        <f t="shared" ref="P24:P49" si="17">IF(I24=0,O24,O24*(J24/I24))</f>
        <v>45</v>
      </c>
      <c r="Q24" s="33">
        <f>'_2021_VB_ar_ izmaiņām_MK'!Q24*1.025</f>
        <v>73.635999999999996</v>
      </c>
      <c r="R24" s="4">
        <f t="shared" ref="R24:R49" si="18">Q24*P24</f>
        <v>3313.62</v>
      </c>
      <c r="S24" s="15">
        <f t="shared" ref="S24:T39" si="19">M24-O24</f>
        <v>29</v>
      </c>
      <c r="T24" s="15">
        <f t="shared" si="19"/>
        <v>29</v>
      </c>
      <c r="U24" s="1"/>
      <c r="V24" s="1">
        <v>1</v>
      </c>
      <c r="W24" s="27"/>
    </row>
    <row r="25" spans="1:23" s="44" customFormat="1" ht="24" customHeight="1" x14ac:dyDescent="0.35">
      <c r="A25" s="31">
        <v>13</v>
      </c>
      <c r="B25" s="32" t="s">
        <v>40</v>
      </c>
      <c r="C25" s="32" t="s">
        <v>41</v>
      </c>
      <c r="D25" s="31" t="s">
        <v>106</v>
      </c>
      <c r="E25" s="32" t="s">
        <v>9</v>
      </c>
      <c r="F25" s="32">
        <v>5</v>
      </c>
      <c r="G25" s="42" t="s">
        <v>43</v>
      </c>
      <c r="H25" s="47"/>
      <c r="I25" s="15">
        <f>'_2021_VB_ar_ izmaiņām_MK'!S25</f>
        <v>11</v>
      </c>
      <c r="J25" s="15">
        <f>'_2021_VB_ar_ izmaiņām_MK'!T25</f>
        <v>11</v>
      </c>
      <c r="K25" s="53">
        <f>ROUND('_2021_VB_ar_ izmaiņām_MK'!K25*1.025,0)</f>
        <v>2</v>
      </c>
      <c r="L25" s="54">
        <f t="shared" si="15"/>
        <v>2</v>
      </c>
      <c r="M25" s="12">
        <f t="shared" si="16"/>
        <v>35</v>
      </c>
      <c r="N25" s="12">
        <f t="shared" si="16"/>
        <v>35</v>
      </c>
      <c r="O25" s="11">
        <v>12</v>
      </c>
      <c r="P25" s="54">
        <f t="shared" si="17"/>
        <v>12</v>
      </c>
      <c r="Q25" s="33">
        <f>'_2021_VB_ar_ izmaiņām_MK'!Q25*1.025</f>
        <v>49.609999999999992</v>
      </c>
      <c r="R25" s="4">
        <f t="shared" si="18"/>
        <v>595.31999999999994</v>
      </c>
      <c r="S25" s="15">
        <f t="shared" si="19"/>
        <v>23</v>
      </c>
      <c r="T25" s="15">
        <f t="shared" si="19"/>
        <v>23</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15">
        <f>'_2021_VB_ar_ izmaiņām_MK'!S26</f>
        <v>43</v>
      </c>
      <c r="J26" s="15">
        <f>'_2021_VB_ar_ izmaiņām_MK'!T26</f>
        <v>43</v>
      </c>
      <c r="K26" s="53">
        <f>ROUND('_2021_VB_ar_ izmaiņām_MK'!K26*1.025,0)</f>
        <v>18</v>
      </c>
      <c r="L26" s="54">
        <f t="shared" si="15"/>
        <v>18</v>
      </c>
      <c r="M26" s="12">
        <f t="shared" si="16"/>
        <v>259</v>
      </c>
      <c r="N26" s="12">
        <f t="shared" si="16"/>
        <v>259</v>
      </c>
      <c r="O26" s="11">
        <v>159</v>
      </c>
      <c r="P26" s="54">
        <f t="shared" si="17"/>
        <v>159</v>
      </c>
      <c r="Q26" s="33">
        <f>'_2021_VB_ar_ izmaiņām_MK'!Q26*1.025</f>
        <v>557.56925000000001</v>
      </c>
      <c r="R26" s="4">
        <f t="shared" si="18"/>
        <v>88653.510750000001</v>
      </c>
      <c r="S26" s="15">
        <f t="shared" si="19"/>
        <v>100</v>
      </c>
      <c r="T26" s="15">
        <f t="shared" si="19"/>
        <v>100</v>
      </c>
      <c r="U26" s="1"/>
      <c r="V26" s="1">
        <v>1</v>
      </c>
      <c r="W26" s="27"/>
    </row>
    <row r="27" spans="1:23" s="44" customFormat="1" ht="36" customHeight="1" x14ac:dyDescent="0.35">
      <c r="A27" s="31">
        <v>15</v>
      </c>
      <c r="B27" s="32" t="s">
        <v>166</v>
      </c>
      <c r="C27" s="32" t="s">
        <v>46</v>
      </c>
      <c r="D27" s="31" t="s">
        <v>167</v>
      </c>
      <c r="E27" s="32" t="s">
        <v>9</v>
      </c>
      <c r="F27" s="32">
        <v>3</v>
      </c>
      <c r="G27" s="42" t="s">
        <v>47</v>
      </c>
      <c r="H27" s="47"/>
      <c r="I27" s="15">
        <f>'_2021_VB_ar_ izmaiņām_MK'!S27</f>
        <v>20</v>
      </c>
      <c r="J27" s="15">
        <f>'_2021_VB_ar_ izmaiņām_MK'!T27</f>
        <v>20</v>
      </c>
      <c r="K27" s="53">
        <f>ROUND('_2021_VB_ar_ izmaiņām_MK'!K27*1.025,0)</f>
        <v>2</v>
      </c>
      <c r="L27" s="54">
        <f>IF(I27=0,K27,K27*(J27/I27))</f>
        <v>2</v>
      </c>
      <c r="M27" s="12">
        <f t="shared" si="16"/>
        <v>44</v>
      </c>
      <c r="N27" s="12">
        <f t="shared" si="16"/>
        <v>44</v>
      </c>
      <c r="O27" s="11">
        <v>11</v>
      </c>
      <c r="P27" s="54">
        <f t="shared" si="17"/>
        <v>11</v>
      </c>
      <c r="Q27" s="33">
        <f>'_2021_VB_ar_ izmaiņām_MK'!Q27*1.025</f>
        <v>209.67399999999998</v>
      </c>
      <c r="R27" s="4">
        <f t="shared" si="18"/>
        <v>2306.4139999999998</v>
      </c>
      <c r="S27" s="15">
        <f t="shared" si="19"/>
        <v>33</v>
      </c>
      <c r="T27" s="15">
        <f t="shared" si="19"/>
        <v>33</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15">
        <f>'_2021_VB_ar_ izmaiņām_MK'!S28</f>
        <v>4646</v>
      </c>
      <c r="J28" s="15">
        <f>'_2021_VB_ar_ izmaiņām_MK'!T28</f>
        <v>7621.2930202637508</v>
      </c>
      <c r="K28" s="53">
        <f>ROUND('_2021_VB_ar_ izmaiņām_MK'!K28*1.025,0)</f>
        <v>308</v>
      </c>
      <c r="L28" s="54">
        <f t="shared" si="15"/>
        <v>505.24284335799297</v>
      </c>
      <c r="M28" s="12">
        <f t="shared" si="16"/>
        <v>8342</v>
      </c>
      <c r="N28" s="12">
        <f t="shared" si="16"/>
        <v>13684.207140559665</v>
      </c>
      <c r="O28" s="11">
        <v>2391</v>
      </c>
      <c r="P28" s="54">
        <f t="shared" si="17"/>
        <v>3922.1936313927313</v>
      </c>
      <c r="Q28" s="33">
        <f>'_2021_VB_ar_ izmaiņām_MK'!Q28*1.025</f>
        <v>247.05574999999999</v>
      </c>
      <c r="R28" s="4">
        <f>Q28*P28+4.61</f>
        <v>969005.09924895468</v>
      </c>
      <c r="S28" s="15">
        <f t="shared" si="19"/>
        <v>5951</v>
      </c>
      <c r="T28" s="15">
        <f t="shared" si="19"/>
        <v>9762.0135091669345</v>
      </c>
      <c r="U28" s="1">
        <v>1</v>
      </c>
      <c r="V28" s="1"/>
      <c r="W28" s="27"/>
    </row>
    <row r="29" spans="1:23" s="44" customFormat="1" ht="46.5" customHeight="1" x14ac:dyDescent="0.35">
      <c r="A29" s="31">
        <v>19</v>
      </c>
      <c r="B29" s="32" t="s">
        <v>50</v>
      </c>
      <c r="C29" s="32" t="s">
        <v>180</v>
      </c>
      <c r="D29" s="31" t="s">
        <v>120</v>
      </c>
      <c r="E29" s="32" t="s">
        <v>9</v>
      </c>
      <c r="F29" s="32">
        <v>5</v>
      </c>
      <c r="G29" s="42" t="s">
        <v>52</v>
      </c>
      <c r="H29" s="47"/>
      <c r="I29" s="15">
        <f>'_2021_VB_ar_ izmaiņām_MK'!S29</f>
        <v>230</v>
      </c>
      <c r="J29" s="15">
        <f>'_2021_VB_ar_ izmaiņām_MK'!T29</f>
        <v>230</v>
      </c>
      <c r="K29" s="53">
        <f>ROUND('_2021_VB_ar_ izmaiņām_MK'!K29*1.025,0)</f>
        <v>19</v>
      </c>
      <c r="L29" s="54">
        <f t="shared" si="15"/>
        <v>19</v>
      </c>
      <c r="M29" s="12">
        <f t="shared" si="16"/>
        <v>458</v>
      </c>
      <c r="N29" s="12">
        <f t="shared" si="16"/>
        <v>458</v>
      </c>
      <c r="O29" s="11">
        <v>70</v>
      </c>
      <c r="P29" s="54">
        <f t="shared" si="17"/>
        <v>70</v>
      </c>
      <c r="Q29" s="33">
        <f>'_2021_VB_ar_ izmaiņām_MK'!Q29*1.025</f>
        <v>259.61199999999997</v>
      </c>
      <c r="R29" s="4">
        <f t="shared" si="18"/>
        <v>18172.839999999997</v>
      </c>
      <c r="S29" s="15">
        <f t="shared" si="19"/>
        <v>388</v>
      </c>
      <c r="T29" s="15">
        <f t="shared" si="19"/>
        <v>388</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15">
        <f>'_2021_VB_ar_ izmaiņām_MK'!S30</f>
        <v>17</v>
      </c>
      <c r="J30" s="15">
        <f>'_2021_VB_ar_ izmaiņām_MK'!T30</f>
        <v>17</v>
      </c>
      <c r="K30" s="53">
        <f>ROUND('_2021_VB_ar_ izmaiņām_MK'!K30*1.025,0)</f>
        <v>1</v>
      </c>
      <c r="L30" s="54">
        <f t="shared" si="15"/>
        <v>1</v>
      </c>
      <c r="M30" s="12">
        <f t="shared" si="16"/>
        <v>29</v>
      </c>
      <c r="N30" s="12">
        <f t="shared" si="16"/>
        <v>29</v>
      </c>
      <c r="O30" s="11">
        <v>2</v>
      </c>
      <c r="P30" s="54">
        <f t="shared" si="17"/>
        <v>2</v>
      </c>
      <c r="Q30" s="33">
        <f>'_2021_VB_ar_ izmaiņām_MK'!Q30*1.025</f>
        <v>848.69999999999993</v>
      </c>
      <c r="R30" s="4">
        <f t="shared" si="18"/>
        <v>1697.3999999999999</v>
      </c>
      <c r="S30" s="15">
        <f t="shared" si="19"/>
        <v>27</v>
      </c>
      <c r="T30" s="15">
        <f t="shared" si="19"/>
        <v>27</v>
      </c>
      <c r="U30" s="1">
        <v>1</v>
      </c>
      <c r="V30" s="1"/>
      <c r="W30" s="27"/>
    </row>
    <row r="31" spans="1:23" s="44" customFormat="1" ht="36" customHeight="1" x14ac:dyDescent="0.35">
      <c r="A31" s="31">
        <v>21</v>
      </c>
      <c r="B31" s="32" t="s">
        <v>6</v>
      </c>
      <c r="C31" s="32" t="s">
        <v>56</v>
      </c>
      <c r="D31" s="31" t="s">
        <v>57</v>
      </c>
      <c r="E31" s="32" t="s">
        <v>9</v>
      </c>
      <c r="F31" s="32">
        <v>2</v>
      </c>
      <c r="G31" s="42" t="s">
        <v>10</v>
      </c>
      <c r="H31" s="47"/>
      <c r="I31" s="15">
        <f>'_2021_VB_ar_ izmaiņām_MK'!S31</f>
        <v>8</v>
      </c>
      <c r="J31" s="15">
        <f>'_2021_VB_ar_ izmaiņām_MK'!T31</f>
        <v>8</v>
      </c>
      <c r="K31" s="53">
        <f>ROUND('_2021_VB_ar_ izmaiņām_MK'!K31*1.025,0)</f>
        <v>1</v>
      </c>
      <c r="L31" s="54">
        <f t="shared" si="15"/>
        <v>1</v>
      </c>
      <c r="M31" s="12">
        <f t="shared" si="16"/>
        <v>20</v>
      </c>
      <c r="N31" s="12">
        <f t="shared" si="16"/>
        <v>20</v>
      </c>
      <c r="O31" s="11">
        <v>4</v>
      </c>
      <c r="P31" s="54">
        <f t="shared" si="17"/>
        <v>4</v>
      </c>
      <c r="Q31" s="33">
        <f>'_2021_VB_ar_ izmaiņām_MK'!Q31*1.025</f>
        <v>14.349999999999998</v>
      </c>
      <c r="R31" s="4">
        <f t="shared" si="18"/>
        <v>57.399999999999991</v>
      </c>
      <c r="S31" s="15">
        <f t="shared" si="19"/>
        <v>16</v>
      </c>
      <c r="T31" s="15">
        <f t="shared" si="19"/>
        <v>16</v>
      </c>
      <c r="U31" s="1"/>
      <c r="V31" s="1">
        <v>1</v>
      </c>
      <c r="W31" s="27"/>
    </row>
    <row r="32" spans="1:23" s="44" customFormat="1" ht="21.75" customHeight="1" x14ac:dyDescent="0.35">
      <c r="A32" s="31">
        <v>22</v>
      </c>
      <c r="B32" s="32" t="s">
        <v>6</v>
      </c>
      <c r="C32" s="32" t="s">
        <v>58</v>
      </c>
      <c r="D32" s="31" t="s">
        <v>59</v>
      </c>
      <c r="E32" s="32" t="s">
        <v>9</v>
      </c>
      <c r="F32" s="32">
        <v>5</v>
      </c>
      <c r="G32" s="42" t="s">
        <v>10</v>
      </c>
      <c r="H32" s="47"/>
      <c r="I32" s="15">
        <f>'_2021_VB_ar_ izmaiņām_MK'!S32</f>
        <v>0</v>
      </c>
      <c r="J32" s="15">
        <f>'_2021_VB_ar_ izmaiņām_MK'!T32</f>
        <v>0</v>
      </c>
      <c r="K32" s="53">
        <f>ROUND('_2021_VB_ar_ izmaiņām_MK'!K32*1.025,0)</f>
        <v>1</v>
      </c>
      <c r="L32" s="54">
        <f t="shared" si="15"/>
        <v>1</v>
      </c>
      <c r="M32" s="12">
        <f t="shared" si="16"/>
        <v>12</v>
      </c>
      <c r="N32" s="12">
        <f t="shared" si="16"/>
        <v>12</v>
      </c>
      <c r="O32" s="11">
        <v>11</v>
      </c>
      <c r="P32" s="54">
        <f t="shared" si="17"/>
        <v>11</v>
      </c>
      <c r="Q32" s="33">
        <f>'_2021_VB_ar_ izmaiņām_MK'!Q32*1.025</f>
        <v>892.98</v>
      </c>
      <c r="R32" s="4">
        <f t="shared" si="18"/>
        <v>9822.7800000000007</v>
      </c>
      <c r="S32" s="15">
        <f t="shared" si="19"/>
        <v>1</v>
      </c>
      <c r="T32" s="15">
        <f t="shared" si="19"/>
        <v>1</v>
      </c>
      <c r="U32" s="1"/>
      <c r="V32" s="1">
        <v>1</v>
      </c>
      <c r="W32" s="27"/>
    </row>
    <row r="33" spans="1:23" s="44" customFormat="1" ht="21.75" customHeight="1" x14ac:dyDescent="0.35">
      <c r="A33" s="29">
        <v>23</v>
      </c>
      <c r="B33" s="30" t="s">
        <v>60</v>
      </c>
      <c r="C33" s="30" t="s">
        <v>61</v>
      </c>
      <c r="D33" s="29" t="s">
        <v>62</v>
      </c>
      <c r="E33" s="30" t="s">
        <v>9</v>
      </c>
      <c r="F33" s="30">
        <v>3</v>
      </c>
      <c r="G33" s="43" t="s">
        <v>10</v>
      </c>
      <c r="H33" s="48"/>
      <c r="I33" s="15">
        <f>'_2021_VB_ar_ izmaiņām_MK'!S33</f>
        <v>93</v>
      </c>
      <c r="J33" s="15">
        <f>'_2021_VB_ar_ izmaiņām_MK'!T33</f>
        <v>93</v>
      </c>
      <c r="K33" s="53">
        <f>ROUND('_2021_VB_ar_ izmaiņām_MK'!K33*1.025,0)</f>
        <v>26</v>
      </c>
      <c r="L33" s="54">
        <f t="shared" si="15"/>
        <v>26</v>
      </c>
      <c r="M33" s="132">
        <f t="shared" si="16"/>
        <v>405</v>
      </c>
      <c r="N33" s="132">
        <f t="shared" si="16"/>
        <v>405</v>
      </c>
      <c r="O33" s="11">
        <v>179</v>
      </c>
      <c r="P33" s="54">
        <f t="shared" si="17"/>
        <v>179</v>
      </c>
      <c r="Q33" s="33">
        <f>'_2021_VB_ar_ izmaiņām_MK'!Q33*1.025</f>
        <v>342.30899999999997</v>
      </c>
      <c r="R33" s="4">
        <f t="shared" si="18"/>
        <v>61273.310999999994</v>
      </c>
      <c r="S33" s="15">
        <f t="shared" si="19"/>
        <v>226</v>
      </c>
      <c r="T33" s="15">
        <f t="shared" si="19"/>
        <v>226</v>
      </c>
      <c r="U33" s="1"/>
      <c r="V33" s="1">
        <v>1</v>
      </c>
      <c r="W33" s="27"/>
    </row>
    <row r="34" spans="1:23" ht="32.25" customHeight="1" x14ac:dyDescent="0.35">
      <c r="A34" s="29">
        <v>24</v>
      </c>
      <c r="B34" s="30" t="s">
        <v>60</v>
      </c>
      <c r="C34" s="30" t="s">
        <v>61</v>
      </c>
      <c r="D34" s="29" t="s">
        <v>108</v>
      </c>
      <c r="E34" s="30" t="s">
        <v>9</v>
      </c>
      <c r="F34" s="30">
        <v>5</v>
      </c>
      <c r="G34" s="43" t="s">
        <v>10</v>
      </c>
      <c r="H34" s="48"/>
      <c r="I34" s="15">
        <f>'_2021_VB_ar_ izmaiņām_MK'!S34</f>
        <v>100</v>
      </c>
      <c r="J34" s="15">
        <f>'_2021_VB_ar_ izmaiņām_MK'!T34</f>
        <v>100</v>
      </c>
      <c r="K34" s="53">
        <f>ROUND('_2021_VB_ar_ izmaiņām_MK'!K34*1.025,0)</f>
        <v>10</v>
      </c>
      <c r="L34" s="54">
        <f t="shared" si="15"/>
        <v>10</v>
      </c>
      <c r="M34" s="132">
        <f t="shared" si="16"/>
        <v>220</v>
      </c>
      <c r="N34" s="132">
        <f t="shared" si="16"/>
        <v>220</v>
      </c>
      <c r="O34" s="104">
        <v>34</v>
      </c>
      <c r="P34" s="54">
        <f t="shared" si="17"/>
        <v>34</v>
      </c>
      <c r="Q34" s="33">
        <f>'_2021_VB_ar_ izmaiņām_MK'!Q34*1.025</f>
        <v>717.49999999999989</v>
      </c>
      <c r="R34" s="4">
        <f t="shared" si="18"/>
        <v>24394.999999999996</v>
      </c>
      <c r="S34" s="15">
        <f t="shared" si="19"/>
        <v>186</v>
      </c>
      <c r="T34" s="15">
        <f t="shared" si="19"/>
        <v>186</v>
      </c>
      <c r="U34" s="1"/>
      <c r="V34" s="1">
        <v>1</v>
      </c>
      <c r="W34" s="27" t="s">
        <v>176</v>
      </c>
    </row>
    <row r="35" spans="1:23" s="44" customFormat="1" ht="49.5" customHeight="1" x14ac:dyDescent="0.35">
      <c r="A35" s="29">
        <v>25</v>
      </c>
      <c r="B35" s="30" t="s">
        <v>60</v>
      </c>
      <c r="C35" s="30" t="s">
        <v>61</v>
      </c>
      <c r="D35" s="29" t="s">
        <v>63</v>
      </c>
      <c r="E35" s="30" t="s">
        <v>9</v>
      </c>
      <c r="F35" s="30">
        <v>3</v>
      </c>
      <c r="G35" s="43" t="s">
        <v>64</v>
      </c>
      <c r="H35" s="48"/>
      <c r="I35" s="15">
        <f>'_2021_VB_ar_ izmaiņām_MK'!S35</f>
        <v>3</v>
      </c>
      <c r="J35" s="15">
        <f>'_2021_VB_ar_ izmaiņām_MK'!T35</f>
        <v>3</v>
      </c>
      <c r="K35" s="53">
        <f>ROUND('_2021_VB_ar_ izmaiņām_MK'!K35*1.025,0)</f>
        <v>2</v>
      </c>
      <c r="L35" s="54">
        <f t="shared" si="15"/>
        <v>2</v>
      </c>
      <c r="M35" s="132">
        <f t="shared" si="16"/>
        <v>27</v>
      </c>
      <c r="N35" s="132">
        <f t="shared" si="16"/>
        <v>27</v>
      </c>
      <c r="O35" s="11">
        <v>19</v>
      </c>
      <c r="P35" s="54">
        <f t="shared" si="17"/>
        <v>19</v>
      </c>
      <c r="Q35" s="33">
        <f>'_2021_VB_ar_ izmaiņām_MK'!Q35*1.025</f>
        <v>148.82999999999998</v>
      </c>
      <c r="R35" s="4">
        <f t="shared" si="18"/>
        <v>2827.7699999999995</v>
      </c>
      <c r="S35" s="15">
        <f t="shared" si="19"/>
        <v>8</v>
      </c>
      <c r="T35" s="15">
        <f t="shared" si="19"/>
        <v>8</v>
      </c>
      <c r="U35" s="1"/>
      <c r="V35" s="1">
        <v>1</v>
      </c>
      <c r="W35" s="27"/>
    </row>
    <row r="36" spans="1:23" ht="25.5" customHeight="1" x14ac:dyDescent="0.35">
      <c r="A36" s="29">
        <v>26</v>
      </c>
      <c r="B36" s="30" t="s">
        <v>141</v>
      </c>
      <c r="C36" s="30" t="s">
        <v>65</v>
      </c>
      <c r="D36" s="29" t="s">
        <v>66</v>
      </c>
      <c r="E36" s="30" t="s">
        <v>9</v>
      </c>
      <c r="F36" s="30">
        <v>5</v>
      </c>
      <c r="G36" s="43" t="s">
        <v>110</v>
      </c>
      <c r="H36" s="48"/>
      <c r="I36" s="15">
        <f>'_2021_VB_ar_ izmaiņām_MK'!S36</f>
        <v>200</v>
      </c>
      <c r="J36" s="15">
        <f>'_2021_VB_ar_ izmaiņām_MK'!T36</f>
        <v>200</v>
      </c>
      <c r="K36" s="53">
        <f>ROUND('_2021_VB_ar_ izmaiņām_MK'!K36*1.025,0)</f>
        <v>21</v>
      </c>
      <c r="L36" s="54">
        <f t="shared" si="15"/>
        <v>21</v>
      </c>
      <c r="M36" s="132">
        <f t="shared" si="16"/>
        <v>452</v>
      </c>
      <c r="N36" s="132">
        <f t="shared" si="16"/>
        <v>452</v>
      </c>
      <c r="O36" s="104">
        <v>49</v>
      </c>
      <c r="P36" s="54">
        <f t="shared" si="17"/>
        <v>49</v>
      </c>
      <c r="Q36" s="33">
        <f>'_2021_VB_ar_ izmaiņām_MK'!Q36*1.025</f>
        <v>512.5</v>
      </c>
      <c r="R36" s="4">
        <f t="shared" si="18"/>
        <v>25112.5</v>
      </c>
      <c r="S36" s="15">
        <f t="shared" si="19"/>
        <v>403</v>
      </c>
      <c r="T36" s="15">
        <f t="shared" si="19"/>
        <v>403</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15">
        <f>'_2021_VB_ar_ izmaiņām_MK'!S37</f>
        <v>11</v>
      </c>
      <c r="J37" s="15">
        <f>'_2021_VB_ar_ izmaiņām_MK'!T37</f>
        <v>11</v>
      </c>
      <c r="K37" s="53">
        <f>ROUND('_2021_VB_ar_ izmaiņām_MK'!K37*1.025,0)</f>
        <v>3</v>
      </c>
      <c r="L37" s="54">
        <f t="shared" si="15"/>
        <v>3</v>
      </c>
      <c r="M37" s="12">
        <f t="shared" si="16"/>
        <v>47</v>
      </c>
      <c r="N37" s="12">
        <f t="shared" si="16"/>
        <v>47</v>
      </c>
      <c r="O37" s="11">
        <v>24</v>
      </c>
      <c r="P37" s="54">
        <f t="shared" si="17"/>
        <v>24</v>
      </c>
      <c r="Q37" s="33">
        <f>'_2021_VB_ar_ izmaiņām_MK'!Q37*1.025</f>
        <v>216.10075000000001</v>
      </c>
      <c r="R37" s="4">
        <f t="shared" si="18"/>
        <v>5186.4179999999997</v>
      </c>
      <c r="S37" s="15">
        <f t="shared" si="19"/>
        <v>23</v>
      </c>
      <c r="T37" s="15">
        <f t="shared" si="19"/>
        <v>23</v>
      </c>
      <c r="U37" s="19"/>
      <c r="V37" s="19">
        <v>1</v>
      </c>
      <c r="W37" s="26"/>
    </row>
    <row r="38" spans="1:23" s="44" customFormat="1" ht="60.75" customHeight="1" x14ac:dyDescent="0.35">
      <c r="A38" s="29">
        <v>28</v>
      </c>
      <c r="B38" s="30" t="s">
        <v>168</v>
      </c>
      <c r="C38" s="30" t="s">
        <v>67</v>
      </c>
      <c r="D38" s="29" t="s">
        <v>68</v>
      </c>
      <c r="E38" s="30" t="s">
        <v>9</v>
      </c>
      <c r="F38" s="30">
        <v>3</v>
      </c>
      <c r="G38" s="43" t="s">
        <v>69</v>
      </c>
      <c r="H38" s="48"/>
      <c r="I38" s="15">
        <f>'_2021_VB_ar_ izmaiņām_MK'!S38</f>
        <v>75</v>
      </c>
      <c r="J38" s="15">
        <f>'_2021_VB_ar_ izmaiņām_MK'!T38</f>
        <v>75</v>
      </c>
      <c r="K38" s="53">
        <f>ROUND('_2021_VB_ar_ izmaiņām_MK'!K38*1.025,0)</f>
        <v>15</v>
      </c>
      <c r="L38" s="54">
        <f t="shared" si="15"/>
        <v>15</v>
      </c>
      <c r="M38" s="12">
        <f t="shared" si="16"/>
        <v>255</v>
      </c>
      <c r="N38" s="12">
        <f t="shared" si="16"/>
        <v>255</v>
      </c>
      <c r="O38" s="11">
        <v>140</v>
      </c>
      <c r="P38" s="54">
        <f t="shared" si="17"/>
        <v>140</v>
      </c>
      <c r="Q38" s="33">
        <f>'_2021_VB_ar_ izmaiņām_MK'!Q38*1.025</f>
        <v>387.38849999999996</v>
      </c>
      <c r="R38" s="4">
        <f t="shared" si="18"/>
        <v>54234.389999999992</v>
      </c>
      <c r="S38" s="15">
        <f t="shared" si="19"/>
        <v>115</v>
      </c>
      <c r="T38" s="15">
        <f t="shared" si="19"/>
        <v>115</v>
      </c>
      <c r="U38" s="1">
        <v>1</v>
      </c>
      <c r="V38" s="1"/>
      <c r="W38" s="27"/>
    </row>
    <row r="39" spans="1:23" s="44" customFormat="1" x14ac:dyDescent="0.35">
      <c r="A39" s="29">
        <v>29</v>
      </c>
      <c r="B39" s="30" t="s">
        <v>70</v>
      </c>
      <c r="C39" s="30" t="s">
        <v>121</v>
      </c>
      <c r="D39" s="29" t="s">
        <v>122</v>
      </c>
      <c r="E39" s="30" t="s">
        <v>9</v>
      </c>
      <c r="F39" s="30">
        <v>5</v>
      </c>
      <c r="G39" s="43" t="s">
        <v>47</v>
      </c>
      <c r="H39" s="48"/>
      <c r="I39" s="15">
        <f>'_2021_VB_ar_ izmaiņām_MK'!S39</f>
        <v>6</v>
      </c>
      <c r="J39" s="15">
        <f>'_2021_VB_ar_ izmaiņām_MK'!T39</f>
        <v>6</v>
      </c>
      <c r="K39" s="53">
        <f>ROUND('_2021_VB_ar_ izmaiņām_MK'!K39*1.025,0)</f>
        <v>1</v>
      </c>
      <c r="L39" s="54">
        <f t="shared" si="15"/>
        <v>1</v>
      </c>
      <c r="M39" s="12">
        <f t="shared" si="16"/>
        <v>18</v>
      </c>
      <c r="N39" s="12">
        <f t="shared" si="16"/>
        <v>18</v>
      </c>
      <c r="O39" s="11">
        <v>15</v>
      </c>
      <c r="P39" s="54">
        <f t="shared" si="17"/>
        <v>15</v>
      </c>
      <c r="Q39" s="33">
        <f>'_2021_VB_ar_ izmaiņām_MK'!Q39*1.025</f>
        <v>127.32549999999999</v>
      </c>
      <c r="R39" s="4">
        <f t="shared" si="18"/>
        <v>1909.8824999999999</v>
      </c>
      <c r="S39" s="15">
        <f t="shared" si="19"/>
        <v>3</v>
      </c>
      <c r="T39" s="15">
        <f t="shared" si="19"/>
        <v>3</v>
      </c>
      <c r="U39" s="1">
        <v>1</v>
      </c>
      <c r="V39" s="1"/>
      <c r="W39" s="27"/>
    </row>
    <row r="40" spans="1:23" s="44" customFormat="1" ht="40.5" customHeight="1" x14ac:dyDescent="0.35">
      <c r="A40" s="29">
        <v>30</v>
      </c>
      <c r="B40" s="50" t="s">
        <v>71</v>
      </c>
      <c r="C40" s="50" t="s">
        <v>72</v>
      </c>
      <c r="D40" s="49" t="s">
        <v>73</v>
      </c>
      <c r="E40" s="50" t="s">
        <v>9</v>
      </c>
      <c r="F40" s="50">
        <v>5</v>
      </c>
      <c r="G40" s="51" t="s">
        <v>74</v>
      </c>
      <c r="H40" s="48"/>
      <c r="I40" s="15">
        <f>'_2021_VB_ar_ izmaiņām_MK'!S40</f>
        <v>74</v>
      </c>
      <c r="J40" s="15">
        <f>'_2021_VB_ar_ izmaiņām_MK'!T40</f>
        <v>74</v>
      </c>
      <c r="K40" s="53">
        <f>ROUND('_2021_VB_ar_ izmaiņām_MK'!K40*1.025,0)</f>
        <v>21</v>
      </c>
      <c r="L40" s="54">
        <f t="shared" si="15"/>
        <v>21</v>
      </c>
      <c r="M40" s="12">
        <f t="shared" ref="M40:N49" si="20">I40+(K40*12)</f>
        <v>326</v>
      </c>
      <c r="N40" s="12">
        <f t="shared" si="20"/>
        <v>326</v>
      </c>
      <c r="O40" s="11">
        <v>241</v>
      </c>
      <c r="P40" s="54">
        <f t="shared" si="17"/>
        <v>241</v>
      </c>
      <c r="Q40" s="33">
        <f>'_2021_VB_ar_ izmaiņām_MK'!Q40*1.025</f>
        <v>385.72799999999995</v>
      </c>
      <c r="R40" s="4">
        <f t="shared" si="18"/>
        <v>92960.447999999989</v>
      </c>
      <c r="S40" s="15">
        <f t="shared" ref="S40:T49" si="21">M40-O40</f>
        <v>85</v>
      </c>
      <c r="T40" s="15">
        <f t="shared" si="21"/>
        <v>85</v>
      </c>
      <c r="U40" s="19">
        <v>1</v>
      </c>
      <c r="V40" s="19"/>
      <c r="W40" s="26"/>
    </row>
    <row r="41" spans="1:23" s="44" customFormat="1" ht="117" customHeight="1" x14ac:dyDescent="0.35">
      <c r="A41" s="50">
        <v>31</v>
      </c>
      <c r="B41" s="50" t="s">
        <v>71</v>
      </c>
      <c r="C41" s="50" t="s">
        <v>72</v>
      </c>
      <c r="D41" s="49" t="s">
        <v>75</v>
      </c>
      <c r="E41" s="50" t="s">
        <v>9</v>
      </c>
      <c r="F41" s="50">
        <v>5</v>
      </c>
      <c r="G41" s="51" t="s">
        <v>76</v>
      </c>
      <c r="H41" s="48"/>
      <c r="I41" s="15">
        <f>'_2021_VB_ar_ izmaiņām_MK'!S41</f>
        <v>17</v>
      </c>
      <c r="J41" s="15">
        <f>'_2021_VB_ar_ izmaiņām_MK'!T41</f>
        <v>17</v>
      </c>
      <c r="K41" s="53">
        <f>ROUND('_2021_VB_ar_ izmaiņām_MK'!K41*1.025,0)</f>
        <v>1</v>
      </c>
      <c r="L41" s="54">
        <f t="shared" si="15"/>
        <v>1</v>
      </c>
      <c r="M41" s="12">
        <f t="shared" si="20"/>
        <v>29</v>
      </c>
      <c r="N41" s="12">
        <f t="shared" si="20"/>
        <v>29</v>
      </c>
      <c r="O41" s="11">
        <v>2</v>
      </c>
      <c r="P41" s="54">
        <f t="shared" si="17"/>
        <v>2</v>
      </c>
      <c r="Q41" s="33">
        <f>'_2021_VB_ar_ izmaiņām_MK'!Q41*1.025</f>
        <v>356.61799999999999</v>
      </c>
      <c r="R41" s="4">
        <f t="shared" si="18"/>
        <v>713.23599999999999</v>
      </c>
      <c r="S41" s="15">
        <f t="shared" si="21"/>
        <v>27</v>
      </c>
      <c r="T41" s="15">
        <f t="shared" si="21"/>
        <v>27</v>
      </c>
      <c r="U41" s="19">
        <v>1</v>
      </c>
      <c r="V41" s="19"/>
      <c r="W41" s="26"/>
    </row>
    <row r="42" spans="1:23" s="44" customFormat="1" ht="42.75" customHeight="1" x14ac:dyDescent="0.35">
      <c r="A42" s="29">
        <v>32</v>
      </c>
      <c r="B42" s="30" t="s">
        <v>77</v>
      </c>
      <c r="C42" s="30" t="s">
        <v>78</v>
      </c>
      <c r="D42" s="29" t="s">
        <v>99</v>
      </c>
      <c r="E42" s="30" t="s">
        <v>9</v>
      </c>
      <c r="F42" s="30">
        <v>2</v>
      </c>
      <c r="G42" s="43" t="s">
        <v>10</v>
      </c>
      <c r="H42" s="48"/>
      <c r="I42" s="15">
        <f>'_2021_VB_ar_ izmaiņām_MK'!S42</f>
        <v>245</v>
      </c>
      <c r="J42" s="15">
        <f>'_2021_VB_ar_ izmaiņām_MK'!T42</f>
        <v>245</v>
      </c>
      <c r="K42" s="53">
        <f>ROUND('_2021_VB_ar_ izmaiņām_MK'!K42*1.025,0)</f>
        <v>35</v>
      </c>
      <c r="L42" s="54">
        <f t="shared" si="15"/>
        <v>35</v>
      </c>
      <c r="M42" s="132">
        <f t="shared" si="20"/>
        <v>665</v>
      </c>
      <c r="N42" s="132">
        <f>J42+(L42*12)</f>
        <v>665</v>
      </c>
      <c r="O42" s="11">
        <v>329</v>
      </c>
      <c r="P42" s="54">
        <f t="shared" si="17"/>
        <v>329</v>
      </c>
      <c r="Q42" s="33">
        <f>'_2021_VB_ar_ izmaiņām_MK'!Q42*1.025</f>
        <v>74.07674999999999</v>
      </c>
      <c r="R42" s="4">
        <f t="shared" si="18"/>
        <v>24371.250749999996</v>
      </c>
      <c r="S42" s="15">
        <f t="shared" si="21"/>
        <v>336</v>
      </c>
      <c r="T42" s="15">
        <f t="shared" si="21"/>
        <v>336</v>
      </c>
      <c r="U42" s="1"/>
      <c r="V42" s="1">
        <v>1</v>
      </c>
      <c r="W42" s="27" t="s">
        <v>111</v>
      </c>
    </row>
    <row r="43" spans="1:23" ht="20.25" customHeight="1" x14ac:dyDescent="0.35">
      <c r="A43" s="29">
        <v>33</v>
      </c>
      <c r="B43" s="30" t="s">
        <v>142</v>
      </c>
      <c r="C43" s="30" t="s">
        <v>79</v>
      </c>
      <c r="D43" s="29" t="s">
        <v>80</v>
      </c>
      <c r="E43" s="30" t="s">
        <v>9</v>
      </c>
      <c r="F43" s="30">
        <v>5</v>
      </c>
      <c r="G43" s="43" t="s">
        <v>110</v>
      </c>
      <c r="H43" s="48"/>
      <c r="I43" s="15">
        <f>'_2021_VB_ar_ izmaiņām_MK'!S43</f>
        <v>31</v>
      </c>
      <c r="J43" s="15">
        <f>'_2021_VB_ar_ izmaiņām_MK'!T43</f>
        <v>31</v>
      </c>
      <c r="K43" s="53">
        <f>ROUND('_2021_VB_ar_ izmaiņām_MK'!K43*1.025,0)</f>
        <v>3</v>
      </c>
      <c r="L43" s="54">
        <f t="shared" si="15"/>
        <v>3</v>
      </c>
      <c r="M43" s="132">
        <f t="shared" si="20"/>
        <v>67</v>
      </c>
      <c r="N43" s="132">
        <f t="shared" si="20"/>
        <v>67</v>
      </c>
      <c r="O43" s="104">
        <v>8</v>
      </c>
      <c r="P43" s="54">
        <f t="shared" si="17"/>
        <v>8</v>
      </c>
      <c r="Q43" s="33">
        <f>'_2021_VB_ar_ izmaiņām_MK'!Q43*1.025</f>
        <v>2460</v>
      </c>
      <c r="R43" s="4">
        <f t="shared" si="18"/>
        <v>19680</v>
      </c>
      <c r="S43" s="15">
        <f t="shared" si="21"/>
        <v>59</v>
      </c>
      <c r="T43" s="15">
        <f t="shared" si="21"/>
        <v>59</v>
      </c>
      <c r="U43" s="1"/>
      <c r="V43" s="1">
        <v>1</v>
      </c>
      <c r="W43" s="27" t="s">
        <v>126</v>
      </c>
    </row>
    <row r="44" spans="1:23" ht="22.5" customHeight="1" x14ac:dyDescent="0.35">
      <c r="A44" s="29">
        <v>34</v>
      </c>
      <c r="B44" s="30" t="s">
        <v>6</v>
      </c>
      <c r="C44" s="30" t="s">
        <v>81</v>
      </c>
      <c r="D44" s="29" t="s">
        <v>82</v>
      </c>
      <c r="E44" s="30" t="s">
        <v>9</v>
      </c>
      <c r="F44" s="30">
        <v>7</v>
      </c>
      <c r="G44" s="43" t="s">
        <v>112</v>
      </c>
      <c r="H44" s="48"/>
      <c r="I44" s="15">
        <f>'_2021_VB_ar_ izmaiņām_MK'!S44</f>
        <v>7</v>
      </c>
      <c r="J44" s="15">
        <f>'_2021_VB_ar_ izmaiņām_MK'!T44</f>
        <v>7</v>
      </c>
      <c r="K44" s="53">
        <f>ROUND('_2021_VB_ar_ izmaiņām_MK'!K44*1.025,0)</f>
        <v>1</v>
      </c>
      <c r="L44" s="54">
        <f t="shared" si="15"/>
        <v>1</v>
      </c>
      <c r="M44" s="132">
        <f t="shared" si="20"/>
        <v>19</v>
      </c>
      <c r="N44" s="132">
        <f t="shared" si="20"/>
        <v>19</v>
      </c>
      <c r="O44" s="104">
        <v>8</v>
      </c>
      <c r="P44" s="54">
        <f t="shared" si="17"/>
        <v>8</v>
      </c>
      <c r="Q44" s="33">
        <f>'_2021_VB_ar_ izmaiņām_MK'!Q44*1.025</f>
        <v>2562.5</v>
      </c>
      <c r="R44" s="4">
        <f t="shared" si="18"/>
        <v>20500</v>
      </c>
      <c r="S44" s="15">
        <f t="shared" si="21"/>
        <v>11</v>
      </c>
      <c r="T44" s="15">
        <f t="shared" si="21"/>
        <v>11</v>
      </c>
      <c r="U44" s="1"/>
      <c r="V44" s="1">
        <v>1</v>
      </c>
      <c r="W44" s="27" t="s">
        <v>126</v>
      </c>
    </row>
    <row r="45" spans="1:23" s="44" customFormat="1" ht="30" customHeight="1" x14ac:dyDescent="0.35">
      <c r="A45" s="50">
        <v>35</v>
      </c>
      <c r="B45" s="30" t="s">
        <v>77</v>
      </c>
      <c r="C45" s="30" t="s">
        <v>78</v>
      </c>
      <c r="D45" s="29" t="s">
        <v>83</v>
      </c>
      <c r="E45" s="30" t="s">
        <v>9</v>
      </c>
      <c r="F45" s="30">
        <v>5</v>
      </c>
      <c r="G45" s="43" t="s">
        <v>74</v>
      </c>
      <c r="H45" s="48"/>
      <c r="I45" s="15">
        <f>'_2021_VB_ar_ izmaiņām_MK'!S45</f>
        <v>142</v>
      </c>
      <c r="J45" s="15">
        <f>'_2021_VB_ar_ izmaiņām_MK'!T45</f>
        <v>142</v>
      </c>
      <c r="K45" s="53">
        <f>ROUND('_2021_VB_ar_ izmaiņām_MK'!K45*1.025,0)</f>
        <v>15</v>
      </c>
      <c r="L45" s="54">
        <f t="shared" si="15"/>
        <v>15</v>
      </c>
      <c r="M45" s="132">
        <f t="shared" si="20"/>
        <v>322</v>
      </c>
      <c r="N45" s="132">
        <f t="shared" si="20"/>
        <v>322</v>
      </c>
      <c r="O45" s="11">
        <v>200</v>
      </c>
      <c r="P45" s="54">
        <f t="shared" si="17"/>
        <v>200</v>
      </c>
      <c r="Q45" s="33">
        <f>'_2021_VB_ar_ izmaiņām_MK'!Q45*1.025</f>
        <v>60.997749999999989</v>
      </c>
      <c r="R45" s="4">
        <f t="shared" si="18"/>
        <v>12199.549999999997</v>
      </c>
      <c r="S45" s="15">
        <f t="shared" si="21"/>
        <v>122</v>
      </c>
      <c r="T45" s="15">
        <f t="shared" si="21"/>
        <v>122</v>
      </c>
      <c r="U45" s="1">
        <v>1</v>
      </c>
      <c r="V45" s="1"/>
      <c r="W45" s="27"/>
    </row>
    <row r="46" spans="1:23" ht="30" customHeight="1" x14ac:dyDescent="0.35">
      <c r="A46" s="29">
        <v>36</v>
      </c>
      <c r="B46" s="30" t="s">
        <v>169</v>
      </c>
      <c r="C46" s="30" t="s">
        <v>170</v>
      </c>
      <c r="D46" s="29" t="s">
        <v>171</v>
      </c>
      <c r="E46" s="30" t="s">
        <v>9</v>
      </c>
      <c r="F46" s="30">
        <v>5</v>
      </c>
      <c r="G46" s="43" t="s">
        <v>172</v>
      </c>
      <c r="H46" s="48"/>
      <c r="I46" s="15">
        <f>'_2021_VB_ar_ izmaiņām_MK'!S46</f>
        <v>21</v>
      </c>
      <c r="J46" s="15">
        <f>'_2021_VB_ar_ izmaiņām_MK'!T46</f>
        <v>21</v>
      </c>
      <c r="K46" s="53">
        <f>ROUND('_2021_VB_ar_ izmaiņām_MK'!K46*1.025,0)</f>
        <v>10</v>
      </c>
      <c r="L46" s="54">
        <f t="shared" si="15"/>
        <v>10</v>
      </c>
      <c r="M46" s="132">
        <f t="shared" si="20"/>
        <v>141</v>
      </c>
      <c r="N46" s="132">
        <f t="shared" si="20"/>
        <v>141</v>
      </c>
      <c r="O46" s="104">
        <v>80</v>
      </c>
      <c r="P46" s="54">
        <f t="shared" si="17"/>
        <v>80</v>
      </c>
      <c r="Q46" s="33">
        <f>'_2021_VB_ar_ izmaiņām_MK'!Q46*1.025</f>
        <v>172.27174999999997</v>
      </c>
      <c r="R46" s="4">
        <f t="shared" si="18"/>
        <v>13781.739999999998</v>
      </c>
      <c r="S46" s="15">
        <f t="shared" si="21"/>
        <v>61</v>
      </c>
      <c r="T46" s="15">
        <f t="shared" si="21"/>
        <v>61</v>
      </c>
      <c r="U46" s="1">
        <v>1</v>
      </c>
      <c r="V46" s="1"/>
      <c r="W46" s="27" t="s">
        <v>126</v>
      </c>
    </row>
    <row r="47" spans="1:23" s="44" customFormat="1" ht="63.75" customHeight="1" x14ac:dyDescent="0.35">
      <c r="A47" s="29">
        <v>37</v>
      </c>
      <c r="B47" s="30" t="s">
        <v>84</v>
      </c>
      <c r="C47" s="30" t="s">
        <v>79</v>
      </c>
      <c r="D47" s="29" t="s">
        <v>85</v>
      </c>
      <c r="E47" s="30" t="s">
        <v>9</v>
      </c>
      <c r="F47" s="30">
        <v>5</v>
      </c>
      <c r="G47" s="43" t="s">
        <v>86</v>
      </c>
      <c r="H47" s="48"/>
      <c r="I47" s="15">
        <f>'_2021_VB_ar_ izmaiņām_MK'!S47</f>
        <v>0</v>
      </c>
      <c r="J47" s="15">
        <f>'_2021_VB_ar_ izmaiņām_MK'!T47</f>
        <v>0</v>
      </c>
      <c r="K47" s="53">
        <f>ROUND('_2021_VB_ar_ izmaiņām_MK'!K47*1.025,0)</f>
        <v>6</v>
      </c>
      <c r="L47" s="54">
        <f t="shared" si="15"/>
        <v>6</v>
      </c>
      <c r="M47" s="12">
        <f t="shared" si="20"/>
        <v>72</v>
      </c>
      <c r="N47" s="12">
        <f t="shared" si="20"/>
        <v>72</v>
      </c>
      <c r="O47" s="11">
        <v>62</v>
      </c>
      <c r="P47" s="54">
        <f t="shared" si="17"/>
        <v>62</v>
      </c>
      <c r="Q47" s="33">
        <f>'_2021_VB_ar_ izmaiņām_MK'!Q47*1.025</f>
        <v>158.75199999999998</v>
      </c>
      <c r="R47" s="4">
        <f t="shared" si="18"/>
        <v>9842.623999999998</v>
      </c>
      <c r="S47" s="15">
        <f t="shared" si="21"/>
        <v>10</v>
      </c>
      <c r="T47" s="15">
        <f t="shared" si="21"/>
        <v>10</v>
      </c>
      <c r="U47" s="1"/>
      <c r="V47" s="1">
        <v>1</v>
      </c>
      <c r="W47" s="27"/>
    </row>
    <row r="48" spans="1:23" s="44" customFormat="1" ht="53.25" customHeight="1" x14ac:dyDescent="0.35">
      <c r="A48" s="29">
        <v>38</v>
      </c>
      <c r="B48" s="50" t="s">
        <v>87</v>
      </c>
      <c r="C48" s="50" t="s">
        <v>88</v>
      </c>
      <c r="D48" s="49" t="s">
        <v>89</v>
      </c>
      <c r="E48" s="50" t="s">
        <v>9</v>
      </c>
      <c r="F48" s="50">
        <v>5</v>
      </c>
      <c r="G48" s="51" t="s">
        <v>10</v>
      </c>
      <c r="H48" s="48"/>
      <c r="I48" s="15">
        <f>'_2021_VB_ar_ izmaiņām_MK'!S48</f>
        <v>23</v>
      </c>
      <c r="J48" s="15">
        <f>'_2021_VB_ar_ izmaiņām_MK'!T48</f>
        <v>23</v>
      </c>
      <c r="K48" s="53">
        <f>ROUND('_2021_VB_ar_ izmaiņām_MK'!K48*1.025,0)</f>
        <v>3</v>
      </c>
      <c r="L48" s="54">
        <f t="shared" si="15"/>
        <v>3</v>
      </c>
      <c r="M48" s="12">
        <f t="shared" si="20"/>
        <v>59</v>
      </c>
      <c r="N48" s="12">
        <f t="shared" si="20"/>
        <v>59</v>
      </c>
      <c r="O48" s="11">
        <v>9</v>
      </c>
      <c r="P48" s="54">
        <f t="shared" si="17"/>
        <v>9</v>
      </c>
      <c r="Q48" s="33">
        <f>'_2021_VB_ar_ izmaiņām_MK'!Q48*1.025</f>
        <v>1301.0222499999998</v>
      </c>
      <c r="R48" s="4">
        <f t="shared" si="18"/>
        <v>11709.200249999998</v>
      </c>
      <c r="S48" s="15">
        <f t="shared" si="21"/>
        <v>50</v>
      </c>
      <c r="T48" s="15">
        <f t="shared" si="21"/>
        <v>50</v>
      </c>
      <c r="U48" s="1"/>
      <c r="V48" s="1">
        <v>1</v>
      </c>
      <c r="W48" s="27"/>
    </row>
    <row r="49" spans="1:23" s="44" customFormat="1" x14ac:dyDescent="0.35">
      <c r="A49" s="50">
        <v>39</v>
      </c>
      <c r="B49" s="30" t="s">
        <v>87</v>
      </c>
      <c r="C49" s="30" t="s">
        <v>90</v>
      </c>
      <c r="D49" s="29" t="s">
        <v>113</v>
      </c>
      <c r="E49" s="30" t="s">
        <v>9</v>
      </c>
      <c r="F49" s="30">
        <v>5</v>
      </c>
      <c r="G49" s="43" t="s">
        <v>10</v>
      </c>
      <c r="H49" s="48"/>
      <c r="I49" s="15">
        <f>'_2021_VB_ar_ izmaiņām_MK'!S49</f>
        <v>24</v>
      </c>
      <c r="J49" s="15">
        <f>'_2021_VB_ar_ izmaiņām_MK'!T49</f>
        <v>24</v>
      </c>
      <c r="K49" s="53">
        <v>2</v>
      </c>
      <c r="L49" s="54">
        <f t="shared" si="15"/>
        <v>2</v>
      </c>
      <c r="M49" s="12">
        <f t="shared" si="20"/>
        <v>48</v>
      </c>
      <c r="N49" s="12">
        <f t="shared" si="20"/>
        <v>48</v>
      </c>
      <c r="O49" s="104">
        <v>0</v>
      </c>
      <c r="P49" s="54">
        <f t="shared" si="17"/>
        <v>0</v>
      </c>
      <c r="Q49" s="33">
        <f>'_2021_VB_ar_ izmaiņām_MK'!Q49*1.025</f>
        <v>204.99999999999997</v>
      </c>
      <c r="R49" s="4">
        <f t="shared" si="18"/>
        <v>0</v>
      </c>
      <c r="S49" s="15">
        <f t="shared" si="21"/>
        <v>48</v>
      </c>
      <c r="T49" s="15">
        <f t="shared" si="21"/>
        <v>48</v>
      </c>
      <c r="U49" s="1"/>
      <c r="V49" s="1">
        <v>1</v>
      </c>
      <c r="W49" s="27" t="s">
        <v>109</v>
      </c>
    </row>
    <row r="50" spans="1:23" s="44" customFormat="1" ht="20.25" customHeight="1" x14ac:dyDescent="0.35">
      <c r="A50" s="39"/>
      <c r="B50" s="40"/>
      <c r="C50" s="41">
        <v>27</v>
      </c>
      <c r="D50" s="188" t="s">
        <v>91</v>
      </c>
      <c r="E50" s="188"/>
      <c r="F50" s="188"/>
      <c r="G50" s="188"/>
      <c r="H50" s="63"/>
      <c r="I50" s="9">
        <f>'_2021_VB_ar_ izmaiņām_MK'!S50</f>
        <v>12</v>
      </c>
      <c r="J50" s="9">
        <f>'_2021_VB_ar_ izmaiņām_MK'!T50</f>
        <v>12</v>
      </c>
      <c r="K50" s="9">
        <f t="shared" ref="K50:P50" si="22">K51+K52</f>
        <v>10</v>
      </c>
      <c r="L50" s="9">
        <f t="shared" si="22"/>
        <v>10</v>
      </c>
      <c r="M50" s="9">
        <f t="shared" si="22"/>
        <v>132</v>
      </c>
      <c r="N50" s="9">
        <f t="shared" si="22"/>
        <v>132</v>
      </c>
      <c r="O50" s="9">
        <f t="shared" si="22"/>
        <v>121</v>
      </c>
      <c r="P50" s="9">
        <f t="shared" si="22"/>
        <v>121</v>
      </c>
      <c r="Q50" s="9" t="str">
        <f>'_2021_VB_bez izmaiņām'!Q50</f>
        <v>x</v>
      </c>
      <c r="R50" s="3">
        <f t="shared" ref="R50" si="23">R51+R52</f>
        <v>7556.8432499999999</v>
      </c>
      <c r="S50" s="9">
        <f>S51+S52</f>
        <v>11</v>
      </c>
      <c r="T50" s="9">
        <f>T51+T52</f>
        <v>11</v>
      </c>
      <c r="U50" s="7"/>
      <c r="V50" s="7">
        <v>1</v>
      </c>
      <c r="W50" s="27"/>
    </row>
    <row r="51" spans="1:23" s="44" customFormat="1" ht="28" x14ac:dyDescent="0.35">
      <c r="A51" s="31">
        <v>40</v>
      </c>
      <c r="B51" s="32" t="s">
        <v>6</v>
      </c>
      <c r="C51" s="32" t="s">
        <v>92</v>
      </c>
      <c r="D51" s="31" t="s">
        <v>93</v>
      </c>
      <c r="E51" s="32" t="s">
        <v>9</v>
      </c>
      <c r="F51" s="32">
        <v>3</v>
      </c>
      <c r="G51" s="42" t="s">
        <v>10</v>
      </c>
      <c r="H51" s="47"/>
      <c r="I51" s="15">
        <f>'_2021_VB_ar_ izmaiņām_MK'!S51</f>
        <v>6</v>
      </c>
      <c r="J51" s="15">
        <f>'_2021_VB_ar_ izmaiņām_MK'!T51</f>
        <v>6</v>
      </c>
      <c r="K51" s="53">
        <f>ROUND('_2021_VB_ar_ izmaiņām_MK'!K51*1.025,0)</f>
        <v>8</v>
      </c>
      <c r="L51" s="54">
        <f t="shared" ref="L51:L52" si="24">IF(I51=0,K51,K51*(J51/I51))</f>
        <v>8</v>
      </c>
      <c r="M51" s="12">
        <f t="shared" ref="M51:N52" si="25">I51+(K51*12)</f>
        <v>102</v>
      </c>
      <c r="N51" s="12">
        <f t="shared" si="25"/>
        <v>102</v>
      </c>
      <c r="O51" s="11">
        <v>102</v>
      </c>
      <c r="P51" s="54">
        <f t="shared" ref="P51:P52" si="26">IF(I51=0,O51,O51*(J51/I51))</f>
        <v>102</v>
      </c>
      <c r="Q51" s="33">
        <f>'_2021_VB_ar_ izmaiņām_MK'!Q51*1.025</f>
        <v>35.96725</v>
      </c>
      <c r="R51" s="4">
        <f t="shared" ref="R51:R52" si="27">Q51*P51</f>
        <v>3668.6595000000002</v>
      </c>
      <c r="S51" s="15">
        <f t="shared" ref="S51:T52" si="28">M51-O51</f>
        <v>0</v>
      </c>
      <c r="T51" s="15">
        <f t="shared" si="28"/>
        <v>0</v>
      </c>
      <c r="U51" s="1"/>
      <c r="V51" s="1">
        <v>1</v>
      </c>
      <c r="W51" s="27"/>
    </row>
    <row r="52" spans="1:23" s="44" customFormat="1" x14ac:dyDescent="0.35">
      <c r="A52" s="31">
        <v>41</v>
      </c>
      <c r="B52" s="32" t="s">
        <v>6</v>
      </c>
      <c r="C52" s="32" t="s">
        <v>94</v>
      </c>
      <c r="D52" s="31" t="s">
        <v>95</v>
      </c>
      <c r="E52" s="32" t="s">
        <v>9</v>
      </c>
      <c r="F52" s="32">
        <v>5</v>
      </c>
      <c r="G52" s="42" t="s">
        <v>10</v>
      </c>
      <c r="H52" s="47"/>
      <c r="I52" s="15">
        <f>'_2021_VB_ar_ izmaiņām_MK'!S52</f>
        <v>6</v>
      </c>
      <c r="J52" s="15">
        <f>'_2021_VB_ar_ izmaiņām_MK'!T52</f>
        <v>6</v>
      </c>
      <c r="K52" s="53">
        <f>ROUND('_2021_VB_ar_ izmaiņām_MK'!K52*1.025,0)</f>
        <v>2</v>
      </c>
      <c r="L52" s="54">
        <f t="shared" si="24"/>
        <v>2</v>
      </c>
      <c r="M52" s="12">
        <f t="shared" si="25"/>
        <v>30</v>
      </c>
      <c r="N52" s="12">
        <f t="shared" si="25"/>
        <v>30</v>
      </c>
      <c r="O52" s="11">
        <v>19</v>
      </c>
      <c r="P52" s="54">
        <f t="shared" si="26"/>
        <v>19</v>
      </c>
      <c r="Q52" s="33">
        <f>'_2021_VB_ar_ izmaiņām_MK'!Q52*1.025</f>
        <v>204.64124999999999</v>
      </c>
      <c r="R52" s="4">
        <f t="shared" si="27"/>
        <v>3888.1837499999997</v>
      </c>
      <c r="S52" s="15">
        <f t="shared" si="28"/>
        <v>11</v>
      </c>
      <c r="T52" s="15">
        <f t="shared" si="28"/>
        <v>11</v>
      </c>
      <c r="U52" s="1"/>
      <c r="V52" s="1">
        <v>1</v>
      </c>
      <c r="W52" s="27"/>
    </row>
    <row r="53" spans="1:23" x14ac:dyDescent="0.35">
      <c r="H53" s="46"/>
      <c r="I53" s="106">
        <f>ROUND(I8+I13+I15+I18+I21+I50,0)</f>
        <v>6417</v>
      </c>
      <c r="J53" s="17">
        <f>ROUND(J8+J13+J15+J18+J21+J50,0)</f>
        <v>9392</v>
      </c>
      <c r="K53" s="17">
        <f t="shared" ref="K53:P53" si="29">ROUND(K8+K13+K15+K18+K21+K50,0)</f>
        <v>711</v>
      </c>
      <c r="L53" s="17">
        <f t="shared" si="29"/>
        <v>908</v>
      </c>
      <c r="M53" s="17">
        <f t="shared" si="29"/>
        <v>14949</v>
      </c>
      <c r="N53" s="17">
        <f t="shared" si="29"/>
        <v>20291</v>
      </c>
      <c r="O53" s="106">
        <f>ROUND(O8+O13+O15+O18+O21+O50,0)</f>
        <v>6036</v>
      </c>
      <c r="P53" s="17">
        <f t="shared" si="29"/>
        <v>7567</v>
      </c>
      <c r="Q53" s="21" t="s">
        <v>119</v>
      </c>
      <c r="R53" s="17">
        <f>ROUND(R8+R13+R15+R18+R21+R50,0)</f>
        <v>1844850</v>
      </c>
      <c r="S53" s="106">
        <f>ROUND(S8+S13+S15+S18+S21+S50,0)</f>
        <v>8913</v>
      </c>
      <c r="T53" s="17">
        <f t="shared" ref="T53" si="30">ROUND(T8+T13+T15+T18+T21+T50,0)</f>
        <v>12724</v>
      </c>
    </row>
    <row r="54" spans="1:23" x14ac:dyDescent="0.35">
      <c r="H54" s="46"/>
      <c r="I54" s="18">
        <f>ROUND(I27+I28+I29+I30+I38+I39+I40+I41+I45+I46,0)</f>
        <v>5248</v>
      </c>
      <c r="J54" s="18">
        <f t="shared" ref="J54:T54" si="31">ROUND(J27+J28+J29+J30+J38+J39+J40+J41+J45+J46,0)</f>
        <v>8223</v>
      </c>
      <c r="K54" s="18">
        <f t="shared" si="31"/>
        <v>393</v>
      </c>
      <c r="L54" s="18">
        <f t="shared" si="31"/>
        <v>590</v>
      </c>
      <c r="M54" s="18">
        <f t="shared" si="31"/>
        <v>9964</v>
      </c>
      <c r="N54" s="18">
        <f t="shared" si="31"/>
        <v>15306</v>
      </c>
      <c r="O54" s="18">
        <f t="shared" si="31"/>
        <v>3152</v>
      </c>
      <c r="P54" s="18">
        <f t="shared" si="31"/>
        <v>4683</v>
      </c>
      <c r="Q54" s="18"/>
      <c r="R54" s="18">
        <f t="shared" si="31"/>
        <v>1166981</v>
      </c>
      <c r="S54" s="18">
        <f t="shared" si="31"/>
        <v>6812</v>
      </c>
      <c r="T54" s="18">
        <f t="shared" si="31"/>
        <v>10623</v>
      </c>
    </row>
    <row r="55" spans="1:23" x14ac:dyDescent="0.35">
      <c r="H55" s="46"/>
      <c r="I55" s="46"/>
      <c r="J55" s="46"/>
      <c r="K55" s="46"/>
      <c r="O55" s="46"/>
      <c r="P55" s="184" t="s">
        <v>231</v>
      </c>
      <c r="Q55" s="185" t="s">
        <v>130</v>
      </c>
      <c r="R55" s="18">
        <v>1166981</v>
      </c>
    </row>
    <row r="56" spans="1:23" x14ac:dyDescent="0.35">
      <c r="H56" s="46"/>
      <c r="I56" s="46"/>
      <c r="J56" s="46"/>
      <c r="K56" s="46"/>
      <c r="O56" s="46"/>
      <c r="P56" s="184" t="s">
        <v>131</v>
      </c>
      <c r="Q56" s="185" t="s">
        <v>131</v>
      </c>
      <c r="R56" s="18">
        <f>R54-R55</f>
        <v>0</v>
      </c>
    </row>
    <row r="57" spans="1:23" x14ac:dyDescent="0.35">
      <c r="H57" s="46"/>
      <c r="I57" s="46"/>
      <c r="J57" s="46"/>
      <c r="K57" s="46"/>
      <c r="O57" s="46"/>
      <c r="Q57" s="65"/>
    </row>
    <row r="58" spans="1:23" s="44" customFormat="1" x14ac:dyDescent="0.35">
      <c r="B58" s="45"/>
      <c r="C58" s="45"/>
      <c r="E58" s="45"/>
      <c r="F58" s="45"/>
      <c r="G58" s="46"/>
      <c r="H58" s="46"/>
      <c r="I58" s="18">
        <f>ROUND(I9+I10+I11+I12+I14+I16+I17+I19+I20+I22+I23+I24+I25+I26+I31+I32+I33+I34+I35+I36+I42+I43+I44+I47+I49+I51+I52+I48+I37,0)</f>
        <v>1169</v>
      </c>
      <c r="J58" s="18">
        <f t="shared" ref="J58:P58" si="32">ROUND(J9+J10+J11+J12+J14+J16+J17+J19+J20+J22+J23+J24+J25+J26+J31+J32+J33+J34+J35+J36+J42+J43+J44+J47+J49+J51+J52+J48+J37,0)</f>
        <v>1169</v>
      </c>
      <c r="K58" s="18">
        <f t="shared" si="32"/>
        <v>318</v>
      </c>
      <c r="L58" s="18">
        <f t="shared" si="32"/>
        <v>318</v>
      </c>
      <c r="M58" s="18">
        <f t="shared" si="32"/>
        <v>4985</v>
      </c>
      <c r="N58" s="18">
        <f t="shared" si="32"/>
        <v>4985</v>
      </c>
      <c r="O58" s="18">
        <f t="shared" si="32"/>
        <v>2884</v>
      </c>
      <c r="P58" s="18">
        <f t="shared" si="32"/>
        <v>2884</v>
      </c>
      <c r="Q58" s="18"/>
      <c r="R58" s="18">
        <f>ROUND(R9+R10+R11+R12+R14+R16+R17+R19+R20+R22+R23+R24+R25+R26+R31+R32+R33+R34+R35+R36+R42+R43+R44+R47+R49+R51+R52+R48+R37,0)</f>
        <v>677869</v>
      </c>
      <c r="S58" s="18">
        <f t="shared" ref="S58:T58" si="33">ROUND(S9+S10+S11+S12+S14+S16+S17+S19+S20+S22+S23+S24+S25+S26+S31+S32+S33+S34+S35+S36+S42+S43+S44+S47+S49+S51+S52+S48+S37,0)</f>
        <v>2101</v>
      </c>
      <c r="T58" s="18">
        <f t="shared" si="33"/>
        <v>2101</v>
      </c>
      <c r="U58" s="18"/>
      <c r="V58" s="18"/>
      <c r="W58" s="18"/>
    </row>
    <row r="59" spans="1:23"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3" s="44" customFormat="1" x14ac:dyDescent="0.35">
      <c r="B60" s="45"/>
      <c r="C60" s="45"/>
      <c r="E60" s="45"/>
      <c r="F60" s="45"/>
      <c r="G60" s="46"/>
      <c r="H60" s="46"/>
      <c r="I60" s="46"/>
      <c r="J60" s="46"/>
      <c r="K60" s="46"/>
      <c r="L60" s="46"/>
      <c r="M60" s="46"/>
      <c r="N60" s="46"/>
      <c r="O60" s="46"/>
      <c r="P60" s="184" t="s">
        <v>132</v>
      </c>
      <c r="Q60" s="185" t="s">
        <v>131</v>
      </c>
      <c r="R60" s="18">
        <f>R58-R59</f>
        <v>0</v>
      </c>
      <c r="S60" s="46"/>
      <c r="T60" s="46"/>
      <c r="U60" s="8"/>
      <c r="V60" s="8"/>
      <c r="W60" s="27"/>
    </row>
    <row r="61" spans="1:23" x14ac:dyDescent="0.35">
      <c r="H61" s="46"/>
      <c r="I61" s="46"/>
      <c r="J61" s="46"/>
      <c r="K61" s="46"/>
      <c r="O61" s="46"/>
      <c r="Q61" s="65"/>
    </row>
    <row r="62" spans="1:23" x14ac:dyDescent="0.35">
      <c r="H62" s="46"/>
      <c r="I62" s="46"/>
      <c r="J62" s="46"/>
      <c r="K62" s="46"/>
      <c r="O62" s="46"/>
      <c r="Q62" s="65" t="s">
        <v>233</v>
      </c>
      <c r="R62" s="18">
        <f>R55+R59</f>
        <v>1844850</v>
      </c>
    </row>
    <row r="63" spans="1:23" ht="18" x14ac:dyDescent="0.35">
      <c r="H63" s="46"/>
      <c r="I63" s="46"/>
      <c r="J63" s="46"/>
      <c r="K63" s="46"/>
      <c r="O63" s="66"/>
      <c r="P63" s="66"/>
      <c r="Q63" s="67" t="s">
        <v>243</v>
      </c>
      <c r="R63" s="77">
        <f>R53-R62</f>
        <v>0</v>
      </c>
    </row>
    <row r="64" spans="1:23" x14ac:dyDescent="0.35">
      <c r="H64" s="46"/>
      <c r="I64" s="46"/>
      <c r="J64" s="46"/>
      <c r="K64" s="46"/>
      <c r="O64" s="46"/>
      <c r="Q64" s="65"/>
      <c r="R64" s="18">
        <f>R53-R55-R59-R60-R56</f>
        <v>0</v>
      </c>
    </row>
    <row r="65" spans="8:20" x14ac:dyDescent="0.35">
      <c r="H65" s="46"/>
      <c r="I65" s="18">
        <f>I53-I54-I58</f>
        <v>0</v>
      </c>
      <c r="J65" s="18">
        <f t="shared" ref="J65:P65" si="34">J53-J54-J58</f>
        <v>0</v>
      </c>
      <c r="K65" s="18">
        <f t="shared" si="34"/>
        <v>0</v>
      </c>
      <c r="L65" s="18">
        <f t="shared" si="34"/>
        <v>0</v>
      </c>
      <c r="M65" s="18">
        <f t="shared" si="34"/>
        <v>0</v>
      </c>
      <c r="N65" s="18">
        <f t="shared" si="34"/>
        <v>0</v>
      </c>
      <c r="O65" s="18">
        <f t="shared" si="34"/>
        <v>0</v>
      </c>
      <c r="P65" s="18">
        <f t="shared" si="34"/>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35">ROUND(J54,0)+ ROUND(J58,0)-ROUND(J53,0)</f>
        <v>0</v>
      </c>
      <c r="K67" s="18">
        <f t="shared" si="35"/>
        <v>0</v>
      </c>
      <c r="L67" s="18">
        <f t="shared" si="35"/>
        <v>0</v>
      </c>
      <c r="M67" s="18">
        <f t="shared" si="35"/>
        <v>0</v>
      </c>
      <c r="N67" s="18">
        <f t="shared" si="35"/>
        <v>0</v>
      </c>
      <c r="O67" s="18">
        <f t="shared" si="35"/>
        <v>0</v>
      </c>
      <c r="P67" s="18">
        <f t="shared" si="35"/>
        <v>0</v>
      </c>
      <c r="Q67" s="18"/>
      <c r="R67" s="18">
        <f t="shared" si="35"/>
        <v>0</v>
      </c>
      <c r="S67" s="18">
        <f t="shared" si="35"/>
        <v>0</v>
      </c>
      <c r="T67" s="18">
        <f t="shared" si="35"/>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Y52" xr:uid="{7C37CABB-E10E-4EE9-BACF-F0E0C32B851A}"/>
  <mergeCells count="22">
    <mergeCell ref="P60:Q60"/>
    <mergeCell ref="R5:R6"/>
    <mergeCell ref="S5:T5"/>
    <mergeCell ref="D8:G8"/>
    <mergeCell ref="D13:G13"/>
    <mergeCell ref="D15:G15"/>
    <mergeCell ref="D18:G18"/>
    <mergeCell ref="D21:G21"/>
    <mergeCell ref="D50:G50"/>
    <mergeCell ref="P55:Q55"/>
    <mergeCell ref="P56:Q56"/>
    <mergeCell ref="P59:Q59"/>
    <mergeCell ref="A1:T1"/>
    <mergeCell ref="A2:T2"/>
    <mergeCell ref="A3:T3"/>
    <mergeCell ref="I4:R4"/>
    <mergeCell ref="A5:G5"/>
    <mergeCell ref="I5:J5"/>
    <mergeCell ref="K5:L5"/>
    <mergeCell ref="M5:N5"/>
    <mergeCell ref="O5:P5"/>
    <mergeCell ref="Q5:Q6"/>
  </mergeCells>
  <pageMargins left="0.51181102362204722" right="0.31496062992125984" top="0.94488188976377963" bottom="0.59055118110236227"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92AB9-77B2-4624-86BD-B8EB45A7F92C}">
  <sheetPr>
    <tabColor theme="0" tint="-0.14999847407452621"/>
  </sheetPr>
  <dimension ref="A1:W70"/>
  <sheetViews>
    <sheetView zoomScale="70" zoomScaleNormal="70" workbookViewId="0">
      <pane ySplit="7" topLeftCell="A8" activePane="bottomLeft" state="frozen"/>
      <selection activeCell="D1" sqref="D1"/>
      <selection pane="bottomLeft" activeCell="Z63" sqref="Z63"/>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50" style="27" hidden="1" customWidth="1"/>
    <col min="24" max="24" width="9.08984375" style="72" customWidth="1"/>
    <col min="25" max="16384" width="9.08984375" style="72"/>
  </cols>
  <sheetData>
    <row r="1" spans="1:23" s="44" customFormat="1" x14ac:dyDescent="0.35">
      <c r="A1" s="189" t="s">
        <v>194</v>
      </c>
      <c r="B1" s="189"/>
      <c r="C1" s="189"/>
      <c r="D1" s="189"/>
      <c r="E1" s="189"/>
      <c r="F1" s="189"/>
      <c r="G1" s="189"/>
      <c r="H1" s="189"/>
      <c r="I1" s="189"/>
      <c r="J1" s="189"/>
      <c r="K1" s="189"/>
      <c r="L1" s="189"/>
      <c r="M1" s="189"/>
      <c r="N1" s="189"/>
      <c r="O1" s="189"/>
      <c r="P1" s="189"/>
      <c r="Q1" s="189"/>
      <c r="R1" s="189"/>
      <c r="S1" s="189"/>
      <c r="T1" s="189"/>
      <c r="U1" s="8"/>
      <c r="V1" s="8"/>
      <c r="W1" s="27"/>
    </row>
    <row r="2" spans="1:23" s="44" customFormat="1" x14ac:dyDescent="0.35">
      <c r="A2" s="190" t="s">
        <v>227</v>
      </c>
      <c r="B2" s="190"/>
      <c r="C2" s="190"/>
      <c r="D2" s="190"/>
      <c r="E2" s="190"/>
      <c r="F2" s="190"/>
      <c r="G2" s="190"/>
      <c r="H2" s="190"/>
      <c r="I2" s="190"/>
      <c r="J2" s="190"/>
      <c r="K2" s="190"/>
      <c r="L2" s="190"/>
      <c r="M2" s="190"/>
      <c r="N2" s="190"/>
      <c r="O2" s="190"/>
      <c r="P2" s="190"/>
      <c r="Q2" s="190"/>
      <c r="R2" s="190"/>
      <c r="S2" s="190"/>
      <c r="T2" s="190"/>
      <c r="U2" s="8"/>
      <c r="V2" s="8"/>
      <c r="W2" s="27"/>
    </row>
    <row r="3" spans="1:23" s="44" customFormat="1" ht="75" customHeight="1" x14ac:dyDescent="0.35">
      <c r="A3" s="191" t="s">
        <v>228</v>
      </c>
      <c r="B3" s="191"/>
      <c r="C3" s="191"/>
      <c r="D3" s="191"/>
      <c r="E3" s="191"/>
      <c r="F3" s="191"/>
      <c r="G3" s="191"/>
      <c r="H3" s="191"/>
      <c r="I3" s="191"/>
      <c r="J3" s="191"/>
      <c r="K3" s="191"/>
      <c r="L3" s="191"/>
      <c r="M3" s="191"/>
      <c r="N3" s="191"/>
      <c r="O3" s="191"/>
      <c r="P3" s="191"/>
      <c r="Q3" s="191"/>
      <c r="R3" s="191"/>
      <c r="S3" s="191"/>
      <c r="T3" s="191"/>
      <c r="U3" s="8"/>
      <c r="V3" s="8"/>
      <c r="W3" s="55"/>
    </row>
    <row r="4" spans="1:23" s="34" customFormat="1" ht="25.5" x14ac:dyDescent="0.35">
      <c r="B4" s="35"/>
      <c r="C4" s="35"/>
      <c r="E4" s="35"/>
      <c r="F4" s="35"/>
      <c r="G4" s="36"/>
      <c r="H4" s="36"/>
      <c r="I4" s="192" t="s">
        <v>179</v>
      </c>
      <c r="J4" s="193"/>
      <c r="K4" s="193"/>
      <c r="L4" s="193"/>
      <c r="M4" s="193"/>
      <c r="N4" s="193"/>
      <c r="O4" s="193"/>
      <c r="P4" s="193"/>
      <c r="Q4" s="194"/>
      <c r="R4" s="195"/>
      <c r="S4" s="36"/>
      <c r="T4" s="58"/>
      <c r="U4" s="25"/>
      <c r="V4" s="25"/>
      <c r="W4" s="130"/>
    </row>
    <row r="5" spans="1:23" s="44" customFormat="1" ht="27.75" customHeight="1" x14ac:dyDescent="0.35">
      <c r="A5" s="196" t="s">
        <v>100</v>
      </c>
      <c r="B5" s="196"/>
      <c r="C5" s="196"/>
      <c r="D5" s="196"/>
      <c r="E5" s="196"/>
      <c r="F5" s="196"/>
      <c r="G5" s="196"/>
      <c r="H5" s="6"/>
      <c r="I5" s="187" t="s">
        <v>134</v>
      </c>
      <c r="J5" s="187"/>
      <c r="K5" s="187" t="s">
        <v>239</v>
      </c>
      <c r="L5" s="187"/>
      <c r="M5" s="197" t="s">
        <v>160</v>
      </c>
      <c r="N5" s="197"/>
      <c r="O5" s="197" t="s">
        <v>242</v>
      </c>
      <c r="P5" s="197"/>
      <c r="Q5" s="198" t="s">
        <v>128</v>
      </c>
      <c r="R5" s="186" t="s">
        <v>161</v>
      </c>
      <c r="S5" s="187" t="s">
        <v>162</v>
      </c>
      <c r="T5" s="187"/>
      <c r="U5" s="6"/>
      <c r="V5" s="6"/>
      <c r="W5" s="129"/>
    </row>
    <row r="6" spans="1:23" s="44" customFormat="1" ht="150.75" customHeight="1" x14ac:dyDescent="0.25">
      <c r="A6" s="37" t="s">
        <v>96</v>
      </c>
      <c r="B6" s="2" t="s">
        <v>0</v>
      </c>
      <c r="C6" s="2" t="s">
        <v>101</v>
      </c>
      <c r="D6" s="37" t="s">
        <v>1</v>
      </c>
      <c r="E6" s="2" t="s">
        <v>2</v>
      </c>
      <c r="F6" s="2" t="s">
        <v>3</v>
      </c>
      <c r="G6" s="38" t="s">
        <v>4</v>
      </c>
      <c r="H6" s="62"/>
      <c r="I6" s="2" t="s">
        <v>127</v>
      </c>
      <c r="J6" s="2" t="s">
        <v>174</v>
      </c>
      <c r="K6" s="2" t="s">
        <v>159</v>
      </c>
      <c r="L6" s="2" t="s">
        <v>175</v>
      </c>
      <c r="M6" s="127" t="s">
        <v>117</v>
      </c>
      <c r="N6" s="127" t="s">
        <v>118</v>
      </c>
      <c r="O6" s="127" t="s">
        <v>123</v>
      </c>
      <c r="P6" s="127" t="s">
        <v>124</v>
      </c>
      <c r="Q6" s="198"/>
      <c r="R6" s="186"/>
      <c r="S6" s="2" t="s">
        <v>127</v>
      </c>
      <c r="T6" s="2" t="s">
        <v>129</v>
      </c>
      <c r="U6" s="1" t="s">
        <v>115</v>
      </c>
      <c r="V6" s="1" t="s">
        <v>116</v>
      </c>
      <c r="W6" s="28" t="s">
        <v>114</v>
      </c>
    </row>
    <row r="7" spans="1:23"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3" s="44" customFormat="1" ht="18" customHeight="1" x14ac:dyDescent="0.35">
      <c r="A8" s="39"/>
      <c r="B8" s="40"/>
      <c r="C8" s="41">
        <v>4</v>
      </c>
      <c r="D8" s="188" t="s">
        <v>5</v>
      </c>
      <c r="E8" s="188"/>
      <c r="F8" s="188"/>
      <c r="G8" s="188"/>
      <c r="H8" s="63"/>
      <c r="I8" s="9">
        <f>'_2022_VB_ar_ izmaiņām_MK'!S8</f>
        <v>320</v>
      </c>
      <c r="J8" s="9">
        <f>'_2022_VB_ar_ izmaiņām_MK'!T8</f>
        <v>320</v>
      </c>
      <c r="K8" s="9">
        <f t="shared" ref="K8:P8" si="0">K9+K10+K11+K12</f>
        <v>65</v>
      </c>
      <c r="L8" s="9">
        <f t="shared" si="0"/>
        <v>65</v>
      </c>
      <c r="M8" s="9">
        <f t="shared" si="0"/>
        <v>1100</v>
      </c>
      <c r="N8" s="9">
        <f t="shared" si="0"/>
        <v>1100</v>
      </c>
      <c r="O8" s="9">
        <f t="shared" si="0"/>
        <v>634</v>
      </c>
      <c r="P8" s="9">
        <f t="shared" si="0"/>
        <v>634</v>
      </c>
      <c r="Q8" s="9" t="str">
        <f>'_2021_VB_bez izmaiņām'!Q8</f>
        <v>x</v>
      </c>
      <c r="R8" s="3">
        <f t="shared" ref="R8" si="1">R9+R10+R11+R12</f>
        <v>44031.063374999991</v>
      </c>
      <c r="S8" s="9">
        <f>S9+S10+S11+S12</f>
        <v>466</v>
      </c>
      <c r="T8" s="9">
        <f>T9+T10+T11+T12</f>
        <v>466</v>
      </c>
      <c r="U8" s="7"/>
      <c r="V8" s="7">
        <v>1</v>
      </c>
      <c r="W8" s="27"/>
    </row>
    <row r="9" spans="1:23" s="44" customFormat="1" ht="27.75" customHeight="1" x14ac:dyDescent="0.35">
      <c r="A9" s="31">
        <v>1</v>
      </c>
      <c r="B9" s="32" t="s">
        <v>6</v>
      </c>
      <c r="C9" s="32" t="s">
        <v>7</v>
      </c>
      <c r="D9" s="31" t="s">
        <v>8</v>
      </c>
      <c r="E9" s="32" t="s">
        <v>9</v>
      </c>
      <c r="F9" s="32" t="s">
        <v>97</v>
      </c>
      <c r="G9" s="42" t="s">
        <v>10</v>
      </c>
      <c r="H9" s="47"/>
      <c r="I9" s="15">
        <f>'_2022_VB_ar_ izmaiņām_MK'!S9</f>
        <v>165</v>
      </c>
      <c r="J9" s="15">
        <f>'_2022_VB_ar_ izmaiņām_MK'!T9</f>
        <v>165</v>
      </c>
      <c r="K9" s="53">
        <f>ROUND('_2022_VB_ar_ izmaiņām_MK'!K9*1.025,0)</f>
        <v>26</v>
      </c>
      <c r="L9" s="54">
        <f>IF(I9=0,K9,K9*(J9/I9))</f>
        <v>26</v>
      </c>
      <c r="M9" s="12">
        <f>I9+(K9*12)</f>
        <v>477</v>
      </c>
      <c r="N9" s="12">
        <f>J9+(L9*12)</f>
        <v>477</v>
      </c>
      <c r="O9" s="11">
        <v>195</v>
      </c>
      <c r="P9" s="54">
        <f>IF(I9=0,O9,O9*(J9/I9))</f>
        <v>195</v>
      </c>
      <c r="Q9" s="33">
        <f>'_2022_VB_ar_ izmaiņām_MK'!Q9*1.025</f>
        <v>88.252499999999984</v>
      </c>
      <c r="R9" s="4">
        <f>Q9*P9</f>
        <v>17209.237499999996</v>
      </c>
      <c r="S9" s="15">
        <f>M9-O9</f>
        <v>282</v>
      </c>
      <c r="T9" s="15">
        <f>N9-P9</f>
        <v>282</v>
      </c>
      <c r="U9" s="1"/>
      <c r="V9" s="1">
        <v>1</v>
      </c>
      <c r="W9" s="27" t="s">
        <v>102</v>
      </c>
    </row>
    <row r="10" spans="1:23" s="44" customFormat="1" ht="18" customHeight="1" x14ac:dyDescent="0.35">
      <c r="A10" s="31">
        <v>2</v>
      </c>
      <c r="B10" s="32" t="s">
        <v>6</v>
      </c>
      <c r="C10" s="32" t="s">
        <v>11</v>
      </c>
      <c r="D10" s="31" t="s">
        <v>12</v>
      </c>
      <c r="E10" s="32" t="s">
        <v>9</v>
      </c>
      <c r="F10" s="32">
        <v>5</v>
      </c>
      <c r="G10" s="42" t="s">
        <v>10</v>
      </c>
      <c r="H10" s="47"/>
      <c r="I10" s="15">
        <f>'_2022_VB_ar_ izmaiņām_MK'!S10</f>
        <v>34</v>
      </c>
      <c r="J10" s="15">
        <f>'_2022_VB_ar_ izmaiņām_MK'!T10</f>
        <v>34</v>
      </c>
      <c r="K10" s="53">
        <f>ROUND('_2022_VB_ar_ izmaiņām_MK'!K10*1.025,0)</f>
        <v>10</v>
      </c>
      <c r="L10" s="54">
        <f>IF(I10=0,K10,K10*(J10/I10))</f>
        <v>10</v>
      </c>
      <c r="M10" s="12">
        <f>I10+(K10*12)</f>
        <v>154</v>
      </c>
      <c r="N10" s="12">
        <f>J10+(L10*12)</f>
        <v>154</v>
      </c>
      <c r="O10" s="11">
        <v>121</v>
      </c>
      <c r="P10" s="54">
        <f>IF(I10=0,O10,O10*(J10/I10))</f>
        <v>121</v>
      </c>
      <c r="Q10" s="33">
        <f>'_2022_VB_ar_ izmaiņām_MK'!Q10*1.025</f>
        <v>88.252499999999984</v>
      </c>
      <c r="R10" s="4">
        <f t="shared" ref="R10:R12" si="2">Q10*P10</f>
        <v>10678.552499999998</v>
      </c>
      <c r="S10" s="15">
        <f>M10-O10</f>
        <v>33</v>
      </c>
      <c r="T10" s="15">
        <f>N10-P10</f>
        <v>33</v>
      </c>
      <c r="U10" s="1"/>
      <c r="V10" s="1">
        <v>1</v>
      </c>
      <c r="W10" s="27"/>
    </row>
    <row r="11" spans="1:23" s="44" customFormat="1" ht="36" customHeight="1" x14ac:dyDescent="0.35">
      <c r="A11" s="31">
        <v>3</v>
      </c>
      <c r="B11" s="32" t="s">
        <v>13</v>
      </c>
      <c r="C11" s="32" t="s">
        <v>14</v>
      </c>
      <c r="D11" s="31" t="s">
        <v>15</v>
      </c>
      <c r="E11" s="32" t="s">
        <v>9</v>
      </c>
      <c r="F11" s="32">
        <v>2</v>
      </c>
      <c r="G11" s="42" t="s">
        <v>10</v>
      </c>
      <c r="H11" s="47"/>
      <c r="I11" s="15">
        <f>'_2022_VB_ar_ izmaiņām_MK'!S11</f>
        <v>37</v>
      </c>
      <c r="J11" s="15">
        <f>'_2022_VB_ar_ izmaiņām_MK'!T11</f>
        <v>37</v>
      </c>
      <c r="K11" s="53">
        <f>ROUND('_2022_VB_ar_ izmaiņām_MK'!K11*1.025,0)</f>
        <v>12</v>
      </c>
      <c r="L11" s="54">
        <f t="shared" ref="L11:L12" si="3">IF(I11=0,K11,K11*(J11/I11))</f>
        <v>12</v>
      </c>
      <c r="M11" s="12">
        <f t="shared" ref="M11:N12" si="4">I11+(K11*12)</f>
        <v>181</v>
      </c>
      <c r="N11" s="12">
        <f t="shared" si="4"/>
        <v>181</v>
      </c>
      <c r="O11" s="11">
        <v>144</v>
      </c>
      <c r="P11" s="54">
        <f t="shared" ref="P11:P12" si="5">IF(I11=0,O11,O11*(J11/I11))</f>
        <v>144</v>
      </c>
      <c r="Q11" s="33">
        <f>'_2022_VB_ar_ izmaiņām_MK'!Q11*1.025</f>
        <v>35.300999999999995</v>
      </c>
      <c r="R11" s="4">
        <f t="shared" si="2"/>
        <v>5083.3439999999991</v>
      </c>
      <c r="S11" s="15">
        <f t="shared" ref="S11:T12" si="6">M11-O11</f>
        <v>37</v>
      </c>
      <c r="T11" s="15">
        <f t="shared" si="6"/>
        <v>37</v>
      </c>
      <c r="U11" s="1"/>
      <c r="V11" s="1">
        <v>1</v>
      </c>
      <c r="W11" s="27"/>
    </row>
    <row r="12" spans="1:23" s="44" customFormat="1" ht="18" customHeight="1" x14ac:dyDescent="0.35">
      <c r="A12" s="31">
        <v>4</v>
      </c>
      <c r="B12" s="32" t="s">
        <v>16</v>
      </c>
      <c r="C12" s="32" t="s">
        <v>17</v>
      </c>
      <c r="D12" s="31" t="s">
        <v>18</v>
      </c>
      <c r="E12" s="32" t="s">
        <v>9</v>
      </c>
      <c r="F12" s="32">
        <v>5</v>
      </c>
      <c r="G12" s="42" t="s">
        <v>10</v>
      </c>
      <c r="H12" s="47"/>
      <c r="I12" s="15">
        <f>'_2022_VB_ar_ izmaiņām_MK'!S12</f>
        <v>84</v>
      </c>
      <c r="J12" s="15">
        <f>'_2022_VB_ar_ izmaiņām_MK'!T12</f>
        <v>84</v>
      </c>
      <c r="K12" s="53">
        <f>ROUND('_2022_VB_ar_ izmaiņām_MK'!K12*1.025,0)</f>
        <v>17</v>
      </c>
      <c r="L12" s="54">
        <f t="shared" si="3"/>
        <v>17</v>
      </c>
      <c r="M12" s="12">
        <f t="shared" si="4"/>
        <v>288</v>
      </c>
      <c r="N12" s="12">
        <f t="shared" si="4"/>
        <v>288</v>
      </c>
      <c r="O12" s="11">
        <v>174</v>
      </c>
      <c r="P12" s="54">
        <f t="shared" si="5"/>
        <v>174</v>
      </c>
      <c r="Q12" s="33">
        <f>'_2022_VB_ar_ izmaiņām_MK'!Q12*1.025</f>
        <v>63.562812499999993</v>
      </c>
      <c r="R12" s="4">
        <f t="shared" si="2"/>
        <v>11059.929374999998</v>
      </c>
      <c r="S12" s="15">
        <f t="shared" si="6"/>
        <v>114</v>
      </c>
      <c r="T12" s="15">
        <f t="shared" si="6"/>
        <v>114</v>
      </c>
      <c r="U12" s="1"/>
      <c r="V12" s="1">
        <v>1</v>
      </c>
      <c r="W12" s="27"/>
    </row>
    <row r="13" spans="1:23" s="44" customFormat="1" ht="18" customHeight="1" x14ac:dyDescent="0.35">
      <c r="A13" s="39"/>
      <c r="B13" s="40"/>
      <c r="C13" s="41">
        <v>6</v>
      </c>
      <c r="D13" s="188" t="s">
        <v>19</v>
      </c>
      <c r="E13" s="188"/>
      <c r="F13" s="188"/>
      <c r="G13" s="188"/>
      <c r="H13" s="63"/>
      <c r="I13" s="13">
        <f>'_2022_VB_ar_ izmaiņām_MK'!S13</f>
        <v>94</v>
      </c>
      <c r="J13" s="13">
        <f>'_2022_VB_ar_ izmaiņām_MK'!T13</f>
        <v>94</v>
      </c>
      <c r="K13" s="13">
        <f t="shared" ref="K13:P13" si="7">K14</f>
        <v>46</v>
      </c>
      <c r="L13" s="13">
        <f t="shared" si="7"/>
        <v>46</v>
      </c>
      <c r="M13" s="13">
        <f t="shared" si="7"/>
        <v>646</v>
      </c>
      <c r="N13" s="13">
        <f t="shared" si="7"/>
        <v>646</v>
      </c>
      <c r="O13" s="13">
        <f t="shared" si="7"/>
        <v>490</v>
      </c>
      <c r="P13" s="13">
        <f t="shared" si="7"/>
        <v>490</v>
      </c>
      <c r="Q13" s="9" t="str">
        <f>'_2021_VB_bez izmaiņām'!Q13</f>
        <v>x</v>
      </c>
      <c r="R13" s="5">
        <f t="shared" ref="R13" si="8">R14</f>
        <v>291948.49437499989</v>
      </c>
      <c r="S13" s="13">
        <f>S14</f>
        <v>156</v>
      </c>
      <c r="T13" s="13">
        <f>T14</f>
        <v>156</v>
      </c>
      <c r="U13" s="7"/>
      <c r="V13" s="7">
        <v>1</v>
      </c>
      <c r="W13" s="27"/>
    </row>
    <row r="14" spans="1:23" s="34" customFormat="1" ht="34.5" customHeight="1" x14ac:dyDescent="0.35">
      <c r="A14" s="29">
        <v>5</v>
      </c>
      <c r="B14" s="30" t="s">
        <v>20</v>
      </c>
      <c r="C14" s="30" t="s">
        <v>21</v>
      </c>
      <c r="D14" s="29" t="s">
        <v>22</v>
      </c>
      <c r="E14" s="30" t="s">
        <v>9</v>
      </c>
      <c r="F14" s="30">
        <v>2</v>
      </c>
      <c r="G14" s="43" t="s">
        <v>23</v>
      </c>
      <c r="H14" s="48"/>
      <c r="I14" s="15">
        <f>'_2022_VB_ar_ izmaiņām_MK'!S14</f>
        <v>94</v>
      </c>
      <c r="J14" s="15">
        <f>'_2022_VB_ar_ izmaiņām_MK'!T14</f>
        <v>94</v>
      </c>
      <c r="K14" s="53">
        <f>ROUND('_2022_VB_ar_ izmaiņām_MK'!K14*1.025,0)</f>
        <v>46</v>
      </c>
      <c r="L14" s="54">
        <f>IF(I14=0,K14,K14*(J14/I14))</f>
        <v>46</v>
      </c>
      <c r="M14" s="12">
        <f>I14+(K14*12)</f>
        <v>646</v>
      </c>
      <c r="N14" s="12">
        <f>J14+(L14*12)</f>
        <v>646</v>
      </c>
      <c r="O14" s="11">
        <v>490</v>
      </c>
      <c r="P14" s="54">
        <f>IF(I14=0,O14,O14*(J14/I14))</f>
        <v>490</v>
      </c>
      <c r="Q14" s="33">
        <f>'_2022_VB_ar_ izmaiņām_MK'!Q14*1.025</f>
        <v>595.80943749999983</v>
      </c>
      <c r="R14" s="4">
        <f>Q14*P14+1.87</f>
        <v>291948.49437499989</v>
      </c>
      <c r="S14" s="15">
        <f>M14-O14</f>
        <v>156</v>
      </c>
      <c r="T14" s="15">
        <f>N14-P14</f>
        <v>156</v>
      </c>
      <c r="U14" s="19"/>
      <c r="V14" s="19">
        <v>1</v>
      </c>
      <c r="W14" s="26"/>
    </row>
    <row r="15" spans="1:23" s="44" customFormat="1" ht="18" customHeight="1" x14ac:dyDescent="0.35">
      <c r="A15" s="39"/>
      <c r="B15" s="40"/>
      <c r="C15" s="41">
        <v>12</v>
      </c>
      <c r="D15" s="188" t="s">
        <v>24</v>
      </c>
      <c r="E15" s="188"/>
      <c r="F15" s="188"/>
      <c r="G15" s="188"/>
      <c r="H15" s="63"/>
      <c r="I15" s="9">
        <f>'_2022_VB_ar_ izmaiņām_MK'!S15</f>
        <v>57</v>
      </c>
      <c r="J15" s="9">
        <f>'_2022_VB_ar_ izmaiņām_MK'!T15</f>
        <v>57</v>
      </c>
      <c r="K15" s="9">
        <f t="shared" ref="K15:P15" si="9">K16+K17</f>
        <v>22</v>
      </c>
      <c r="L15" s="9">
        <f t="shared" si="9"/>
        <v>22</v>
      </c>
      <c r="M15" s="9">
        <f t="shared" si="9"/>
        <v>321</v>
      </c>
      <c r="N15" s="9">
        <f t="shared" si="9"/>
        <v>321</v>
      </c>
      <c r="O15" s="9">
        <f t="shared" si="9"/>
        <v>238</v>
      </c>
      <c r="P15" s="9">
        <f t="shared" si="9"/>
        <v>238</v>
      </c>
      <c r="Q15" s="9" t="str">
        <f>'_2021_VB_bez izmaiņām'!Q15</f>
        <v>x</v>
      </c>
      <c r="R15" s="3">
        <f t="shared" ref="R15" si="10">R16+R17</f>
        <v>11998.137499999997</v>
      </c>
      <c r="S15" s="9">
        <f>S16+S17</f>
        <v>83</v>
      </c>
      <c r="T15" s="9">
        <f>T16+T17</f>
        <v>83</v>
      </c>
      <c r="U15" s="7"/>
      <c r="V15" s="7">
        <v>1</v>
      </c>
      <c r="W15" s="27"/>
    </row>
    <row r="16" spans="1:23" s="44" customFormat="1" ht="33.75" customHeight="1" x14ac:dyDescent="0.35">
      <c r="A16" s="31">
        <v>6</v>
      </c>
      <c r="B16" s="32" t="s">
        <v>25</v>
      </c>
      <c r="C16" s="32" t="s">
        <v>26</v>
      </c>
      <c r="D16" s="31" t="s">
        <v>27</v>
      </c>
      <c r="E16" s="32" t="s">
        <v>9</v>
      </c>
      <c r="F16" s="32" t="s">
        <v>104</v>
      </c>
      <c r="G16" s="42" t="s">
        <v>10</v>
      </c>
      <c r="H16" s="47"/>
      <c r="I16" s="15">
        <f>'_2022_VB_ar_ izmaiņām_MK'!S16</f>
        <v>17</v>
      </c>
      <c r="J16" s="15">
        <f>'_2022_VB_ar_ izmaiņām_MK'!T16</f>
        <v>17</v>
      </c>
      <c r="K16" s="53">
        <f>ROUND('_2022_VB_ar_ izmaiņām_MK'!K16*1.025,0)</f>
        <v>10</v>
      </c>
      <c r="L16" s="54">
        <f>IF(I16=0,K16,K16*(J16/I16))</f>
        <v>10</v>
      </c>
      <c r="M16" s="12">
        <f>I16+(K16*12)</f>
        <v>137</v>
      </c>
      <c r="N16" s="12">
        <f>J16+(L16*12)</f>
        <v>137</v>
      </c>
      <c r="O16" s="11">
        <v>113</v>
      </c>
      <c r="P16" s="54">
        <f>IF(I16=0,O16,O16*(J16/I16))</f>
        <v>113</v>
      </c>
      <c r="Q16" s="33">
        <f>'_2022_VB_ar_ izmaiņām_MK'!Q16*1.025</f>
        <v>36.771874999999994</v>
      </c>
      <c r="R16" s="4">
        <f>Q16*P16</f>
        <v>4155.2218749999993</v>
      </c>
      <c r="S16" s="15">
        <f>M16-O16</f>
        <v>24</v>
      </c>
      <c r="T16" s="15">
        <f>N16-P16</f>
        <v>24</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15">
        <f>'_2022_VB_ar_ izmaiņām_MK'!S17</f>
        <v>40</v>
      </c>
      <c r="J17" s="15">
        <f>'_2022_VB_ar_ izmaiņām_MK'!T17</f>
        <v>40</v>
      </c>
      <c r="K17" s="53">
        <f>ROUND('_2022_VB_ar_ izmaiņām_MK'!K17*1.025,0)</f>
        <v>12</v>
      </c>
      <c r="L17" s="54">
        <f>IF(I17=0,K17,K17*(J17/I17))</f>
        <v>12</v>
      </c>
      <c r="M17" s="12">
        <f>I17+(K17*12)</f>
        <v>184</v>
      </c>
      <c r="N17" s="12">
        <f>J17+(L17*12)</f>
        <v>184</v>
      </c>
      <c r="O17" s="11">
        <v>125</v>
      </c>
      <c r="P17" s="54">
        <f>IF(I17=0,O17,O17*(J17/I17))</f>
        <v>125</v>
      </c>
      <c r="Q17" s="33">
        <f>'_2022_VB_ar_ izmaiņām_MK'!Q17*1.025</f>
        <v>62.743324999999992</v>
      </c>
      <c r="R17" s="4">
        <f>Q17*P17</f>
        <v>7842.9156249999987</v>
      </c>
      <c r="S17" s="15">
        <f>M17-O17</f>
        <v>59</v>
      </c>
      <c r="T17" s="15">
        <f>N17-P17</f>
        <v>59</v>
      </c>
      <c r="U17" s="1"/>
      <c r="V17" s="1">
        <v>1</v>
      </c>
      <c r="W17" s="27" t="s">
        <v>103</v>
      </c>
    </row>
    <row r="18" spans="1:23" s="44" customFormat="1" ht="18" customHeight="1" x14ac:dyDescent="0.35">
      <c r="A18" s="39"/>
      <c r="B18" s="40"/>
      <c r="C18" s="41">
        <v>15</v>
      </c>
      <c r="D18" s="188" t="s">
        <v>29</v>
      </c>
      <c r="E18" s="188"/>
      <c r="F18" s="188"/>
      <c r="G18" s="188"/>
      <c r="H18" s="63"/>
      <c r="I18" s="9">
        <f>'_2022_VB_ar_ izmaiņām_MK'!S18</f>
        <v>71</v>
      </c>
      <c r="J18" s="9">
        <f>'_2022_VB_ar_ izmaiņām_MK'!T18</f>
        <v>71</v>
      </c>
      <c r="K18" s="9">
        <f t="shared" ref="K18:P18" si="11">K19+K20</f>
        <v>16</v>
      </c>
      <c r="L18" s="9">
        <f t="shared" si="11"/>
        <v>16</v>
      </c>
      <c r="M18" s="9">
        <f t="shared" si="11"/>
        <v>263</v>
      </c>
      <c r="N18" s="9">
        <f t="shared" si="11"/>
        <v>263</v>
      </c>
      <c r="O18" s="9">
        <f t="shared" si="11"/>
        <v>160</v>
      </c>
      <c r="P18" s="9">
        <f t="shared" si="11"/>
        <v>160</v>
      </c>
      <c r="Q18" s="9" t="str">
        <f>'_2021_VB_bez izmaiņām'!Q18</f>
        <v>x</v>
      </c>
      <c r="R18" s="3">
        <f t="shared" ref="R18" si="12">R19+R20</f>
        <v>5767.6896062499982</v>
      </c>
      <c r="S18" s="9">
        <f>S19+S20</f>
        <v>103</v>
      </c>
      <c r="T18" s="9">
        <f>T19+T20</f>
        <v>103</v>
      </c>
      <c r="U18" s="7"/>
      <c r="V18" s="7">
        <v>1</v>
      </c>
      <c r="W18" s="27"/>
    </row>
    <row r="19" spans="1:23" s="44" customFormat="1" ht="18" customHeight="1" x14ac:dyDescent="0.35">
      <c r="A19" s="31">
        <v>8</v>
      </c>
      <c r="B19" s="32" t="s">
        <v>16</v>
      </c>
      <c r="C19" s="32" t="s">
        <v>30</v>
      </c>
      <c r="D19" s="31" t="s">
        <v>31</v>
      </c>
      <c r="E19" s="32" t="s">
        <v>9</v>
      </c>
      <c r="F19" s="32">
        <v>5</v>
      </c>
      <c r="G19" s="42" t="s">
        <v>10</v>
      </c>
      <c r="H19" s="47"/>
      <c r="I19" s="15">
        <f>'_2022_VB_ar_ izmaiņām_MK'!S19</f>
        <v>57</v>
      </c>
      <c r="J19" s="15">
        <f>'_2022_VB_ar_ izmaiņām_MK'!T19</f>
        <v>57</v>
      </c>
      <c r="K19" s="53">
        <f>ROUND('_2022_VB_ar_ izmaiņām_MK'!K19*1.025,0)</f>
        <v>10</v>
      </c>
      <c r="L19" s="54">
        <f>IF(I19=0,K19,K19*(J19/I19))</f>
        <v>10</v>
      </c>
      <c r="M19" s="12">
        <f>I19+(K19*12)</f>
        <v>177</v>
      </c>
      <c r="N19" s="12">
        <f>J19+(L19*12)</f>
        <v>177</v>
      </c>
      <c r="O19" s="11">
        <v>91</v>
      </c>
      <c r="P19" s="54">
        <f>IF(I19=0,O19,O19*(J19/I19))</f>
        <v>91</v>
      </c>
      <c r="Q19" s="33">
        <f>'_2022_VB_ar_ izmaiņām_MK'!Q19*1.025</f>
        <v>50.850249999999988</v>
      </c>
      <c r="R19" s="4">
        <f>Q19*P19</f>
        <v>4627.3727499999986</v>
      </c>
      <c r="S19" s="15">
        <f>M19-O19</f>
        <v>86</v>
      </c>
      <c r="T19" s="15">
        <f>N19-P19</f>
        <v>86</v>
      </c>
      <c r="U19" s="1"/>
      <c r="V19" s="1">
        <v>1</v>
      </c>
      <c r="W19" s="27"/>
    </row>
    <row r="20" spans="1:23" s="44" customFormat="1" ht="33" customHeight="1" x14ac:dyDescent="0.35">
      <c r="A20" s="31">
        <v>9</v>
      </c>
      <c r="B20" s="32" t="s">
        <v>6</v>
      </c>
      <c r="C20" s="32" t="s">
        <v>30</v>
      </c>
      <c r="D20" s="31" t="s">
        <v>32</v>
      </c>
      <c r="E20" s="32" t="s">
        <v>9</v>
      </c>
      <c r="F20" s="32">
        <v>2</v>
      </c>
      <c r="G20" s="42" t="s">
        <v>10</v>
      </c>
      <c r="H20" s="47"/>
      <c r="I20" s="15">
        <f>'_2022_VB_ar_ izmaiņām_MK'!S20</f>
        <v>14</v>
      </c>
      <c r="J20" s="15">
        <f>'_2022_VB_ar_ izmaiņām_MK'!T20</f>
        <v>14</v>
      </c>
      <c r="K20" s="53">
        <f>ROUND('_2022_VB_ar_ izmaiņām_MK'!K20*1.025,0)</f>
        <v>6</v>
      </c>
      <c r="L20" s="54">
        <f>IF(I20=0,K20,K20*(J20/I20))</f>
        <v>6</v>
      </c>
      <c r="M20" s="12">
        <f>I20+(K20*12)</f>
        <v>86</v>
      </c>
      <c r="N20" s="12">
        <f>J20+(L20*12)</f>
        <v>86</v>
      </c>
      <c r="O20" s="11">
        <v>69</v>
      </c>
      <c r="P20" s="54">
        <f>IF(I20=0,O20,O20*(J20/I20))</f>
        <v>69</v>
      </c>
      <c r="Q20" s="33">
        <f>'_2022_VB_ar_ izmaiņām_MK'!Q20*1.025</f>
        <v>16.526331249999998</v>
      </c>
      <c r="R20" s="4">
        <f>Q20*P20</f>
        <v>1140.31685625</v>
      </c>
      <c r="S20" s="15">
        <f>M20-O20</f>
        <v>17</v>
      </c>
      <c r="T20" s="15">
        <f>N20-P20</f>
        <v>17</v>
      </c>
      <c r="U20" s="1"/>
      <c r="V20" s="1">
        <v>1</v>
      </c>
      <c r="W20" s="27"/>
    </row>
    <row r="21" spans="1:23" ht="18" customHeight="1" x14ac:dyDescent="0.35">
      <c r="A21" s="39"/>
      <c r="B21" s="40"/>
      <c r="C21" s="41">
        <v>22</v>
      </c>
      <c r="D21" s="188" t="s">
        <v>33</v>
      </c>
      <c r="E21" s="188"/>
      <c r="F21" s="188"/>
      <c r="G21" s="188"/>
      <c r="H21" s="63"/>
      <c r="I21" s="9">
        <f>'_2022_VB_ar_ izmaiņām_MK'!S21</f>
        <v>8360</v>
      </c>
      <c r="J21" s="9">
        <f>'_2022_VB_ar_ izmaiņām_MK'!T21</f>
        <v>12171.013509166934</v>
      </c>
      <c r="K21" s="9">
        <f t="shared" ref="K21:P21" si="13">SUM(K22:K49)</f>
        <v>566</v>
      </c>
      <c r="L21" s="9">
        <f t="shared" si="13"/>
        <v>768.36603409456416</v>
      </c>
      <c r="M21" s="9">
        <f t="shared" si="13"/>
        <v>15152</v>
      </c>
      <c r="N21" s="9">
        <f t="shared" si="13"/>
        <v>21391.405918301705</v>
      </c>
      <c r="O21" s="9">
        <f t="shared" ref="O21" si="14">SUM(O22:O49)</f>
        <v>4218</v>
      </c>
      <c r="P21" s="9">
        <f t="shared" si="13"/>
        <v>5682.5921518173045</v>
      </c>
      <c r="Q21" s="9" t="str">
        <f>'_2021_VB_bez izmaiņām'!Q21</f>
        <v>x</v>
      </c>
      <c r="R21" s="3">
        <f>SUM(R22:R49)</f>
        <v>1483579.7388803714</v>
      </c>
      <c r="S21" s="9">
        <f>SUM(S22:S49)</f>
        <v>10934</v>
      </c>
      <c r="T21" s="9">
        <f>SUM(T22:T49)</f>
        <v>15708.8137664844</v>
      </c>
      <c r="U21" s="7">
        <v>1</v>
      </c>
      <c r="V21" s="7">
        <v>1</v>
      </c>
    </row>
    <row r="22" spans="1:23" s="44" customFormat="1" ht="17.25" customHeight="1" x14ac:dyDescent="0.35">
      <c r="A22" s="31">
        <v>10</v>
      </c>
      <c r="B22" s="32" t="s">
        <v>34</v>
      </c>
      <c r="C22" s="32" t="s">
        <v>35</v>
      </c>
      <c r="D22" s="31" t="s">
        <v>36</v>
      </c>
      <c r="E22" s="32" t="s">
        <v>9</v>
      </c>
      <c r="F22" s="32">
        <v>2</v>
      </c>
      <c r="G22" s="42" t="s">
        <v>37</v>
      </c>
      <c r="H22" s="47"/>
      <c r="I22" s="15">
        <f>'_2022_VB_ar_ izmaiņām_MK'!S22</f>
        <v>1</v>
      </c>
      <c r="J22" s="15">
        <f>'_2022_VB_ar_ izmaiņām_MK'!T22</f>
        <v>1</v>
      </c>
      <c r="K22" s="53">
        <f>ROUND('_2022_VB_ar_ izmaiņām_MK'!K22*1.025,0)</f>
        <v>9</v>
      </c>
      <c r="L22" s="54">
        <f>IF(I22=0,K22,K22*(J22/I22))</f>
        <v>9</v>
      </c>
      <c r="M22" s="12">
        <f>I22+(K22*12)</f>
        <v>109</v>
      </c>
      <c r="N22" s="12">
        <f>J22+(L22*12)</f>
        <v>109</v>
      </c>
      <c r="O22" s="11">
        <v>108</v>
      </c>
      <c r="P22" s="54">
        <f>IF(I22=0,O22,O22*(J22/I22))</f>
        <v>108</v>
      </c>
      <c r="Q22" s="33">
        <f>'_2022_VB_ar_ izmaiņām_MK'!Q22*1.025</f>
        <v>69.919093749999988</v>
      </c>
      <c r="R22" s="4">
        <f>Q22*P22</f>
        <v>7551.2621249999984</v>
      </c>
      <c r="S22" s="15">
        <f>M22-O22</f>
        <v>1</v>
      </c>
      <c r="T22" s="15">
        <f>N22-P22</f>
        <v>1</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15">
        <f>'_2022_VB_ar_ izmaiņām_MK'!S23</f>
        <v>18</v>
      </c>
      <c r="J23" s="15">
        <f>'_2022_VB_ar_ izmaiņām_MK'!T23</f>
        <v>18</v>
      </c>
      <c r="K23" s="53">
        <f>ROUND('_2022_VB_ar_ izmaiņām_MK'!K23*1.025,0)</f>
        <v>13</v>
      </c>
      <c r="L23" s="54">
        <f>IF(I23=0,K23,K23*(J23/I23))</f>
        <v>13</v>
      </c>
      <c r="M23" s="12">
        <f>I23+(K23*12)</f>
        <v>174</v>
      </c>
      <c r="N23" s="12">
        <f>J23+(L23*12)</f>
        <v>174</v>
      </c>
      <c r="O23" s="11">
        <v>153</v>
      </c>
      <c r="P23" s="54">
        <f>IF(I23=0,O23,O23*(J23/I23))</f>
        <v>153</v>
      </c>
      <c r="Q23" s="33">
        <f>'_2022_VB_ar_ izmaiņām_MK'!Q23*1.025</f>
        <v>57.553237499999994</v>
      </c>
      <c r="R23" s="4">
        <f>Q23*P23</f>
        <v>8805.6453374999983</v>
      </c>
      <c r="S23" s="15">
        <f>M23-O23</f>
        <v>21</v>
      </c>
      <c r="T23" s="15">
        <f>N23-P23</f>
        <v>21</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15">
        <f>'_2022_VB_ar_ izmaiņām_MK'!S24</f>
        <v>29</v>
      </c>
      <c r="J24" s="15">
        <f>'_2022_VB_ar_ izmaiņām_MK'!T24</f>
        <v>29</v>
      </c>
      <c r="K24" s="53">
        <f>ROUND('_2022_VB_ar_ izmaiņām_MK'!K24*1.025,0)</f>
        <v>5</v>
      </c>
      <c r="L24" s="54">
        <f t="shared" ref="L24:L49" si="15">IF(I24=0,K24,K24*(J24/I24))</f>
        <v>5</v>
      </c>
      <c r="M24" s="12">
        <f t="shared" ref="M24:N39" si="16">I24+(K24*12)</f>
        <v>89</v>
      </c>
      <c r="N24" s="12">
        <f t="shared" si="16"/>
        <v>89</v>
      </c>
      <c r="O24" s="11">
        <v>45</v>
      </c>
      <c r="P24" s="54">
        <f t="shared" ref="P24:P49" si="17">IF(I24=0,O24,O24*(J24/I24))</f>
        <v>45</v>
      </c>
      <c r="Q24" s="33">
        <f>'_2022_VB_ar_ izmaiņām_MK'!Q24*1.025</f>
        <v>75.476899999999986</v>
      </c>
      <c r="R24" s="4">
        <f t="shared" ref="R24:R49" si="18">Q24*P24</f>
        <v>3396.4604999999992</v>
      </c>
      <c r="S24" s="15">
        <f t="shared" ref="S24:T39" si="19">M24-O24</f>
        <v>44</v>
      </c>
      <c r="T24" s="15">
        <f t="shared" si="19"/>
        <v>44</v>
      </c>
      <c r="U24" s="1"/>
      <c r="V24" s="1">
        <v>1</v>
      </c>
      <c r="W24" s="27"/>
    </row>
    <row r="25" spans="1:23" s="44" customFormat="1" ht="24" customHeight="1" x14ac:dyDescent="0.35">
      <c r="A25" s="31">
        <v>13</v>
      </c>
      <c r="B25" s="32" t="s">
        <v>40</v>
      </c>
      <c r="C25" s="32" t="s">
        <v>41</v>
      </c>
      <c r="D25" s="31" t="s">
        <v>106</v>
      </c>
      <c r="E25" s="32" t="s">
        <v>9</v>
      </c>
      <c r="F25" s="32">
        <v>5</v>
      </c>
      <c r="G25" s="42" t="s">
        <v>43</v>
      </c>
      <c r="H25" s="47"/>
      <c r="I25" s="15">
        <f>'_2022_VB_ar_ izmaiņām_MK'!S25</f>
        <v>23</v>
      </c>
      <c r="J25" s="15">
        <f>'_2022_VB_ar_ izmaiņām_MK'!T25</f>
        <v>23</v>
      </c>
      <c r="K25" s="53">
        <f>ROUND('_2022_VB_ar_ izmaiņām_MK'!K25*1.025,0)</f>
        <v>2</v>
      </c>
      <c r="L25" s="54">
        <f t="shared" si="15"/>
        <v>2</v>
      </c>
      <c r="M25" s="12">
        <f t="shared" si="16"/>
        <v>47</v>
      </c>
      <c r="N25" s="12">
        <f t="shared" si="16"/>
        <v>47</v>
      </c>
      <c r="O25" s="11">
        <v>12</v>
      </c>
      <c r="P25" s="54">
        <f t="shared" si="17"/>
        <v>12</v>
      </c>
      <c r="Q25" s="33">
        <f>'_2022_VB_ar_ izmaiņām_MK'!Q25*1.025</f>
        <v>50.850249999999988</v>
      </c>
      <c r="R25" s="4">
        <f t="shared" si="18"/>
        <v>610.20299999999986</v>
      </c>
      <c r="S25" s="15">
        <f t="shared" si="19"/>
        <v>35</v>
      </c>
      <c r="T25" s="15">
        <f t="shared" si="19"/>
        <v>35</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15">
        <f>'_2022_VB_ar_ izmaiņām_MK'!S26</f>
        <v>100</v>
      </c>
      <c r="J26" s="15">
        <f>'_2022_VB_ar_ izmaiņām_MK'!T26</f>
        <v>100</v>
      </c>
      <c r="K26" s="53">
        <f>ROUND('_2022_VB_ar_ izmaiņām_MK'!K26*1.025,0)</f>
        <v>18</v>
      </c>
      <c r="L26" s="54">
        <f t="shared" si="15"/>
        <v>18</v>
      </c>
      <c r="M26" s="12">
        <f t="shared" si="16"/>
        <v>316</v>
      </c>
      <c r="N26" s="12">
        <f t="shared" si="16"/>
        <v>316</v>
      </c>
      <c r="O26" s="11">
        <v>159</v>
      </c>
      <c r="P26" s="54">
        <f t="shared" si="17"/>
        <v>159</v>
      </c>
      <c r="Q26" s="33">
        <f>'_2022_VB_ar_ izmaiņām_MK'!Q26*1.025</f>
        <v>571.50848124999993</v>
      </c>
      <c r="R26" s="4">
        <f t="shared" si="18"/>
        <v>90869.84851874999</v>
      </c>
      <c r="S26" s="15">
        <f t="shared" si="19"/>
        <v>157</v>
      </c>
      <c r="T26" s="15">
        <f t="shared" si="19"/>
        <v>157</v>
      </c>
      <c r="U26" s="1"/>
      <c r="V26" s="1">
        <v>1</v>
      </c>
      <c r="W26" s="27"/>
    </row>
    <row r="27" spans="1:23" s="44" customFormat="1" ht="36" customHeight="1" x14ac:dyDescent="0.35">
      <c r="A27" s="31">
        <v>15</v>
      </c>
      <c r="B27" s="32" t="s">
        <v>166</v>
      </c>
      <c r="C27" s="32" t="s">
        <v>46</v>
      </c>
      <c r="D27" s="31" t="s">
        <v>167</v>
      </c>
      <c r="E27" s="32" t="s">
        <v>9</v>
      </c>
      <c r="F27" s="32">
        <v>3</v>
      </c>
      <c r="G27" s="42" t="s">
        <v>47</v>
      </c>
      <c r="H27" s="47"/>
      <c r="I27" s="15">
        <f>'_2022_VB_ar_ izmaiņām_MK'!S27</f>
        <v>33</v>
      </c>
      <c r="J27" s="15">
        <f>'_2022_VB_ar_ izmaiņām_MK'!T27</f>
        <v>33</v>
      </c>
      <c r="K27" s="53">
        <f>ROUND('_2022_VB_ar_ izmaiņām_MK'!K27*1.025,0)</f>
        <v>2</v>
      </c>
      <c r="L27" s="54">
        <f>IF(I27=0,K27,K27*(J27/I27))</f>
        <v>2</v>
      </c>
      <c r="M27" s="12">
        <f t="shared" si="16"/>
        <v>57</v>
      </c>
      <c r="N27" s="12">
        <f t="shared" si="16"/>
        <v>57</v>
      </c>
      <c r="O27" s="11">
        <v>10</v>
      </c>
      <c r="P27" s="54">
        <f t="shared" si="17"/>
        <v>10</v>
      </c>
      <c r="Q27" s="33">
        <f>'_2022_VB_ar_ izmaiņām_MK'!Q27*1.025</f>
        <v>214.91584999999995</v>
      </c>
      <c r="R27" s="4">
        <f t="shared" si="18"/>
        <v>2149.1584999999995</v>
      </c>
      <c r="S27" s="15">
        <f t="shared" si="19"/>
        <v>47</v>
      </c>
      <c r="T27" s="15">
        <f t="shared" si="19"/>
        <v>47</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15">
        <f>'_2022_VB_ar_ izmaiņām_MK'!S28</f>
        <v>5951</v>
      </c>
      <c r="J28" s="15">
        <f>'_2022_VB_ar_ izmaiņām_MK'!T28</f>
        <v>9762.0135091669345</v>
      </c>
      <c r="K28" s="53">
        <f>ROUND('_2022_VB_ar_ izmaiņām_MK'!K28*1.025,0)</f>
        <v>316</v>
      </c>
      <c r="L28" s="54">
        <f t="shared" si="15"/>
        <v>518.36603409456416</v>
      </c>
      <c r="M28" s="12">
        <f t="shared" si="16"/>
        <v>9743</v>
      </c>
      <c r="N28" s="12">
        <f t="shared" si="16"/>
        <v>15982.405918301705</v>
      </c>
      <c r="O28" s="11">
        <v>2287</v>
      </c>
      <c r="P28" s="54">
        <f t="shared" si="17"/>
        <v>3751.5921518173045</v>
      </c>
      <c r="Q28" s="33">
        <f>'_2022_VB_ar_ izmaiņām_MK'!Q28*1.025</f>
        <v>253.23214374999998</v>
      </c>
      <c r="R28" s="4">
        <f>Q28*P28+20.4</f>
        <v>950044.12308037141</v>
      </c>
      <c r="S28" s="15">
        <f t="shared" si="19"/>
        <v>7456</v>
      </c>
      <c r="T28" s="15">
        <f t="shared" si="19"/>
        <v>12230.8137664844</v>
      </c>
      <c r="U28" s="1">
        <v>1</v>
      </c>
      <c r="V28" s="1"/>
      <c r="W28" s="27"/>
    </row>
    <row r="29" spans="1:23" s="44" customFormat="1" ht="46.5" customHeight="1" x14ac:dyDescent="0.35">
      <c r="A29" s="31">
        <v>19</v>
      </c>
      <c r="B29" s="32" t="s">
        <v>50</v>
      </c>
      <c r="C29" s="32" t="s">
        <v>180</v>
      </c>
      <c r="D29" s="31" t="s">
        <v>120</v>
      </c>
      <c r="E29" s="32" t="s">
        <v>9</v>
      </c>
      <c r="F29" s="32">
        <v>5</v>
      </c>
      <c r="G29" s="42" t="s">
        <v>52</v>
      </c>
      <c r="H29" s="47"/>
      <c r="I29" s="15">
        <f>'_2022_VB_ar_ izmaiņām_MK'!S29</f>
        <v>388</v>
      </c>
      <c r="J29" s="15">
        <f>'_2022_VB_ar_ izmaiņām_MK'!T29</f>
        <v>388</v>
      </c>
      <c r="K29" s="53">
        <f>ROUND('_2022_VB_ar_ izmaiņām_MK'!K29*1.025,0)</f>
        <v>19</v>
      </c>
      <c r="L29" s="54">
        <f t="shared" si="15"/>
        <v>19</v>
      </c>
      <c r="M29" s="12">
        <f t="shared" si="16"/>
        <v>616</v>
      </c>
      <c r="N29" s="12">
        <f t="shared" si="16"/>
        <v>616</v>
      </c>
      <c r="O29" s="11">
        <v>70</v>
      </c>
      <c r="P29" s="54">
        <f t="shared" si="17"/>
        <v>70</v>
      </c>
      <c r="Q29" s="33">
        <f>'_2022_VB_ar_ izmaiņām_MK'!Q29*1.025</f>
        <v>266.10229999999996</v>
      </c>
      <c r="R29" s="4">
        <f t="shared" si="18"/>
        <v>18627.160999999996</v>
      </c>
      <c r="S29" s="15">
        <f t="shared" si="19"/>
        <v>546</v>
      </c>
      <c r="T29" s="15">
        <f t="shared" si="19"/>
        <v>546</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15">
        <f>'_2022_VB_ar_ izmaiņām_MK'!S30</f>
        <v>27</v>
      </c>
      <c r="J30" s="15">
        <f>'_2022_VB_ar_ izmaiņām_MK'!T30</f>
        <v>27</v>
      </c>
      <c r="K30" s="53">
        <f>ROUND('_2022_VB_ar_ izmaiņām_MK'!K30*1.025,0)</f>
        <v>1</v>
      </c>
      <c r="L30" s="54">
        <f t="shared" si="15"/>
        <v>1</v>
      </c>
      <c r="M30" s="12">
        <f t="shared" si="16"/>
        <v>39</v>
      </c>
      <c r="N30" s="12">
        <f t="shared" si="16"/>
        <v>39</v>
      </c>
      <c r="O30" s="11">
        <v>5</v>
      </c>
      <c r="P30" s="54">
        <f t="shared" si="17"/>
        <v>5</v>
      </c>
      <c r="Q30" s="33">
        <f>'_2022_VB_ar_ izmaiņām_MK'!Q30*1.025</f>
        <v>869.9174999999999</v>
      </c>
      <c r="R30" s="4">
        <f t="shared" si="18"/>
        <v>4349.5874999999996</v>
      </c>
      <c r="S30" s="15">
        <f t="shared" si="19"/>
        <v>34</v>
      </c>
      <c r="T30" s="15">
        <f t="shared" si="19"/>
        <v>34</v>
      </c>
      <c r="U30" s="1">
        <v>1</v>
      </c>
      <c r="V30" s="1"/>
      <c r="W30" s="27"/>
    </row>
    <row r="31" spans="1:23" s="44" customFormat="1" ht="36" customHeight="1" x14ac:dyDescent="0.35">
      <c r="A31" s="31">
        <v>21</v>
      </c>
      <c r="B31" s="32" t="s">
        <v>6</v>
      </c>
      <c r="C31" s="32" t="s">
        <v>56</v>
      </c>
      <c r="D31" s="31" t="s">
        <v>57</v>
      </c>
      <c r="E31" s="32" t="s">
        <v>9</v>
      </c>
      <c r="F31" s="32">
        <v>2</v>
      </c>
      <c r="G31" s="42" t="s">
        <v>10</v>
      </c>
      <c r="H31" s="47"/>
      <c r="I31" s="15">
        <f>'_2022_VB_ar_ izmaiņām_MK'!S31</f>
        <v>16</v>
      </c>
      <c r="J31" s="15">
        <f>'_2022_VB_ar_ izmaiņām_MK'!T31</f>
        <v>16</v>
      </c>
      <c r="K31" s="53">
        <f>ROUND('_2022_VB_ar_ izmaiņām_MK'!K31*1.025,0)</f>
        <v>1</v>
      </c>
      <c r="L31" s="54">
        <f t="shared" si="15"/>
        <v>1</v>
      </c>
      <c r="M31" s="12">
        <f t="shared" si="16"/>
        <v>28</v>
      </c>
      <c r="N31" s="12">
        <f t="shared" si="16"/>
        <v>28</v>
      </c>
      <c r="O31" s="11">
        <v>4</v>
      </c>
      <c r="P31" s="54">
        <f t="shared" si="17"/>
        <v>4</v>
      </c>
      <c r="Q31" s="33">
        <f>'_2022_VB_ar_ izmaiņām_MK'!Q31*1.025</f>
        <v>14.708749999999997</v>
      </c>
      <c r="R31" s="4">
        <f t="shared" si="18"/>
        <v>58.834999999999987</v>
      </c>
      <c r="S31" s="15">
        <f t="shared" si="19"/>
        <v>24</v>
      </c>
      <c r="T31" s="15">
        <f t="shared" si="19"/>
        <v>24</v>
      </c>
      <c r="U31" s="1"/>
      <c r="V31" s="1">
        <v>1</v>
      </c>
      <c r="W31" s="27"/>
    </row>
    <row r="32" spans="1:23" s="44" customFormat="1" ht="21.75" customHeight="1" x14ac:dyDescent="0.35">
      <c r="A32" s="31">
        <v>22</v>
      </c>
      <c r="B32" s="32" t="s">
        <v>6</v>
      </c>
      <c r="C32" s="32" t="s">
        <v>58</v>
      </c>
      <c r="D32" s="31" t="s">
        <v>59</v>
      </c>
      <c r="E32" s="32" t="s">
        <v>9</v>
      </c>
      <c r="F32" s="32">
        <v>5</v>
      </c>
      <c r="G32" s="42" t="s">
        <v>10</v>
      </c>
      <c r="H32" s="47"/>
      <c r="I32" s="15">
        <f>'_2022_VB_ar_ izmaiņām_MK'!S32</f>
        <v>1</v>
      </c>
      <c r="J32" s="15">
        <f>'_2022_VB_ar_ izmaiņām_MK'!T32</f>
        <v>1</v>
      </c>
      <c r="K32" s="53">
        <f>ROUND('_2022_VB_ar_ izmaiņām_MK'!K32*1.025,0)</f>
        <v>1</v>
      </c>
      <c r="L32" s="54">
        <f t="shared" si="15"/>
        <v>1</v>
      </c>
      <c r="M32" s="12">
        <f t="shared" si="16"/>
        <v>13</v>
      </c>
      <c r="N32" s="12">
        <f t="shared" si="16"/>
        <v>13</v>
      </c>
      <c r="O32" s="11">
        <v>11</v>
      </c>
      <c r="P32" s="54">
        <f t="shared" si="17"/>
        <v>11</v>
      </c>
      <c r="Q32" s="33">
        <f>'_2022_VB_ar_ izmaiņām_MK'!Q32*1.025</f>
        <v>915.30449999999996</v>
      </c>
      <c r="R32" s="4">
        <f t="shared" si="18"/>
        <v>10068.3495</v>
      </c>
      <c r="S32" s="15">
        <f t="shared" si="19"/>
        <v>2</v>
      </c>
      <c r="T32" s="15">
        <f t="shared" si="19"/>
        <v>2</v>
      </c>
      <c r="U32" s="1"/>
      <c r="V32" s="1">
        <v>1</v>
      </c>
      <c r="W32" s="27"/>
    </row>
    <row r="33" spans="1:23" s="44" customFormat="1" ht="21.75" customHeight="1" x14ac:dyDescent="0.35">
      <c r="A33" s="29">
        <v>23</v>
      </c>
      <c r="B33" s="30" t="s">
        <v>60</v>
      </c>
      <c r="C33" s="30" t="s">
        <v>61</v>
      </c>
      <c r="D33" s="29" t="s">
        <v>62</v>
      </c>
      <c r="E33" s="30" t="s">
        <v>9</v>
      </c>
      <c r="F33" s="30">
        <v>3</v>
      </c>
      <c r="G33" s="43" t="s">
        <v>10</v>
      </c>
      <c r="H33" s="48"/>
      <c r="I33" s="15">
        <f>'_2022_VB_ar_ izmaiņām_MK'!S33</f>
        <v>226</v>
      </c>
      <c r="J33" s="15">
        <f>'_2022_VB_ar_ izmaiņām_MK'!T33</f>
        <v>226</v>
      </c>
      <c r="K33" s="53">
        <f>ROUND('_2022_VB_ar_ izmaiņām_MK'!K33*1.025,0)</f>
        <v>27</v>
      </c>
      <c r="L33" s="54">
        <f t="shared" si="15"/>
        <v>27</v>
      </c>
      <c r="M33" s="132">
        <f t="shared" si="16"/>
        <v>550</v>
      </c>
      <c r="N33" s="132">
        <f t="shared" si="16"/>
        <v>550</v>
      </c>
      <c r="O33" s="11">
        <v>179</v>
      </c>
      <c r="P33" s="54">
        <f t="shared" si="17"/>
        <v>179</v>
      </c>
      <c r="Q33" s="33">
        <f>'_2022_VB_ar_ izmaiņām_MK'!Q33*1.025</f>
        <v>350.86672499999992</v>
      </c>
      <c r="R33" s="4">
        <f t="shared" si="18"/>
        <v>62805.143774999982</v>
      </c>
      <c r="S33" s="15">
        <f t="shared" si="19"/>
        <v>371</v>
      </c>
      <c r="T33" s="15">
        <f t="shared" si="19"/>
        <v>371</v>
      </c>
      <c r="U33" s="1"/>
      <c r="V33" s="1">
        <v>1</v>
      </c>
      <c r="W33" s="27"/>
    </row>
    <row r="34" spans="1:23" ht="32.25" customHeight="1" x14ac:dyDescent="0.35">
      <c r="A34" s="29">
        <v>24</v>
      </c>
      <c r="B34" s="30" t="s">
        <v>60</v>
      </c>
      <c r="C34" s="30" t="s">
        <v>61</v>
      </c>
      <c r="D34" s="29" t="s">
        <v>108</v>
      </c>
      <c r="E34" s="30" t="s">
        <v>9</v>
      </c>
      <c r="F34" s="30">
        <v>5</v>
      </c>
      <c r="G34" s="43" t="s">
        <v>10</v>
      </c>
      <c r="H34" s="48"/>
      <c r="I34" s="15">
        <f>'_2022_VB_ar_ izmaiņām_MK'!S34</f>
        <v>186</v>
      </c>
      <c r="J34" s="15">
        <f>'_2022_VB_ar_ izmaiņām_MK'!T34</f>
        <v>186</v>
      </c>
      <c r="K34" s="53">
        <f>ROUND('_2022_VB_ar_ izmaiņām_MK'!K34*1.025,0)</f>
        <v>10</v>
      </c>
      <c r="L34" s="54">
        <f t="shared" si="15"/>
        <v>10</v>
      </c>
      <c r="M34" s="132">
        <f t="shared" si="16"/>
        <v>306</v>
      </c>
      <c r="N34" s="132">
        <f t="shared" si="16"/>
        <v>306</v>
      </c>
      <c r="O34" s="104">
        <v>32</v>
      </c>
      <c r="P34" s="54">
        <f t="shared" si="17"/>
        <v>32</v>
      </c>
      <c r="Q34" s="33">
        <f>'_2022_VB_ar_ izmaiņām_MK'!Q34*1.025</f>
        <v>735.43749999999977</v>
      </c>
      <c r="R34" s="4">
        <f t="shared" si="18"/>
        <v>23533.999999999993</v>
      </c>
      <c r="S34" s="15">
        <f t="shared" si="19"/>
        <v>274</v>
      </c>
      <c r="T34" s="15">
        <f t="shared" si="19"/>
        <v>274</v>
      </c>
      <c r="U34" s="1"/>
      <c r="V34" s="1">
        <v>1</v>
      </c>
      <c r="W34" s="27" t="s">
        <v>176</v>
      </c>
    </row>
    <row r="35" spans="1:23" s="44" customFormat="1" ht="49.5" customHeight="1" x14ac:dyDescent="0.35">
      <c r="A35" s="29">
        <v>25</v>
      </c>
      <c r="B35" s="30" t="s">
        <v>60</v>
      </c>
      <c r="C35" s="30" t="s">
        <v>61</v>
      </c>
      <c r="D35" s="29" t="s">
        <v>63</v>
      </c>
      <c r="E35" s="30" t="s">
        <v>9</v>
      </c>
      <c r="F35" s="30">
        <v>3</v>
      </c>
      <c r="G35" s="43" t="s">
        <v>64</v>
      </c>
      <c r="H35" s="48"/>
      <c r="I35" s="15">
        <f>'_2022_VB_ar_ izmaiņām_MK'!S35</f>
        <v>8</v>
      </c>
      <c r="J35" s="15">
        <f>'_2022_VB_ar_ izmaiņām_MK'!T35</f>
        <v>8</v>
      </c>
      <c r="K35" s="53">
        <f>ROUND('_2022_VB_ar_ izmaiņām_MK'!K35*1.025,0)</f>
        <v>2</v>
      </c>
      <c r="L35" s="54">
        <f t="shared" si="15"/>
        <v>2</v>
      </c>
      <c r="M35" s="132">
        <f t="shared" si="16"/>
        <v>32</v>
      </c>
      <c r="N35" s="132">
        <f t="shared" si="16"/>
        <v>32</v>
      </c>
      <c r="O35" s="11">
        <v>19</v>
      </c>
      <c r="P35" s="54">
        <f t="shared" si="17"/>
        <v>19</v>
      </c>
      <c r="Q35" s="33">
        <f>'_2022_VB_ar_ izmaiņām_MK'!Q35*1.025</f>
        <v>152.55074999999997</v>
      </c>
      <c r="R35" s="4">
        <f t="shared" si="18"/>
        <v>2898.4642499999995</v>
      </c>
      <c r="S35" s="15">
        <f t="shared" si="19"/>
        <v>13</v>
      </c>
      <c r="T35" s="15">
        <f t="shared" si="19"/>
        <v>13</v>
      </c>
      <c r="U35" s="1"/>
      <c r="V35" s="1">
        <v>1</v>
      </c>
      <c r="W35" s="27"/>
    </row>
    <row r="36" spans="1:23" ht="25.5" customHeight="1" x14ac:dyDescent="0.35">
      <c r="A36" s="29">
        <v>26</v>
      </c>
      <c r="B36" s="30" t="s">
        <v>141</v>
      </c>
      <c r="C36" s="30" t="s">
        <v>65</v>
      </c>
      <c r="D36" s="29" t="s">
        <v>66</v>
      </c>
      <c r="E36" s="30" t="s">
        <v>9</v>
      </c>
      <c r="F36" s="30">
        <v>5</v>
      </c>
      <c r="G36" s="43" t="s">
        <v>110</v>
      </c>
      <c r="H36" s="48"/>
      <c r="I36" s="15">
        <f>'_2022_VB_ar_ izmaiņām_MK'!S36</f>
        <v>403</v>
      </c>
      <c r="J36" s="15">
        <f>'_2022_VB_ar_ izmaiņām_MK'!T36</f>
        <v>403</v>
      </c>
      <c r="K36" s="53">
        <f>ROUND('_2022_VB_ar_ izmaiņām_MK'!K36*1.025,0)</f>
        <v>22</v>
      </c>
      <c r="L36" s="54">
        <f t="shared" si="15"/>
        <v>22</v>
      </c>
      <c r="M36" s="132">
        <f t="shared" si="16"/>
        <v>667</v>
      </c>
      <c r="N36" s="132">
        <f t="shared" si="16"/>
        <v>667</v>
      </c>
      <c r="O36" s="104">
        <v>45</v>
      </c>
      <c r="P36" s="54">
        <f t="shared" si="17"/>
        <v>45</v>
      </c>
      <c r="Q36" s="33">
        <f>'_2022_VB_ar_ izmaiņām_MK'!Q36*1.025</f>
        <v>525.3125</v>
      </c>
      <c r="R36" s="4">
        <f t="shared" si="18"/>
        <v>23639.0625</v>
      </c>
      <c r="S36" s="15">
        <f t="shared" si="19"/>
        <v>622</v>
      </c>
      <c r="T36" s="15">
        <f t="shared" si="19"/>
        <v>622</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15">
        <f>'_2022_VB_ar_ izmaiņām_MK'!S37</f>
        <v>23</v>
      </c>
      <c r="J37" s="15">
        <f>'_2022_VB_ar_ izmaiņām_MK'!T37</f>
        <v>23</v>
      </c>
      <c r="K37" s="53">
        <f>ROUND('_2022_VB_ar_ izmaiņām_MK'!K37*1.025,0)</f>
        <v>3</v>
      </c>
      <c r="L37" s="54">
        <f t="shared" si="15"/>
        <v>3</v>
      </c>
      <c r="M37" s="12">
        <f t="shared" si="16"/>
        <v>59</v>
      </c>
      <c r="N37" s="12">
        <f t="shared" si="16"/>
        <v>59</v>
      </c>
      <c r="O37" s="11">
        <v>24</v>
      </c>
      <c r="P37" s="54">
        <f t="shared" si="17"/>
        <v>24</v>
      </c>
      <c r="Q37" s="33">
        <f>'_2022_VB_ar_ izmaiņām_MK'!Q37*1.025</f>
        <v>221.50326874999999</v>
      </c>
      <c r="R37" s="4">
        <f t="shared" si="18"/>
        <v>5316.07845</v>
      </c>
      <c r="S37" s="15">
        <f t="shared" si="19"/>
        <v>35</v>
      </c>
      <c r="T37" s="15">
        <f t="shared" si="19"/>
        <v>35</v>
      </c>
      <c r="U37" s="19"/>
      <c r="V37" s="19">
        <v>1</v>
      </c>
      <c r="W37" s="26"/>
    </row>
    <row r="38" spans="1:23" s="44" customFormat="1" ht="60.75" customHeight="1" x14ac:dyDescent="0.35">
      <c r="A38" s="29">
        <v>28</v>
      </c>
      <c r="B38" s="30" t="s">
        <v>168</v>
      </c>
      <c r="C38" s="30" t="s">
        <v>67</v>
      </c>
      <c r="D38" s="29" t="s">
        <v>68</v>
      </c>
      <c r="E38" s="30" t="s">
        <v>9</v>
      </c>
      <c r="F38" s="30">
        <v>3</v>
      </c>
      <c r="G38" s="43" t="s">
        <v>69</v>
      </c>
      <c r="H38" s="48"/>
      <c r="I38" s="15">
        <f>'_2022_VB_ar_ izmaiņām_MK'!S38</f>
        <v>115</v>
      </c>
      <c r="J38" s="15">
        <f>'_2022_VB_ar_ izmaiņām_MK'!T38</f>
        <v>115</v>
      </c>
      <c r="K38" s="53">
        <f>ROUND('_2022_VB_ar_ izmaiņām_MK'!K38*1.025,0)</f>
        <v>15</v>
      </c>
      <c r="L38" s="54">
        <f t="shared" si="15"/>
        <v>15</v>
      </c>
      <c r="M38" s="12">
        <f t="shared" si="16"/>
        <v>295</v>
      </c>
      <c r="N38" s="12">
        <f t="shared" si="16"/>
        <v>295</v>
      </c>
      <c r="O38" s="11">
        <v>180</v>
      </c>
      <c r="P38" s="54">
        <f t="shared" si="17"/>
        <v>180</v>
      </c>
      <c r="Q38" s="33">
        <f>'_2022_VB_ar_ izmaiņām_MK'!Q38*1.025</f>
        <v>397.07321249999995</v>
      </c>
      <c r="R38" s="4">
        <f t="shared" si="18"/>
        <v>71473.178249999997</v>
      </c>
      <c r="S38" s="15">
        <f t="shared" si="19"/>
        <v>115</v>
      </c>
      <c r="T38" s="15">
        <f t="shared" si="19"/>
        <v>115</v>
      </c>
      <c r="U38" s="1">
        <v>1</v>
      </c>
      <c r="V38" s="1"/>
      <c r="W38" s="27"/>
    </row>
    <row r="39" spans="1:23" s="44" customFormat="1" x14ac:dyDescent="0.35">
      <c r="A39" s="29">
        <v>29</v>
      </c>
      <c r="B39" s="30" t="s">
        <v>70</v>
      </c>
      <c r="C39" s="30" t="s">
        <v>121</v>
      </c>
      <c r="D39" s="29" t="s">
        <v>122</v>
      </c>
      <c r="E39" s="30" t="s">
        <v>9</v>
      </c>
      <c r="F39" s="30">
        <v>5</v>
      </c>
      <c r="G39" s="43" t="s">
        <v>47</v>
      </c>
      <c r="H39" s="48"/>
      <c r="I39" s="15">
        <f>'_2022_VB_ar_ izmaiņām_MK'!S39</f>
        <v>3</v>
      </c>
      <c r="J39" s="15">
        <f>'_2022_VB_ar_ izmaiņām_MK'!T39</f>
        <v>3</v>
      </c>
      <c r="K39" s="53">
        <f>ROUND('_2022_VB_ar_ izmaiņām_MK'!K39*1.025,0)</f>
        <v>1</v>
      </c>
      <c r="L39" s="54">
        <f t="shared" si="15"/>
        <v>1</v>
      </c>
      <c r="M39" s="12">
        <f t="shared" si="16"/>
        <v>15</v>
      </c>
      <c r="N39" s="12">
        <f t="shared" si="16"/>
        <v>15</v>
      </c>
      <c r="O39" s="11">
        <v>6</v>
      </c>
      <c r="P39" s="54">
        <f t="shared" si="17"/>
        <v>6</v>
      </c>
      <c r="Q39" s="33">
        <f>'_2022_VB_ar_ izmaiņām_MK'!Q39*1.025</f>
        <v>130.50863749999999</v>
      </c>
      <c r="R39" s="4">
        <f t="shared" si="18"/>
        <v>783.05182500000001</v>
      </c>
      <c r="S39" s="15">
        <f t="shared" si="19"/>
        <v>9</v>
      </c>
      <c r="T39" s="15">
        <f t="shared" si="19"/>
        <v>9</v>
      </c>
      <c r="U39" s="1">
        <v>1</v>
      </c>
      <c r="V39" s="1"/>
      <c r="W39" s="27"/>
    </row>
    <row r="40" spans="1:23" s="44" customFormat="1" ht="40.5" customHeight="1" x14ac:dyDescent="0.35">
      <c r="A40" s="29">
        <v>30</v>
      </c>
      <c r="B40" s="50" t="s">
        <v>71</v>
      </c>
      <c r="C40" s="50" t="s">
        <v>72</v>
      </c>
      <c r="D40" s="49" t="s">
        <v>73</v>
      </c>
      <c r="E40" s="50" t="s">
        <v>9</v>
      </c>
      <c r="F40" s="50">
        <v>5</v>
      </c>
      <c r="G40" s="51" t="s">
        <v>74</v>
      </c>
      <c r="H40" s="48"/>
      <c r="I40" s="15">
        <f>'_2022_VB_ar_ izmaiņām_MK'!S40</f>
        <v>85</v>
      </c>
      <c r="J40" s="15">
        <f>'_2022_VB_ar_ izmaiņām_MK'!T40</f>
        <v>85</v>
      </c>
      <c r="K40" s="53">
        <f>ROUND('_2022_VB_ar_ izmaiņām_MK'!K40*1.025,0)</f>
        <v>22</v>
      </c>
      <c r="L40" s="54">
        <f t="shared" si="15"/>
        <v>22</v>
      </c>
      <c r="M40" s="12">
        <f t="shared" ref="M40:N49" si="20">I40+(K40*12)</f>
        <v>349</v>
      </c>
      <c r="N40" s="12">
        <f t="shared" si="20"/>
        <v>349</v>
      </c>
      <c r="O40" s="11">
        <v>240</v>
      </c>
      <c r="P40" s="54">
        <f t="shared" si="17"/>
        <v>240</v>
      </c>
      <c r="Q40" s="33">
        <f>'_2022_VB_ar_ izmaiņām_MK'!Q40*1.025</f>
        <v>395.37119999999993</v>
      </c>
      <c r="R40" s="4">
        <f t="shared" si="18"/>
        <v>94889.087999999989</v>
      </c>
      <c r="S40" s="15">
        <f t="shared" ref="S40:T49" si="21">M40-O40</f>
        <v>109</v>
      </c>
      <c r="T40" s="15">
        <f t="shared" si="21"/>
        <v>109</v>
      </c>
      <c r="U40" s="19">
        <v>1</v>
      </c>
      <c r="V40" s="19"/>
      <c r="W40" s="26"/>
    </row>
    <row r="41" spans="1:23" s="44" customFormat="1" ht="117" customHeight="1" x14ac:dyDescent="0.35">
      <c r="A41" s="50">
        <v>31</v>
      </c>
      <c r="B41" s="50" t="s">
        <v>71</v>
      </c>
      <c r="C41" s="50" t="s">
        <v>72</v>
      </c>
      <c r="D41" s="49" t="s">
        <v>75</v>
      </c>
      <c r="E41" s="50" t="s">
        <v>9</v>
      </c>
      <c r="F41" s="50">
        <v>5</v>
      </c>
      <c r="G41" s="51" t="s">
        <v>76</v>
      </c>
      <c r="H41" s="48"/>
      <c r="I41" s="15">
        <f>'_2022_VB_ar_ izmaiņām_MK'!S41</f>
        <v>27</v>
      </c>
      <c r="J41" s="15">
        <f>'_2022_VB_ar_ izmaiņām_MK'!T41</f>
        <v>27</v>
      </c>
      <c r="K41" s="53">
        <f>ROUND('_2022_VB_ar_ izmaiņām_MK'!K41*1.025,0)</f>
        <v>1</v>
      </c>
      <c r="L41" s="54">
        <f t="shared" si="15"/>
        <v>1</v>
      </c>
      <c r="M41" s="12">
        <f t="shared" si="20"/>
        <v>39</v>
      </c>
      <c r="N41" s="12">
        <f t="shared" si="20"/>
        <v>39</v>
      </c>
      <c r="O41" s="11">
        <v>2</v>
      </c>
      <c r="P41" s="54">
        <f t="shared" si="17"/>
        <v>2</v>
      </c>
      <c r="Q41" s="33">
        <f>'_2022_VB_ar_ izmaiņām_MK'!Q41*1.025</f>
        <v>365.53344999999996</v>
      </c>
      <c r="R41" s="4">
        <f t="shared" si="18"/>
        <v>731.06689999999992</v>
      </c>
      <c r="S41" s="15">
        <f t="shared" si="21"/>
        <v>37</v>
      </c>
      <c r="T41" s="15">
        <f t="shared" si="21"/>
        <v>37</v>
      </c>
      <c r="U41" s="19">
        <v>1</v>
      </c>
      <c r="V41" s="19"/>
      <c r="W41" s="26"/>
    </row>
    <row r="42" spans="1:23" s="44" customFormat="1" ht="42.75" customHeight="1" x14ac:dyDescent="0.35">
      <c r="A42" s="29">
        <v>32</v>
      </c>
      <c r="B42" s="30" t="s">
        <v>77</v>
      </c>
      <c r="C42" s="30" t="s">
        <v>78</v>
      </c>
      <c r="D42" s="29" t="s">
        <v>99</v>
      </c>
      <c r="E42" s="30" t="s">
        <v>9</v>
      </c>
      <c r="F42" s="30">
        <v>2</v>
      </c>
      <c r="G42" s="43" t="s">
        <v>10</v>
      </c>
      <c r="H42" s="48"/>
      <c r="I42" s="15">
        <f>'_2022_VB_ar_ izmaiņām_MK'!S42</f>
        <v>336</v>
      </c>
      <c r="J42" s="15">
        <f>'_2022_VB_ar_ izmaiņām_MK'!T42</f>
        <v>336</v>
      </c>
      <c r="K42" s="53">
        <f>ROUND('_2022_VB_ar_ izmaiņām_MK'!K42*1.025,0)</f>
        <v>36</v>
      </c>
      <c r="L42" s="54">
        <f t="shared" si="15"/>
        <v>36</v>
      </c>
      <c r="M42" s="132">
        <f t="shared" si="20"/>
        <v>768</v>
      </c>
      <c r="N42" s="132">
        <f>J42+(L42*12)</f>
        <v>768</v>
      </c>
      <c r="O42" s="11">
        <v>310</v>
      </c>
      <c r="P42" s="54">
        <f t="shared" si="17"/>
        <v>310</v>
      </c>
      <c r="Q42" s="33">
        <f>'_2022_VB_ar_ izmaiņām_MK'!Q42*1.025</f>
        <v>75.928668749999986</v>
      </c>
      <c r="R42" s="4">
        <f t="shared" si="18"/>
        <v>23537.887312499995</v>
      </c>
      <c r="S42" s="15">
        <f t="shared" si="21"/>
        <v>458</v>
      </c>
      <c r="T42" s="15">
        <f t="shared" si="21"/>
        <v>458</v>
      </c>
      <c r="U42" s="1"/>
      <c r="V42" s="1">
        <v>1</v>
      </c>
      <c r="W42" s="27" t="s">
        <v>111</v>
      </c>
    </row>
    <row r="43" spans="1:23" ht="20.25" customHeight="1" x14ac:dyDescent="0.35">
      <c r="A43" s="29">
        <v>33</v>
      </c>
      <c r="B43" s="30" t="s">
        <v>142</v>
      </c>
      <c r="C43" s="30" t="s">
        <v>79</v>
      </c>
      <c r="D43" s="29" t="s">
        <v>80</v>
      </c>
      <c r="E43" s="30" t="s">
        <v>9</v>
      </c>
      <c r="F43" s="30">
        <v>5</v>
      </c>
      <c r="G43" s="43" t="s">
        <v>110</v>
      </c>
      <c r="H43" s="48"/>
      <c r="I43" s="15">
        <f>'_2022_VB_ar_ izmaiņām_MK'!S43</f>
        <v>59</v>
      </c>
      <c r="J43" s="15">
        <f>'_2022_VB_ar_ izmaiņām_MK'!T43</f>
        <v>59</v>
      </c>
      <c r="K43" s="53">
        <f>ROUND('_2022_VB_ar_ izmaiņām_MK'!K43*1.025,0)</f>
        <v>3</v>
      </c>
      <c r="L43" s="54">
        <f t="shared" si="15"/>
        <v>3</v>
      </c>
      <c r="M43" s="132">
        <f t="shared" si="20"/>
        <v>95</v>
      </c>
      <c r="N43" s="132">
        <f t="shared" si="20"/>
        <v>95</v>
      </c>
      <c r="O43" s="104">
        <v>7</v>
      </c>
      <c r="P43" s="54">
        <f t="shared" si="17"/>
        <v>7</v>
      </c>
      <c r="Q43" s="33">
        <f>'_2022_VB_ar_ izmaiņām_MK'!Q43*1.025</f>
        <v>2521.5</v>
      </c>
      <c r="R43" s="4">
        <f t="shared" si="18"/>
        <v>17650.5</v>
      </c>
      <c r="S43" s="15">
        <f t="shared" si="21"/>
        <v>88</v>
      </c>
      <c r="T43" s="15">
        <f t="shared" si="21"/>
        <v>88</v>
      </c>
      <c r="U43" s="1"/>
      <c r="V43" s="1">
        <v>1</v>
      </c>
      <c r="W43" s="27" t="s">
        <v>126</v>
      </c>
    </row>
    <row r="44" spans="1:23" ht="22.5" customHeight="1" x14ac:dyDescent="0.35">
      <c r="A44" s="29">
        <v>34</v>
      </c>
      <c r="B44" s="30" t="s">
        <v>6</v>
      </c>
      <c r="C44" s="30" t="s">
        <v>81</v>
      </c>
      <c r="D44" s="29" t="s">
        <v>82</v>
      </c>
      <c r="E44" s="30" t="s">
        <v>9</v>
      </c>
      <c r="F44" s="30">
        <v>7</v>
      </c>
      <c r="G44" s="43" t="s">
        <v>112</v>
      </c>
      <c r="H44" s="48"/>
      <c r="I44" s="15">
        <f>'_2022_VB_ar_ izmaiņām_MK'!S44</f>
        <v>11</v>
      </c>
      <c r="J44" s="15">
        <f>'_2022_VB_ar_ izmaiņām_MK'!T44</f>
        <v>11</v>
      </c>
      <c r="K44" s="53">
        <f>ROUND('_2022_VB_ar_ izmaiņām_MK'!K44*1.025,0)</f>
        <v>1</v>
      </c>
      <c r="L44" s="54">
        <f t="shared" si="15"/>
        <v>1</v>
      </c>
      <c r="M44" s="132">
        <f t="shared" si="20"/>
        <v>23</v>
      </c>
      <c r="N44" s="132">
        <f t="shared" si="20"/>
        <v>23</v>
      </c>
      <c r="O44" s="104">
        <v>7</v>
      </c>
      <c r="P44" s="54">
        <f t="shared" si="17"/>
        <v>7</v>
      </c>
      <c r="Q44" s="33">
        <f>'_2022_VB_ar_ izmaiņām_MK'!Q44*1.025</f>
        <v>2626.5624999999995</v>
      </c>
      <c r="R44" s="4">
        <f t="shared" si="18"/>
        <v>18385.937499999996</v>
      </c>
      <c r="S44" s="15">
        <f t="shared" si="21"/>
        <v>16</v>
      </c>
      <c r="T44" s="15">
        <f t="shared" si="21"/>
        <v>16</v>
      </c>
      <c r="U44" s="1"/>
      <c r="V44" s="1">
        <v>1</v>
      </c>
      <c r="W44" s="27" t="s">
        <v>126</v>
      </c>
    </row>
    <row r="45" spans="1:23" s="44" customFormat="1" ht="30" customHeight="1" x14ac:dyDescent="0.35">
      <c r="A45" s="50">
        <v>35</v>
      </c>
      <c r="B45" s="30" t="s">
        <v>77</v>
      </c>
      <c r="C45" s="30" t="s">
        <v>78</v>
      </c>
      <c r="D45" s="29" t="s">
        <v>83</v>
      </c>
      <c r="E45" s="30" t="s">
        <v>9</v>
      </c>
      <c r="F45" s="30">
        <v>5</v>
      </c>
      <c r="G45" s="43" t="s">
        <v>74</v>
      </c>
      <c r="H45" s="48"/>
      <c r="I45" s="15">
        <f>'_2022_VB_ar_ izmaiņām_MK'!S45</f>
        <v>122</v>
      </c>
      <c r="J45" s="15">
        <f>'_2022_VB_ar_ izmaiņām_MK'!T45</f>
        <v>122</v>
      </c>
      <c r="K45" s="53">
        <f>ROUND('_2022_VB_ar_ izmaiņām_MK'!K45*1.025,0)</f>
        <v>15</v>
      </c>
      <c r="L45" s="54">
        <f t="shared" si="15"/>
        <v>15</v>
      </c>
      <c r="M45" s="132">
        <f t="shared" si="20"/>
        <v>302</v>
      </c>
      <c r="N45" s="132">
        <f t="shared" si="20"/>
        <v>302</v>
      </c>
      <c r="O45" s="11">
        <v>171</v>
      </c>
      <c r="P45" s="54">
        <f t="shared" si="17"/>
        <v>171</v>
      </c>
      <c r="Q45" s="33">
        <f>'_2022_VB_ar_ izmaiņām_MK'!Q45*1.025</f>
        <v>62.522693749999981</v>
      </c>
      <c r="R45" s="4">
        <f t="shared" si="18"/>
        <v>10691.380631249996</v>
      </c>
      <c r="S45" s="15">
        <f t="shared" si="21"/>
        <v>131</v>
      </c>
      <c r="T45" s="15">
        <f t="shared" si="21"/>
        <v>131</v>
      </c>
      <c r="U45" s="1">
        <v>1</v>
      </c>
      <c r="V45" s="1"/>
      <c r="W45" s="27"/>
    </row>
    <row r="46" spans="1:23" ht="30" customHeight="1" x14ac:dyDescent="0.35">
      <c r="A46" s="29">
        <v>36</v>
      </c>
      <c r="B46" s="30" t="s">
        <v>169</v>
      </c>
      <c r="C46" s="30" t="s">
        <v>170</v>
      </c>
      <c r="D46" s="29" t="s">
        <v>171</v>
      </c>
      <c r="E46" s="30" t="s">
        <v>9</v>
      </c>
      <c r="F46" s="30">
        <v>5</v>
      </c>
      <c r="G46" s="43" t="s">
        <v>172</v>
      </c>
      <c r="H46" s="48"/>
      <c r="I46" s="15">
        <f>'_2022_VB_ar_ izmaiņām_MK'!S46</f>
        <v>61</v>
      </c>
      <c r="J46" s="15">
        <f>'_2022_VB_ar_ izmaiņām_MK'!T46</f>
        <v>61</v>
      </c>
      <c r="K46" s="53">
        <f>ROUND('_2022_VB_ar_ izmaiņām_MK'!K46*1.025,0)</f>
        <v>10</v>
      </c>
      <c r="L46" s="54">
        <f t="shared" si="15"/>
        <v>10</v>
      </c>
      <c r="M46" s="132">
        <f t="shared" si="20"/>
        <v>181</v>
      </c>
      <c r="N46" s="132">
        <f t="shared" si="20"/>
        <v>181</v>
      </c>
      <c r="O46" s="104">
        <v>75</v>
      </c>
      <c r="P46" s="54">
        <f t="shared" si="17"/>
        <v>75</v>
      </c>
      <c r="Q46" s="33">
        <f>'_2022_VB_ar_ izmaiņām_MK'!Q46*1.025</f>
        <v>176.57854374999997</v>
      </c>
      <c r="R46" s="4">
        <f t="shared" si="18"/>
        <v>13243.390781249998</v>
      </c>
      <c r="S46" s="15">
        <f t="shared" si="21"/>
        <v>106</v>
      </c>
      <c r="T46" s="15">
        <f t="shared" si="21"/>
        <v>106</v>
      </c>
      <c r="U46" s="1">
        <v>1</v>
      </c>
      <c r="V46" s="1"/>
      <c r="W46" s="27" t="s">
        <v>126</v>
      </c>
    </row>
    <row r="47" spans="1:23" s="44" customFormat="1" ht="63.75" customHeight="1" x14ac:dyDescent="0.35">
      <c r="A47" s="29">
        <v>37</v>
      </c>
      <c r="B47" s="30" t="s">
        <v>84</v>
      </c>
      <c r="C47" s="30" t="s">
        <v>79</v>
      </c>
      <c r="D47" s="29" t="s">
        <v>85</v>
      </c>
      <c r="E47" s="30" t="s">
        <v>9</v>
      </c>
      <c r="F47" s="30">
        <v>5</v>
      </c>
      <c r="G47" s="43" t="s">
        <v>86</v>
      </c>
      <c r="H47" s="48"/>
      <c r="I47" s="15">
        <f>'_2022_VB_ar_ izmaiņām_MK'!S47</f>
        <v>10</v>
      </c>
      <c r="J47" s="15">
        <f>'_2022_VB_ar_ izmaiņām_MK'!T47</f>
        <v>10</v>
      </c>
      <c r="K47" s="53">
        <f>ROUND('_2022_VB_ar_ izmaiņām_MK'!K47*1.025,0)</f>
        <v>6</v>
      </c>
      <c r="L47" s="54">
        <f t="shared" si="15"/>
        <v>6</v>
      </c>
      <c r="M47" s="12">
        <f t="shared" si="20"/>
        <v>82</v>
      </c>
      <c r="N47" s="12">
        <f t="shared" si="20"/>
        <v>82</v>
      </c>
      <c r="O47" s="11">
        <v>50</v>
      </c>
      <c r="P47" s="54">
        <f t="shared" si="17"/>
        <v>50</v>
      </c>
      <c r="Q47" s="33">
        <f>'_2022_VB_ar_ izmaiņām_MK'!Q47*1.025</f>
        <v>162.72079999999997</v>
      </c>
      <c r="R47" s="4">
        <f t="shared" si="18"/>
        <v>8136.0399999999981</v>
      </c>
      <c r="S47" s="15">
        <f t="shared" si="21"/>
        <v>32</v>
      </c>
      <c r="T47" s="15">
        <f t="shared" si="21"/>
        <v>32</v>
      </c>
      <c r="U47" s="1"/>
      <c r="V47" s="1">
        <v>1</v>
      </c>
      <c r="W47" s="27"/>
    </row>
    <row r="48" spans="1:23" s="44" customFormat="1" ht="53.25" customHeight="1" x14ac:dyDescent="0.35">
      <c r="A48" s="29">
        <v>38</v>
      </c>
      <c r="B48" s="50" t="s">
        <v>87</v>
      </c>
      <c r="C48" s="50" t="s">
        <v>88</v>
      </c>
      <c r="D48" s="49" t="s">
        <v>89</v>
      </c>
      <c r="E48" s="50" t="s">
        <v>9</v>
      </c>
      <c r="F48" s="50">
        <v>5</v>
      </c>
      <c r="G48" s="51" t="s">
        <v>10</v>
      </c>
      <c r="H48" s="48"/>
      <c r="I48" s="15">
        <f>'_2022_VB_ar_ izmaiņām_MK'!S48</f>
        <v>50</v>
      </c>
      <c r="J48" s="15">
        <f>'_2022_VB_ar_ izmaiņām_MK'!T48</f>
        <v>50</v>
      </c>
      <c r="K48" s="53">
        <f>ROUND('_2022_VB_ar_ izmaiņām_MK'!K48*1.025,0)</f>
        <v>3</v>
      </c>
      <c r="L48" s="54">
        <f t="shared" si="15"/>
        <v>3</v>
      </c>
      <c r="M48" s="12">
        <f t="shared" si="20"/>
        <v>86</v>
      </c>
      <c r="N48" s="12">
        <f t="shared" si="20"/>
        <v>86</v>
      </c>
      <c r="O48" s="11">
        <v>7</v>
      </c>
      <c r="P48" s="54">
        <f t="shared" si="17"/>
        <v>7</v>
      </c>
      <c r="Q48" s="33">
        <f>'_2022_VB_ar_ izmaiņām_MK'!Q48*1.025</f>
        <v>1333.5478062499997</v>
      </c>
      <c r="R48" s="4">
        <f t="shared" si="18"/>
        <v>9334.8346437499968</v>
      </c>
      <c r="S48" s="15">
        <f t="shared" si="21"/>
        <v>79</v>
      </c>
      <c r="T48" s="15">
        <f t="shared" si="21"/>
        <v>79</v>
      </c>
      <c r="U48" s="1"/>
      <c r="V48" s="1">
        <v>1</v>
      </c>
      <c r="W48" s="27"/>
    </row>
    <row r="49" spans="1:23" s="44" customFormat="1" x14ac:dyDescent="0.35">
      <c r="A49" s="50">
        <v>39</v>
      </c>
      <c r="B49" s="30" t="s">
        <v>87</v>
      </c>
      <c r="C49" s="30" t="s">
        <v>90</v>
      </c>
      <c r="D49" s="29" t="s">
        <v>113</v>
      </c>
      <c r="E49" s="30" t="s">
        <v>9</v>
      </c>
      <c r="F49" s="30">
        <v>5</v>
      </c>
      <c r="G49" s="43" t="s">
        <v>10</v>
      </c>
      <c r="H49" s="48"/>
      <c r="I49" s="15">
        <f>'_2022_VB_ar_ izmaiņām_MK'!S49</f>
        <v>48</v>
      </c>
      <c r="J49" s="15">
        <f>'_2022_VB_ar_ izmaiņām_MK'!T49</f>
        <v>48</v>
      </c>
      <c r="K49" s="53">
        <f>ROUND('_2022_VB_ar_ izmaiņām_MK'!K49*1.025,0)</f>
        <v>2</v>
      </c>
      <c r="L49" s="54">
        <f t="shared" si="15"/>
        <v>2</v>
      </c>
      <c r="M49" s="12">
        <f t="shared" si="20"/>
        <v>72</v>
      </c>
      <c r="N49" s="12">
        <f t="shared" si="20"/>
        <v>72</v>
      </c>
      <c r="O49" s="104">
        <v>0</v>
      </c>
      <c r="P49" s="54">
        <f t="shared" si="17"/>
        <v>0</v>
      </c>
      <c r="Q49" s="33">
        <f>'_2022_VB_ar_ izmaiņām_MK'!Q49*1.025</f>
        <v>210.12499999999994</v>
      </c>
      <c r="R49" s="4">
        <f t="shared" si="18"/>
        <v>0</v>
      </c>
      <c r="S49" s="15">
        <f t="shared" si="21"/>
        <v>72</v>
      </c>
      <c r="T49" s="15">
        <f t="shared" si="21"/>
        <v>72</v>
      </c>
      <c r="U49" s="1"/>
      <c r="V49" s="1">
        <v>1</v>
      </c>
      <c r="W49" s="27" t="s">
        <v>109</v>
      </c>
    </row>
    <row r="50" spans="1:23" s="44" customFormat="1" ht="20.25" customHeight="1" x14ac:dyDescent="0.35">
      <c r="A50" s="39"/>
      <c r="B50" s="40"/>
      <c r="C50" s="41">
        <v>27</v>
      </c>
      <c r="D50" s="188" t="s">
        <v>91</v>
      </c>
      <c r="E50" s="188"/>
      <c r="F50" s="188"/>
      <c r="G50" s="188"/>
      <c r="H50" s="63"/>
      <c r="I50" s="9">
        <f>'_2022_VB_ar_ izmaiņām_MK'!S50</f>
        <v>11</v>
      </c>
      <c r="J50" s="9">
        <f>'_2022_VB_ar_ izmaiņām_MK'!T50</f>
        <v>11</v>
      </c>
      <c r="K50" s="9">
        <f t="shared" ref="K50:P50" si="22">K51+K52</f>
        <v>10</v>
      </c>
      <c r="L50" s="9">
        <f t="shared" si="22"/>
        <v>10</v>
      </c>
      <c r="M50" s="9">
        <f t="shared" si="22"/>
        <v>131</v>
      </c>
      <c r="N50" s="9">
        <f t="shared" si="22"/>
        <v>131</v>
      </c>
      <c r="O50" s="9">
        <f t="shared" si="22"/>
        <v>115</v>
      </c>
      <c r="P50" s="9">
        <f t="shared" si="22"/>
        <v>115</v>
      </c>
      <c r="Q50" s="9" t="str">
        <f>'_2021_VB_bez izmaiņām'!Q50</f>
        <v>x</v>
      </c>
      <c r="R50" s="3">
        <f t="shared" ref="R50" si="23">R51+R52</f>
        <v>7524.5657437499995</v>
      </c>
      <c r="S50" s="9">
        <f>S51+S52</f>
        <v>16</v>
      </c>
      <c r="T50" s="9">
        <f>T51+T52</f>
        <v>16</v>
      </c>
      <c r="U50" s="7"/>
      <c r="V50" s="7">
        <v>1</v>
      </c>
      <c r="W50" s="27"/>
    </row>
    <row r="51" spans="1:23" s="44" customFormat="1" ht="28" x14ac:dyDescent="0.35">
      <c r="A51" s="31">
        <v>40</v>
      </c>
      <c r="B51" s="32" t="s">
        <v>6</v>
      </c>
      <c r="C51" s="32" t="s">
        <v>92</v>
      </c>
      <c r="D51" s="31" t="s">
        <v>93</v>
      </c>
      <c r="E51" s="32" t="s">
        <v>9</v>
      </c>
      <c r="F51" s="32">
        <v>3</v>
      </c>
      <c r="G51" s="42" t="s">
        <v>10</v>
      </c>
      <c r="H51" s="47"/>
      <c r="I51" s="15">
        <f>'_2022_VB_ar_ izmaiņām_MK'!S51</f>
        <v>0</v>
      </c>
      <c r="J51" s="15">
        <f>'_2022_VB_ar_ izmaiņām_MK'!T51</f>
        <v>0</v>
      </c>
      <c r="K51" s="53">
        <f>ROUND('_2022_VB_ar_ izmaiņām_MK'!K51*1.025,0)</f>
        <v>8</v>
      </c>
      <c r="L51" s="54">
        <f t="shared" ref="L51:L52" si="24">IF(I51=0,K51,K51*(J51/I51))</f>
        <v>8</v>
      </c>
      <c r="M51" s="12">
        <f t="shared" ref="M51:N52" si="25">I51+(K51*12)</f>
        <v>96</v>
      </c>
      <c r="N51" s="12">
        <f t="shared" si="25"/>
        <v>96</v>
      </c>
      <c r="O51" s="11">
        <v>96</v>
      </c>
      <c r="P51" s="54">
        <f t="shared" ref="P51:P52" si="26">IF(I51=0,O51,O51*(J51/I51))</f>
        <v>96</v>
      </c>
      <c r="Q51" s="33">
        <f>'_2022_VB_ar_ izmaiņām_MK'!Q51*1.025</f>
        <v>36.866431249999998</v>
      </c>
      <c r="R51" s="4">
        <f t="shared" ref="R51:R52" si="27">Q51*P51</f>
        <v>3539.1773999999996</v>
      </c>
      <c r="S51" s="15">
        <f t="shared" ref="S51:T52" si="28">M51-O51</f>
        <v>0</v>
      </c>
      <c r="T51" s="15">
        <f t="shared" si="28"/>
        <v>0</v>
      </c>
      <c r="U51" s="1"/>
      <c r="V51" s="1">
        <v>1</v>
      </c>
      <c r="W51" s="27"/>
    </row>
    <row r="52" spans="1:23" s="44" customFormat="1" x14ac:dyDescent="0.35">
      <c r="A52" s="31">
        <v>41</v>
      </c>
      <c r="B52" s="32" t="s">
        <v>6</v>
      </c>
      <c r="C52" s="32" t="s">
        <v>94</v>
      </c>
      <c r="D52" s="31" t="s">
        <v>95</v>
      </c>
      <c r="E52" s="32" t="s">
        <v>9</v>
      </c>
      <c r="F52" s="32">
        <v>5</v>
      </c>
      <c r="G52" s="42" t="s">
        <v>10</v>
      </c>
      <c r="H52" s="47"/>
      <c r="I52" s="15">
        <f>'_2022_VB_ar_ izmaiņām_MK'!S52</f>
        <v>11</v>
      </c>
      <c r="J52" s="15">
        <f>'_2022_VB_ar_ izmaiņām_MK'!T52</f>
        <v>11</v>
      </c>
      <c r="K52" s="53">
        <f>ROUND('_2022_VB_ar_ izmaiņām_MK'!K52*1.025,0)</f>
        <v>2</v>
      </c>
      <c r="L52" s="54">
        <f t="shared" si="24"/>
        <v>2</v>
      </c>
      <c r="M52" s="12">
        <f t="shared" si="25"/>
        <v>35</v>
      </c>
      <c r="N52" s="12">
        <f t="shared" si="25"/>
        <v>35</v>
      </c>
      <c r="O52" s="11">
        <v>19</v>
      </c>
      <c r="P52" s="54">
        <f t="shared" si="26"/>
        <v>19</v>
      </c>
      <c r="Q52" s="33">
        <f>'_2022_VB_ar_ izmaiņām_MK'!Q52*1.025</f>
        <v>209.75728124999998</v>
      </c>
      <c r="R52" s="4">
        <f t="shared" si="27"/>
        <v>3985.3883437499994</v>
      </c>
      <c r="S52" s="15">
        <f t="shared" si="28"/>
        <v>16</v>
      </c>
      <c r="T52" s="15">
        <f t="shared" si="28"/>
        <v>16</v>
      </c>
      <c r="U52" s="1"/>
      <c r="V52" s="1">
        <v>1</v>
      </c>
      <c r="W52" s="27"/>
    </row>
    <row r="53" spans="1:23" x14ac:dyDescent="0.35">
      <c r="H53" s="46"/>
      <c r="I53" s="106">
        <f>ROUND(I8+I13+I15+I18+I21+I50,0)</f>
        <v>8913</v>
      </c>
      <c r="J53" s="17">
        <f>ROUND(J8+J13+J15+J18+J21+J50,0)</f>
        <v>12724</v>
      </c>
      <c r="K53" s="17">
        <f t="shared" ref="K53:P53" si="29">ROUND(K8+K13+K15+K18+K21+K50,0)</f>
        <v>725</v>
      </c>
      <c r="L53" s="17">
        <f t="shared" si="29"/>
        <v>927</v>
      </c>
      <c r="M53" s="17">
        <f t="shared" si="29"/>
        <v>17613</v>
      </c>
      <c r="N53" s="17">
        <f t="shared" si="29"/>
        <v>23852</v>
      </c>
      <c r="O53" s="106">
        <f>ROUND(O8+O13+O15+O18+O21+O50,0)</f>
        <v>5855</v>
      </c>
      <c r="P53" s="17">
        <f t="shared" si="29"/>
        <v>7320</v>
      </c>
      <c r="Q53" s="21" t="s">
        <v>119</v>
      </c>
      <c r="R53" s="17">
        <f>ROUND(R8+R13+R15+R18+R21+R50,0)</f>
        <v>1844850</v>
      </c>
      <c r="S53" s="106">
        <f>ROUND(S8+S13+S15+S18+S21+S50,0)</f>
        <v>11758</v>
      </c>
      <c r="T53" s="17">
        <f t="shared" ref="T53" si="30">ROUND(T8+T13+T15+T18+T21+T50,0)</f>
        <v>16533</v>
      </c>
    </row>
    <row r="54" spans="1:23" x14ac:dyDescent="0.35">
      <c r="H54" s="46"/>
      <c r="I54" s="18">
        <f>ROUND(I27+I28+I29+I30+I38+I39+I40+I41+I45+I46,0)</f>
        <v>6812</v>
      </c>
      <c r="J54" s="18">
        <f t="shared" ref="J54:T54" si="31">ROUND(J27+J28+J29+J30+J38+J39+J40+J41+J45+J46,0)</f>
        <v>10623</v>
      </c>
      <c r="K54" s="18">
        <f t="shared" si="31"/>
        <v>402</v>
      </c>
      <c r="L54" s="18">
        <f t="shared" si="31"/>
        <v>604</v>
      </c>
      <c r="M54" s="18">
        <f t="shared" si="31"/>
        <v>11636</v>
      </c>
      <c r="N54" s="18">
        <f t="shared" si="31"/>
        <v>17875</v>
      </c>
      <c r="O54" s="18">
        <f t="shared" si="31"/>
        <v>3046</v>
      </c>
      <c r="P54" s="18">
        <f t="shared" si="31"/>
        <v>4511</v>
      </c>
      <c r="Q54" s="18"/>
      <c r="R54" s="18">
        <f t="shared" si="31"/>
        <v>1166981</v>
      </c>
      <c r="S54" s="18">
        <f t="shared" si="31"/>
        <v>8590</v>
      </c>
      <c r="T54" s="18">
        <f t="shared" si="31"/>
        <v>13365</v>
      </c>
    </row>
    <row r="55" spans="1:23" x14ac:dyDescent="0.35">
      <c r="H55" s="46"/>
      <c r="I55" s="46"/>
      <c r="J55" s="46"/>
      <c r="K55" s="46"/>
      <c r="O55" s="46"/>
      <c r="P55" s="184" t="s">
        <v>231</v>
      </c>
      <c r="Q55" s="185" t="s">
        <v>130</v>
      </c>
      <c r="R55" s="18">
        <v>1166981</v>
      </c>
    </row>
    <row r="56" spans="1:23" x14ac:dyDescent="0.35">
      <c r="H56" s="46"/>
      <c r="I56" s="46"/>
      <c r="J56" s="46"/>
      <c r="K56" s="46"/>
      <c r="O56" s="46"/>
      <c r="P56" s="184" t="s">
        <v>131</v>
      </c>
      <c r="Q56" s="185" t="s">
        <v>131</v>
      </c>
      <c r="R56" s="18">
        <f>R54-R55</f>
        <v>0</v>
      </c>
    </row>
    <row r="57" spans="1:23" x14ac:dyDescent="0.35">
      <c r="H57" s="46"/>
      <c r="I57" s="46"/>
      <c r="J57" s="46"/>
      <c r="K57" s="46"/>
      <c r="O57" s="46"/>
      <c r="Q57" s="65"/>
    </row>
    <row r="58" spans="1:23" s="44" customFormat="1" x14ac:dyDescent="0.35">
      <c r="B58" s="45"/>
      <c r="C58" s="45"/>
      <c r="E58" s="45"/>
      <c r="F58" s="45"/>
      <c r="G58" s="46"/>
      <c r="H58" s="46"/>
      <c r="I58" s="18">
        <f>ROUND(I9+I10+I11+I12+I14+I16+I17+I19+I20+I22+I23+I24+I25+I26+I31+I32+I33+I34+I35+I36+I42+I43+I44+I47+I49+I51+I52+I48+I37,0)</f>
        <v>2101</v>
      </c>
      <c r="J58" s="18">
        <f t="shared" ref="J58:P58" si="32">ROUND(J9+J10+J11+J12+J14+J16+J17+J19+J20+J22+J23+J24+J25+J26+J31+J32+J33+J34+J35+J36+J42+J43+J44+J47+J49+J51+J52+J48+J37,0)</f>
        <v>2101</v>
      </c>
      <c r="K58" s="18">
        <f t="shared" si="32"/>
        <v>323</v>
      </c>
      <c r="L58" s="18">
        <f t="shared" si="32"/>
        <v>323</v>
      </c>
      <c r="M58" s="18">
        <f t="shared" si="32"/>
        <v>5977</v>
      </c>
      <c r="N58" s="18">
        <f t="shared" si="32"/>
        <v>5977</v>
      </c>
      <c r="O58" s="18">
        <f t="shared" si="32"/>
        <v>2809</v>
      </c>
      <c r="P58" s="18">
        <f t="shared" si="32"/>
        <v>2809</v>
      </c>
      <c r="Q58" s="18"/>
      <c r="R58" s="18">
        <f>ROUND(R9+R10+R11+R12+R14+R16+R17+R19+R20+R22+R23+R24+R25+R26+R31+R32+R33+R34+R35+R36+R42+R43+R44+R47+R49+R51+R52+R48+R37,0)</f>
        <v>677869</v>
      </c>
      <c r="S58" s="18">
        <f t="shared" ref="S58:T58" si="33">ROUND(S9+S10+S11+S12+S14+S16+S17+S19+S20+S22+S23+S24+S25+S26+S31+S32+S33+S34+S35+S36+S42+S43+S44+S47+S49+S51+S52+S48+S37,0)</f>
        <v>3168</v>
      </c>
      <c r="T58" s="18">
        <f t="shared" si="33"/>
        <v>3168</v>
      </c>
      <c r="U58" s="18"/>
      <c r="V58" s="18"/>
      <c r="W58" s="18"/>
    </row>
    <row r="59" spans="1:23"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3" s="44" customFormat="1" x14ac:dyDescent="0.35">
      <c r="B60" s="45"/>
      <c r="C60" s="45"/>
      <c r="E60" s="45"/>
      <c r="F60" s="45"/>
      <c r="G60" s="46"/>
      <c r="H60" s="46"/>
      <c r="I60" s="46"/>
      <c r="J60" s="46"/>
      <c r="K60" s="46"/>
      <c r="L60" s="46"/>
      <c r="M60" s="46"/>
      <c r="N60" s="46"/>
      <c r="O60" s="46"/>
      <c r="P60" s="184" t="s">
        <v>132</v>
      </c>
      <c r="Q60" s="185" t="s">
        <v>131</v>
      </c>
      <c r="R60" s="18">
        <f>R58-R59</f>
        <v>0</v>
      </c>
      <c r="S60" s="46"/>
      <c r="T60" s="46"/>
      <c r="U60" s="8"/>
      <c r="V60" s="8"/>
      <c r="W60" s="27"/>
    </row>
    <row r="61" spans="1:23" x14ac:dyDescent="0.35">
      <c r="H61" s="46"/>
      <c r="I61" s="46"/>
      <c r="J61" s="46"/>
      <c r="K61" s="46"/>
      <c r="O61" s="46"/>
      <c r="Q61" s="65"/>
    </row>
    <row r="62" spans="1:23" x14ac:dyDescent="0.35">
      <c r="H62" s="46"/>
      <c r="I62" s="46"/>
      <c r="J62" s="46"/>
      <c r="K62" s="46"/>
      <c r="O62" s="46"/>
      <c r="Q62" s="65" t="s">
        <v>233</v>
      </c>
      <c r="R62" s="18">
        <f>R55+R59</f>
        <v>1844850</v>
      </c>
    </row>
    <row r="63" spans="1:23" ht="18" x14ac:dyDescent="0.35">
      <c r="H63" s="46"/>
      <c r="I63" s="46"/>
      <c r="J63" s="46"/>
      <c r="K63" s="46"/>
      <c r="O63" s="66"/>
      <c r="P63" s="66"/>
      <c r="Q63" s="67" t="s">
        <v>244</v>
      </c>
      <c r="R63" s="77">
        <f>R53-R62</f>
        <v>0</v>
      </c>
    </row>
    <row r="64" spans="1:23" x14ac:dyDescent="0.35">
      <c r="H64" s="46"/>
      <c r="I64" s="46"/>
      <c r="J64" s="46"/>
      <c r="K64" s="46"/>
      <c r="O64" s="46"/>
      <c r="Q64" s="65"/>
      <c r="R64" s="18">
        <f>R53-R55-R59-R60-R56</f>
        <v>0</v>
      </c>
    </row>
    <row r="65" spans="8:20" x14ac:dyDescent="0.35">
      <c r="H65" s="46"/>
      <c r="I65" s="18">
        <f>I53-I54-I58</f>
        <v>0</v>
      </c>
      <c r="J65" s="18">
        <f t="shared" ref="J65:P65" si="34">J53-J54-J58</f>
        <v>0</v>
      </c>
      <c r="K65" s="18">
        <f t="shared" si="34"/>
        <v>0</v>
      </c>
      <c r="L65" s="18">
        <f t="shared" si="34"/>
        <v>0</v>
      </c>
      <c r="M65" s="18">
        <f t="shared" si="34"/>
        <v>0</v>
      </c>
      <c r="N65" s="18">
        <f t="shared" si="34"/>
        <v>0</v>
      </c>
      <c r="O65" s="18">
        <f t="shared" si="34"/>
        <v>0</v>
      </c>
      <c r="P65" s="18">
        <f t="shared" si="34"/>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35">ROUND(J54,0)+ ROUND(J58,0)-ROUND(J53,0)</f>
        <v>0</v>
      </c>
      <c r="K67" s="18">
        <f t="shared" si="35"/>
        <v>0</v>
      </c>
      <c r="L67" s="18">
        <f t="shared" si="35"/>
        <v>0</v>
      </c>
      <c r="M67" s="18">
        <f t="shared" si="35"/>
        <v>0</v>
      </c>
      <c r="N67" s="18">
        <f t="shared" si="35"/>
        <v>0</v>
      </c>
      <c r="O67" s="18">
        <f t="shared" si="35"/>
        <v>0</v>
      </c>
      <c r="P67" s="18">
        <f t="shared" si="35"/>
        <v>0</v>
      </c>
      <c r="Q67" s="18"/>
      <c r="R67" s="18">
        <f t="shared" si="35"/>
        <v>0</v>
      </c>
      <c r="S67" s="18">
        <f t="shared" si="35"/>
        <v>0</v>
      </c>
      <c r="T67" s="18">
        <f t="shared" si="35"/>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W52" xr:uid="{7C37CABB-E10E-4EE9-BACF-F0E0C32B851A}"/>
  <mergeCells count="22">
    <mergeCell ref="P60:Q60"/>
    <mergeCell ref="R5:R6"/>
    <mergeCell ref="S5:T5"/>
    <mergeCell ref="D8:G8"/>
    <mergeCell ref="D13:G13"/>
    <mergeCell ref="D15:G15"/>
    <mergeCell ref="D18:G18"/>
    <mergeCell ref="D21:G21"/>
    <mergeCell ref="D50:G50"/>
    <mergeCell ref="P55:Q55"/>
    <mergeCell ref="P56:Q56"/>
    <mergeCell ref="P59:Q59"/>
    <mergeCell ref="A1:T1"/>
    <mergeCell ref="A2:T2"/>
    <mergeCell ref="A3:T3"/>
    <mergeCell ref="I4:R4"/>
    <mergeCell ref="A5:G5"/>
    <mergeCell ref="I5:J5"/>
    <mergeCell ref="K5:L5"/>
    <mergeCell ref="M5:N5"/>
    <mergeCell ref="O5:P5"/>
    <mergeCell ref="Q5:Q6"/>
  </mergeCells>
  <pageMargins left="0.51181102362204722" right="0.31496062992125984" top="0.94488188976377963" bottom="0.59055118110236227" header="0.31496062992125984" footer="0.31496062992125984"/>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BC625-ACDA-4422-9CFC-CD67A254321F}">
  <sheetPr>
    <tabColor theme="0" tint="-0.14999847407452621"/>
  </sheetPr>
  <dimension ref="A1:W70"/>
  <sheetViews>
    <sheetView zoomScale="70" zoomScaleNormal="70" workbookViewId="0">
      <pane ySplit="7" topLeftCell="A80" activePane="bottomLeft" state="frozen"/>
      <selection activeCell="D1" sqref="D1"/>
      <selection pane="bottomLeft" activeCell="D65" sqref="D65"/>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25.1796875" style="27" hidden="1" customWidth="1"/>
    <col min="24" max="16384" width="9.08984375" style="72"/>
  </cols>
  <sheetData>
    <row r="1" spans="1:23" s="44" customFormat="1" x14ac:dyDescent="0.35">
      <c r="A1" s="189" t="s">
        <v>197</v>
      </c>
      <c r="B1" s="189"/>
      <c r="C1" s="189"/>
      <c r="D1" s="189"/>
      <c r="E1" s="189"/>
      <c r="F1" s="189"/>
      <c r="G1" s="189"/>
      <c r="H1" s="189"/>
      <c r="I1" s="189"/>
      <c r="J1" s="189"/>
      <c r="K1" s="189"/>
      <c r="L1" s="189"/>
      <c r="M1" s="189"/>
      <c r="N1" s="189"/>
      <c r="O1" s="189"/>
      <c r="P1" s="189"/>
      <c r="Q1" s="189"/>
      <c r="R1" s="189"/>
      <c r="S1" s="189"/>
      <c r="T1" s="189"/>
      <c r="U1" s="8"/>
      <c r="V1" s="8"/>
      <c r="W1" s="27"/>
    </row>
    <row r="2" spans="1:23" s="44" customFormat="1" x14ac:dyDescent="0.35">
      <c r="A2" s="190" t="s">
        <v>225</v>
      </c>
      <c r="B2" s="190"/>
      <c r="C2" s="190"/>
      <c r="D2" s="190"/>
      <c r="E2" s="190"/>
      <c r="F2" s="190"/>
      <c r="G2" s="190"/>
      <c r="H2" s="190"/>
      <c r="I2" s="190"/>
      <c r="J2" s="190"/>
      <c r="K2" s="190"/>
      <c r="L2" s="190"/>
      <c r="M2" s="190"/>
      <c r="N2" s="190"/>
      <c r="O2" s="190"/>
      <c r="P2" s="190"/>
      <c r="Q2" s="190"/>
      <c r="R2" s="190"/>
      <c r="S2" s="190"/>
      <c r="T2" s="190"/>
      <c r="U2" s="8"/>
      <c r="V2" s="8"/>
      <c r="W2" s="27"/>
    </row>
    <row r="3" spans="1:23" s="44" customFormat="1" ht="51" customHeight="1" x14ac:dyDescent="0.35">
      <c r="A3" s="191" t="s">
        <v>226</v>
      </c>
      <c r="B3" s="191"/>
      <c r="C3" s="191"/>
      <c r="D3" s="191"/>
      <c r="E3" s="191"/>
      <c r="F3" s="191"/>
      <c r="G3" s="191"/>
      <c r="H3" s="191"/>
      <c r="I3" s="191"/>
      <c r="J3" s="191"/>
      <c r="K3" s="191"/>
      <c r="L3" s="191"/>
      <c r="M3" s="191"/>
      <c r="N3" s="191"/>
      <c r="O3" s="191"/>
      <c r="P3" s="191"/>
      <c r="Q3" s="191"/>
      <c r="R3" s="191"/>
      <c r="S3" s="191"/>
      <c r="T3" s="191"/>
      <c r="U3" s="8"/>
      <c r="V3" s="8"/>
      <c r="W3" s="55"/>
    </row>
    <row r="4" spans="1:23" s="34" customFormat="1" ht="25.5" x14ac:dyDescent="0.35">
      <c r="B4" s="35"/>
      <c r="C4" s="35"/>
      <c r="E4" s="35"/>
      <c r="F4" s="35"/>
      <c r="G4" s="36"/>
      <c r="H4" s="36"/>
      <c r="I4" s="192" t="s">
        <v>210</v>
      </c>
      <c r="J4" s="193"/>
      <c r="K4" s="193"/>
      <c r="L4" s="193"/>
      <c r="M4" s="193"/>
      <c r="N4" s="193"/>
      <c r="O4" s="193"/>
      <c r="P4" s="193"/>
      <c r="Q4" s="194"/>
      <c r="R4" s="195"/>
      <c r="S4" s="36"/>
      <c r="T4" s="58"/>
      <c r="U4" s="25"/>
      <c r="V4" s="25"/>
      <c r="W4" s="130"/>
    </row>
    <row r="5" spans="1:23" s="44" customFormat="1" ht="27.75" customHeight="1" x14ac:dyDescent="0.35">
      <c r="A5" s="196" t="s">
        <v>100</v>
      </c>
      <c r="B5" s="196"/>
      <c r="C5" s="196"/>
      <c r="D5" s="196"/>
      <c r="E5" s="196"/>
      <c r="F5" s="196"/>
      <c r="G5" s="196"/>
      <c r="H5" s="6"/>
      <c r="I5" s="187" t="s">
        <v>162</v>
      </c>
      <c r="J5" s="187"/>
      <c r="K5" s="187" t="s">
        <v>238</v>
      </c>
      <c r="L5" s="187"/>
      <c r="M5" s="197" t="s">
        <v>211</v>
      </c>
      <c r="N5" s="197"/>
      <c r="O5" s="197" t="s">
        <v>242</v>
      </c>
      <c r="P5" s="197"/>
      <c r="Q5" s="198" t="s">
        <v>128</v>
      </c>
      <c r="R5" s="186" t="s">
        <v>214</v>
      </c>
      <c r="S5" s="187" t="s">
        <v>212</v>
      </c>
      <c r="T5" s="187"/>
      <c r="U5" s="6"/>
      <c r="V5" s="6"/>
      <c r="W5" s="129"/>
    </row>
    <row r="6" spans="1:23" s="44" customFormat="1" ht="150.75" customHeight="1" x14ac:dyDescent="0.25">
      <c r="A6" s="37" t="s">
        <v>96</v>
      </c>
      <c r="B6" s="2" t="s">
        <v>0</v>
      </c>
      <c r="C6" s="2" t="s">
        <v>101</v>
      </c>
      <c r="D6" s="37" t="s">
        <v>1</v>
      </c>
      <c r="E6" s="2" t="s">
        <v>2</v>
      </c>
      <c r="F6" s="2" t="s">
        <v>3</v>
      </c>
      <c r="G6" s="38" t="s">
        <v>4</v>
      </c>
      <c r="H6" s="62"/>
      <c r="I6" s="2" t="s">
        <v>127</v>
      </c>
      <c r="J6" s="2" t="s">
        <v>174</v>
      </c>
      <c r="K6" s="2" t="s">
        <v>213</v>
      </c>
      <c r="L6" s="2" t="s">
        <v>175</v>
      </c>
      <c r="M6" s="127" t="s">
        <v>117</v>
      </c>
      <c r="N6" s="127" t="s">
        <v>118</v>
      </c>
      <c r="O6" s="127" t="s">
        <v>123</v>
      </c>
      <c r="P6" s="127" t="s">
        <v>124</v>
      </c>
      <c r="Q6" s="198"/>
      <c r="R6" s="186"/>
      <c r="S6" s="2" t="s">
        <v>127</v>
      </c>
      <c r="T6" s="2" t="s">
        <v>129</v>
      </c>
      <c r="U6" s="1" t="s">
        <v>115</v>
      </c>
      <c r="V6" s="1" t="s">
        <v>116</v>
      </c>
      <c r="W6" s="28" t="s">
        <v>114</v>
      </c>
    </row>
    <row r="7" spans="1:23"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3" s="44" customFormat="1" ht="18" customHeight="1" x14ac:dyDescent="0.35">
      <c r="A8" s="39"/>
      <c r="B8" s="40"/>
      <c r="C8" s="41">
        <v>4</v>
      </c>
      <c r="D8" s="188" t="s">
        <v>5</v>
      </c>
      <c r="E8" s="188"/>
      <c r="F8" s="188"/>
      <c r="G8" s="188"/>
      <c r="H8" s="63"/>
      <c r="I8" s="9">
        <f>'_2023_VB_ar_ izmaiņām_MK'!S8</f>
        <v>466</v>
      </c>
      <c r="J8" s="9">
        <f>'_2023_VB_ar_ izmaiņām_MK'!T8</f>
        <v>466</v>
      </c>
      <c r="K8" s="9">
        <f t="shared" ref="K8:P8" si="0">K9+K10+K11+K12</f>
        <v>66</v>
      </c>
      <c r="L8" s="9">
        <f t="shared" si="0"/>
        <v>66</v>
      </c>
      <c r="M8" s="9">
        <f t="shared" si="0"/>
        <v>1258</v>
      </c>
      <c r="N8" s="9">
        <f t="shared" si="0"/>
        <v>1258</v>
      </c>
      <c r="O8" s="9">
        <f t="shared" si="0"/>
        <v>570</v>
      </c>
      <c r="P8" s="9">
        <f t="shared" si="0"/>
        <v>570</v>
      </c>
      <c r="Q8" s="9" t="str">
        <f>'_2021_VB_bez izmaiņām'!Q8</f>
        <v>x</v>
      </c>
      <c r="R8" s="3">
        <f t="shared" ref="R8" si="1">R9+R10+R11+R12</f>
        <v>40546.547367187493</v>
      </c>
      <c r="S8" s="9">
        <f>S9+S10+S11+S12</f>
        <v>688</v>
      </c>
      <c r="T8" s="9">
        <f>T9+T10+T11+T12</f>
        <v>688</v>
      </c>
      <c r="U8" s="7"/>
      <c r="V8" s="7">
        <v>1</v>
      </c>
      <c r="W8" s="27"/>
    </row>
    <row r="9" spans="1:23" s="44" customFormat="1" ht="27.75" customHeight="1" x14ac:dyDescent="0.35">
      <c r="A9" s="31">
        <v>1</v>
      </c>
      <c r="B9" s="32" t="s">
        <v>6</v>
      </c>
      <c r="C9" s="32" t="s">
        <v>7</v>
      </c>
      <c r="D9" s="31" t="s">
        <v>8</v>
      </c>
      <c r="E9" s="32" t="s">
        <v>9</v>
      </c>
      <c r="F9" s="32" t="s">
        <v>97</v>
      </c>
      <c r="G9" s="42" t="s">
        <v>10</v>
      </c>
      <c r="H9" s="47"/>
      <c r="I9" s="15">
        <f>'_2023_VB_ar_ izmaiņām_MK'!S9</f>
        <v>282</v>
      </c>
      <c r="J9" s="15">
        <f>'_2023_VB_ar_ izmaiņām_MK'!T9</f>
        <v>282</v>
      </c>
      <c r="K9" s="53">
        <f>ROUND('_2023_VB_ar_ izmaiņām_MK'!K9*1.025,0)</f>
        <v>27</v>
      </c>
      <c r="L9" s="54">
        <f>IF(I9=0,K9,K9*(J9/I9))</f>
        <v>27</v>
      </c>
      <c r="M9" s="12">
        <f>I9+(K9*12)</f>
        <v>606</v>
      </c>
      <c r="N9" s="12">
        <f>J9+(L9*12)</f>
        <v>606</v>
      </c>
      <c r="O9" s="11">
        <v>185</v>
      </c>
      <c r="P9" s="54">
        <f>IF(I9=0,O9,O9*(J9/I9))</f>
        <v>185</v>
      </c>
      <c r="Q9" s="33">
        <f>'_2023_VB_ar_ izmaiņām_MK'!Q9*1.025</f>
        <v>90.458812499999979</v>
      </c>
      <c r="R9" s="4">
        <f>Q9*P9</f>
        <v>16734.880312499998</v>
      </c>
      <c r="S9" s="15">
        <f>M9-O9</f>
        <v>421</v>
      </c>
      <c r="T9" s="15">
        <f>N9-P9</f>
        <v>421</v>
      </c>
      <c r="U9" s="1"/>
      <c r="V9" s="1">
        <v>1</v>
      </c>
      <c r="W9" s="27" t="s">
        <v>102</v>
      </c>
    </row>
    <row r="10" spans="1:23" s="44" customFormat="1" ht="18" customHeight="1" x14ac:dyDescent="0.35">
      <c r="A10" s="31">
        <v>2</v>
      </c>
      <c r="B10" s="32" t="s">
        <v>6</v>
      </c>
      <c r="C10" s="32" t="s">
        <v>11</v>
      </c>
      <c r="D10" s="31" t="s">
        <v>12</v>
      </c>
      <c r="E10" s="32" t="s">
        <v>9</v>
      </c>
      <c r="F10" s="32">
        <v>5</v>
      </c>
      <c r="G10" s="42" t="s">
        <v>10</v>
      </c>
      <c r="H10" s="47"/>
      <c r="I10" s="15">
        <f>'_2023_VB_ar_ izmaiņām_MK'!S10</f>
        <v>33</v>
      </c>
      <c r="J10" s="15">
        <f>'_2023_VB_ar_ izmaiņām_MK'!T10</f>
        <v>33</v>
      </c>
      <c r="K10" s="53">
        <f>ROUND('_2023_VB_ar_ izmaiņām_MK'!K10*1.025,0)</f>
        <v>10</v>
      </c>
      <c r="L10" s="54">
        <f>IF(I10=0,K10,K10*(J10/I10))</f>
        <v>10</v>
      </c>
      <c r="M10" s="12">
        <f>I10+(K10*12)</f>
        <v>153</v>
      </c>
      <c r="N10" s="12">
        <f>J10+(L10*12)</f>
        <v>153</v>
      </c>
      <c r="O10" s="11">
        <v>110</v>
      </c>
      <c r="P10" s="54">
        <f>IF(I10=0,O10,O10*(J10/I10))</f>
        <v>110</v>
      </c>
      <c r="Q10" s="33">
        <f>'_2023_VB_ar_ izmaiņām_MK'!Q10*1.025</f>
        <v>90.458812499999979</v>
      </c>
      <c r="R10" s="4">
        <f t="shared" ref="R10:R12" si="2">Q10*P10</f>
        <v>9950.4693749999969</v>
      </c>
      <c r="S10" s="15">
        <f>M10-O10</f>
        <v>43</v>
      </c>
      <c r="T10" s="15">
        <f>N10-P10</f>
        <v>43</v>
      </c>
      <c r="U10" s="1"/>
      <c r="V10" s="1">
        <v>1</v>
      </c>
      <c r="W10" s="27"/>
    </row>
    <row r="11" spans="1:23" s="44" customFormat="1" ht="36" customHeight="1" x14ac:dyDescent="0.35">
      <c r="A11" s="31">
        <v>3</v>
      </c>
      <c r="B11" s="32" t="s">
        <v>13</v>
      </c>
      <c r="C11" s="32" t="s">
        <v>14</v>
      </c>
      <c r="D11" s="31" t="s">
        <v>15</v>
      </c>
      <c r="E11" s="32" t="s">
        <v>9</v>
      </c>
      <c r="F11" s="32">
        <v>2</v>
      </c>
      <c r="G11" s="42" t="s">
        <v>10</v>
      </c>
      <c r="H11" s="47"/>
      <c r="I11" s="15">
        <f>'_2023_VB_ar_ izmaiņām_MK'!S11</f>
        <v>37</v>
      </c>
      <c r="J11" s="15">
        <f>'_2023_VB_ar_ izmaiņām_MK'!T11</f>
        <v>37</v>
      </c>
      <c r="K11" s="53">
        <f>ROUND('_2023_VB_ar_ izmaiņām_MK'!K11*1.025,0)</f>
        <v>12</v>
      </c>
      <c r="L11" s="54">
        <f t="shared" ref="L11:L12" si="3">IF(I11=0,K11,K11*(J11/I11))</f>
        <v>12</v>
      </c>
      <c r="M11" s="12">
        <f t="shared" ref="M11:N12" si="4">I11+(K11*12)</f>
        <v>181</v>
      </c>
      <c r="N11" s="12">
        <f t="shared" si="4"/>
        <v>181</v>
      </c>
      <c r="O11" s="11">
        <v>140</v>
      </c>
      <c r="P11" s="54">
        <f t="shared" ref="P11:P12" si="5">IF(I11=0,O11,O11*(J11/I11))</f>
        <v>140</v>
      </c>
      <c r="Q11" s="33">
        <f>'_2023_VB_ar_ izmaiņām_MK'!Q11*1.025</f>
        <v>36.183524999999989</v>
      </c>
      <c r="R11" s="4">
        <f t="shared" si="2"/>
        <v>5065.6934999999985</v>
      </c>
      <c r="S11" s="15">
        <f t="shared" ref="S11:T12" si="6">M11-O11</f>
        <v>41</v>
      </c>
      <c r="T11" s="15">
        <f t="shared" si="6"/>
        <v>41</v>
      </c>
      <c r="U11" s="1"/>
      <c r="V11" s="1">
        <v>1</v>
      </c>
      <c r="W11" s="27"/>
    </row>
    <row r="12" spans="1:23" s="44" customFormat="1" ht="18" customHeight="1" x14ac:dyDescent="0.35">
      <c r="A12" s="31">
        <v>4</v>
      </c>
      <c r="B12" s="32" t="s">
        <v>16</v>
      </c>
      <c r="C12" s="32" t="s">
        <v>17</v>
      </c>
      <c r="D12" s="31" t="s">
        <v>18</v>
      </c>
      <c r="E12" s="32" t="s">
        <v>9</v>
      </c>
      <c r="F12" s="32">
        <v>5</v>
      </c>
      <c r="G12" s="42" t="s">
        <v>10</v>
      </c>
      <c r="H12" s="47"/>
      <c r="I12" s="15">
        <f>'_2023_VB_ar_ izmaiņām_MK'!S12</f>
        <v>114</v>
      </c>
      <c r="J12" s="15">
        <f>'_2023_VB_ar_ izmaiņām_MK'!T12</f>
        <v>114</v>
      </c>
      <c r="K12" s="53">
        <f>ROUND('_2023_VB_ar_ izmaiņām_MK'!K12*1.025,0)</f>
        <v>17</v>
      </c>
      <c r="L12" s="54">
        <f t="shared" si="3"/>
        <v>17</v>
      </c>
      <c r="M12" s="12">
        <f t="shared" si="4"/>
        <v>318</v>
      </c>
      <c r="N12" s="12">
        <f t="shared" si="4"/>
        <v>318</v>
      </c>
      <c r="O12" s="11">
        <v>135</v>
      </c>
      <c r="P12" s="54">
        <f t="shared" si="5"/>
        <v>135</v>
      </c>
      <c r="Q12" s="33">
        <f>'_2023_VB_ar_ izmaiņām_MK'!Q12*1.025</f>
        <v>65.151882812499991</v>
      </c>
      <c r="R12" s="4">
        <f t="shared" si="2"/>
        <v>8795.5041796874993</v>
      </c>
      <c r="S12" s="15">
        <f t="shared" si="6"/>
        <v>183</v>
      </c>
      <c r="T12" s="15">
        <f t="shared" si="6"/>
        <v>183</v>
      </c>
      <c r="U12" s="1"/>
      <c r="V12" s="1">
        <v>1</v>
      </c>
      <c r="W12" s="27"/>
    </row>
    <row r="13" spans="1:23" s="44" customFormat="1" ht="18" customHeight="1" x14ac:dyDescent="0.35">
      <c r="A13" s="39"/>
      <c r="B13" s="40"/>
      <c r="C13" s="41">
        <v>6</v>
      </c>
      <c r="D13" s="188" t="s">
        <v>19</v>
      </c>
      <c r="E13" s="188"/>
      <c r="F13" s="188"/>
      <c r="G13" s="188"/>
      <c r="H13" s="63"/>
      <c r="I13" s="13">
        <f>'_2023_VB_ar_ izmaiņām_MK'!S13</f>
        <v>156</v>
      </c>
      <c r="J13" s="13">
        <f>'_2023_VB_ar_ izmaiņām_MK'!T13</f>
        <v>156</v>
      </c>
      <c r="K13" s="13">
        <f t="shared" ref="K13:P13" si="7">K14</f>
        <v>47</v>
      </c>
      <c r="L13" s="13">
        <f t="shared" si="7"/>
        <v>47</v>
      </c>
      <c r="M13" s="13">
        <f t="shared" si="7"/>
        <v>720</v>
      </c>
      <c r="N13" s="13">
        <f t="shared" si="7"/>
        <v>720</v>
      </c>
      <c r="O13" s="13">
        <f t="shared" si="7"/>
        <v>490</v>
      </c>
      <c r="P13" s="13">
        <f t="shared" si="7"/>
        <v>490</v>
      </c>
      <c r="Q13" s="9" t="str">
        <f>'_2021_VB_bez izmaiņām'!Q13</f>
        <v>x</v>
      </c>
      <c r="R13" s="5">
        <f t="shared" ref="R13" si="8">R14</f>
        <v>299231.97998437489</v>
      </c>
      <c r="S13" s="13">
        <f>S14</f>
        <v>230</v>
      </c>
      <c r="T13" s="13">
        <f>T14</f>
        <v>230</v>
      </c>
      <c r="U13" s="7"/>
      <c r="V13" s="7">
        <v>1</v>
      </c>
      <c r="W13" s="27"/>
    </row>
    <row r="14" spans="1:23" s="34" customFormat="1" ht="34.5" customHeight="1" x14ac:dyDescent="0.35">
      <c r="A14" s="29">
        <v>5</v>
      </c>
      <c r="B14" s="30" t="s">
        <v>20</v>
      </c>
      <c r="C14" s="30" t="s">
        <v>21</v>
      </c>
      <c r="D14" s="29" t="s">
        <v>22</v>
      </c>
      <c r="E14" s="30" t="s">
        <v>9</v>
      </c>
      <c r="F14" s="30">
        <v>2</v>
      </c>
      <c r="G14" s="43" t="s">
        <v>23</v>
      </c>
      <c r="H14" s="48"/>
      <c r="I14" s="15">
        <f>'_2023_VB_ar_ izmaiņām_MK'!S14</f>
        <v>156</v>
      </c>
      <c r="J14" s="15">
        <f>'_2023_VB_ar_ izmaiņām_MK'!T14</f>
        <v>156</v>
      </c>
      <c r="K14" s="53">
        <f>ROUND('_2023_VB_ar_ izmaiņām_MK'!K14*1.025,0)</f>
        <v>47</v>
      </c>
      <c r="L14" s="54">
        <f>IF(I14=0,K14,K14*(J14/I14))</f>
        <v>47</v>
      </c>
      <c r="M14" s="12">
        <f>I14+(K14*12)</f>
        <v>720</v>
      </c>
      <c r="N14" s="12">
        <f>J14+(L14*12)</f>
        <v>720</v>
      </c>
      <c r="O14" s="11">
        <v>490</v>
      </c>
      <c r="P14" s="54">
        <f>IF(I14=0,O14,O14*(J14/I14))</f>
        <v>490</v>
      </c>
      <c r="Q14" s="33">
        <f>'_2023_VB_ar_ izmaiņām_MK'!Q14*1.025</f>
        <v>610.70467343749976</v>
      </c>
      <c r="R14" s="4">
        <f>Q14*P14-13.31</f>
        <v>299231.97998437489</v>
      </c>
      <c r="S14" s="15">
        <f>M14-O14</f>
        <v>230</v>
      </c>
      <c r="T14" s="15">
        <f>N14-P14</f>
        <v>230</v>
      </c>
      <c r="U14" s="19"/>
      <c r="V14" s="19">
        <v>1</v>
      </c>
      <c r="W14" s="26"/>
    </row>
    <row r="15" spans="1:23" s="44" customFormat="1" ht="18" customHeight="1" x14ac:dyDescent="0.35">
      <c r="A15" s="39"/>
      <c r="B15" s="40"/>
      <c r="C15" s="41">
        <v>12</v>
      </c>
      <c r="D15" s="188" t="s">
        <v>24</v>
      </c>
      <c r="E15" s="188"/>
      <c r="F15" s="188"/>
      <c r="G15" s="188"/>
      <c r="H15" s="63"/>
      <c r="I15" s="9">
        <f>'_2023_VB_ar_ izmaiņām_MK'!S15</f>
        <v>83</v>
      </c>
      <c r="J15" s="9">
        <f>'_2023_VB_ar_ izmaiņām_MK'!T15</f>
        <v>83</v>
      </c>
      <c r="K15" s="9">
        <f t="shared" ref="K15:P15" si="9">K16+K17</f>
        <v>22</v>
      </c>
      <c r="L15" s="9">
        <f t="shared" si="9"/>
        <v>22</v>
      </c>
      <c r="M15" s="9">
        <f t="shared" si="9"/>
        <v>347</v>
      </c>
      <c r="N15" s="9">
        <f t="shared" si="9"/>
        <v>347</v>
      </c>
      <c r="O15" s="9">
        <f t="shared" si="9"/>
        <v>238</v>
      </c>
      <c r="P15" s="9">
        <f t="shared" si="9"/>
        <v>238</v>
      </c>
      <c r="Q15" s="9" t="str">
        <f>'_2021_VB_bez izmaiņām'!Q15</f>
        <v>x</v>
      </c>
      <c r="R15" s="3">
        <f t="shared" ref="R15" si="10">R16+R17</f>
        <v>12298.090937499997</v>
      </c>
      <c r="S15" s="9">
        <f>S16+S17</f>
        <v>109</v>
      </c>
      <c r="T15" s="9">
        <f>T16+T17</f>
        <v>109</v>
      </c>
      <c r="U15" s="7"/>
      <c r="V15" s="7">
        <v>1</v>
      </c>
      <c r="W15" s="27"/>
    </row>
    <row r="16" spans="1:23" s="44" customFormat="1" ht="33.75" customHeight="1" x14ac:dyDescent="0.35">
      <c r="A16" s="31">
        <v>6</v>
      </c>
      <c r="B16" s="32" t="s">
        <v>25</v>
      </c>
      <c r="C16" s="32" t="s">
        <v>26</v>
      </c>
      <c r="D16" s="31" t="s">
        <v>27</v>
      </c>
      <c r="E16" s="32" t="s">
        <v>9</v>
      </c>
      <c r="F16" s="32" t="s">
        <v>104</v>
      </c>
      <c r="G16" s="42" t="s">
        <v>10</v>
      </c>
      <c r="H16" s="47"/>
      <c r="I16" s="15">
        <f>'_2023_VB_ar_ izmaiņām_MK'!S16</f>
        <v>24</v>
      </c>
      <c r="J16" s="15">
        <f>'_2023_VB_ar_ izmaiņām_MK'!T16</f>
        <v>24</v>
      </c>
      <c r="K16" s="53">
        <f>ROUND('_2023_VB_ar_ izmaiņām_MK'!K16*1.025,0)</f>
        <v>10</v>
      </c>
      <c r="L16" s="54">
        <f>IF(I16=0,K16,K16*(J16/I16))</f>
        <v>10</v>
      </c>
      <c r="M16" s="12">
        <f>I16+(K16*12)</f>
        <v>144</v>
      </c>
      <c r="N16" s="12">
        <f>J16+(L16*12)</f>
        <v>144</v>
      </c>
      <c r="O16" s="11">
        <v>113</v>
      </c>
      <c r="P16" s="54">
        <f>IF(I16=0,O16,O16*(J16/I16))</f>
        <v>113</v>
      </c>
      <c r="Q16" s="33">
        <f>'_2023_VB_ar_ izmaiņām_MK'!Q16*1.025</f>
        <v>37.691171874999988</v>
      </c>
      <c r="R16" s="4">
        <f>Q16*P16</f>
        <v>4259.102421874999</v>
      </c>
      <c r="S16" s="15">
        <f>M16-O16</f>
        <v>31</v>
      </c>
      <c r="T16" s="15">
        <f>N16-P16</f>
        <v>31</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15">
        <f>'_2023_VB_ar_ izmaiņām_MK'!S17</f>
        <v>59</v>
      </c>
      <c r="J17" s="15">
        <f>'_2023_VB_ar_ izmaiņām_MK'!T17</f>
        <v>59</v>
      </c>
      <c r="K17" s="53">
        <f>ROUND('_2023_VB_ar_ izmaiņām_MK'!K17*1.025,0)</f>
        <v>12</v>
      </c>
      <c r="L17" s="54">
        <f>IF(I17=0,K17,K17*(J17/I17))</f>
        <v>12</v>
      </c>
      <c r="M17" s="12">
        <f>I17+(K17*12)</f>
        <v>203</v>
      </c>
      <c r="N17" s="12">
        <f>J17+(L17*12)</f>
        <v>203</v>
      </c>
      <c r="O17" s="11">
        <v>125</v>
      </c>
      <c r="P17" s="54">
        <f>IF(I17=0,O17,O17*(J17/I17))</f>
        <v>125</v>
      </c>
      <c r="Q17" s="33">
        <f>'_2023_VB_ar_ izmaiņām_MK'!Q17*1.025</f>
        <v>64.311908124999988</v>
      </c>
      <c r="R17" s="4">
        <f>Q17*P17</f>
        <v>8038.9885156249984</v>
      </c>
      <c r="S17" s="15">
        <f>M17-O17</f>
        <v>78</v>
      </c>
      <c r="T17" s="15">
        <f>N17-P17</f>
        <v>78</v>
      </c>
      <c r="U17" s="1"/>
      <c r="V17" s="1">
        <v>1</v>
      </c>
      <c r="W17" s="27" t="s">
        <v>103</v>
      </c>
    </row>
    <row r="18" spans="1:23" s="44" customFormat="1" ht="18" customHeight="1" x14ac:dyDescent="0.35">
      <c r="A18" s="39"/>
      <c r="B18" s="40"/>
      <c r="C18" s="41">
        <v>15</v>
      </c>
      <c r="D18" s="188" t="s">
        <v>29</v>
      </c>
      <c r="E18" s="188"/>
      <c r="F18" s="188"/>
      <c r="G18" s="188"/>
      <c r="H18" s="63"/>
      <c r="I18" s="9">
        <f>'_2023_VB_ar_ izmaiņām_MK'!S18</f>
        <v>103</v>
      </c>
      <c r="J18" s="9">
        <f>'_2023_VB_ar_ izmaiņām_MK'!T18</f>
        <v>103</v>
      </c>
      <c r="K18" s="9">
        <f t="shared" ref="K18:P18" si="11">K19+K20</f>
        <v>16</v>
      </c>
      <c r="L18" s="9">
        <f t="shared" si="11"/>
        <v>16</v>
      </c>
      <c r="M18" s="9">
        <f t="shared" si="11"/>
        <v>295</v>
      </c>
      <c r="N18" s="9">
        <f t="shared" si="11"/>
        <v>295</v>
      </c>
      <c r="O18" s="9">
        <f t="shared" si="11"/>
        <v>130</v>
      </c>
      <c r="P18" s="9">
        <f t="shared" si="11"/>
        <v>130</v>
      </c>
      <c r="Q18" s="9" t="str">
        <f>'_2021_VB_bez izmaiņām'!Q18</f>
        <v>x</v>
      </c>
      <c r="R18" s="3">
        <f t="shared" ref="R18" si="12">R19+R20</f>
        <v>5016.6949765624986</v>
      </c>
      <c r="S18" s="9">
        <f>S19+S20</f>
        <v>165</v>
      </c>
      <c r="T18" s="9">
        <f>T19+T20</f>
        <v>165</v>
      </c>
      <c r="U18" s="7"/>
      <c r="V18" s="7">
        <v>1</v>
      </c>
      <c r="W18" s="27"/>
    </row>
    <row r="19" spans="1:23" s="44" customFormat="1" ht="18" customHeight="1" x14ac:dyDescent="0.35">
      <c r="A19" s="31">
        <v>8</v>
      </c>
      <c r="B19" s="32" t="s">
        <v>16</v>
      </c>
      <c r="C19" s="32" t="s">
        <v>30</v>
      </c>
      <c r="D19" s="31" t="s">
        <v>31</v>
      </c>
      <c r="E19" s="32" t="s">
        <v>9</v>
      </c>
      <c r="F19" s="32">
        <v>5</v>
      </c>
      <c r="G19" s="42" t="s">
        <v>10</v>
      </c>
      <c r="H19" s="47"/>
      <c r="I19" s="15">
        <f>'_2023_VB_ar_ izmaiņām_MK'!S19</f>
        <v>86</v>
      </c>
      <c r="J19" s="15">
        <f>'_2023_VB_ar_ izmaiņām_MK'!T19</f>
        <v>86</v>
      </c>
      <c r="K19" s="53">
        <f>ROUND('_2023_VB_ar_ izmaiņām_MK'!K19*1.025,0)</f>
        <v>10</v>
      </c>
      <c r="L19" s="54">
        <f>IF(I19=0,K19,K19*(J19/I19))</f>
        <v>10</v>
      </c>
      <c r="M19" s="12">
        <f>I19+(K19*12)</f>
        <v>206</v>
      </c>
      <c r="N19" s="12">
        <f>J19+(L19*12)</f>
        <v>206</v>
      </c>
      <c r="O19" s="11">
        <v>80</v>
      </c>
      <c r="P19" s="54">
        <f>IF(I19=0,O19,O19*(J19/I19))</f>
        <v>80</v>
      </c>
      <c r="Q19" s="33">
        <f>'_2023_VB_ar_ izmaiņām_MK'!Q19*1.025</f>
        <v>52.121506249999982</v>
      </c>
      <c r="R19" s="4">
        <f>Q19*P19</f>
        <v>4169.7204999999985</v>
      </c>
      <c r="S19" s="15">
        <f>M19-O19</f>
        <v>126</v>
      </c>
      <c r="T19" s="15">
        <f>N19-P19</f>
        <v>126</v>
      </c>
      <c r="U19" s="1"/>
      <c r="V19" s="1">
        <v>1</v>
      </c>
      <c r="W19" s="27"/>
    </row>
    <row r="20" spans="1:23" s="44" customFormat="1" ht="33" customHeight="1" x14ac:dyDescent="0.35">
      <c r="A20" s="31">
        <v>9</v>
      </c>
      <c r="B20" s="32" t="s">
        <v>6</v>
      </c>
      <c r="C20" s="32" t="s">
        <v>30</v>
      </c>
      <c r="D20" s="31" t="s">
        <v>32</v>
      </c>
      <c r="E20" s="32" t="s">
        <v>9</v>
      </c>
      <c r="F20" s="32">
        <v>2</v>
      </c>
      <c r="G20" s="42" t="s">
        <v>10</v>
      </c>
      <c r="H20" s="47"/>
      <c r="I20" s="15">
        <f>'_2023_VB_ar_ izmaiņām_MK'!S20</f>
        <v>17</v>
      </c>
      <c r="J20" s="15">
        <f>'_2023_VB_ar_ izmaiņām_MK'!T20</f>
        <v>17</v>
      </c>
      <c r="K20" s="53">
        <f>ROUND('_2023_VB_ar_ izmaiņām_MK'!K20*1.025,0)</f>
        <v>6</v>
      </c>
      <c r="L20" s="54">
        <f>IF(I20=0,K20,K20*(J20/I20))</f>
        <v>6</v>
      </c>
      <c r="M20" s="12">
        <f>I20+(K20*12)</f>
        <v>89</v>
      </c>
      <c r="N20" s="12">
        <f>J20+(L20*12)</f>
        <v>89</v>
      </c>
      <c r="O20" s="11">
        <v>50</v>
      </c>
      <c r="P20" s="54">
        <f>IF(I20=0,O20,O20*(J20/I20))</f>
        <v>50</v>
      </c>
      <c r="Q20" s="33">
        <f>'_2023_VB_ar_ izmaiņām_MK'!Q20*1.025</f>
        <v>16.939489531249997</v>
      </c>
      <c r="R20" s="4">
        <f>Q20*P20</f>
        <v>846.97447656249983</v>
      </c>
      <c r="S20" s="15">
        <f>M20-O20</f>
        <v>39</v>
      </c>
      <c r="T20" s="15">
        <f>N20-P20</f>
        <v>39</v>
      </c>
      <c r="U20" s="1"/>
      <c r="V20" s="1">
        <v>1</v>
      </c>
      <c r="W20" s="27"/>
    </row>
    <row r="21" spans="1:23" ht="18" customHeight="1" x14ac:dyDescent="0.35">
      <c r="A21" s="39"/>
      <c r="B21" s="40"/>
      <c r="C21" s="41">
        <v>22</v>
      </c>
      <c r="D21" s="188" t="s">
        <v>33</v>
      </c>
      <c r="E21" s="188"/>
      <c r="F21" s="188"/>
      <c r="G21" s="188"/>
      <c r="H21" s="63"/>
      <c r="I21" s="9">
        <f>'_2023_VB_ar_ izmaiņām_MK'!S21</f>
        <v>10934</v>
      </c>
      <c r="J21" s="9">
        <f>'_2023_VB_ar_ izmaiņām_MK'!T21</f>
        <v>15708.8137664844</v>
      </c>
      <c r="K21" s="9">
        <f t="shared" ref="K21:P21" si="13">SUM(K22:K49)</f>
        <v>578</v>
      </c>
      <c r="L21" s="9">
        <f t="shared" si="13"/>
        <v>785.4892248311354</v>
      </c>
      <c r="M21" s="9">
        <f t="shared" si="13"/>
        <v>17870</v>
      </c>
      <c r="N21" s="9">
        <f t="shared" si="13"/>
        <v>25134.684464458027</v>
      </c>
      <c r="O21" s="9">
        <f t="shared" ref="O21" si="14">SUM(O22:O49)</f>
        <v>4091</v>
      </c>
      <c r="P21" s="9">
        <f t="shared" si="13"/>
        <v>5551.1093599228043</v>
      </c>
      <c r="Q21" s="9" t="str">
        <f>'_2021_VB_bez izmaiņām'!Q21</f>
        <v>x</v>
      </c>
      <c r="R21" s="3">
        <f>SUM(R22:R49)</f>
        <v>1480043.5122540409</v>
      </c>
      <c r="S21" s="9">
        <f>SUM(S22:S49)</f>
        <v>13779</v>
      </c>
      <c r="T21" s="9">
        <f>SUM(T22:T49)</f>
        <v>19583.575104535223</v>
      </c>
      <c r="U21" s="7">
        <v>1</v>
      </c>
      <c r="V21" s="7">
        <v>1</v>
      </c>
    </row>
    <row r="22" spans="1:23" s="44" customFormat="1" ht="17.25" customHeight="1" x14ac:dyDescent="0.35">
      <c r="A22" s="31">
        <v>10</v>
      </c>
      <c r="B22" s="32" t="s">
        <v>34</v>
      </c>
      <c r="C22" s="32" t="s">
        <v>35</v>
      </c>
      <c r="D22" s="31" t="s">
        <v>36</v>
      </c>
      <c r="E22" s="32" t="s">
        <v>9</v>
      </c>
      <c r="F22" s="32">
        <v>2</v>
      </c>
      <c r="G22" s="42" t="s">
        <v>37</v>
      </c>
      <c r="H22" s="47"/>
      <c r="I22" s="15">
        <f>'_2023_VB_ar_ izmaiņām_MK'!S22</f>
        <v>1</v>
      </c>
      <c r="J22" s="15">
        <f>'_2023_VB_ar_ izmaiņām_MK'!T22</f>
        <v>1</v>
      </c>
      <c r="K22" s="53">
        <f>ROUND('_2023_VB_ar_ izmaiņām_MK'!K22*1.025,0)</f>
        <v>9</v>
      </c>
      <c r="L22" s="54">
        <f>IF(I22=0,K22,K22*(J22/I22))</f>
        <v>9</v>
      </c>
      <c r="M22" s="12">
        <f>I22+(K22*12)</f>
        <v>109</v>
      </c>
      <c r="N22" s="12">
        <f>J22+(L22*12)</f>
        <v>109</v>
      </c>
      <c r="O22" s="11">
        <v>100</v>
      </c>
      <c r="P22" s="54">
        <f>IF(I22=0,O22,O22*(J22/I22))</f>
        <v>100</v>
      </c>
      <c r="Q22" s="33">
        <f>'_2023_VB_ar_ izmaiņām_MK'!Q22*1.025</f>
        <v>71.667071093749982</v>
      </c>
      <c r="R22" s="4">
        <f>Q22*P22</f>
        <v>7166.7071093749983</v>
      </c>
      <c r="S22" s="15">
        <f>M22-O22</f>
        <v>9</v>
      </c>
      <c r="T22" s="15">
        <f>N22-P22</f>
        <v>9</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15">
        <f>'_2023_VB_ar_ izmaiņām_MK'!S23</f>
        <v>21</v>
      </c>
      <c r="J23" s="15">
        <f>'_2023_VB_ar_ izmaiņām_MK'!T23</f>
        <v>21</v>
      </c>
      <c r="K23" s="53">
        <f>ROUND('_2023_VB_ar_ izmaiņām_MK'!K23*1.025,0)</f>
        <v>13</v>
      </c>
      <c r="L23" s="54">
        <f>IF(I23=0,K23,K23*(J23/I23))</f>
        <v>13</v>
      </c>
      <c r="M23" s="12">
        <f>I23+(K23*12)</f>
        <v>177</v>
      </c>
      <c r="N23" s="12">
        <f>J23+(L23*12)</f>
        <v>177</v>
      </c>
      <c r="O23" s="11">
        <v>150</v>
      </c>
      <c r="P23" s="54">
        <f>IF(I23=0,O23,O23*(J23/I23))</f>
        <v>150</v>
      </c>
      <c r="Q23" s="33">
        <f>'_2023_VB_ar_ izmaiņām_MK'!Q23*1.025</f>
        <v>58.992068437499988</v>
      </c>
      <c r="R23" s="4">
        <f>Q23*P23</f>
        <v>8848.8102656249976</v>
      </c>
      <c r="S23" s="15">
        <f>M23-O23</f>
        <v>27</v>
      </c>
      <c r="T23" s="15">
        <f>N23-P23</f>
        <v>27</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15">
        <f>'_2023_VB_ar_ izmaiņām_MK'!S24</f>
        <v>44</v>
      </c>
      <c r="J24" s="15">
        <f>'_2023_VB_ar_ izmaiņām_MK'!T24</f>
        <v>44</v>
      </c>
      <c r="K24" s="53">
        <f>ROUND('_2023_VB_ar_ izmaiņām_MK'!K24*1.025,0)</f>
        <v>5</v>
      </c>
      <c r="L24" s="54">
        <f t="shared" ref="L24:L49" si="15">IF(I24=0,K24,K24*(J24/I24))</f>
        <v>5</v>
      </c>
      <c r="M24" s="12">
        <f t="shared" ref="M24:N39" si="16">I24+(K24*12)</f>
        <v>104</v>
      </c>
      <c r="N24" s="12">
        <f t="shared" si="16"/>
        <v>104</v>
      </c>
      <c r="O24" s="11">
        <v>45</v>
      </c>
      <c r="P24" s="54">
        <f t="shared" ref="P24:P49" si="17">IF(I24=0,O24,O24*(J24/I24))</f>
        <v>45</v>
      </c>
      <c r="Q24" s="33">
        <f>'_2023_VB_ar_ izmaiņām_MK'!Q24*1.025</f>
        <v>77.363822499999984</v>
      </c>
      <c r="R24" s="4">
        <f t="shared" ref="R24:R49" si="18">Q24*P24</f>
        <v>3481.3720124999991</v>
      </c>
      <c r="S24" s="15">
        <f t="shared" ref="S24:T39" si="19">M24-O24</f>
        <v>59</v>
      </c>
      <c r="T24" s="15">
        <f t="shared" si="19"/>
        <v>59</v>
      </c>
      <c r="U24" s="1"/>
      <c r="V24" s="1">
        <v>1</v>
      </c>
      <c r="W24" s="27"/>
    </row>
    <row r="25" spans="1:23" s="44" customFormat="1" ht="24" customHeight="1" x14ac:dyDescent="0.35">
      <c r="A25" s="31">
        <v>13</v>
      </c>
      <c r="B25" s="32" t="s">
        <v>40</v>
      </c>
      <c r="C25" s="32" t="s">
        <v>41</v>
      </c>
      <c r="D25" s="31" t="s">
        <v>106</v>
      </c>
      <c r="E25" s="32" t="s">
        <v>9</v>
      </c>
      <c r="F25" s="32">
        <v>5</v>
      </c>
      <c r="G25" s="42" t="s">
        <v>43</v>
      </c>
      <c r="H25" s="47"/>
      <c r="I25" s="15">
        <f>'_2023_VB_ar_ izmaiņām_MK'!S25</f>
        <v>35</v>
      </c>
      <c r="J25" s="15">
        <f>'_2023_VB_ar_ izmaiņām_MK'!T25</f>
        <v>35</v>
      </c>
      <c r="K25" s="53">
        <f>ROUND('_2023_VB_ar_ izmaiņām_MK'!K25*1.025,0)</f>
        <v>2</v>
      </c>
      <c r="L25" s="54">
        <f t="shared" si="15"/>
        <v>2</v>
      </c>
      <c r="M25" s="12">
        <f t="shared" si="16"/>
        <v>59</v>
      </c>
      <c r="N25" s="12">
        <f t="shared" si="16"/>
        <v>59</v>
      </c>
      <c r="O25" s="11">
        <v>12</v>
      </c>
      <c r="P25" s="54">
        <f t="shared" si="17"/>
        <v>12</v>
      </c>
      <c r="Q25" s="33">
        <f>'_2023_VB_ar_ izmaiņām_MK'!Q25*1.025</f>
        <v>52.121506249999982</v>
      </c>
      <c r="R25" s="4">
        <f t="shared" si="18"/>
        <v>625.45807499999978</v>
      </c>
      <c r="S25" s="15">
        <f t="shared" si="19"/>
        <v>47</v>
      </c>
      <c r="T25" s="15">
        <f t="shared" si="19"/>
        <v>47</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15">
        <f>'_2023_VB_ar_ izmaiņām_MK'!S26</f>
        <v>157</v>
      </c>
      <c r="J26" s="15">
        <f>'_2023_VB_ar_ izmaiņām_MK'!T26</f>
        <v>157</v>
      </c>
      <c r="K26" s="53">
        <f>ROUND('_2023_VB_ar_ izmaiņām_MK'!K26*1.025,0)</f>
        <v>18</v>
      </c>
      <c r="L26" s="54">
        <f t="shared" si="15"/>
        <v>18</v>
      </c>
      <c r="M26" s="12">
        <f t="shared" si="16"/>
        <v>373</v>
      </c>
      <c r="N26" s="12">
        <f t="shared" si="16"/>
        <v>373</v>
      </c>
      <c r="O26" s="11">
        <v>141</v>
      </c>
      <c r="P26" s="54">
        <f t="shared" si="17"/>
        <v>141</v>
      </c>
      <c r="Q26" s="33">
        <f>'_2023_VB_ar_ izmaiņām_MK'!Q26*1.025</f>
        <v>585.79619328124988</v>
      </c>
      <c r="R26" s="4">
        <f t="shared" si="18"/>
        <v>82597.263252656237</v>
      </c>
      <c r="S26" s="15">
        <f t="shared" si="19"/>
        <v>232</v>
      </c>
      <c r="T26" s="15">
        <f t="shared" si="19"/>
        <v>232</v>
      </c>
      <c r="U26" s="1"/>
      <c r="V26" s="1">
        <v>1</v>
      </c>
      <c r="W26" s="27"/>
    </row>
    <row r="27" spans="1:23" s="44" customFormat="1" ht="36" customHeight="1" x14ac:dyDescent="0.35">
      <c r="A27" s="31">
        <v>15</v>
      </c>
      <c r="B27" s="32" t="s">
        <v>166</v>
      </c>
      <c r="C27" s="32" t="s">
        <v>46</v>
      </c>
      <c r="D27" s="31" t="s">
        <v>167</v>
      </c>
      <c r="E27" s="32" t="s">
        <v>9</v>
      </c>
      <c r="F27" s="32">
        <v>3</v>
      </c>
      <c r="G27" s="42" t="s">
        <v>47</v>
      </c>
      <c r="H27" s="47"/>
      <c r="I27" s="15">
        <f>'_2023_VB_ar_ izmaiņām_MK'!S27</f>
        <v>47</v>
      </c>
      <c r="J27" s="15">
        <f>'_2023_VB_ar_ izmaiņām_MK'!T27</f>
        <v>47</v>
      </c>
      <c r="K27" s="53">
        <f>ROUND('_2023_VB_ar_ izmaiņām_MK'!K27*1.025,0)</f>
        <v>2</v>
      </c>
      <c r="L27" s="54">
        <f>IF(I27=0,K27,K27*(J27/I27))</f>
        <v>2</v>
      </c>
      <c r="M27" s="12">
        <f t="shared" si="16"/>
        <v>71</v>
      </c>
      <c r="N27" s="12">
        <f t="shared" si="16"/>
        <v>71</v>
      </c>
      <c r="O27" s="11">
        <v>10</v>
      </c>
      <c r="P27" s="54">
        <f t="shared" si="17"/>
        <v>10</v>
      </c>
      <c r="Q27" s="33">
        <f>'_2023_VB_ar_ izmaiņām_MK'!Q27*1.025</f>
        <v>220.28874624999992</v>
      </c>
      <c r="R27" s="4">
        <f t="shared" si="18"/>
        <v>2202.8874624999989</v>
      </c>
      <c r="S27" s="15">
        <f t="shared" si="19"/>
        <v>61</v>
      </c>
      <c r="T27" s="15">
        <f t="shared" si="19"/>
        <v>61</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15">
        <f>'_2023_VB_ar_ izmaiņām_MK'!S28</f>
        <v>7456</v>
      </c>
      <c r="J28" s="15">
        <f>'_2023_VB_ar_ izmaiņām_MK'!T28</f>
        <v>12230.8137664844</v>
      </c>
      <c r="K28" s="53">
        <f>ROUND('_2023_VB_ar_ izmaiņām_MK'!K28*1.025,0)</f>
        <v>324</v>
      </c>
      <c r="L28" s="54">
        <f t="shared" si="15"/>
        <v>531.4892248311354</v>
      </c>
      <c r="M28" s="12">
        <f t="shared" si="16"/>
        <v>11344</v>
      </c>
      <c r="N28" s="12">
        <f t="shared" si="16"/>
        <v>18608.684464458027</v>
      </c>
      <c r="O28" s="11">
        <v>2280</v>
      </c>
      <c r="P28" s="54">
        <f t="shared" si="17"/>
        <v>3740.1093599228047</v>
      </c>
      <c r="Q28" s="33">
        <f>'_2023_VB_ar_ izmaiņām_MK'!Q28*1.025</f>
        <v>259.56294734374995</v>
      </c>
      <c r="R28" s="4">
        <f>Q28*P28+36.49</f>
        <v>970830.29884950933</v>
      </c>
      <c r="S28" s="15">
        <f t="shared" si="19"/>
        <v>9064</v>
      </c>
      <c r="T28" s="15">
        <f t="shared" si="19"/>
        <v>14868.575104535223</v>
      </c>
      <c r="U28" s="1">
        <v>1</v>
      </c>
      <c r="V28" s="1"/>
      <c r="W28" s="27"/>
    </row>
    <row r="29" spans="1:23" s="44" customFormat="1" ht="46.5" customHeight="1" x14ac:dyDescent="0.35">
      <c r="A29" s="31">
        <v>19</v>
      </c>
      <c r="B29" s="32" t="s">
        <v>50</v>
      </c>
      <c r="C29" s="32" t="s">
        <v>180</v>
      </c>
      <c r="D29" s="31" t="s">
        <v>120</v>
      </c>
      <c r="E29" s="32" t="s">
        <v>9</v>
      </c>
      <c r="F29" s="32">
        <v>5</v>
      </c>
      <c r="G29" s="42" t="s">
        <v>52</v>
      </c>
      <c r="H29" s="47"/>
      <c r="I29" s="15">
        <f>'_2023_VB_ar_ izmaiņām_MK'!S29</f>
        <v>546</v>
      </c>
      <c r="J29" s="15">
        <f>'_2023_VB_ar_ izmaiņām_MK'!T29</f>
        <v>546</v>
      </c>
      <c r="K29" s="53">
        <f>ROUND('_2023_VB_ar_ izmaiņām_MK'!K29*1.025,0)</f>
        <v>19</v>
      </c>
      <c r="L29" s="54">
        <f t="shared" si="15"/>
        <v>19</v>
      </c>
      <c r="M29" s="12">
        <f t="shared" si="16"/>
        <v>774</v>
      </c>
      <c r="N29" s="12">
        <f t="shared" si="16"/>
        <v>774</v>
      </c>
      <c r="O29" s="11">
        <v>70</v>
      </c>
      <c r="P29" s="54">
        <f t="shared" si="17"/>
        <v>70</v>
      </c>
      <c r="Q29" s="33">
        <f>'_2023_VB_ar_ izmaiņām_MK'!Q29*1.025</f>
        <v>272.75485749999996</v>
      </c>
      <c r="R29" s="4">
        <f t="shared" si="18"/>
        <v>19092.840024999998</v>
      </c>
      <c r="S29" s="15">
        <f t="shared" si="19"/>
        <v>704</v>
      </c>
      <c r="T29" s="15">
        <f t="shared" si="19"/>
        <v>704</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15">
        <f>'_2023_VB_ar_ izmaiņām_MK'!S30</f>
        <v>34</v>
      </c>
      <c r="J30" s="15">
        <f>'_2023_VB_ar_ izmaiņām_MK'!T30</f>
        <v>34</v>
      </c>
      <c r="K30" s="53">
        <f>ROUND('_2023_VB_ar_ izmaiņām_MK'!K30*1.025,0)</f>
        <v>1</v>
      </c>
      <c r="L30" s="54">
        <f t="shared" si="15"/>
        <v>1</v>
      </c>
      <c r="M30" s="12">
        <f t="shared" si="16"/>
        <v>46</v>
      </c>
      <c r="N30" s="12">
        <f t="shared" si="16"/>
        <v>46</v>
      </c>
      <c r="O30" s="11">
        <v>5</v>
      </c>
      <c r="P30" s="54">
        <f t="shared" si="17"/>
        <v>5</v>
      </c>
      <c r="Q30" s="33">
        <f>'_2023_VB_ar_ izmaiņām_MK'!Q30*1.025</f>
        <v>891.66543749999983</v>
      </c>
      <c r="R30" s="4">
        <f t="shared" si="18"/>
        <v>4458.3271874999991</v>
      </c>
      <c r="S30" s="15">
        <f t="shared" si="19"/>
        <v>41</v>
      </c>
      <c r="T30" s="15">
        <f t="shared" si="19"/>
        <v>41</v>
      </c>
      <c r="U30" s="1">
        <v>1</v>
      </c>
      <c r="V30" s="1"/>
      <c r="W30" s="27"/>
    </row>
    <row r="31" spans="1:23" s="44" customFormat="1" ht="36" customHeight="1" x14ac:dyDescent="0.35">
      <c r="A31" s="31">
        <v>21</v>
      </c>
      <c r="B31" s="32" t="s">
        <v>6</v>
      </c>
      <c r="C31" s="32" t="s">
        <v>56</v>
      </c>
      <c r="D31" s="31" t="s">
        <v>57</v>
      </c>
      <c r="E31" s="32" t="s">
        <v>9</v>
      </c>
      <c r="F31" s="32">
        <v>2</v>
      </c>
      <c r="G31" s="42" t="s">
        <v>10</v>
      </c>
      <c r="H31" s="47"/>
      <c r="I31" s="15">
        <f>'_2023_VB_ar_ izmaiņām_MK'!S31</f>
        <v>24</v>
      </c>
      <c r="J31" s="15">
        <f>'_2023_VB_ar_ izmaiņām_MK'!T31</f>
        <v>24</v>
      </c>
      <c r="K31" s="53">
        <f>ROUND('_2023_VB_ar_ izmaiņām_MK'!K31*1.025,0)</f>
        <v>1</v>
      </c>
      <c r="L31" s="54">
        <f t="shared" si="15"/>
        <v>1</v>
      </c>
      <c r="M31" s="12">
        <f t="shared" si="16"/>
        <v>36</v>
      </c>
      <c r="N31" s="12">
        <f t="shared" si="16"/>
        <v>36</v>
      </c>
      <c r="O31" s="11">
        <v>4</v>
      </c>
      <c r="P31" s="54">
        <f t="shared" si="17"/>
        <v>4</v>
      </c>
      <c r="Q31" s="33">
        <f>'_2023_VB_ar_ izmaiņām_MK'!Q31*1.025</f>
        <v>15.076468749999995</v>
      </c>
      <c r="R31" s="4">
        <f t="shared" si="18"/>
        <v>60.305874999999979</v>
      </c>
      <c r="S31" s="15">
        <f t="shared" si="19"/>
        <v>32</v>
      </c>
      <c r="T31" s="15">
        <f t="shared" si="19"/>
        <v>32</v>
      </c>
      <c r="U31" s="1"/>
      <c r="V31" s="1">
        <v>1</v>
      </c>
      <c r="W31" s="27"/>
    </row>
    <row r="32" spans="1:23" s="44" customFormat="1" ht="21.75" customHeight="1" x14ac:dyDescent="0.35">
      <c r="A32" s="31">
        <v>22</v>
      </c>
      <c r="B32" s="32" t="s">
        <v>6</v>
      </c>
      <c r="C32" s="32" t="s">
        <v>58</v>
      </c>
      <c r="D32" s="31" t="s">
        <v>59</v>
      </c>
      <c r="E32" s="32" t="s">
        <v>9</v>
      </c>
      <c r="F32" s="32">
        <v>5</v>
      </c>
      <c r="G32" s="42" t="s">
        <v>10</v>
      </c>
      <c r="H32" s="47"/>
      <c r="I32" s="15">
        <f>'_2023_VB_ar_ izmaiņām_MK'!S32</f>
        <v>2</v>
      </c>
      <c r="J32" s="15">
        <f>'_2023_VB_ar_ izmaiņām_MK'!T32</f>
        <v>2</v>
      </c>
      <c r="K32" s="53">
        <f>ROUND('_2023_VB_ar_ izmaiņām_MK'!K32*1.025,0)</f>
        <v>1</v>
      </c>
      <c r="L32" s="54">
        <f t="shared" si="15"/>
        <v>1</v>
      </c>
      <c r="M32" s="12">
        <f t="shared" si="16"/>
        <v>14</v>
      </c>
      <c r="N32" s="12">
        <f t="shared" si="16"/>
        <v>14</v>
      </c>
      <c r="O32" s="11">
        <v>11</v>
      </c>
      <c r="P32" s="54">
        <f t="shared" si="17"/>
        <v>11</v>
      </c>
      <c r="Q32" s="33">
        <f>'_2023_VB_ar_ izmaiņām_MK'!Q32*1.025</f>
        <v>938.1871124999999</v>
      </c>
      <c r="R32" s="4">
        <f t="shared" si="18"/>
        <v>10320.058237499999</v>
      </c>
      <c r="S32" s="15">
        <f t="shared" si="19"/>
        <v>3</v>
      </c>
      <c r="T32" s="15">
        <f t="shared" si="19"/>
        <v>3</v>
      </c>
      <c r="U32" s="1"/>
      <c r="V32" s="1">
        <v>1</v>
      </c>
      <c r="W32" s="27"/>
    </row>
    <row r="33" spans="1:23" s="44" customFormat="1" ht="21.75" customHeight="1" x14ac:dyDescent="0.35">
      <c r="A33" s="29">
        <v>23</v>
      </c>
      <c r="B33" s="30" t="s">
        <v>60</v>
      </c>
      <c r="C33" s="30" t="s">
        <v>61</v>
      </c>
      <c r="D33" s="29" t="s">
        <v>62</v>
      </c>
      <c r="E33" s="30" t="s">
        <v>9</v>
      </c>
      <c r="F33" s="30">
        <v>3</v>
      </c>
      <c r="G33" s="43" t="s">
        <v>10</v>
      </c>
      <c r="H33" s="48"/>
      <c r="I33" s="15">
        <f>'_2023_VB_ar_ izmaiņām_MK'!S33</f>
        <v>371</v>
      </c>
      <c r="J33" s="15">
        <f>'_2023_VB_ar_ izmaiņām_MK'!T33</f>
        <v>371</v>
      </c>
      <c r="K33" s="53">
        <f>ROUND('_2023_VB_ar_ izmaiņām_MK'!K33*1.025,0)</f>
        <v>28</v>
      </c>
      <c r="L33" s="54">
        <f t="shared" si="15"/>
        <v>28</v>
      </c>
      <c r="M33" s="132">
        <f t="shared" si="16"/>
        <v>707</v>
      </c>
      <c r="N33" s="132">
        <f t="shared" si="16"/>
        <v>707</v>
      </c>
      <c r="O33" s="11">
        <v>179</v>
      </c>
      <c r="P33" s="54">
        <f t="shared" si="17"/>
        <v>179</v>
      </c>
      <c r="Q33" s="33">
        <f>'_2023_VB_ar_ izmaiņām_MK'!Q33*1.025</f>
        <v>359.63839312499988</v>
      </c>
      <c r="R33" s="4">
        <f t="shared" si="18"/>
        <v>64375.272369374979</v>
      </c>
      <c r="S33" s="15">
        <f t="shared" si="19"/>
        <v>528</v>
      </c>
      <c r="T33" s="15">
        <f t="shared" si="19"/>
        <v>528</v>
      </c>
      <c r="U33" s="1"/>
      <c r="V33" s="1">
        <v>1</v>
      </c>
      <c r="W33" s="27"/>
    </row>
    <row r="34" spans="1:23" ht="32.25" customHeight="1" x14ac:dyDescent="0.35">
      <c r="A34" s="29">
        <v>24</v>
      </c>
      <c r="B34" s="30" t="s">
        <v>60</v>
      </c>
      <c r="C34" s="30" t="s">
        <v>61</v>
      </c>
      <c r="D34" s="29" t="s">
        <v>108</v>
      </c>
      <c r="E34" s="30" t="s">
        <v>9</v>
      </c>
      <c r="F34" s="30">
        <v>5</v>
      </c>
      <c r="G34" s="43" t="s">
        <v>10</v>
      </c>
      <c r="H34" s="48"/>
      <c r="I34" s="15">
        <f>'_2023_VB_ar_ izmaiņām_MK'!S34</f>
        <v>274</v>
      </c>
      <c r="J34" s="15">
        <f>'_2023_VB_ar_ izmaiņām_MK'!T34</f>
        <v>274</v>
      </c>
      <c r="K34" s="53">
        <f>ROUND('_2023_VB_ar_ izmaiņām_MK'!K34*1.025,0)</f>
        <v>10</v>
      </c>
      <c r="L34" s="54">
        <f t="shared" si="15"/>
        <v>10</v>
      </c>
      <c r="M34" s="132">
        <f t="shared" si="16"/>
        <v>394</v>
      </c>
      <c r="N34" s="132">
        <f t="shared" si="16"/>
        <v>394</v>
      </c>
      <c r="O34" s="104">
        <v>32</v>
      </c>
      <c r="P34" s="54">
        <f t="shared" si="17"/>
        <v>32</v>
      </c>
      <c r="Q34" s="33">
        <f>'_2023_VB_ar_ izmaiņām_MK'!Q34*1.025</f>
        <v>753.82343749999973</v>
      </c>
      <c r="R34" s="4">
        <f t="shared" si="18"/>
        <v>24122.349999999991</v>
      </c>
      <c r="S34" s="15">
        <f t="shared" si="19"/>
        <v>362</v>
      </c>
      <c r="T34" s="15">
        <f t="shared" si="19"/>
        <v>362</v>
      </c>
      <c r="U34" s="1"/>
      <c r="V34" s="1">
        <v>1</v>
      </c>
      <c r="W34" s="27" t="s">
        <v>176</v>
      </c>
    </row>
    <row r="35" spans="1:23" s="44" customFormat="1" ht="49.5" customHeight="1" x14ac:dyDescent="0.35">
      <c r="A35" s="29">
        <v>25</v>
      </c>
      <c r="B35" s="30" t="s">
        <v>60</v>
      </c>
      <c r="C35" s="30" t="s">
        <v>61</v>
      </c>
      <c r="D35" s="29" t="s">
        <v>63</v>
      </c>
      <c r="E35" s="30" t="s">
        <v>9</v>
      </c>
      <c r="F35" s="30">
        <v>3</v>
      </c>
      <c r="G35" s="43" t="s">
        <v>64</v>
      </c>
      <c r="H35" s="48"/>
      <c r="I35" s="15">
        <f>'_2023_VB_ar_ izmaiņām_MK'!S35</f>
        <v>13</v>
      </c>
      <c r="J35" s="15">
        <f>'_2023_VB_ar_ izmaiņām_MK'!T35</f>
        <v>13</v>
      </c>
      <c r="K35" s="53">
        <f>ROUND('_2023_VB_ar_ izmaiņām_MK'!K35*1.025,0)</f>
        <v>2</v>
      </c>
      <c r="L35" s="54">
        <f t="shared" si="15"/>
        <v>2</v>
      </c>
      <c r="M35" s="132">
        <f t="shared" si="16"/>
        <v>37</v>
      </c>
      <c r="N35" s="132">
        <f t="shared" si="16"/>
        <v>37</v>
      </c>
      <c r="O35" s="11">
        <v>18</v>
      </c>
      <c r="P35" s="54">
        <f t="shared" si="17"/>
        <v>18</v>
      </c>
      <c r="Q35" s="33">
        <f>'_2023_VB_ar_ izmaiņām_MK'!Q35*1.025</f>
        <v>156.36451874999995</v>
      </c>
      <c r="R35" s="4">
        <f t="shared" si="18"/>
        <v>2814.5613374999989</v>
      </c>
      <c r="S35" s="15">
        <f t="shared" si="19"/>
        <v>19</v>
      </c>
      <c r="T35" s="15">
        <f t="shared" si="19"/>
        <v>19</v>
      </c>
      <c r="U35" s="1"/>
      <c r="V35" s="1">
        <v>1</v>
      </c>
      <c r="W35" s="27"/>
    </row>
    <row r="36" spans="1:23" ht="25.5" customHeight="1" x14ac:dyDescent="0.35">
      <c r="A36" s="29">
        <v>26</v>
      </c>
      <c r="B36" s="30" t="s">
        <v>141</v>
      </c>
      <c r="C36" s="30" t="s">
        <v>65</v>
      </c>
      <c r="D36" s="29" t="s">
        <v>66</v>
      </c>
      <c r="E36" s="30" t="s">
        <v>9</v>
      </c>
      <c r="F36" s="30">
        <v>5</v>
      </c>
      <c r="G36" s="43" t="s">
        <v>110</v>
      </c>
      <c r="H36" s="48"/>
      <c r="I36" s="15">
        <f>'_2023_VB_ar_ izmaiņām_MK'!S36</f>
        <v>622</v>
      </c>
      <c r="J36" s="15">
        <f>'_2023_VB_ar_ izmaiņām_MK'!T36</f>
        <v>622</v>
      </c>
      <c r="K36" s="53">
        <f>ROUND('_2023_VB_ar_ izmaiņām_MK'!K36*1.025,0)</f>
        <v>23</v>
      </c>
      <c r="L36" s="54">
        <f t="shared" si="15"/>
        <v>23</v>
      </c>
      <c r="M36" s="132">
        <f t="shared" si="16"/>
        <v>898</v>
      </c>
      <c r="N36" s="132">
        <f t="shared" si="16"/>
        <v>898</v>
      </c>
      <c r="O36" s="104">
        <v>45</v>
      </c>
      <c r="P36" s="54">
        <f t="shared" si="17"/>
        <v>45</v>
      </c>
      <c r="Q36" s="33">
        <f>'_2023_VB_ar_ izmaiņām_MK'!Q36*1.025</f>
        <v>538.4453125</v>
      </c>
      <c r="R36" s="4">
        <f t="shared" si="18"/>
        <v>24230.0390625</v>
      </c>
      <c r="S36" s="15">
        <f t="shared" si="19"/>
        <v>853</v>
      </c>
      <c r="T36" s="15">
        <f t="shared" si="19"/>
        <v>853</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15">
        <f>'_2023_VB_ar_ izmaiņām_MK'!S37</f>
        <v>35</v>
      </c>
      <c r="J37" s="15">
        <f>'_2023_VB_ar_ izmaiņām_MK'!T37</f>
        <v>35</v>
      </c>
      <c r="K37" s="53">
        <f>ROUND('_2023_VB_ar_ izmaiņām_MK'!K37*1.025,0)</f>
        <v>3</v>
      </c>
      <c r="L37" s="54">
        <f t="shared" si="15"/>
        <v>3</v>
      </c>
      <c r="M37" s="12">
        <f t="shared" si="16"/>
        <v>71</v>
      </c>
      <c r="N37" s="12">
        <f t="shared" si="16"/>
        <v>71</v>
      </c>
      <c r="O37" s="11">
        <v>24</v>
      </c>
      <c r="P37" s="54">
        <f t="shared" si="17"/>
        <v>24</v>
      </c>
      <c r="Q37" s="33">
        <f>'_2023_VB_ar_ izmaiņām_MK'!Q37*1.025</f>
        <v>227.04085046874997</v>
      </c>
      <c r="R37" s="4">
        <f t="shared" si="18"/>
        <v>5448.9804112499987</v>
      </c>
      <c r="S37" s="15">
        <f t="shared" si="19"/>
        <v>47</v>
      </c>
      <c r="T37" s="15">
        <f t="shared" si="19"/>
        <v>47</v>
      </c>
      <c r="U37" s="19"/>
      <c r="V37" s="19">
        <v>1</v>
      </c>
      <c r="W37" s="26"/>
    </row>
    <row r="38" spans="1:23" s="44" customFormat="1" ht="60.75" customHeight="1" x14ac:dyDescent="0.35">
      <c r="A38" s="29">
        <v>28</v>
      </c>
      <c r="B38" s="30" t="s">
        <v>168</v>
      </c>
      <c r="C38" s="30" t="s">
        <v>67</v>
      </c>
      <c r="D38" s="29" t="s">
        <v>68</v>
      </c>
      <c r="E38" s="30" t="s">
        <v>9</v>
      </c>
      <c r="F38" s="30">
        <v>3</v>
      </c>
      <c r="G38" s="43" t="s">
        <v>69</v>
      </c>
      <c r="H38" s="48"/>
      <c r="I38" s="15">
        <f>'_2023_VB_ar_ izmaiņām_MK'!S38</f>
        <v>115</v>
      </c>
      <c r="J38" s="15">
        <f>'_2023_VB_ar_ izmaiņām_MK'!T38</f>
        <v>115</v>
      </c>
      <c r="K38" s="53">
        <f>ROUND('_2023_VB_ar_ izmaiņām_MK'!K38*1.025,0)</f>
        <v>15</v>
      </c>
      <c r="L38" s="54">
        <f t="shared" si="15"/>
        <v>15</v>
      </c>
      <c r="M38" s="12">
        <f t="shared" si="16"/>
        <v>295</v>
      </c>
      <c r="N38" s="12">
        <f t="shared" si="16"/>
        <v>295</v>
      </c>
      <c r="O38" s="11">
        <v>180</v>
      </c>
      <c r="P38" s="54">
        <f t="shared" si="17"/>
        <v>180</v>
      </c>
      <c r="Q38" s="33">
        <f>'_2023_VB_ar_ izmaiņām_MK'!Q38*1.025</f>
        <v>407.00004281249994</v>
      </c>
      <c r="R38" s="4">
        <f t="shared" si="18"/>
        <v>73260.007706249991</v>
      </c>
      <c r="S38" s="15">
        <f t="shared" si="19"/>
        <v>115</v>
      </c>
      <c r="T38" s="15">
        <f t="shared" si="19"/>
        <v>115</v>
      </c>
      <c r="U38" s="1">
        <v>1</v>
      </c>
      <c r="V38" s="1"/>
      <c r="W38" s="27"/>
    </row>
    <row r="39" spans="1:23" s="44" customFormat="1" x14ac:dyDescent="0.35">
      <c r="A39" s="29">
        <v>29</v>
      </c>
      <c r="B39" s="30" t="s">
        <v>70</v>
      </c>
      <c r="C39" s="30" t="s">
        <v>121</v>
      </c>
      <c r="D39" s="29" t="s">
        <v>122</v>
      </c>
      <c r="E39" s="30" t="s">
        <v>9</v>
      </c>
      <c r="F39" s="30">
        <v>5</v>
      </c>
      <c r="G39" s="43" t="s">
        <v>47</v>
      </c>
      <c r="H39" s="48"/>
      <c r="I39" s="15">
        <f>'_2023_VB_ar_ izmaiņām_MK'!S39</f>
        <v>9</v>
      </c>
      <c r="J39" s="15">
        <f>'_2023_VB_ar_ izmaiņām_MK'!T39</f>
        <v>9</v>
      </c>
      <c r="K39" s="53">
        <f>ROUND('_2023_VB_ar_ izmaiņām_MK'!K39*1.025,0)</f>
        <v>1</v>
      </c>
      <c r="L39" s="54">
        <f t="shared" si="15"/>
        <v>1</v>
      </c>
      <c r="M39" s="12">
        <f t="shared" si="16"/>
        <v>21</v>
      </c>
      <c r="N39" s="12">
        <f t="shared" si="16"/>
        <v>21</v>
      </c>
      <c r="O39" s="11">
        <v>5</v>
      </c>
      <c r="P39" s="54">
        <f t="shared" si="17"/>
        <v>5</v>
      </c>
      <c r="Q39" s="33">
        <f>'_2023_VB_ar_ izmaiņām_MK'!Q39*1.025</f>
        <v>133.77135343749998</v>
      </c>
      <c r="R39" s="4">
        <f t="shared" si="18"/>
        <v>668.85676718749994</v>
      </c>
      <c r="S39" s="15">
        <f t="shared" si="19"/>
        <v>16</v>
      </c>
      <c r="T39" s="15">
        <f t="shared" si="19"/>
        <v>16</v>
      </c>
      <c r="U39" s="1">
        <v>1</v>
      </c>
      <c r="V39" s="1"/>
      <c r="W39" s="27"/>
    </row>
    <row r="40" spans="1:23" s="44" customFormat="1" ht="40.5" customHeight="1" x14ac:dyDescent="0.35">
      <c r="A40" s="29">
        <v>30</v>
      </c>
      <c r="B40" s="50" t="s">
        <v>71</v>
      </c>
      <c r="C40" s="50" t="s">
        <v>72</v>
      </c>
      <c r="D40" s="49" t="s">
        <v>73</v>
      </c>
      <c r="E40" s="50" t="s">
        <v>9</v>
      </c>
      <c r="F40" s="50">
        <v>5</v>
      </c>
      <c r="G40" s="51" t="s">
        <v>74</v>
      </c>
      <c r="H40" s="48"/>
      <c r="I40" s="15">
        <f>'_2023_VB_ar_ izmaiņām_MK'!S40</f>
        <v>109</v>
      </c>
      <c r="J40" s="15">
        <f>'_2023_VB_ar_ izmaiņām_MK'!T40</f>
        <v>109</v>
      </c>
      <c r="K40" s="53">
        <f>ROUND('_2023_VB_ar_ izmaiņām_MK'!K40*1.025,0)</f>
        <v>23</v>
      </c>
      <c r="L40" s="54">
        <f t="shared" si="15"/>
        <v>23</v>
      </c>
      <c r="M40" s="12">
        <f t="shared" ref="M40:N49" si="20">I40+(K40*12)</f>
        <v>385</v>
      </c>
      <c r="N40" s="12">
        <f t="shared" si="20"/>
        <v>385</v>
      </c>
      <c r="O40" s="11">
        <v>182</v>
      </c>
      <c r="P40" s="54">
        <f t="shared" si="17"/>
        <v>182</v>
      </c>
      <c r="Q40" s="33">
        <f>'_2023_VB_ar_ izmaiņām_MK'!Q40*1.025</f>
        <v>405.25547999999992</v>
      </c>
      <c r="R40" s="4">
        <f t="shared" si="18"/>
        <v>73756.497359999979</v>
      </c>
      <c r="S40" s="15">
        <f t="shared" ref="S40:T49" si="21">M40-O40</f>
        <v>203</v>
      </c>
      <c r="T40" s="15">
        <f t="shared" si="21"/>
        <v>203</v>
      </c>
      <c r="U40" s="19">
        <v>1</v>
      </c>
      <c r="V40" s="19"/>
      <c r="W40" s="26"/>
    </row>
    <row r="41" spans="1:23" s="44" customFormat="1" ht="117" customHeight="1" x14ac:dyDescent="0.35">
      <c r="A41" s="50">
        <v>31</v>
      </c>
      <c r="B41" s="50" t="s">
        <v>71</v>
      </c>
      <c r="C41" s="50" t="s">
        <v>72</v>
      </c>
      <c r="D41" s="49" t="s">
        <v>75</v>
      </c>
      <c r="E41" s="50" t="s">
        <v>9</v>
      </c>
      <c r="F41" s="50">
        <v>5</v>
      </c>
      <c r="G41" s="51" t="s">
        <v>76</v>
      </c>
      <c r="H41" s="48"/>
      <c r="I41" s="15">
        <f>'_2023_VB_ar_ izmaiņām_MK'!S41</f>
        <v>37</v>
      </c>
      <c r="J41" s="15">
        <f>'_2023_VB_ar_ izmaiņām_MK'!T41</f>
        <v>37</v>
      </c>
      <c r="K41" s="53">
        <f>ROUND('_2023_VB_ar_ izmaiņām_MK'!K41*1.025,0)</f>
        <v>1</v>
      </c>
      <c r="L41" s="54">
        <f t="shared" si="15"/>
        <v>1</v>
      </c>
      <c r="M41" s="12">
        <f t="shared" si="20"/>
        <v>49</v>
      </c>
      <c r="N41" s="12">
        <f t="shared" si="20"/>
        <v>49</v>
      </c>
      <c r="O41" s="11">
        <v>2</v>
      </c>
      <c r="P41" s="54">
        <f t="shared" si="17"/>
        <v>2</v>
      </c>
      <c r="Q41" s="33">
        <f>'_2023_VB_ar_ izmaiņām_MK'!Q41*1.025</f>
        <v>374.67178624999991</v>
      </c>
      <c r="R41" s="4">
        <f t="shared" si="18"/>
        <v>749.34357249999982</v>
      </c>
      <c r="S41" s="15">
        <f t="shared" si="21"/>
        <v>47</v>
      </c>
      <c r="T41" s="15">
        <f t="shared" si="21"/>
        <v>47</v>
      </c>
      <c r="U41" s="19">
        <v>1</v>
      </c>
      <c r="V41" s="19"/>
      <c r="W41" s="26"/>
    </row>
    <row r="42" spans="1:23" s="44" customFormat="1" ht="42.75" customHeight="1" x14ac:dyDescent="0.35">
      <c r="A42" s="29">
        <v>32</v>
      </c>
      <c r="B42" s="30" t="s">
        <v>77</v>
      </c>
      <c r="C42" s="30" t="s">
        <v>78</v>
      </c>
      <c r="D42" s="29" t="s">
        <v>99</v>
      </c>
      <c r="E42" s="30" t="s">
        <v>9</v>
      </c>
      <c r="F42" s="30">
        <v>2</v>
      </c>
      <c r="G42" s="43" t="s">
        <v>10</v>
      </c>
      <c r="H42" s="48"/>
      <c r="I42" s="15">
        <f>'_2023_VB_ar_ izmaiņām_MK'!S42</f>
        <v>458</v>
      </c>
      <c r="J42" s="15">
        <f>'_2023_VB_ar_ izmaiņām_MK'!T42</f>
        <v>458</v>
      </c>
      <c r="K42" s="53">
        <f>ROUND('_2023_VB_ar_ izmaiņām_MK'!K42*1.025,0)</f>
        <v>37</v>
      </c>
      <c r="L42" s="54">
        <f t="shared" si="15"/>
        <v>37</v>
      </c>
      <c r="M42" s="132">
        <f t="shared" si="20"/>
        <v>902</v>
      </c>
      <c r="N42" s="132">
        <f>J42+(L42*12)</f>
        <v>902</v>
      </c>
      <c r="O42" s="11">
        <v>310</v>
      </c>
      <c r="P42" s="54">
        <f t="shared" si="17"/>
        <v>310</v>
      </c>
      <c r="Q42" s="33">
        <f>'_2023_VB_ar_ izmaiņām_MK'!Q42*1.025</f>
        <v>77.826885468749978</v>
      </c>
      <c r="R42" s="4">
        <f t="shared" si="18"/>
        <v>24126.334495312494</v>
      </c>
      <c r="S42" s="15">
        <f t="shared" si="21"/>
        <v>592</v>
      </c>
      <c r="T42" s="15">
        <f t="shared" si="21"/>
        <v>592</v>
      </c>
      <c r="U42" s="1"/>
      <c r="V42" s="1">
        <v>1</v>
      </c>
      <c r="W42" s="27" t="s">
        <v>111</v>
      </c>
    </row>
    <row r="43" spans="1:23" ht="20.25" customHeight="1" x14ac:dyDescent="0.35">
      <c r="A43" s="29">
        <v>33</v>
      </c>
      <c r="B43" s="30" t="s">
        <v>142</v>
      </c>
      <c r="C43" s="30" t="s">
        <v>79</v>
      </c>
      <c r="D43" s="29" t="s">
        <v>80</v>
      </c>
      <c r="E43" s="30" t="s">
        <v>9</v>
      </c>
      <c r="F43" s="30">
        <v>5</v>
      </c>
      <c r="G43" s="43" t="s">
        <v>110</v>
      </c>
      <c r="H43" s="48"/>
      <c r="I43" s="15">
        <f>'_2023_VB_ar_ izmaiņām_MK'!S43</f>
        <v>88</v>
      </c>
      <c r="J43" s="15">
        <f>'_2023_VB_ar_ izmaiņām_MK'!T43</f>
        <v>88</v>
      </c>
      <c r="K43" s="53">
        <f>ROUND('_2023_VB_ar_ izmaiņām_MK'!K43*1.025,0)</f>
        <v>3</v>
      </c>
      <c r="L43" s="54">
        <f t="shared" si="15"/>
        <v>3</v>
      </c>
      <c r="M43" s="132">
        <f t="shared" si="20"/>
        <v>124</v>
      </c>
      <c r="N43" s="132">
        <f t="shared" si="20"/>
        <v>124</v>
      </c>
      <c r="O43" s="104">
        <v>7</v>
      </c>
      <c r="P43" s="54">
        <f t="shared" si="17"/>
        <v>7</v>
      </c>
      <c r="Q43" s="33">
        <f>'_2023_VB_ar_ izmaiņām_MK'!Q43*1.025</f>
        <v>2584.5374999999999</v>
      </c>
      <c r="R43" s="4">
        <f t="shared" si="18"/>
        <v>18091.762500000001</v>
      </c>
      <c r="S43" s="15">
        <f t="shared" si="21"/>
        <v>117</v>
      </c>
      <c r="T43" s="15">
        <f t="shared" si="21"/>
        <v>117</v>
      </c>
      <c r="U43" s="1"/>
      <c r="V43" s="1">
        <v>1</v>
      </c>
      <c r="W43" s="27" t="s">
        <v>126</v>
      </c>
    </row>
    <row r="44" spans="1:23" ht="22.5" customHeight="1" x14ac:dyDescent="0.35">
      <c r="A44" s="29">
        <v>34</v>
      </c>
      <c r="B44" s="30" t="s">
        <v>6</v>
      </c>
      <c r="C44" s="30" t="s">
        <v>81</v>
      </c>
      <c r="D44" s="29" t="s">
        <v>82</v>
      </c>
      <c r="E44" s="30" t="s">
        <v>9</v>
      </c>
      <c r="F44" s="30">
        <v>7</v>
      </c>
      <c r="G44" s="43" t="s">
        <v>112</v>
      </c>
      <c r="H44" s="48"/>
      <c r="I44" s="15">
        <f>'_2023_VB_ar_ izmaiņām_MK'!S44</f>
        <v>16</v>
      </c>
      <c r="J44" s="15">
        <f>'_2023_VB_ar_ izmaiņām_MK'!T44</f>
        <v>16</v>
      </c>
      <c r="K44" s="53">
        <f>ROUND('_2023_VB_ar_ izmaiņām_MK'!K44*1.025,0)</f>
        <v>1</v>
      </c>
      <c r="L44" s="54">
        <f t="shared" si="15"/>
        <v>1</v>
      </c>
      <c r="M44" s="132">
        <f t="shared" si="20"/>
        <v>28</v>
      </c>
      <c r="N44" s="132">
        <f t="shared" si="20"/>
        <v>28</v>
      </c>
      <c r="O44" s="104">
        <v>7</v>
      </c>
      <c r="P44" s="54">
        <f t="shared" si="17"/>
        <v>7</v>
      </c>
      <c r="Q44" s="33">
        <f>'_2023_VB_ar_ izmaiņām_MK'!Q44*1.025</f>
        <v>2692.2265624999991</v>
      </c>
      <c r="R44" s="4">
        <f t="shared" si="18"/>
        <v>18845.585937499993</v>
      </c>
      <c r="S44" s="15">
        <f t="shared" si="21"/>
        <v>21</v>
      </c>
      <c r="T44" s="15">
        <f t="shared" si="21"/>
        <v>21</v>
      </c>
      <c r="U44" s="1"/>
      <c r="V44" s="1">
        <v>1</v>
      </c>
      <c r="W44" s="27" t="s">
        <v>126</v>
      </c>
    </row>
    <row r="45" spans="1:23" s="44" customFormat="1" ht="30" customHeight="1" x14ac:dyDescent="0.35">
      <c r="A45" s="50">
        <v>35</v>
      </c>
      <c r="B45" s="30" t="s">
        <v>77</v>
      </c>
      <c r="C45" s="30" t="s">
        <v>78</v>
      </c>
      <c r="D45" s="29" t="s">
        <v>83</v>
      </c>
      <c r="E45" s="30" t="s">
        <v>9</v>
      </c>
      <c r="F45" s="30">
        <v>5</v>
      </c>
      <c r="G45" s="43" t="s">
        <v>74</v>
      </c>
      <c r="H45" s="48"/>
      <c r="I45" s="15">
        <f>'_2023_VB_ar_ izmaiņām_MK'!S45</f>
        <v>131</v>
      </c>
      <c r="J45" s="15">
        <f>'_2023_VB_ar_ izmaiņām_MK'!T45</f>
        <v>131</v>
      </c>
      <c r="K45" s="53">
        <f>ROUND('_2023_VB_ar_ izmaiņām_MK'!K45*1.025,0)</f>
        <v>15</v>
      </c>
      <c r="L45" s="54">
        <f t="shared" si="15"/>
        <v>15</v>
      </c>
      <c r="M45" s="132">
        <f t="shared" si="20"/>
        <v>311</v>
      </c>
      <c r="N45" s="132">
        <f t="shared" si="20"/>
        <v>311</v>
      </c>
      <c r="O45" s="11">
        <v>145</v>
      </c>
      <c r="P45" s="54">
        <f t="shared" si="17"/>
        <v>145</v>
      </c>
      <c r="Q45" s="33">
        <f>'_2023_VB_ar_ izmaiņām_MK'!Q45*1.025</f>
        <v>64.08576109374998</v>
      </c>
      <c r="R45" s="4">
        <f t="shared" si="18"/>
        <v>9292.4353585937479</v>
      </c>
      <c r="S45" s="15">
        <f t="shared" si="21"/>
        <v>166</v>
      </c>
      <c r="T45" s="15">
        <f t="shared" si="21"/>
        <v>166</v>
      </c>
      <c r="U45" s="1">
        <v>1</v>
      </c>
      <c r="V45" s="1"/>
      <c r="W45" s="27"/>
    </row>
    <row r="46" spans="1:23" ht="30" customHeight="1" x14ac:dyDescent="0.35">
      <c r="A46" s="29">
        <v>36</v>
      </c>
      <c r="B46" s="30" t="s">
        <v>169</v>
      </c>
      <c r="C46" s="30" t="s">
        <v>170</v>
      </c>
      <c r="D46" s="29" t="s">
        <v>171</v>
      </c>
      <c r="E46" s="30" t="s">
        <v>9</v>
      </c>
      <c r="F46" s="30">
        <v>5</v>
      </c>
      <c r="G46" s="43" t="s">
        <v>172</v>
      </c>
      <c r="H46" s="48"/>
      <c r="I46" s="15">
        <f>'_2023_VB_ar_ izmaiņām_MK'!S46</f>
        <v>106</v>
      </c>
      <c r="J46" s="15">
        <f>'_2023_VB_ar_ izmaiņām_MK'!T46</f>
        <v>106</v>
      </c>
      <c r="K46" s="53">
        <f>ROUND('_2023_VB_ar_ izmaiņām_MK'!K46*1.025,0)</f>
        <v>10</v>
      </c>
      <c r="L46" s="54">
        <f t="shared" si="15"/>
        <v>10</v>
      </c>
      <c r="M46" s="132">
        <f t="shared" si="20"/>
        <v>226</v>
      </c>
      <c r="N46" s="132">
        <f t="shared" si="20"/>
        <v>226</v>
      </c>
      <c r="O46" s="104">
        <v>70</v>
      </c>
      <c r="P46" s="54">
        <f t="shared" si="17"/>
        <v>70</v>
      </c>
      <c r="Q46" s="33">
        <f>'_2023_VB_ar_ izmaiņām_MK'!Q46*1.025</f>
        <v>180.99300734374995</v>
      </c>
      <c r="R46" s="4">
        <f t="shared" si="18"/>
        <v>12669.510514062496</v>
      </c>
      <c r="S46" s="15">
        <f t="shared" si="21"/>
        <v>156</v>
      </c>
      <c r="T46" s="15">
        <f t="shared" si="21"/>
        <v>156</v>
      </c>
      <c r="U46" s="1">
        <v>1</v>
      </c>
      <c r="V46" s="1"/>
      <c r="W46" s="27" t="s">
        <v>126</v>
      </c>
    </row>
    <row r="47" spans="1:23" s="44" customFormat="1" ht="63.75" customHeight="1" x14ac:dyDescent="0.35">
      <c r="A47" s="29">
        <v>37</v>
      </c>
      <c r="B47" s="30" t="s">
        <v>84</v>
      </c>
      <c r="C47" s="30" t="s">
        <v>79</v>
      </c>
      <c r="D47" s="29" t="s">
        <v>85</v>
      </c>
      <c r="E47" s="30" t="s">
        <v>9</v>
      </c>
      <c r="F47" s="30">
        <v>5</v>
      </c>
      <c r="G47" s="43" t="s">
        <v>86</v>
      </c>
      <c r="H47" s="48"/>
      <c r="I47" s="15">
        <f>'_2023_VB_ar_ izmaiņām_MK'!S47</f>
        <v>32</v>
      </c>
      <c r="J47" s="15">
        <f>'_2023_VB_ar_ izmaiņām_MK'!T47</f>
        <v>32</v>
      </c>
      <c r="K47" s="53">
        <f>ROUND('_2023_VB_ar_ izmaiņām_MK'!K47*1.025,0)</f>
        <v>6</v>
      </c>
      <c r="L47" s="54">
        <f t="shared" si="15"/>
        <v>6</v>
      </c>
      <c r="M47" s="12">
        <f t="shared" si="20"/>
        <v>104</v>
      </c>
      <c r="N47" s="12">
        <f t="shared" si="20"/>
        <v>104</v>
      </c>
      <c r="O47" s="11">
        <v>50</v>
      </c>
      <c r="P47" s="54">
        <f t="shared" si="17"/>
        <v>50</v>
      </c>
      <c r="Q47" s="33">
        <f>'_2023_VB_ar_ izmaiņām_MK'!Q47*1.025</f>
        <v>166.78881999999996</v>
      </c>
      <c r="R47" s="4">
        <f t="shared" si="18"/>
        <v>8339.4409999999971</v>
      </c>
      <c r="S47" s="15">
        <f t="shared" si="21"/>
        <v>54</v>
      </c>
      <c r="T47" s="15">
        <f t="shared" si="21"/>
        <v>54</v>
      </c>
      <c r="U47" s="1"/>
      <c r="V47" s="1">
        <v>1</v>
      </c>
      <c r="W47" s="27"/>
    </row>
    <row r="48" spans="1:23" s="44" customFormat="1" ht="53.25" customHeight="1" x14ac:dyDescent="0.35">
      <c r="A48" s="29">
        <v>38</v>
      </c>
      <c r="B48" s="50" t="s">
        <v>87</v>
      </c>
      <c r="C48" s="50" t="s">
        <v>88</v>
      </c>
      <c r="D48" s="49" t="s">
        <v>89</v>
      </c>
      <c r="E48" s="50" t="s">
        <v>9</v>
      </c>
      <c r="F48" s="50">
        <v>5</v>
      </c>
      <c r="G48" s="51" t="s">
        <v>10</v>
      </c>
      <c r="H48" s="48"/>
      <c r="I48" s="15">
        <f>'_2023_VB_ar_ izmaiņām_MK'!S48</f>
        <v>79</v>
      </c>
      <c r="J48" s="15">
        <f>'_2023_VB_ar_ izmaiņām_MK'!T48</f>
        <v>79</v>
      </c>
      <c r="K48" s="53">
        <f>ROUND('_2023_VB_ar_ izmaiņām_MK'!K48*1.025,0)</f>
        <v>3</v>
      </c>
      <c r="L48" s="54">
        <f t="shared" si="15"/>
        <v>3</v>
      </c>
      <c r="M48" s="12">
        <f t="shared" si="20"/>
        <v>115</v>
      </c>
      <c r="N48" s="12">
        <f t="shared" si="20"/>
        <v>115</v>
      </c>
      <c r="O48" s="11">
        <v>7</v>
      </c>
      <c r="P48" s="54">
        <f t="shared" si="17"/>
        <v>7</v>
      </c>
      <c r="Q48" s="33">
        <f>'_2023_VB_ar_ izmaiņām_MK'!Q48*1.025</f>
        <v>1366.8865014062496</v>
      </c>
      <c r="R48" s="4">
        <f t="shared" si="18"/>
        <v>9568.2055098437468</v>
      </c>
      <c r="S48" s="15">
        <f t="shared" si="21"/>
        <v>108</v>
      </c>
      <c r="T48" s="15">
        <f t="shared" si="21"/>
        <v>108</v>
      </c>
      <c r="U48" s="1"/>
      <c r="V48" s="1">
        <v>1</v>
      </c>
      <c r="W48" s="27"/>
    </row>
    <row r="49" spans="1:23" s="44" customFormat="1" ht="23" x14ac:dyDescent="0.35">
      <c r="A49" s="50">
        <v>39</v>
      </c>
      <c r="B49" s="30" t="s">
        <v>87</v>
      </c>
      <c r="C49" s="30" t="s">
        <v>90</v>
      </c>
      <c r="D49" s="29" t="s">
        <v>113</v>
      </c>
      <c r="E49" s="30" t="s">
        <v>9</v>
      </c>
      <c r="F49" s="30">
        <v>5</v>
      </c>
      <c r="G49" s="43" t="s">
        <v>10</v>
      </c>
      <c r="H49" s="48"/>
      <c r="I49" s="15">
        <f>'_2023_VB_ar_ izmaiņām_MK'!S49</f>
        <v>72</v>
      </c>
      <c r="J49" s="15">
        <f>'_2023_VB_ar_ izmaiņām_MK'!T49</f>
        <v>72</v>
      </c>
      <c r="K49" s="53">
        <f>ROUND('_2023_VB_ar_ izmaiņām_MK'!K49*1.025,0)</f>
        <v>2</v>
      </c>
      <c r="L49" s="54">
        <f t="shared" si="15"/>
        <v>2</v>
      </c>
      <c r="M49" s="12">
        <f t="shared" si="20"/>
        <v>96</v>
      </c>
      <c r="N49" s="12">
        <f t="shared" si="20"/>
        <v>96</v>
      </c>
      <c r="O49" s="104">
        <v>0</v>
      </c>
      <c r="P49" s="54">
        <f t="shared" si="17"/>
        <v>0</v>
      </c>
      <c r="Q49" s="33">
        <f>'_2023_VB_ar_ izmaiņām_MK'!Q49*1.025</f>
        <v>215.37812499999993</v>
      </c>
      <c r="R49" s="4">
        <f t="shared" si="18"/>
        <v>0</v>
      </c>
      <c r="S49" s="15">
        <f t="shared" si="21"/>
        <v>96</v>
      </c>
      <c r="T49" s="15">
        <f t="shared" si="21"/>
        <v>96</v>
      </c>
      <c r="U49" s="1"/>
      <c r="V49" s="1">
        <v>1</v>
      </c>
      <c r="W49" s="27" t="s">
        <v>109</v>
      </c>
    </row>
    <row r="50" spans="1:23" s="44" customFormat="1" ht="20.25" customHeight="1" x14ac:dyDescent="0.35">
      <c r="A50" s="39"/>
      <c r="B50" s="40"/>
      <c r="C50" s="41">
        <v>27</v>
      </c>
      <c r="D50" s="188" t="s">
        <v>91</v>
      </c>
      <c r="E50" s="188"/>
      <c r="F50" s="188"/>
      <c r="G50" s="188"/>
      <c r="H50" s="63"/>
      <c r="I50" s="9">
        <f>'_2023_VB_ar_ izmaiņām_MK'!S50</f>
        <v>16</v>
      </c>
      <c r="J50" s="9">
        <f>'_2023_VB_ar_ izmaiņām_MK'!T50</f>
        <v>16</v>
      </c>
      <c r="K50" s="9">
        <f t="shared" ref="K50:P50" si="22">K51+K52</f>
        <v>10</v>
      </c>
      <c r="L50" s="9">
        <f t="shared" si="22"/>
        <v>10</v>
      </c>
      <c r="M50" s="9">
        <f t="shared" si="22"/>
        <v>136</v>
      </c>
      <c r="N50" s="9">
        <f t="shared" si="22"/>
        <v>136</v>
      </c>
      <c r="O50" s="9">
        <f t="shared" si="22"/>
        <v>115</v>
      </c>
      <c r="P50" s="9">
        <f t="shared" si="22"/>
        <v>115</v>
      </c>
      <c r="Q50" s="9" t="str">
        <f>'_2021_VB_bez izmaiņām'!Q50</f>
        <v>x</v>
      </c>
      <c r="R50" s="3">
        <f t="shared" ref="R50" si="23">R51+R52</f>
        <v>7712.6798873437492</v>
      </c>
      <c r="S50" s="9">
        <f>S51+S52</f>
        <v>21</v>
      </c>
      <c r="T50" s="9">
        <f>T51+T52</f>
        <v>21</v>
      </c>
      <c r="U50" s="7"/>
      <c r="V50" s="7">
        <v>1</v>
      </c>
      <c r="W50" s="27"/>
    </row>
    <row r="51" spans="1:23" s="44" customFormat="1" ht="28" x14ac:dyDescent="0.35">
      <c r="A51" s="31">
        <v>40</v>
      </c>
      <c r="B51" s="32" t="s">
        <v>6</v>
      </c>
      <c r="C51" s="32" t="s">
        <v>92</v>
      </c>
      <c r="D51" s="31" t="s">
        <v>93</v>
      </c>
      <c r="E51" s="32" t="s">
        <v>9</v>
      </c>
      <c r="F51" s="32">
        <v>3</v>
      </c>
      <c r="G51" s="42" t="s">
        <v>10</v>
      </c>
      <c r="H51" s="47"/>
      <c r="I51" s="15">
        <f>'_2023_VB_ar_ izmaiņām_MK'!S51</f>
        <v>0</v>
      </c>
      <c r="J51" s="15">
        <f>'_2023_VB_ar_ izmaiņām_MK'!T51</f>
        <v>0</v>
      </c>
      <c r="K51" s="53">
        <f>ROUND('_2023_VB_ar_ izmaiņām_MK'!K51*1.025,0)</f>
        <v>8</v>
      </c>
      <c r="L51" s="54">
        <f t="shared" ref="L51:L52" si="24">IF(I51=0,K51,K51*(J51/I51))</f>
        <v>8</v>
      </c>
      <c r="M51" s="12">
        <f t="shared" ref="M51:N52" si="25">I51+(K51*12)</f>
        <v>96</v>
      </c>
      <c r="N51" s="12">
        <f t="shared" si="25"/>
        <v>96</v>
      </c>
      <c r="O51" s="11">
        <v>96</v>
      </c>
      <c r="P51" s="54">
        <f t="shared" ref="P51:P52" si="26">IF(I51=0,O51,O51*(J51/I51))</f>
        <v>96</v>
      </c>
      <c r="Q51" s="33">
        <f>'_2023_VB_ar_ izmaiņām_MK'!Q51*1.025</f>
        <v>37.788092031249995</v>
      </c>
      <c r="R51" s="4">
        <f t="shared" ref="R51:R52" si="27">Q51*P51</f>
        <v>3627.6568349999998</v>
      </c>
      <c r="S51" s="15">
        <f t="shared" ref="S51:T52" si="28">M51-O51</f>
        <v>0</v>
      </c>
      <c r="T51" s="15">
        <f t="shared" si="28"/>
        <v>0</v>
      </c>
      <c r="U51" s="1"/>
      <c r="V51" s="1">
        <v>1</v>
      </c>
      <c r="W51" s="27"/>
    </row>
    <row r="52" spans="1:23" s="44" customFormat="1" x14ac:dyDescent="0.35">
      <c r="A52" s="31">
        <v>41</v>
      </c>
      <c r="B52" s="32" t="s">
        <v>6</v>
      </c>
      <c r="C52" s="32" t="s">
        <v>94</v>
      </c>
      <c r="D52" s="31" t="s">
        <v>95</v>
      </c>
      <c r="E52" s="32" t="s">
        <v>9</v>
      </c>
      <c r="F52" s="32">
        <v>5</v>
      </c>
      <c r="G52" s="42" t="s">
        <v>10</v>
      </c>
      <c r="H52" s="47"/>
      <c r="I52" s="15">
        <f>'_2023_VB_ar_ izmaiņām_MK'!S52</f>
        <v>16</v>
      </c>
      <c r="J52" s="15">
        <f>'_2023_VB_ar_ izmaiņām_MK'!T52</f>
        <v>16</v>
      </c>
      <c r="K52" s="53">
        <f>ROUND('_2023_VB_ar_ izmaiņām_MK'!K52*1.025,0)</f>
        <v>2</v>
      </c>
      <c r="L52" s="54">
        <f t="shared" si="24"/>
        <v>2</v>
      </c>
      <c r="M52" s="12">
        <f t="shared" si="25"/>
        <v>40</v>
      </c>
      <c r="N52" s="12">
        <f t="shared" si="25"/>
        <v>40</v>
      </c>
      <c r="O52" s="11">
        <v>19</v>
      </c>
      <c r="P52" s="54">
        <f t="shared" si="26"/>
        <v>19</v>
      </c>
      <c r="Q52" s="33">
        <f>'_2023_VB_ar_ izmaiņām_MK'!Q52*1.025</f>
        <v>215.00121328124996</v>
      </c>
      <c r="R52" s="4">
        <f t="shared" si="27"/>
        <v>4085.0230523437494</v>
      </c>
      <c r="S52" s="15">
        <f t="shared" si="28"/>
        <v>21</v>
      </c>
      <c r="T52" s="15">
        <f t="shared" si="28"/>
        <v>21</v>
      </c>
      <c r="U52" s="1"/>
      <c r="V52" s="1">
        <v>1</v>
      </c>
      <c r="W52" s="27"/>
    </row>
    <row r="53" spans="1:23" x14ac:dyDescent="0.35">
      <c r="H53" s="46"/>
      <c r="I53" s="106">
        <f>ROUND(I8+I13+I15+I18+I21+I50,0)</f>
        <v>11758</v>
      </c>
      <c r="J53" s="17">
        <f>ROUND(J8+J13+J15+J18+J21+J50,0)</f>
        <v>16533</v>
      </c>
      <c r="K53" s="17">
        <f t="shared" ref="K53:P53" si="29">ROUND(K8+K13+K15+K18+K21+K50,0)</f>
        <v>739</v>
      </c>
      <c r="L53" s="17">
        <f t="shared" si="29"/>
        <v>946</v>
      </c>
      <c r="M53" s="17">
        <f t="shared" si="29"/>
        <v>20626</v>
      </c>
      <c r="N53" s="17">
        <f t="shared" si="29"/>
        <v>27891</v>
      </c>
      <c r="O53" s="106">
        <f>ROUND(O8+O13+O15+O18+O21+O50,0)</f>
        <v>5634</v>
      </c>
      <c r="P53" s="17">
        <f t="shared" si="29"/>
        <v>7094</v>
      </c>
      <c r="Q53" s="21" t="s">
        <v>119</v>
      </c>
      <c r="R53" s="17">
        <f>ROUND(R8+R13+R15+R18+R21+R50,0)</f>
        <v>1844850</v>
      </c>
      <c r="S53" s="106">
        <f>ROUND(S8+S13+S15+S18+S21+S50,0)</f>
        <v>14992</v>
      </c>
      <c r="T53" s="17">
        <f t="shared" ref="T53" si="30">ROUND(T8+T13+T15+T18+T21+T50,0)</f>
        <v>20797</v>
      </c>
    </row>
    <row r="54" spans="1:23" x14ac:dyDescent="0.35">
      <c r="H54" s="46"/>
      <c r="I54" s="18">
        <f>ROUND(I27+I28+I29+I30+I38+I39+I40+I41+I45+I46,0)</f>
        <v>8590</v>
      </c>
      <c r="J54" s="18">
        <f t="shared" ref="J54:T54" si="31">ROUND(J27+J28+J29+J30+J38+J39+J40+J41+J45+J46,0)</f>
        <v>13365</v>
      </c>
      <c r="K54" s="18">
        <f t="shared" si="31"/>
        <v>411</v>
      </c>
      <c r="L54" s="18">
        <f t="shared" si="31"/>
        <v>618</v>
      </c>
      <c r="M54" s="18">
        <f t="shared" si="31"/>
        <v>13522</v>
      </c>
      <c r="N54" s="18">
        <f t="shared" si="31"/>
        <v>20787</v>
      </c>
      <c r="O54" s="18">
        <f t="shared" si="31"/>
        <v>2949</v>
      </c>
      <c r="P54" s="18">
        <f t="shared" si="31"/>
        <v>4409</v>
      </c>
      <c r="Q54" s="18"/>
      <c r="R54" s="18">
        <f t="shared" si="31"/>
        <v>1166981</v>
      </c>
      <c r="S54" s="18">
        <f t="shared" si="31"/>
        <v>10573</v>
      </c>
      <c r="T54" s="18">
        <f t="shared" si="31"/>
        <v>16378</v>
      </c>
    </row>
    <row r="55" spans="1:23" x14ac:dyDescent="0.35">
      <c r="H55" s="46"/>
      <c r="I55" s="46"/>
      <c r="J55" s="46"/>
      <c r="K55" s="46"/>
      <c r="O55" s="46"/>
      <c r="P55" s="184" t="s">
        <v>231</v>
      </c>
      <c r="Q55" s="185" t="s">
        <v>130</v>
      </c>
      <c r="R55" s="18">
        <v>1166981</v>
      </c>
    </row>
    <row r="56" spans="1:23" x14ac:dyDescent="0.35">
      <c r="H56" s="46"/>
      <c r="I56" s="46"/>
      <c r="J56" s="46"/>
      <c r="K56" s="46"/>
      <c r="O56" s="46"/>
      <c r="P56" s="184" t="s">
        <v>131</v>
      </c>
      <c r="Q56" s="185" t="s">
        <v>131</v>
      </c>
      <c r="R56" s="18">
        <f>R54-R55</f>
        <v>0</v>
      </c>
    </row>
    <row r="57" spans="1:23" x14ac:dyDescent="0.35">
      <c r="H57" s="46"/>
      <c r="I57" s="46"/>
      <c r="J57" s="46"/>
      <c r="K57" s="46"/>
      <c r="O57" s="46"/>
      <c r="Q57" s="65"/>
    </row>
    <row r="58" spans="1:23" s="44" customFormat="1" x14ac:dyDescent="0.35">
      <c r="B58" s="45"/>
      <c r="C58" s="45"/>
      <c r="E58" s="45"/>
      <c r="F58" s="45"/>
      <c r="G58" s="46"/>
      <c r="H58" s="46"/>
      <c r="I58" s="18">
        <f>ROUND(I9+I10+I11+I12+I14+I16+I17+I19+I20+I22+I23+I24+I25+I26+I31+I32+I33+I34+I35+I36+I42+I43+I44+I47+I49+I51+I52+I48+I37,0)</f>
        <v>3168</v>
      </c>
      <c r="J58" s="18">
        <f t="shared" ref="J58:P58" si="32">ROUND(J9+J10+J11+J12+J14+J16+J17+J19+J20+J22+J23+J24+J25+J26+J31+J32+J33+J34+J35+J36+J42+J43+J44+J47+J49+J51+J52+J48+J37,0)</f>
        <v>3168</v>
      </c>
      <c r="K58" s="18">
        <f t="shared" si="32"/>
        <v>328</v>
      </c>
      <c r="L58" s="18">
        <f t="shared" si="32"/>
        <v>328</v>
      </c>
      <c r="M58" s="18">
        <f t="shared" si="32"/>
        <v>7104</v>
      </c>
      <c r="N58" s="18">
        <f t="shared" si="32"/>
        <v>7104</v>
      </c>
      <c r="O58" s="18">
        <f t="shared" si="32"/>
        <v>2685</v>
      </c>
      <c r="P58" s="18">
        <f t="shared" si="32"/>
        <v>2685</v>
      </c>
      <c r="Q58" s="18"/>
      <c r="R58" s="18">
        <f>ROUND(R9+R10+R11+R12+R14+R16+R17+R19+R20+R22+R23+R24+R25+R26+R31+R32+R33+R34+R35+R36+R42+R43+R44+R47+R49+R51+R52+R48+R37,0)</f>
        <v>677869</v>
      </c>
      <c r="S58" s="18">
        <f t="shared" ref="S58:T58" si="33">ROUND(S9+S10+S11+S12+S14+S16+S17+S19+S20+S22+S23+S24+S25+S26+S31+S32+S33+S34+S35+S36+S42+S43+S44+S47+S49+S51+S52+S48+S37,0)</f>
        <v>4419</v>
      </c>
      <c r="T58" s="18">
        <f t="shared" si="33"/>
        <v>4419</v>
      </c>
      <c r="U58" s="18"/>
      <c r="V58" s="18"/>
      <c r="W58" s="18"/>
    </row>
    <row r="59" spans="1:23"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3" s="44" customFormat="1" x14ac:dyDescent="0.35">
      <c r="B60" s="45"/>
      <c r="C60" s="45"/>
      <c r="E60" s="45"/>
      <c r="F60" s="45"/>
      <c r="G60" s="46"/>
      <c r="H60" s="46"/>
      <c r="I60" s="46"/>
      <c r="J60" s="46"/>
      <c r="K60" s="46"/>
      <c r="L60" s="46"/>
      <c r="M60" s="46"/>
      <c r="N60" s="46"/>
      <c r="O60" s="46"/>
      <c r="P60" s="184" t="s">
        <v>132</v>
      </c>
      <c r="Q60" s="185" t="s">
        <v>131</v>
      </c>
      <c r="R60" s="18">
        <f>R58-R59</f>
        <v>0</v>
      </c>
      <c r="S60" s="46"/>
      <c r="T60" s="46"/>
      <c r="U60" s="8"/>
      <c r="V60" s="8"/>
      <c r="W60" s="27"/>
    </row>
    <row r="61" spans="1:23" x14ac:dyDescent="0.35">
      <c r="H61" s="46"/>
      <c r="I61" s="46"/>
      <c r="J61" s="46"/>
      <c r="K61" s="46"/>
      <c r="O61" s="46"/>
      <c r="Q61" s="65"/>
    </row>
    <row r="62" spans="1:23" x14ac:dyDescent="0.35">
      <c r="H62" s="46"/>
      <c r="I62" s="46"/>
      <c r="J62" s="46"/>
      <c r="K62" s="46"/>
      <c r="O62" s="46"/>
      <c r="Q62" s="65" t="s">
        <v>233</v>
      </c>
      <c r="R62" s="18">
        <f>R55+R59</f>
        <v>1844850</v>
      </c>
    </row>
    <row r="63" spans="1:23" ht="18" x14ac:dyDescent="0.35">
      <c r="H63" s="46"/>
      <c r="I63" s="46"/>
      <c r="J63" s="46"/>
      <c r="K63" s="46"/>
      <c r="O63" s="66"/>
      <c r="P63" s="66"/>
      <c r="Q63" s="67" t="s">
        <v>245</v>
      </c>
      <c r="R63" s="77">
        <f>R53-R62</f>
        <v>0</v>
      </c>
    </row>
    <row r="64" spans="1:23" x14ac:dyDescent="0.35">
      <c r="H64" s="46"/>
      <c r="I64" s="46"/>
      <c r="J64" s="46"/>
      <c r="K64" s="46"/>
      <c r="O64" s="46"/>
      <c r="Q64" s="65"/>
      <c r="R64" s="18">
        <f>R53-R55-R59-R60-R56</f>
        <v>0</v>
      </c>
    </row>
    <row r="65" spans="8:20" x14ac:dyDescent="0.35">
      <c r="H65" s="46"/>
      <c r="I65" s="18">
        <f>I53-I54-I58</f>
        <v>0</v>
      </c>
      <c r="J65" s="18">
        <f t="shared" ref="J65:P65" si="34">J53-J54-J58</f>
        <v>0</v>
      </c>
      <c r="K65" s="18">
        <f t="shared" si="34"/>
        <v>0</v>
      </c>
      <c r="L65" s="18">
        <f t="shared" si="34"/>
        <v>0</v>
      </c>
      <c r="M65" s="18">
        <f t="shared" si="34"/>
        <v>0</v>
      </c>
      <c r="N65" s="18">
        <f t="shared" si="34"/>
        <v>0</v>
      </c>
      <c r="O65" s="18">
        <f t="shared" si="34"/>
        <v>0</v>
      </c>
      <c r="P65" s="18">
        <f t="shared" si="34"/>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35">ROUND(J54,0)+ ROUND(J58,0)-ROUND(J53,0)</f>
        <v>0</v>
      </c>
      <c r="K67" s="18">
        <f t="shared" si="35"/>
        <v>0</v>
      </c>
      <c r="L67" s="18">
        <f t="shared" si="35"/>
        <v>0</v>
      </c>
      <c r="M67" s="18">
        <f t="shared" si="35"/>
        <v>0</v>
      </c>
      <c r="N67" s="18">
        <f t="shared" si="35"/>
        <v>0</v>
      </c>
      <c r="O67" s="18">
        <f t="shared" si="35"/>
        <v>0</v>
      </c>
      <c r="P67" s="18">
        <f t="shared" si="35"/>
        <v>0</v>
      </c>
      <c r="Q67" s="18"/>
      <c r="R67" s="18">
        <f t="shared" si="35"/>
        <v>0</v>
      </c>
      <c r="S67" s="18">
        <f t="shared" si="35"/>
        <v>0</v>
      </c>
      <c r="T67" s="18">
        <f t="shared" si="35"/>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W52" xr:uid="{7C37CABB-E10E-4EE9-BACF-F0E0C32B851A}"/>
  <mergeCells count="22">
    <mergeCell ref="P60:Q60"/>
    <mergeCell ref="R5:R6"/>
    <mergeCell ref="S5:T5"/>
    <mergeCell ref="D8:G8"/>
    <mergeCell ref="D13:G13"/>
    <mergeCell ref="D15:G15"/>
    <mergeCell ref="D18:G18"/>
    <mergeCell ref="D21:G21"/>
    <mergeCell ref="D50:G50"/>
    <mergeCell ref="P55:Q55"/>
    <mergeCell ref="P56:Q56"/>
    <mergeCell ref="P59:Q59"/>
    <mergeCell ref="A1:T1"/>
    <mergeCell ref="A2:T2"/>
    <mergeCell ref="A3:T3"/>
    <mergeCell ref="I4:R4"/>
    <mergeCell ref="A5:G5"/>
    <mergeCell ref="I5:J5"/>
    <mergeCell ref="K5:L5"/>
    <mergeCell ref="M5:N5"/>
    <mergeCell ref="O5:P5"/>
    <mergeCell ref="Q5:Q6"/>
  </mergeCells>
  <pageMargins left="0.51181102362204722" right="0.31496062992125984" top="0.94488188976377963" bottom="0.59055118110236227"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58D4-E012-4516-BEAC-93C2655D1D05}">
  <sheetPr>
    <tabColor theme="0" tint="-0.34998626667073579"/>
  </sheetPr>
  <dimension ref="A1:Z70"/>
  <sheetViews>
    <sheetView zoomScale="70" zoomScaleNormal="70" workbookViewId="0">
      <pane ySplit="7" topLeftCell="A8" activePane="bottomLeft" state="frozen"/>
      <selection activeCell="D1" sqref="D1"/>
      <selection pane="bottomLeft" activeCell="X65" sqref="X65"/>
    </sheetView>
  </sheetViews>
  <sheetFormatPr defaultColWidth="9.08984375" defaultRowHeight="14" x14ac:dyDescent="0.35"/>
  <cols>
    <col min="1" max="1" width="4" style="44" customWidth="1"/>
    <col min="2" max="2" width="13" style="45" customWidth="1"/>
    <col min="3" max="3" width="11.6328125" style="45" customWidth="1"/>
    <col min="4" max="4" width="31.08984375" style="44" customWidth="1"/>
    <col min="5" max="5" width="12.08984375" style="45" customWidth="1"/>
    <col min="6" max="6" width="8.90625" style="45" customWidth="1"/>
    <col min="7" max="7" width="33.90625" style="46" customWidth="1"/>
    <col min="8" max="8" width="2.08984375" style="75" customWidth="1"/>
    <col min="9" max="11" width="9.08984375" style="75" customWidth="1"/>
    <col min="12" max="14" width="9.08984375" style="46" customWidth="1"/>
    <col min="15" max="15" width="9.08984375" style="75" customWidth="1"/>
    <col min="16" max="16" width="9.08984375" style="46" customWidth="1"/>
    <col min="17" max="17" width="9.08984375" style="76" customWidth="1"/>
    <col min="18" max="18" width="14.6328125" style="46" customWidth="1"/>
    <col min="19" max="20" width="9.08984375" style="46" customWidth="1"/>
    <col min="21" max="22" width="5.453125" style="8" hidden="1" customWidth="1"/>
    <col min="23" max="23" width="50" style="27" hidden="1" customWidth="1"/>
    <col min="24" max="24" width="20.08984375" style="72" customWidth="1"/>
    <col min="25" max="27" width="9.08984375" style="72" customWidth="1"/>
    <col min="28" max="16384" width="9.08984375" style="72"/>
  </cols>
  <sheetData>
    <row r="1" spans="1:26" s="44" customFormat="1" x14ac:dyDescent="0.35">
      <c r="A1" s="189" t="s">
        <v>207</v>
      </c>
      <c r="B1" s="189"/>
      <c r="C1" s="189"/>
      <c r="D1" s="189"/>
      <c r="E1" s="189"/>
      <c r="F1" s="189"/>
      <c r="G1" s="189"/>
      <c r="H1" s="189"/>
      <c r="I1" s="189"/>
      <c r="J1" s="189"/>
      <c r="K1" s="189"/>
      <c r="L1" s="189"/>
      <c r="M1" s="189"/>
      <c r="N1" s="189"/>
      <c r="O1" s="189"/>
      <c r="P1" s="189"/>
      <c r="Q1" s="189"/>
      <c r="R1" s="189"/>
      <c r="S1" s="189"/>
      <c r="T1" s="189"/>
      <c r="U1" s="8"/>
      <c r="V1" s="8"/>
      <c r="W1" s="27"/>
    </row>
    <row r="2" spans="1:26" s="44" customFormat="1" x14ac:dyDescent="0.35">
      <c r="A2" s="190" t="s">
        <v>187</v>
      </c>
      <c r="B2" s="190"/>
      <c r="C2" s="190"/>
      <c r="D2" s="190"/>
      <c r="E2" s="190"/>
      <c r="F2" s="190"/>
      <c r="G2" s="190"/>
      <c r="H2" s="190"/>
      <c r="I2" s="190"/>
      <c r="J2" s="190"/>
      <c r="K2" s="190"/>
      <c r="L2" s="190"/>
      <c r="M2" s="190"/>
      <c r="N2" s="190"/>
      <c r="O2" s="190"/>
      <c r="P2" s="190"/>
      <c r="Q2" s="190"/>
      <c r="R2" s="190"/>
      <c r="S2" s="190"/>
      <c r="T2" s="190"/>
      <c r="U2" s="8"/>
      <c r="V2" s="8"/>
      <c r="W2" s="27"/>
    </row>
    <row r="3" spans="1:26" s="44" customFormat="1" ht="75" customHeight="1" x14ac:dyDescent="0.35">
      <c r="A3" s="191" t="s">
        <v>195</v>
      </c>
      <c r="B3" s="191"/>
      <c r="C3" s="191"/>
      <c r="D3" s="191"/>
      <c r="E3" s="191"/>
      <c r="F3" s="191"/>
      <c r="G3" s="191"/>
      <c r="H3" s="191"/>
      <c r="I3" s="191"/>
      <c r="J3" s="191"/>
      <c r="K3" s="191"/>
      <c r="L3" s="191"/>
      <c r="M3" s="191"/>
      <c r="N3" s="191"/>
      <c r="O3" s="191"/>
      <c r="P3" s="191"/>
      <c r="Q3" s="191"/>
      <c r="R3" s="191"/>
      <c r="S3" s="191"/>
      <c r="T3" s="191"/>
      <c r="U3" s="8"/>
      <c r="V3" s="8"/>
      <c r="W3" s="55"/>
      <c r="Y3" s="56"/>
      <c r="Z3" s="57"/>
    </row>
    <row r="4" spans="1:26" s="34" customFormat="1" ht="17.5" x14ac:dyDescent="0.35">
      <c r="B4" s="35"/>
      <c r="C4" s="35"/>
      <c r="E4" s="35"/>
      <c r="F4" s="35"/>
      <c r="G4" s="36"/>
      <c r="H4" s="36"/>
      <c r="I4" s="192" t="s">
        <v>178</v>
      </c>
      <c r="J4" s="193"/>
      <c r="K4" s="193"/>
      <c r="L4" s="193"/>
      <c r="M4" s="193"/>
      <c r="N4" s="193"/>
      <c r="O4" s="193"/>
      <c r="P4" s="193"/>
      <c r="Q4" s="194"/>
      <c r="R4" s="195"/>
      <c r="S4" s="36"/>
      <c r="T4" s="58"/>
      <c r="U4" s="25"/>
      <c r="V4" s="25"/>
      <c r="W4" s="59"/>
      <c r="Y4" s="61"/>
      <c r="Z4" s="68"/>
    </row>
    <row r="5" spans="1:26" s="44" customFormat="1" ht="27.75" customHeight="1" x14ac:dyDescent="0.35">
      <c r="A5" s="196" t="s">
        <v>100</v>
      </c>
      <c r="B5" s="196"/>
      <c r="C5" s="196"/>
      <c r="D5" s="196"/>
      <c r="E5" s="196"/>
      <c r="F5" s="196"/>
      <c r="G5" s="196"/>
      <c r="H5" s="6"/>
      <c r="I5" s="187" t="s">
        <v>125</v>
      </c>
      <c r="J5" s="187"/>
      <c r="K5" s="187" t="s">
        <v>241</v>
      </c>
      <c r="L5" s="187"/>
      <c r="M5" s="197" t="s">
        <v>137</v>
      </c>
      <c r="N5" s="197"/>
      <c r="O5" s="197" t="s">
        <v>242</v>
      </c>
      <c r="P5" s="197"/>
      <c r="Q5" s="198" t="s">
        <v>128</v>
      </c>
      <c r="R5" s="186" t="s">
        <v>138</v>
      </c>
      <c r="S5" s="187" t="s">
        <v>133</v>
      </c>
      <c r="T5" s="187"/>
      <c r="U5" s="6"/>
      <c r="V5" s="6"/>
      <c r="W5" s="55"/>
    </row>
    <row r="6" spans="1:26" s="44" customFormat="1" ht="150.75" customHeight="1" x14ac:dyDescent="0.25">
      <c r="A6" s="37" t="s">
        <v>96</v>
      </c>
      <c r="B6" s="2" t="s">
        <v>0</v>
      </c>
      <c r="C6" s="2" t="s">
        <v>101</v>
      </c>
      <c r="D6" s="37" t="s">
        <v>1</v>
      </c>
      <c r="E6" s="2" t="s">
        <v>2</v>
      </c>
      <c r="F6" s="2" t="s">
        <v>3</v>
      </c>
      <c r="G6" s="38" t="s">
        <v>4</v>
      </c>
      <c r="H6" s="62"/>
      <c r="I6" s="2" t="s">
        <v>206</v>
      </c>
      <c r="J6" s="2" t="s">
        <v>174</v>
      </c>
      <c r="K6" s="2" t="s">
        <v>139</v>
      </c>
      <c r="L6" s="2" t="s">
        <v>175</v>
      </c>
      <c r="M6" s="69" t="s">
        <v>117</v>
      </c>
      <c r="N6" s="69" t="s">
        <v>118</v>
      </c>
      <c r="O6" s="69" t="s">
        <v>123</v>
      </c>
      <c r="P6" s="69" t="s">
        <v>124</v>
      </c>
      <c r="Q6" s="198"/>
      <c r="R6" s="186"/>
      <c r="S6" s="2" t="s">
        <v>127</v>
      </c>
      <c r="T6" s="2" t="s">
        <v>129</v>
      </c>
      <c r="U6" s="1" t="s">
        <v>115</v>
      </c>
      <c r="V6" s="1" t="s">
        <v>116</v>
      </c>
      <c r="W6" s="28" t="s">
        <v>114</v>
      </c>
    </row>
    <row r="7" spans="1:26" s="8" customFormat="1" ht="12" customHeight="1" x14ac:dyDescent="0.25">
      <c r="A7" s="2">
        <v>1</v>
      </c>
      <c r="B7" s="2">
        <v>2</v>
      </c>
      <c r="C7" s="2">
        <v>3</v>
      </c>
      <c r="D7" s="2">
        <v>4</v>
      </c>
      <c r="E7" s="2">
        <v>5</v>
      </c>
      <c r="F7" s="2">
        <v>6</v>
      </c>
      <c r="G7" s="2">
        <v>7</v>
      </c>
      <c r="H7" s="62"/>
      <c r="I7" s="1">
        <v>8</v>
      </c>
      <c r="J7" s="1">
        <v>9</v>
      </c>
      <c r="K7" s="1">
        <v>10</v>
      </c>
      <c r="L7" s="1">
        <v>11</v>
      </c>
      <c r="M7" s="1">
        <v>12</v>
      </c>
      <c r="N7" s="1">
        <v>13</v>
      </c>
      <c r="O7" s="1">
        <v>14</v>
      </c>
      <c r="P7" s="1">
        <v>15</v>
      </c>
      <c r="Q7" s="23">
        <v>16</v>
      </c>
      <c r="R7" s="1">
        <v>17</v>
      </c>
      <c r="S7" s="2">
        <v>18</v>
      </c>
      <c r="T7" s="2">
        <v>19</v>
      </c>
      <c r="U7" s="1"/>
      <c r="V7" s="1"/>
      <c r="W7" s="28"/>
    </row>
    <row r="8" spans="1:26" s="44" customFormat="1" ht="18" customHeight="1" x14ac:dyDescent="0.35">
      <c r="A8" s="39"/>
      <c r="B8" s="40"/>
      <c r="C8" s="41">
        <v>4</v>
      </c>
      <c r="D8" s="188" t="s">
        <v>5</v>
      </c>
      <c r="E8" s="188"/>
      <c r="F8" s="188"/>
      <c r="G8" s="188"/>
      <c r="H8" s="63"/>
      <c r="I8" s="9">
        <f>I9+I10+I11+I12</f>
        <v>105</v>
      </c>
      <c r="J8" s="9">
        <f t="shared" ref="J8" si="0">J9+J10+J11+J12</f>
        <v>105</v>
      </c>
      <c r="K8" s="9">
        <f t="shared" ref="K8:P8" si="1">K9+K10+K11+K12</f>
        <v>63</v>
      </c>
      <c r="L8" s="9">
        <f t="shared" si="1"/>
        <v>63</v>
      </c>
      <c r="M8" s="9">
        <f t="shared" si="1"/>
        <v>861</v>
      </c>
      <c r="N8" s="9">
        <f t="shared" si="1"/>
        <v>861</v>
      </c>
      <c r="O8" s="9">
        <f t="shared" si="1"/>
        <v>768</v>
      </c>
      <c r="P8" s="9">
        <f t="shared" si="1"/>
        <v>768</v>
      </c>
      <c r="Q8" s="20" t="s">
        <v>119</v>
      </c>
      <c r="R8" s="3">
        <f t="shared" ref="R8" si="2">R9+R10+R11+R12</f>
        <v>51310.8</v>
      </c>
      <c r="S8" s="9">
        <f>S9+S10+S11+S12</f>
        <v>93</v>
      </c>
      <c r="T8" s="9">
        <f>T9+T10+T11+T12</f>
        <v>93</v>
      </c>
      <c r="U8" s="7"/>
      <c r="V8" s="7">
        <v>1</v>
      </c>
      <c r="W8" s="27"/>
    </row>
    <row r="9" spans="1:26" s="44" customFormat="1" ht="27.75" customHeight="1" x14ac:dyDescent="0.35">
      <c r="A9" s="31">
        <v>1</v>
      </c>
      <c r="B9" s="32" t="s">
        <v>6</v>
      </c>
      <c r="C9" s="32" t="s">
        <v>7</v>
      </c>
      <c r="D9" s="31" t="s">
        <v>8</v>
      </c>
      <c r="E9" s="32" t="s">
        <v>9</v>
      </c>
      <c r="F9" s="32" t="s">
        <v>97</v>
      </c>
      <c r="G9" s="42" t="s">
        <v>10</v>
      </c>
      <c r="H9" s="47"/>
      <c r="I9" s="10">
        <v>26</v>
      </c>
      <c r="J9" s="10">
        <v>26</v>
      </c>
      <c r="K9" s="11">
        <v>24</v>
      </c>
      <c r="L9" s="54">
        <f>IF(I9=0,K9,K9*(J9/I9))</f>
        <v>24</v>
      </c>
      <c r="M9" s="12">
        <f>I9+(K9*12)</f>
        <v>314</v>
      </c>
      <c r="N9" s="12">
        <f>J9+(L9*12)</f>
        <v>314</v>
      </c>
      <c r="O9" s="11">
        <v>278</v>
      </c>
      <c r="P9" s="54">
        <f>IF(I9=0,O9,O9*(J9/I9))</f>
        <v>278</v>
      </c>
      <c r="Q9" s="22">
        <v>84</v>
      </c>
      <c r="R9" s="4">
        <f>Q9*P9</f>
        <v>23352</v>
      </c>
      <c r="S9" s="15">
        <f>M9-O9</f>
        <v>36</v>
      </c>
      <c r="T9" s="15">
        <f>N9-P9</f>
        <v>36</v>
      </c>
      <c r="U9" s="1"/>
      <c r="V9" s="1">
        <v>1</v>
      </c>
      <c r="W9" s="27" t="s">
        <v>102</v>
      </c>
      <c r="X9" s="64"/>
    </row>
    <row r="10" spans="1:26" s="44" customFormat="1" ht="18" customHeight="1" x14ac:dyDescent="0.35">
      <c r="A10" s="31">
        <v>2</v>
      </c>
      <c r="B10" s="32" t="s">
        <v>6</v>
      </c>
      <c r="C10" s="32" t="s">
        <v>11</v>
      </c>
      <c r="D10" s="31" t="s">
        <v>12</v>
      </c>
      <c r="E10" s="32" t="s">
        <v>9</v>
      </c>
      <c r="F10" s="32">
        <v>5</v>
      </c>
      <c r="G10" s="42" t="s">
        <v>10</v>
      </c>
      <c r="H10" s="47"/>
      <c r="I10" s="10">
        <v>21</v>
      </c>
      <c r="J10" s="10">
        <v>21</v>
      </c>
      <c r="K10" s="11">
        <v>10</v>
      </c>
      <c r="L10" s="54">
        <f>IF(I10=0,K10,K10*(J10/I10))</f>
        <v>10</v>
      </c>
      <c r="M10" s="12">
        <f>I10+(K10*12)</f>
        <v>141</v>
      </c>
      <c r="N10" s="12">
        <f>J10+(L10*12)</f>
        <v>141</v>
      </c>
      <c r="O10" s="11">
        <v>132</v>
      </c>
      <c r="P10" s="54">
        <f>IF(I10=0,O10,O10*(J10/I10))</f>
        <v>132</v>
      </c>
      <c r="Q10" s="22">
        <v>84</v>
      </c>
      <c r="R10" s="4">
        <f t="shared" ref="R10:R12" si="3">Q10*P10</f>
        <v>11088</v>
      </c>
      <c r="S10" s="15">
        <f>M10-O10</f>
        <v>9</v>
      </c>
      <c r="T10" s="15">
        <f>N10-P10</f>
        <v>9</v>
      </c>
      <c r="U10" s="1"/>
      <c r="V10" s="1">
        <v>1</v>
      </c>
      <c r="W10" s="27"/>
    </row>
    <row r="11" spans="1:26" s="44" customFormat="1" ht="36" customHeight="1" x14ac:dyDescent="0.35">
      <c r="A11" s="31">
        <v>3</v>
      </c>
      <c r="B11" s="32" t="s">
        <v>13</v>
      </c>
      <c r="C11" s="32" t="s">
        <v>14</v>
      </c>
      <c r="D11" s="31" t="s">
        <v>15</v>
      </c>
      <c r="E11" s="32" t="s">
        <v>9</v>
      </c>
      <c r="F11" s="32">
        <v>2</v>
      </c>
      <c r="G11" s="42" t="s">
        <v>10</v>
      </c>
      <c r="H11" s="47"/>
      <c r="I11" s="10">
        <v>48</v>
      </c>
      <c r="J11" s="10">
        <v>48</v>
      </c>
      <c r="K11" s="11">
        <v>12</v>
      </c>
      <c r="L11" s="54">
        <f t="shared" ref="L11:L12" si="4">IF(I11=0,K11,K11*(J11/I11))</f>
        <v>12</v>
      </c>
      <c r="M11" s="12">
        <f t="shared" ref="M11:M12" si="5">I11+(K11*12)</f>
        <v>192</v>
      </c>
      <c r="N11" s="12">
        <f t="shared" ref="N11:N12" si="6">J11+(L11*12)</f>
        <v>192</v>
      </c>
      <c r="O11" s="11">
        <v>178</v>
      </c>
      <c r="P11" s="54">
        <f t="shared" ref="P11:P12" si="7">IF(I11=0,O11,O11*(J11/I11))</f>
        <v>178</v>
      </c>
      <c r="Q11" s="22">
        <v>33.6</v>
      </c>
      <c r="R11" s="4">
        <f t="shared" si="3"/>
        <v>5980.8</v>
      </c>
      <c r="S11" s="15">
        <f t="shared" ref="S11:S12" si="8">M11-O11</f>
        <v>14</v>
      </c>
      <c r="T11" s="15">
        <f t="shared" ref="T11:T12" si="9">N11-P11</f>
        <v>14</v>
      </c>
      <c r="U11" s="1"/>
      <c r="V11" s="1">
        <v>1</v>
      </c>
      <c r="W11" s="27"/>
    </row>
    <row r="12" spans="1:26" s="44" customFormat="1" ht="18" customHeight="1" x14ac:dyDescent="0.35">
      <c r="A12" s="31">
        <v>4</v>
      </c>
      <c r="B12" s="32" t="s">
        <v>16</v>
      </c>
      <c r="C12" s="32" t="s">
        <v>17</v>
      </c>
      <c r="D12" s="31" t="s">
        <v>18</v>
      </c>
      <c r="E12" s="32" t="s">
        <v>9</v>
      </c>
      <c r="F12" s="32">
        <v>5</v>
      </c>
      <c r="G12" s="42" t="s">
        <v>10</v>
      </c>
      <c r="H12" s="47"/>
      <c r="I12" s="10">
        <v>10</v>
      </c>
      <c r="J12" s="10">
        <v>10</v>
      </c>
      <c r="K12" s="11">
        <v>17</v>
      </c>
      <c r="L12" s="54">
        <f t="shared" si="4"/>
        <v>17</v>
      </c>
      <c r="M12" s="12">
        <f t="shared" si="5"/>
        <v>214</v>
      </c>
      <c r="N12" s="12">
        <f t="shared" si="6"/>
        <v>214</v>
      </c>
      <c r="O12" s="11">
        <v>180</v>
      </c>
      <c r="P12" s="54">
        <f t="shared" si="7"/>
        <v>180</v>
      </c>
      <c r="Q12" s="22">
        <v>60.5</v>
      </c>
      <c r="R12" s="4">
        <f t="shared" si="3"/>
        <v>10890</v>
      </c>
      <c r="S12" s="15">
        <f t="shared" si="8"/>
        <v>34</v>
      </c>
      <c r="T12" s="15">
        <f t="shared" si="9"/>
        <v>34</v>
      </c>
      <c r="U12" s="1"/>
      <c r="V12" s="1">
        <v>1</v>
      </c>
      <c r="W12" s="27"/>
    </row>
    <row r="13" spans="1:26" s="44" customFormat="1" ht="18" customHeight="1" x14ac:dyDescent="0.35">
      <c r="A13" s="39"/>
      <c r="B13" s="40"/>
      <c r="C13" s="41">
        <v>6</v>
      </c>
      <c r="D13" s="188" t="s">
        <v>19</v>
      </c>
      <c r="E13" s="188"/>
      <c r="F13" s="188"/>
      <c r="G13" s="188"/>
      <c r="H13" s="63"/>
      <c r="I13" s="13">
        <f>I14</f>
        <v>18</v>
      </c>
      <c r="J13" s="13">
        <f t="shared" ref="J13" si="10">J14</f>
        <v>18</v>
      </c>
      <c r="K13" s="13">
        <f t="shared" ref="K13:P13" si="11">K14</f>
        <v>44</v>
      </c>
      <c r="L13" s="13">
        <f t="shared" si="11"/>
        <v>44</v>
      </c>
      <c r="M13" s="13">
        <f t="shared" si="11"/>
        <v>546</v>
      </c>
      <c r="N13" s="13">
        <f t="shared" si="11"/>
        <v>546</v>
      </c>
      <c r="O13" s="13">
        <f t="shared" si="11"/>
        <v>502</v>
      </c>
      <c r="P13" s="13">
        <f t="shared" si="11"/>
        <v>502</v>
      </c>
      <c r="Q13" s="24" t="s">
        <v>119</v>
      </c>
      <c r="R13" s="5">
        <f t="shared" ref="R13" si="12">R14</f>
        <v>284689.64</v>
      </c>
      <c r="S13" s="13">
        <f>S14</f>
        <v>44</v>
      </c>
      <c r="T13" s="13">
        <f>T14</f>
        <v>44</v>
      </c>
      <c r="U13" s="7"/>
      <c r="V13" s="7">
        <v>1</v>
      </c>
      <c r="W13" s="27"/>
    </row>
    <row r="14" spans="1:26" s="34" customFormat="1" ht="34.5" customHeight="1" x14ac:dyDescent="0.35">
      <c r="A14" s="29">
        <v>5</v>
      </c>
      <c r="B14" s="30" t="s">
        <v>20</v>
      </c>
      <c r="C14" s="30" t="s">
        <v>21</v>
      </c>
      <c r="D14" s="29" t="s">
        <v>22</v>
      </c>
      <c r="E14" s="30" t="s">
        <v>9</v>
      </c>
      <c r="F14" s="30">
        <v>2</v>
      </c>
      <c r="G14" s="43" t="s">
        <v>23</v>
      </c>
      <c r="H14" s="48"/>
      <c r="I14" s="10">
        <v>18</v>
      </c>
      <c r="J14" s="10">
        <v>18</v>
      </c>
      <c r="K14" s="11">
        <v>44</v>
      </c>
      <c r="L14" s="54">
        <f>IF(I14=0,K14,K14*(J14/I14))</f>
        <v>44</v>
      </c>
      <c r="M14" s="12">
        <f>I14+(K14*12)</f>
        <v>546</v>
      </c>
      <c r="N14" s="12">
        <f>J14+(L14*12)</f>
        <v>546</v>
      </c>
      <c r="O14" s="11">
        <v>502</v>
      </c>
      <c r="P14" s="54">
        <f>IF(I14=0,O14,O14*(J14/I14))</f>
        <v>502</v>
      </c>
      <c r="Q14" s="22">
        <v>567.1</v>
      </c>
      <c r="R14" s="4">
        <f>Q14*P14+5.44</f>
        <v>284689.64</v>
      </c>
      <c r="S14" s="15">
        <f>M14-O14</f>
        <v>44</v>
      </c>
      <c r="T14" s="15">
        <f>N14-P14</f>
        <v>44</v>
      </c>
      <c r="U14" s="19"/>
      <c r="V14" s="19">
        <v>1</v>
      </c>
      <c r="W14" s="26"/>
    </row>
    <row r="15" spans="1:26" s="44" customFormat="1" ht="18" customHeight="1" x14ac:dyDescent="0.35">
      <c r="A15" s="39"/>
      <c r="B15" s="40"/>
      <c r="C15" s="41">
        <v>12</v>
      </c>
      <c r="D15" s="188" t="s">
        <v>24</v>
      </c>
      <c r="E15" s="188"/>
      <c r="F15" s="188"/>
      <c r="G15" s="188"/>
      <c r="H15" s="63"/>
      <c r="I15" s="9">
        <f>I16+I17</f>
        <v>15</v>
      </c>
      <c r="J15" s="9">
        <f t="shared" ref="J15" si="13">J16+J17</f>
        <v>15</v>
      </c>
      <c r="K15" s="9">
        <f t="shared" ref="K15:P15" si="14">K16+K17</f>
        <v>22</v>
      </c>
      <c r="L15" s="9">
        <f t="shared" si="14"/>
        <v>22</v>
      </c>
      <c r="M15" s="9">
        <f t="shared" si="14"/>
        <v>279</v>
      </c>
      <c r="N15" s="9">
        <f t="shared" si="14"/>
        <v>279</v>
      </c>
      <c r="O15" s="9">
        <f t="shared" si="14"/>
        <v>248</v>
      </c>
      <c r="P15" s="9">
        <f t="shared" si="14"/>
        <v>248</v>
      </c>
      <c r="Q15" s="20" t="s">
        <v>119</v>
      </c>
      <c r="R15" s="3">
        <f t="shared" ref="R15" si="15">R16+R17</f>
        <v>11893.599999999999</v>
      </c>
      <c r="S15" s="9">
        <f>S16+S17</f>
        <v>31</v>
      </c>
      <c r="T15" s="9">
        <f>T16+T17</f>
        <v>31</v>
      </c>
      <c r="U15" s="7"/>
      <c r="V15" s="7">
        <v>1</v>
      </c>
      <c r="W15" s="27"/>
    </row>
    <row r="16" spans="1:26" s="44" customFormat="1" ht="33.75" customHeight="1" x14ac:dyDescent="0.35">
      <c r="A16" s="31">
        <v>6</v>
      </c>
      <c r="B16" s="32" t="s">
        <v>25</v>
      </c>
      <c r="C16" s="32" t="s">
        <v>26</v>
      </c>
      <c r="D16" s="31" t="s">
        <v>27</v>
      </c>
      <c r="E16" s="32" t="s">
        <v>9</v>
      </c>
      <c r="F16" s="32" t="s">
        <v>104</v>
      </c>
      <c r="G16" s="42" t="s">
        <v>10</v>
      </c>
      <c r="H16" s="47"/>
      <c r="I16" s="10">
        <v>8</v>
      </c>
      <c r="J16" s="10">
        <v>8</v>
      </c>
      <c r="K16" s="11">
        <v>10</v>
      </c>
      <c r="L16" s="54">
        <f>IF(I16=0,K16,K16*(J16/I16))</f>
        <v>10</v>
      </c>
      <c r="M16" s="12">
        <f>I16+(K16*12)</f>
        <v>128</v>
      </c>
      <c r="N16" s="12">
        <f>J16+(L16*12)</f>
        <v>128</v>
      </c>
      <c r="O16" s="11">
        <v>118</v>
      </c>
      <c r="P16" s="54">
        <f>IF(I16=0,O16,O16*(J16/I16))</f>
        <v>118</v>
      </c>
      <c r="Q16" s="22">
        <v>35</v>
      </c>
      <c r="R16" s="4">
        <f>Q16*P16</f>
        <v>4130</v>
      </c>
      <c r="S16" s="15">
        <f>M16-O16</f>
        <v>10</v>
      </c>
      <c r="T16" s="15">
        <f>N16-P16</f>
        <v>10</v>
      </c>
      <c r="U16" s="1"/>
      <c r="V16" s="1">
        <v>1</v>
      </c>
      <c r="W16" s="27" t="s">
        <v>103</v>
      </c>
    </row>
    <row r="17" spans="1:23" s="44" customFormat="1" ht="24" customHeight="1" x14ac:dyDescent="0.35">
      <c r="A17" s="31">
        <v>7</v>
      </c>
      <c r="B17" s="32" t="s">
        <v>25</v>
      </c>
      <c r="C17" s="32" t="s">
        <v>26</v>
      </c>
      <c r="D17" s="31" t="s">
        <v>28</v>
      </c>
      <c r="E17" s="32" t="s">
        <v>9</v>
      </c>
      <c r="F17" s="32" t="s">
        <v>104</v>
      </c>
      <c r="G17" s="42" t="s">
        <v>10</v>
      </c>
      <c r="H17" s="47"/>
      <c r="I17" s="10">
        <v>7</v>
      </c>
      <c r="J17" s="10">
        <v>7</v>
      </c>
      <c r="K17" s="11">
        <v>12</v>
      </c>
      <c r="L17" s="54">
        <f>IF(I17=0,K17,K17*(J17/I17))</f>
        <v>12</v>
      </c>
      <c r="M17" s="12">
        <f>I17+(K17*12)</f>
        <v>151</v>
      </c>
      <c r="N17" s="12">
        <f>J17+(L17*12)</f>
        <v>151</v>
      </c>
      <c r="O17" s="11">
        <v>130</v>
      </c>
      <c r="P17" s="54">
        <f>IF(I17=0,O17,O17*(J17/I17))</f>
        <v>130</v>
      </c>
      <c r="Q17" s="22">
        <v>59.72</v>
      </c>
      <c r="R17" s="4">
        <f>Q17*P17</f>
        <v>7763.5999999999995</v>
      </c>
      <c r="S17" s="15">
        <f>M17-O17</f>
        <v>21</v>
      </c>
      <c r="T17" s="15">
        <f>N17-P17</f>
        <v>21</v>
      </c>
      <c r="U17" s="1"/>
      <c r="V17" s="1">
        <v>1</v>
      </c>
      <c r="W17" s="27" t="s">
        <v>103</v>
      </c>
    </row>
    <row r="18" spans="1:23" s="44" customFormat="1" ht="18" customHeight="1" x14ac:dyDescent="0.35">
      <c r="A18" s="39"/>
      <c r="B18" s="40"/>
      <c r="C18" s="41">
        <v>15</v>
      </c>
      <c r="D18" s="188" t="s">
        <v>29</v>
      </c>
      <c r="E18" s="188"/>
      <c r="F18" s="188"/>
      <c r="G18" s="188"/>
      <c r="H18" s="63"/>
      <c r="I18" s="9">
        <f>I19+I20</f>
        <v>16</v>
      </c>
      <c r="J18" s="9">
        <f t="shared" ref="J18" si="16">J19+J20</f>
        <v>16</v>
      </c>
      <c r="K18" s="9">
        <f t="shared" ref="K18:P18" si="17">K19+K20</f>
        <v>16</v>
      </c>
      <c r="L18" s="9">
        <f t="shared" si="17"/>
        <v>16</v>
      </c>
      <c r="M18" s="9">
        <f t="shared" si="17"/>
        <v>208</v>
      </c>
      <c r="N18" s="9">
        <f t="shared" si="17"/>
        <v>208</v>
      </c>
      <c r="O18" s="9">
        <f t="shared" si="17"/>
        <v>168</v>
      </c>
      <c r="P18" s="9">
        <f t="shared" si="17"/>
        <v>168</v>
      </c>
      <c r="Q18" s="20" t="s">
        <v>119</v>
      </c>
      <c r="R18" s="3">
        <f t="shared" ref="R18" si="18">R19+R20</f>
        <v>5778.9599999999991</v>
      </c>
      <c r="S18" s="9">
        <f>S19+S20</f>
        <v>40</v>
      </c>
      <c r="T18" s="9">
        <f>T19+T20</f>
        <v>40</v>
      </c>
      <c r="U18" s="7"/>
      <c r="V18" s="7">
        <v>1</v>
      </c>
      <c r="W18" s="27"/>
    </row>
    <row r="19" spans="1:23" s="44" customFormat="1" ht="18" customHeight="1" x14ac:dyDescent="0.35">
      <c r="A19" s="31">
        <v>8</v>
      </c>
      <c r="B19" s="32" t="s">
        <v>16</v>
      </c>
      <c r="C19" s="32" t="s">
        <v>30</v>
      </c>
      <c r="D19" s="31" t="s">
        <v>31</v>
      </c>
      <c r="E19" s="32" t="s">
        <v>9</v>
      </c>
      <c r="F19" s="32">
        <v>5</v>
      </c>
      <c r="G19" s="42" t="s">
        <v>10</v>
      </c>
      <c r="H19" s="47"/>
      <c r="I19" s="10">
        <v>5</v>
      </c>
      <c r="J19" s="10">
        <v>5</v>
      </c>
      <c r="K19" s="11">
        <v>10</v>
      </c>
      <c r="L19" s="54">
        <f>IF(I19=0,K19,K19*(J19/I19))</f>
        <v>10</v>
      </c>
      <c r="M19" s="12">
        <f>I19+(K19*12)</f>
        <v>125</v>
      </c>
      <c r="N19" s="12">
        <f>J19+(L19*12)</f>
        <v>125</v>
      </c>
      <c r="O19" s="11">
        <v>96</v>
      </c>
      <c r="P19" s="54">
        <f>IF(I19=0,O19,O19*(J19/I19))</f>
        <v>96</v>
      </c>
      <c r="Q19" s="22">
        <v>48.4</v>
      </c>
      <c r="R19" s="4">
        <f>Q19*P19</f>
        <v>4646.3999999999996</v>
      </c>
      <c r="S19" s="15">
        <f>M19-O19</f>
        <v>29</v>
      </c>
      <c r="T19" s="15">
        <f>N19-P19</f>
        <v>29</v>
      </c>
      <c r="U19" s="1"/>
      <c r="V19" s="1">
        <v>1</v>
      </c>
      <c r="W19" s="27"/>
    </row>
    <row r="20" spans="1:23" s="44" customFormat="1" ht="33" customHeight="1" x14ac:dyDescent="0.35">
      <c r="A20" s="31">
        <v>9</v>
      </c>
      <c r="B20" s="32" t="s">
        <v>6</v>
      </c>
      <c r="C20" s="32" t="s">
        <v>30</v>
      </c>
      <c r="D20" s="31" t="s">
        <v>32</v>
      </c>
      <c r="E20" s="32" t="s">
        <v>9</v>
      </c>
      <c r="F20" s="32">
        <v>2</v>
      </c>
      <c r="G20" s="42" t="s">
        <v>10</v>
      </c>
      <c r="H20" s="47"/>
      <c r="I20" s="10">
        <v>11</v>
      </c>
      <c r="J20" s="10">
        <v>11</v>
      </c>
      <c r="K20" s="11">
        <v>6</v>
      </c>
      <c r="L20" s="54">
        <f>IF(I20=0,K20,K20*(J20/I20))</f>
        <v>6</v>
      </c>
      <c r="M20" s="12">
        <f>I20+(K20*12)</f>
        <v>83</v>
      </c>
      <c r="N20" s="12">
        <f>J20+(L20*12)</f>
        <v>83</v>
      </c>
      <c r="O20" s="11">
        <v>72</v>
      </c>
      <c r="P20" s="54">
        <f>IF(I20=0,O20,O20*(J20/I20))</f>
        <v>72</v>
      </c>
      <c r="Q20" s="22">
        <v>15.73</v>
      </c>
      <c r="R20" s="4">
        <f>Q20*P20</f>
        <v>1132.56</v>
      </c>
      <c r="S20" s="15">
        <f>M20-O20</f>
        <v>11</v>
      </c>
      <c r="T20" s="15">
        <f>N20-P20</f>
        <v>11</v>
      </c>
      <c r="U20" s="1"/>
      <c r="V20" s="1">
        <v>1</v>
      </c>
      <c r="W20" s="27"/>
    </row>
    <row r="21" spans="1:23" ht="18" customHeight="1" x14ac:dyDescent="0.35">
      <c r="A21" s="39"/>
      <c r="B21" s="40"/>
      <c r="C21" s="41">
        <v>22</v>
      </c>
      <c r="D21" s="188" t="s">
        <v>33</v>
      </c>
      <c r="E21" s="188"/>
      <c r="F21" s="188"/>
      <c r="G21" s="188"/>
      <c r="H21" s="63"/>
      <c r="I21" s="9">
        <f t="shared" ref="I21:P21" si="19">SUM(I22:I49)</f>
        <v>3949</v>
      </c>
      <c r="J21" s="9">
        <f t="shared" si="19"/>
        <v>5940</v>
      </c>
      <c r="K21" s="9">
        <f t="shared" si="19"/>
        <v>496</v>
      </c>
      <c r="L21" s="9">
        <f t="shared" si="19"/>
        <v>688.11965262142166</v>
      </c>
      <c r="M21" s="9">
        <f t="shared" si="19"/>
        <v>9901</v>
      </c>
      <c r="N21" s="9">
        <f t="shared" si="19"/>
        <v>14197.43583145706</v>
      </c>
      <c r="O21" s="9">
        <f t="shared" si="19"/>
        <v>4487</v>
      </c>
      <c r="P21" s="9">
        <f t="shared" si="19"/>
        <v>5808.1428111933092</v>
      </c>
      <c r="Q21" s="20" t="s">
        <v>119</v>
      </c>
      <c r="R21" s="3">
        <f>SUM(R22:R49)</f>
        <v>1483463.9617819234</v>
      </c>
      <c r="S21" s="9">
        <f>SUM(S22:S49)</f>
        <v>5414</v>
      </c>
      <c r="T21" s="9">
        <f>SUM(T22:T49)</f>
        <v>8389.2930202637508</v>
      </c>
      <c r="U21" s="7">
        <v>1</v>
      </c>
      <c r="V21" s="7">
        <v>1</v>
      </c>
    </row>
    <row r="22" spans="1:23" s="44" customFormat="1" ht="17.25" customHeight="1" x14ac:dyDescent="0.35">
      <c r="A22" s="31">
        <v>10</v>
      </c>
      <c r="B22" s="32" t="s">
        <v>34</v>
      </c>
      <c r="C22" s="32" t="s">
        <v>35</v>
      </c>
      <c r="D22" s="31" t="s">
        <v>36</v>
      </c>
      <c r="E22" s="32" t="s">
        <v>9</v>
      </c>
      <c r="F22" s="32">
        <v>2</v>
      </c>
      <c r="G22" s="42" t="s">
        <v>37</v>
      </c>
      <c r="H22" s="47"/>
      <c r="I22" s="10">
        <v>36</v>
      </c>
      <c r="J22" s="10">
        <v>36</v>
      </c>
      <c r="K22" s="11">
        <v>9</v>
      </c>
      <c r="L22" s="54">
        <f>IF(I22=0,K22,K22*(J22/I22))</f>
        <v>9</v>
      </c>
      <c r="M22" s="12">
        <f>I22+(K22*12)</f>
        <v>144</v>
      </c>
      <c r="N22" s="12">
        <f>J22+(L22*12)</f>
        <v>144</v>
      </c>
      <c r="O22" s="11">
        <v>131</v>
      </c>
      <c r="P22" s="54">
        <f>IF(I22=0,O22,O22*(J22/I22))</f>
        <v>131</v>
      </c>
      <c r="Q22" s="22">
        <v>66.55</v>
      </c>
      <c r="R22" s="4">
        <f>Q22*P22</f>
        <v>8718.0499999999993</v>
      </c>
      <c r="S22" s="15">
        <f>M22-O22</f>
        <v>13</v>
      </c>
      <c r="T22" s="15">
        <f>N22-P22</f>
        <v>13</v>
      </c>
      <c r="U22" s="1"/>
      <c r="V22" s="1">
        <v>1</v>
      </c>
      <c r="W22" s="27"/>
    </row>
    <row r="23" spans="1:23" s="44" customFormat="1" ht="30.75" customHeight="1" x14ac:dyDescent="0.35">
      <c r="A23" s="31">
        <v>11</v>
      </c>
      <c r="B23" s="32" t="s">
        <v>34</v>
      </c>
      <c r="C23" s="32" t="s">
        <v>38</v>
      </c>
      <c r="D23" s="31" t="s">
        <v>39</v>
      </c>
      <c r="E23" s="32" t="s">
        <v>9</v>
      </c>
      <c r="F23" s="32" t="s">
        <v>98</v>
      </c>
      <c r="G23" s="42" t="s">
        <v>37</v>
      </c>
      <c r="H23" s="47"/>
      <c r="I23" s="10">
        <v>17</v>
      </c>
      <c r="J23" s="10">
        <v>17</v>
      </c>
      <c r="K23" s="11">
        <v>13</v>
      </c>
      <c r="L23" s="54">
        <f>IF(I23=0,K23,K23*(J23/I23))</f>
        <v>13</v>
      </c>
      <c r="M23" s="12">
        <f>I23+(K23*12)</f>
        <v>173</v>
      </c>
      <c r="N23" s="12">
        <f>J23+(L23*12)</f>
        <v>173</v>
      </c>
      <c r="O23" s="11">
        <v>158</v>
      </c>
      <c r="P23" s="54">
        <f>IF(I23=0,O23,O23*(J23/I23))</f>
        <v>158</v>
      </c>
      <c r="Q23" s="22">
        <v>54.78</v>
      </c>
      <c r="R23" s="4">
        <f>Q23*P23</f>
        <v>8655.24</v>
      </c>
      <c r="S23" s="15">
        <f>M23-O23</f>
        <v>15</v>
      </c>
      <c r="T23" s="15">
        <f>N23-P23</f>
        <v>15</v>
      </c>
      <c r="U23" s="1"/>
      <c r="V23" s="1">
        <v>1</v>
      </c>
      <c r="W23" s="27" t="s">
        <v>105</v>
      </c>
    </row>
    <row r="24" spans="1:23" s="44" customFormat="1" ht="36" customHeight="1" x14ac:dyDescent="0.35">
      <c r="A24" s="31">
        <v>12</v>
      </c>
      <c r="B24" s="32" t="s">
        <v>40</v>
      </c>
      <c r="C24" s="32" t="s">
        <v>41</v>
      </c>
      <c r="D24" s="31" t="s">
        <v>42</v>
      </c>
      <c r="E24" s="32" t="s">
        <v>9</v>
      </c>
      <c r="F24" s="32">
        <v>5</v>
      </c>
      <c r="G24" s="42" t="s">
        <v>43</v>
      </c>
      <c r="H24" s="47"/>
      <c r="I24" s="10">
        <v>1</v>
      </c>
      <c r="J24" s="10">
        <v>1</v>
      </c>
      <c r="K24" s="11">
        <v>5</v>
      </c>
      <c r="L24" s="54">
        <f t="shared" ref="L24:L35" si="20">IF(I24=0,K24,K24*(J24/I24))</f>
        <v>5</v>
      </c>
      <c r="M24" s="12">
        <f t="shared" ref="M24:M35" si="21">I24+(K24*12)</f>
        <v>61</v>
      </c>
      <c r="N24" s="12">
        <f t="shared" ref="N24:N35" si="22">J24+(L24*12)</f>
        <v>61</v>
      </c>
      <c r="O24" s="11">
        <v>47</v>
      </c>
      <c r="P24" s="54">
        <f t="shared" ref="P24:P35" si="23">IF(I24=0,O24,O24*(J24/I24))</f>
        <v>47</v>
      </c>
      <c r="Q24" s="22">
        <v>71.84</v>
      </c>
      <c r="R24" s="4">
        <f t="shared" ref="R24:R49" si="24">Q24*P24</f>
        <v>3376.48</v>
      </c>
      <c r="S24" s="15">
        <f t="shared" ref="S24:S35" si="25">M24-O24</f>
        <v>14</v>
      </c>
      <c r="T24" s="15">
        <f t="shared" ref="T24:T35" si="26">N24-P24</f>
        <v>14</v>
      </c>
      <c r="U24" s="1"/>
      <c r="V24" s="1">
        <v>1</v>
      </c>
      <c r="W24" s="27"/>
    </row>
    <row r="25" spans="1:23" s="44" customFormat="1" ht="24" customHeight="1" x14ac:dyDescent="0.35">
      <c r="A25" s="31">
        <v>13</v>
      </c>
      <c r="B25" s="32" t="s">
        <v>40</v>
      </c>
      <c r="C25" s="32" t="s">
        <v>41</v>
      </c>
      <c r="D25" s="31" t="s">
        <v>106</v>
      </c>
      <c r="E25" s="32" t="s">
        <v>9</v>
      </c>
      <c r="F25" s="32">
        <v>5</v>
      </c>
      <c r="G25" s="42" t="s">
        <v>43</v>
      </c>
      <c r="H25" s="47"/>
      <c r="I25" s="10">
        <v>0</v>
      </c>
      <c r="J25" s="10">
        <v>0</v>
      </c>
      <c r="K25" s="11">
        <v>2</v>
      </c>
      <c r="L25" s="54">
        <f t="shared" si="20"/>
        <v>2</v>
      </c>
      <c r="M25" s="12">
        <f t="shared" si="21"/>
        <v>24</v>
      </c>
      <c r="N25" s="12">
        <f t="shared" si="22"/>
        <v>24</v>
      </c>
      <c r="O25" s="11">
        <v>13</v>
      </c>
      <c r="P25" s="54">
        <f t="shared" si="23"/>
        <v>13</v>
      </c>
      <c r="Q25" s="22">
        <v>48.4</v>
      </c>
      <c r="R25" s="4">
        <f t="shared" si="24"/>
        <v>629.19999999999993</v>
      </c>
      <c r="S25" s="15">
        <f t="shared" si="25"/>
        <v>11</v>
      </c>
      <c r="T25" s="15">
        <f t="shared" si="26"/>
        <v>11</v>
      </c>
      <c r="U25" s="1"/>
      <c r="V25" s="1">
        <v>1</v>
      </c>
      <c r="W25" s="27" t="s">
        <v>107</v>
      </c>
    </row>
    <row r="26" spans="1:23" s="44" customFormat="1" ht="35.25" customHeight="1" x14ac:dyDescent="0.35">
      <c r="A26" s="31">
        <v>14</v>
      </c>
      <c r="B26" s="32" t="s">
        <v>34</v>
      </c>
      <c r="C26" s="32" t="s">
        <v>44</v>
      </c>
      <c r="D26" s="31" t="s">
        <v>45</v>
      </c>
      <c r="E26" s="32" t="s">
        <v>9</v>
      </c>
      <c r="F26" s="32">
        <v>5</v>
      </c>
      <c r="G26" s="42" t="s">
        <v>37</v>
      </c>
      <c r="H26" s="47"/>
      <c r="I26" s="10">
        <v>6</v>
      </c>
      <c r="J26" s="10">
        <v>6</v>
      </c>
      <c r="K26" s="11">
        <v>18</v>
      </c>
      <c r="L26" s="54">
        <f t="shared" si="20"/>
        <v>18</v>
      </c>
      <c r="M26" s="12">
        <f t="shared" si="21"/>
        <v>222</v>
      </c>
      <c r="N26" s="12">
        <f t="shared" si="22"/>
        <v>222</v>
      </c>
      <c r="O26" s="11">
        <v>218</v>
      </c>
      <c r="P26" s="54">
        <f t="shared" si="23"/>
        <v>218</v>
      </c>
      <c r="Q26" s="22">
        <v>543.97</v>
      </c>
      <c r="R26" s="4">
        <f t="shared" si="24"/>
        <v>118585.46</v>
      </c>
      <c r="S26" s="15">
        <f t="shared" si="25"/>
        <v>4</v>
      </c>
      <c r="T26" s="15">
        <f t="shared" si="26"/>
        <v>4</v>
      </c>
      <c r="U26" s="1"/>
      <c r="V26" s="1">
        <v>1</v>
      </c>
      <c r="W26" s="27"/>
    </row>
    <row r="27" spans="1:23" s="44" customFormat="1" ht="36" customHeight="1" x14ac:dyDescent="0.35">
      <c r="A27" s="31">
        <v>15</v>
      </c>
      <c r="B27" s="32" t="s">
        <v>166</v>
      </c>
      <c r="C27" s="32" t="s">
        <v>46</v>
      </c>
      <c r="D27" s="31" t="s">
        <v>167</v>
      </c>
      <c r="E27" s="32" t="s">
        <v>9</v>
      </c>
      <c r="F27" s="32">
        <v>3</v>
      </c>
      <c r="G27" s="42" t="s">
        <v>47</v>
      </c>
      <c r="H27" s="47"/>
      <c r="I27" s="10">
        <v>6</v>
      </c>
      <c r="J27" s="10">
        <v>6</v>
      </c>
      <c r="K27" s="11">
        <v>2</v>
      </c>
      <c r="L27" s="54">
        <f>IF(I27=0,K27,K27*(J27/I27))</f>
        <v>2</v>
      </c>
      <c r="M27" s="12">
        <f t="shared" si="21"/>
        <v>30</v>
      </c>
      <c r="N27" s="12">
        <f t="shared" si="22"/>
        <v>30</v>
      </c>
      <c r="O27" s="11">
        <v>10</v>
      </c>
      <c r="P27" s="54">
        <f t="shared" si="23"/>
        <v>10</v>
      </c>
      <c r="Q27" s="22">
        <v>204.56</v>
      </c>
      <c r="R27" s="4">
        <f t="shared" si="24"/>
        <v>2045.6</v>
      </c>
      <c r="S27" s="15">
        <f t="shared" si="25"/>
        <v>20</v>
      </c>
      <c r="T27" s="15">
        <f t="shared" si="26"/>
        <v>20</v>
      </c>
      <c r="U27" s="1">
        <v>1</v>
      </c>
      <c r="V27" s="1"/>
      <c r="W27" s="27"/>
    </row>
    <row r="28" spans="1:23" s="44" customFormat="1" ht="42.75" customHeight="1" x14ac:dyDescent="0.35">
      <c r="A28" s="31" t="s">
        <v>182</v>
      </c>
      <c r="B28" s="32" t="s">
        <v>48</v>
      </c>
      <c r="C28" s="32" t="s">
        <v>49</v>
      </c>
      <c r="D28" s="31" t="s">
        <v>181</v>
      </c>
      <c r="E28" s="32" t="s">
        <v>9</v>
      </c>
      <c r="F28" s="32">
        <v>5</v>
      </c>
      <c r="G28" s="42" t="s">
        <v>47</v>
      </c>
      <c r="H28" s="47"/>
      <c r="I28" s="10">
        <v>3109</v>
      </c>
      <c r="J28" s="10">
        <v>5100</v>
      </c>
      <c r="K28" s="11">
        <v>300</v>
      </c>
      <c r="L28" s="54">
        <f t="shared" si="20"/>
        <v>492.11965262142166</v>
      </c>
      <c r="M28" s="12">
        <f t="shared" si="21"/>
        <v>6709</v>
      </c>
      <c r="N28" s="12">
        <f t="shared" si="22"/>
        <v>11005.43583145706</v>
      </c>
      <c r="O28" s="11">
        <v>2063</v>
      </c>
      <c r="P28" s="54">
        <f t="shared" si="23"/>
        <v>3384.1428111933096</v>
      </c>
      <c r="Q28" s="22">
        <v>241.03</v>
      </c>
      <c r="R28" s="4">
        <f>Q28*P28-9.97</f>
        <v>815669.97178192344</v>
      </c>
      <c r="S28" s="15">
        <f t="shared" si="25"/>
        <v>4646</v>
      </c>
      <c r="T28" s="15">
        <f t="shared" si="26"/>
        <v>7621.2930202637508</v>
      </c>
      <c r="U28" s="1">
        <v>1</v>
      </c>
      <c r="V28" s="1"/>
      <c r="W28" s="27"/>
    </row>
    <row r="29" spans="1:23" s="44" customFormat="1" ht="46.5" customHeight="1" x14ac:dyDescent="0.35">
      <c r="A29" s="31">
        <v>19</v>
      </c>
      <c r="B29" s="32" t="s">
        <v>50</v>
      </c>
      <c r="C29" s="32" t="s">
        <v>180</v>
      </c>
      <c r="D29" s="31" t="s">
        <v>120</v>
      </c>
      <c r="E29" s="32" t="s">
        <v>9</v>
      </c>
      <c r="F29" s="32">
        <v>5</v>
      </c>
      <c r="G29" s="42" t="s">
        <v>52</v>
      </c>
      <c r="H29" s="47"/>
      <c r="I29" s="10">
        <v>77</v>
      </c>
      <c r="J29" s="10">
        <v>77</v>
      </c>
      <c r="K29" s="11">
        <v>19</v>
      </c>
      <c r="L29" s="54">
        <f t="shared" si="20"/>
        <v>19</v>
      </c>
      <c r="M29" s="12">
        <f t="shared" si="21"/>
        <v>305</v>
      </c>
      <c r="N29" s="12">
        <f t="shared" si="22"/>
        <v>305</v>
      </c>
      <c r="O29" s="11">
        <v>75</v>
      </c>
      <c r="P29" s="54">
        <f t="shared" si="23"/>
        <v>75</v>
      </c>
      <c r="Q29" s="22">
        <v>253.28</v>
      </c>
      <c r="R29" s="4">
        <f t="shared" si="24"/>
        <v>18996</v>
      </c>
      <c r="S29" s="15">
        <f t="shared" si="25"/>
        <v>230</v>
      </c>
      <c r="T29" s="15">
        <f t="shared" si="26"/>
        <v>230</v>
      </c>
      <c r="U29" s="1">
        <v>1</v>
      </c>
      <c r="V29" s="1"/>
      <c r="W29" s="27" t="s">
        <v>109</v>
      </c>
    </row>
    <row r="30" spans="1:23" s="44" customFormat="1" ht="46.5" customHeight="1" x14ac:dyDescent="0.35">
      <c r="A30" s="31">
        <v>20</v>
      </c>
      <c r="B30" s="32" t="s">
        <v>53</v>
      </c>
      <c r="C30" s="32" t="s">
        <v>51</v>
      </c>
      <c r="D30" s="31" t="s">
        <v>54</v>
      </c>
      <c r="E30" s="32" t="s">
        <v>9</v>
      </c>
      <c r="F30" s="32">
        <v>5</v>
      </c>
      <c r="G30" s="42" t="s">
        <v>55</v>
      </c>
      <c r="H30" s="47"/>
      <c r="I30" s="10">
        <v>10</v>
      </c>
      <c r="J30" s="10">
        <v>10</v>
      </c>
      <c r="K30" s="11">
        <v>1</v>
      </c>
      <c r="L30" s="54">
        <f t="shared" si="20"/>
        <v>1</v>
      </c>
      <c r="M30" s="12">
        <f t="shared" si="21"/>
        <v>22</v>
      </c>
      <c r="N30" s="12">
        <f t="shared" si="22"/>
        <v>22</v>
      </c>
      <c r="O30" s="11">
        <v>5</v>
      </c>
      <c r="P30" s="54">
        <f t="shared" si="23"/>
        <v>5</v>
      </c>
      <c r="Q30" s="22">
        <v>828</v>
      </c>
      <c r="R30" s="4">
        <f t="shared" si="24"/>
        <v>4140</v>
      </c>
      <c r="S30" s="15">
        <f t="shared" si="25"/>
        <v>17</v>
      </c>
      <c r="T30" s="15">
        <f t="shared" si="26"/>
        <v>17</v>
      </c>
      <c r="U30" s="1">
        <v>1</v>
      </c>
      <c r="V30" s="1"/>
      <c r="W30" s="27"/>
    </row>
    <row r="31" spans="1:23" s="44" customFormat="1" ht="36" customHeight="1" x14ac:dyDescent="0.35">
      <c r="A31" s="31">
        <v>21</v>
      </c>
      <c r="B31" s="32" t="s">
        <v>6</v>
      </c>
      <c r="C31" s="32" t="s">
        <v>56</v>
      </c>
      <c r="D31" s="31" t="s">
        <v>57</v>
      </c>
      <c r="E31" s="32" t="s">
        <v>9</v>
      </c>
      <c r="F31" s="32">
        <v>2</v>
      </c>
      <c r="G31" s="42" t="s">
        <v>10</v>
      </c>
      <c r="H31" s="47"/>
      <c r="I31" s="10">
        <v>0</v>
      </c>
      <c r="J31" s="10">
        <v>0</v>
      </c>
      <c r="K31" s="11">
        <v>1</v>
      </c>
      <c r="L31" s="54">
        <f t="shared" si="20"/>
        <v>1</v>
      </c>
      <c r="M31" s="12">
        <f t="shared" si="21"/>
        <v>12</v>
      </c>
      <c r="N31" s="12">
        <f t="shared" si="22"/>
        <v>12</v>
      </c>
      <c r="O31" s="11">
        <v>4</v>
      </c>
      <c r="P31" s="54">
        <f t="shared" si="23"/>
        <v>4</v>
      </c>
      <c r="Q31" s="22">
        <v>14</v>
      </c>
      <c r="R31" s="4">
        <f t="shared" si="24"/>
        <v>56</v>
      </c>
      <c r="S31" s="15">
        <f t="shared" si="25"/>
        <v>8</v>
      </c>
      <c r="T31" s="15">
        <f t="shared" si="26"/>
        <v>8</v>
      </c>
      <c r="U31" s="1"/>
      <c r="V31" s="1">
        <v>1</v>
      </c>
      <c r="W31" s="27"/>
    </row>
    <row r="32" spans="1:23" s="44" customFormat="1" ht="21.75" customHeight="1" x14ac:dyDescent="0.35">
      <c r="A32" s="31">
        <v>22</v>
      </c>
      <c r="B32" s="32" t="s">
        <v>6</v>
      </c>
      <c r="C32" s="32" t="s">
        <v>58</v>
      </c>
      <c r="D32" s="31" t="s">
        <v>59</v>
      </c>
      <c r="E32" s="32" t="s">
        <v>9</v>
      </c>
      <c r="F32" s="32">
        <v>5</v>
      </c>
      <c r="G32" s="42" t="s">
        <v>10</v>
      </c>
      <c r="H32" s="47"/>
      <c r="I32" s="10">
        <v>0</v>
      </c>
      <c r="J32" s="10">
        <v>0</v>
      </c>
      <c r="K32" s="11">
        <v>1</v>
      </c>
      <c r="L32" s="54">
        <f t="shared" si="20"/>
        <v>1</v>
      </c>
      <c r="M32" s="12">
        <f t="shared" si="21"/>
        <v>12</v>
      </c>
      <c r="N32" s="12">
        <f t="shared" si="22"/>
        <v>12</v>
      </c>
      <c r="O32" s="11">
        <v>12</v>
      </c>
      <c r="P32" s="54">
        <f t="shared" si="23"/>
        <v>12</v>
      </c>
      <c r="Q32" s="22">
        <v>871.2</v>
      </c>
      <c r="R32" s="4">
        <f t="shared" si="24"/>
        <v>10454.400000000001</v>
      </c>
      <c r="S32" s="15">
        <f t="shared" si="25"/>
        <v>0</v>
      </c>
      <c r="T32" s="15">
        <f t="shared" si="26"/>
        <v>0</v>
      </c>
      <c r="U32" s="1"/>
      <c r="V32" s="1">
        <v>1</v>
      </c>
      <c r="W32" s="27"/>
    </row>
    <row r="33" spans="1:23" s="44" customFormat="1" ht="21.75" customHeight="1" x14ac:dyDescent="0.35">
      <c r="A33" s="31">
        <v>23</v>
      </c>
      <c r="B33" s="32" t="s">
        <v>60</v>
      </c>
      <c r="C33" s="32" t="s">
        <v>61</v>
      </c>
      <c r="D33" s="31" t="s">
        <v>62</v>
      </c>
      <c r="E33" s="32" t="s">
        <v>9</v>
      </c>
      <c r="F33" s="32">
        <v>3</v>
      </c>
      <c r="G33" s="42" t="s">
        <v>10</v>
      </c>
      <c r="H33" s="47"/>
      <c r="I33" s="10">
        <v>42</v>
      </c>
      <c r="J33" s="10">
        <v>42</v>
      </c>
      <c r="K33" s="11">
        <v>25</v>
      </c>
      <c r="L33" s="54">
        <f t="shared" si="20"/>
        <v>25</v>
      </c>
      <c r="M33" s="12">
        <f t="shared" si="21"/>
        <v>342</v>
      </c>
      <c r="N33" s="12">
        <f t="shared" si="22"/>
        <v>342</v>
      </c>
      <c r="O33" s="11">
        <v>297</v>
      </c>
      <c r="P33" s="54">
        <f t="shared" si="23"/>
        <v>297</v>
      </c>
      <c r="Q33" s="22">
        <v>333.96</v>
      </c>
      <c r="R33" s="4">
        <f t="shared" si="24"/>
        <v>99186.12</v>
      </c>
      <c r="S33" s="15">
        <f t="shared" si="25"/>
        <v>45</v>
      </c>
      <c r="T33" s="15">
        <f t="shared" si="26"/>
        <v>45</v>
      </c>
      <c r="U33" s="1"/>
      <c r="V33" s="1">
        <v>1</v>
      </c>
      <c r="W33" s="27"/>
    </row>
    <row r="34" spans="1:23" ht="32.25" customHeight="1" x14ac:dyDescent="0.35">
      <c r="A34" s="96">
        <v>24</v>
      </c>
      <c r="B34" s="97" t="s">
        <v>60</v>
      </c>
      <c r="C34" s="97" t="s">
        <v>61</v>
      </c>
      <c r="D34" s="96" t="s">
        <v>108</v>
      </c>
      <c r="E34" s="97" t="s">
        <v>9</v>
      </c>
      <c r="F34" s="97">
        <v>5</v>
      </c>
      <c r="G34" s="98" t="s">
        <v>10</v>
      </c>
      <c r="H34" s="102"/>
      <c r="I34" s="103">
        <v>0</v>
      </c>
      <c r="J34" s="103">
        <v>0</v>
      </c>
      <c r="K34" s="104">
        <v>0</v>
      </c>
      <c r="L34" s="99">
        <f t="shared" si="20"/>
        <v>0</v>
      </c>
      <c r="M34" s="100">
        <f t="shared" si="21"/>
        <v>0</v>
      </c>
      <c r="N34" s="100">
        <f t="shared" si="22"/>
        <v>0</v>
      </c>
      <c r="O34" s="104">
        <v>0</v>
      </c>
      <c r="P34" s="99">
        <f t="shared" si="23"/>
        <v>0</v>
      </c>
      <c r="Q34" s="105">
        <v>0</v>
      </c>
      <c r="R34" s="4">
        <f t="shared" si="24"/>
        <v>0</v>
      </c>
      <c r="S34" s="101">
        <f t="shared" si="25"/>
        <v>0</v>
      </c>
      <c r="T34" s="101">
        <f t="shared" si="26"/>
        <v>0</v>
      </c>
      <c r="U34" s="1"/>
      <c r="V34" s="1">
        <v>1</v>
      </c>
      <c r="W34" s="27" t="s">
        <v>176</v>
      </c>
    </row>
    <row r="35" spans="1:23" s="44" customFormat="1" ht="49.5" customHeight="1" x14ac:dyDescent="0.35">
      <c r="A35" s="31">
        <v>25</v>
      </c>
      <c r="B35" s="32" t="s">
        <v>60</v>
      </c>
      <c r="C35" s="32" t="s">
        <v>61</v>
      </c>
      <c r="D35" s="31" t="s">
        <v>63</v>
      </c>
      <c r="E35" s="32" t="s">
        <v>9</v>
      </c>
      <c r="F35" s="32">
        <v>3</v>
      </c>
      <c r="G35" s="42" t="s">
        <v>64</v>
      </c>
      <c r="H35" s="47"/>
      <c r="I35" s="10">
        <v>0</v>
      </c>
      <c r="J35" s="10">
        <v>0</v>
      </c>
      <c r="K35" s="11">
        <v>2</v>
      </c>
      <c r="L35" s="54">
        <f t="shared" si="20"/>
        <v>2</v>
      </c>
      <c r="M35" s="12">
        <f t="shared" si="21"/>
        <v>24</v>
      </c>
      <c r="N35" s="12">
        <f t="shared" si="22"/>
        <v>24</v>
      </c>
      <c r="O35" s="11">
        <v>21</v>
      </c>
      <c r="P35" s="54">
        <f t="shared" si="23"/>
        <v>21</v>
      </c>
      <c r="Q35" s="22">
        <v>145.19999999999999</v>
      </c>
      <c r="R35" s="4">
        <f t="shared" si="24"/>
        <v>3049.2</v>
      </c>
      <c r="S35" s="15">
        <f t="shared" si="25"/>
        <v>3</v>
      </c>
      <c r="T35" s="15">
        <f t="shared" si="26"/>
        <v>3</v>
      </c>
      <c r="U35" s="1"/>
      <c r="V35" s="1">
        <v>1</v>
      </c>
      <c r="W35" s="27"/>
    </row>
    <row r="36" spans="1:23" ht="25.5" customHeight="1" x14ac:dyDescent="0.35">
      <c r="A36" s="96">
        <v>26</v>
      </c>
      <c r="B36" s="97" t="s">
        <v>141</v>
      </c>
      <c r="C36" s="97" t="s">
        <v>65</v>
      </c>
      <c r="D36" s="96" t="s">
        <v>66</v>
      </c>
      <c r="E36" s="97" t="s">
        <v>9</v>
      </c>
      <c r="F36" s="97">
        <v>5</v>
      </c>
      <c r="G36" s="98" t="s">
        <v>110</v>
      </c>
      <c r="H36" s="102"/>
      <c r="I36" s="103">
        <v>0</v>
      </c>
      <c r="J36" s="103">
        <v>0</v>
      </c>
      <c r="K36" s="104">
        <v>0</v>
      </c>
      <c r="L36" s="99">
        <f t="shared" ref="L36" si="27">IF(I36=0,K36,K36*(J36/I36))</f>
        <v>0</v>
      </c>
      <c r="M36" s="100">
        <f t="shared" ref="M36" si="28">I36+(K36*12)</f>
        <v>0</v>
      </c>
      <c r="N36" s="100">
        <f t="shared" ref="N36" si="29">J36+(L36*12)</f>
        <v>0</v>
      </c>
      <c r="O36" s="104">
        <v>0</v>
      </c>
      <c r="P36" s="99">
        <f t="shared" ref="P36" si="30">IF(I36=0,O36,O36*(J36/I36))</f>
        <v>0</v>
      </c>
      <c r="Q36" s="105">
        <v>0</v>
      </c>
      <c r="R36" s="4">
        <f t="shared" si="24"/>
        <v>0</v>
      </c>
      <c r="S36" s="101">
        <f t="shared" ref="S36" si="31">M36-O36</f>
        <v>0</v>
      </c>
      <c r="T36" s="101">
        <f t="shared" ref="T36" si="32">N36-P36</f>
        <v>0</v>
      </c>
      <c r="U36" s="1"/>
      <c r="V36" s="1">
        <v>1</v>
      </c>
      <c r="W36" s="27" t="s">
        <v>126</v>
      </c>
    </row>
    <row r="37" spans="1:23" s="34" customFormat="1" ht="65.400000000000006" customHeight="1" x14ac:dyDescent="0.35">
      <c r="A37" s="29">
        <v>27</v>
      </c>
      <c r="B37" s="30" t="s">
        <v>183</v>
      </c>
      <c r="C37" s="30" t="s">
        <v>184</v>
      </c>
      <c r="D37" s="29" t="s">
        <v>185</v>
      </c>
      <c r="E37" s="30" t="s">
        <v>9</v>
      </c>
      <c r="F37" s="30">
        <v>5</v>
      </c>
      <c r="G37" s="43" t="s">
        <v>110</v>
      </c>
      <c r="H37" s="48"/>
      <c r="I37" s="10">
        <v>3</v>
      </c>
      <c r="J37" s="10">
        <v>3</v>
      </c>
      <c r="K37" s="11">
        <v>3</v>
      </c>
      <c r="L37" s="54">
        <f t="shared" ref="L37:L49" si="33">IF(I37=0,K37,K37*(J37/I37))</f>
        <v>3</v>
      </c>
      <c r="M37" s="12">
        <f t="shared" ref="M37:M49" si="34">I37+(K37*12)</f>
        <v>39</v>
      </c>
      <c r="N37" s="12">
        <f t="shared" ref="N37:N49" si="35">J37+(L37*12)</f>
        <v>39</v>
      </c>
      <c r="O37" s="11">
        <v>28</v>
      </c>
      <c r="P37" s="54">
        <f t="shared" ref="P37:P49" si="36">IF(I37=0,O37,O37*(J37/I37))</f>
        <v>28</v>
      </c>
      <c r="Q37" s="22">
        <v>210.83</v>
      </c>
      <c r="R37" s="4">
        <f t="shared" si="24"/>
        <v>5903.2400000000007</v>
      </c>
      <c r="S37" s="15">
        <f t="shared" ref="S37:S49" si="37">M37-O37</f>
        <v>11</v>
      </c>
      <c r="T37" s="15">
        <f t="shared" ref="T37:T49" si="38">N37-P37</f>
        <v>11</v>
      </c>
      <c r="U37" s="19"/>
      <c r="V37" s="19">
        <v>1</v>
      </c>
      <c r="W37" s="26"/>
    </row>
    <row r="38" spans="1:23" s="44" customFormat="1" ht="60.75" customHeight="1" x14ac:dyDescent="0.35">
      <c r="A38" s="31">
        <v>28</v>
      </c>
      <c r="B38" s="32" t="s">
        <v>168</v>
      </c>
      <c r="C38" s="32" t="s">
        <v>67</v>
      </c>
      <c r="D38" s="31" t="s">
        <v>68</v>
      </c>
      <c r="E38" s="32" t="s">
        <v>9</v>
      </c>
      <c r="F38" s="32">
        <v>3</v>
      </c>
      <c r="G38" s="42" t="s">
        <v>69</v>
      </c>
      <c r="H38" s="47"/>
      <c r="I38" s="10">
        <v>45</v>
      </c>
      <c r="J38" s="10">
        <v>45</v>
      </c>
      <c r="K38" s="11">
        <v>15</v>
      </c>
      <c r="L38" s="54">
        <f t="shared" si="33"/>
        <v>15</v>
      </c>
      <c r="M38" s="12">
        <f t="shared" si="34"/>
        <v>225</v>
      </c>
      <c r="N38" s="12">
        <f t="shared" si="35"/>
        <v>225</v>
      </c>
      <c r="O38" s="11">
        <v>192</v>
      </c>
      <c r="P38" s="54">
        <f t="shared" si="36"/>
        <v>192</v>
      </c>
      <c r="Q38" s="22">
        <v>377.94</v>
      </c>
      <c r="R38" s="4">
        <f t="shared" si="24"/>
        <v>72564.479999999996</v>
      </c>
      <c r="S38" s="15">
        <f t="shared" si="37"/>
        <v>33</v>
      </c>
      <c r="T38" s="15">
        <f t="shared" si="38"/>
        <v>33</v>
      </c>
      <c r="U38" s="1">
        <v>1</v>
      </c>
      <c r="V38" s="1"/>
      <c r="W38" s="27"/>
    </row>
    <row r="39" spans="1:23" s="44" customFormat="1" x14ac:dyDescent="0.35">
      <c r="A39" s="31">
        <v>29</v>
      </c>
      <c r="B39" s="32" t="s">
        <v>70</v>
      </c>
      <c r="C39" s="32" t="s">
        <v>121</v>
      </c>
      <c r="D39" s="31" t="s">
        <v>122</v>
      </c>
      <c r="E39" s="32" t="s">
        <v>9</v>
      </c>
      <c r="F39" s="32">
        <v>5</v>
      </c>
      <c r="G39" s="42" t="s">
        <v>47</v>
      </c>
      <c r="H39" s="47"/>
      <c r="I39" s="10">
        <v>0</v>
      </c>
      <c r="J39" s="10">
        <v>0</v>
      </c>
      <c r="K39" s="11">
        <v>1</v>
      </c>
      <c r="L39" s="54">
        <f t="shared" si="33"/>
        <v>1</v>
      </c>
      <c r="M39" s="12">
        <f t="shared" si="34"/>
        <v>12</v>
      </c>
      <c r="N39" s="12">
        <f t="shared" si="35"/>
        <v>12</v>
      </c>
      <c r="O39" s="11">
        <v>6</v>
      </c>
      <c r="P39" s="54">
        <f t="shared" si="36"/>
        <v>6</v>
      </c>
      <c r="Q39" s="22">
        <v>124.22</v>
      </c>
      <c r="R39" s="4">
        <f t="shared" si="24"/>
        <v>745.31999999999994</v>
      </c>
      <c r="S39" s="15">
        <f t="shared" si="37"/>
        <v>6</v>
      </c>
      <c r="T39" s="15">
        <f t="shared" si="38"/>
        <v>6</v>
      </c>
      <c r="U39" s="1">
        <v>1</v>
      </c>
      <c r="V39" s="1"/>
      <c r="W39" s="27"/>
    </row>
    <row r="40" spans="1:23" s="44" customFormat="1" ht="40.5" customHeight="1" x14ac:dyDescent="0.35">
      <c r="A40" s="31">
        <v>30</v>
      </c>
      <c r="B40" s="50" t="s">
        <v>71</v>
      </c>
      <c r="C40" s="50" t="s">
        <v>72</v>
      </c>
      <c r="D40" s="49" t="s">
        <v>73</v>
      </c>
      <c r="E40" s="50" t="s">
        <v>9</v>
      </c>
      <c r="F40" s="50">
        <v>5</v>
      </c>
      <c r="G40" s="51" t="s">
        <v>74</v>
      </c>
      <c r="H40" s="48"/>
      <c r="I40" s="10">
        <v>486</v>
      </c>
      <c r="J40" s="10">
        <v>486</v>
      </c>
      <c r="K40" s="11">
        <v>20</v>
      </c>
      <c r="L40" s="54">
        <f t="shared" si="33"/>
        <v>20</v>
      </c>
      <c r="M40" s="12">
        <f t="shared" si="34"/>
        <v>726</v>
      </c>
      <c r="N40" s="12">
        <f t="shared" si="35"/>
        <v>726</v>
      </c>
      <c r="O40" s="11">
        <v>654</v>
      </c>
      <c r="P40" s="54">
        <f t="shared" si="36"/>
        <v>654</v>
      </c>
      <c r="Q40" s="22">
        <v>376.32</v>
      </c>
      <c r="R40" s="4">
        <f t="shared" si="24"/>
        <v>246113.28</v>
      </c>
      <c r="S40" s="15">
        <f t="shared" si="37"/>
        <v>72</v>
      </c>
      <c r="T40" s="15">
        <f t="shared" si="38"/>
        <v>72</v>
      </c>
      <c r="U40" s="19">
        <v>1</v>
      </c>
      <c r="V40" s="19"/>
      <c r="W40" s="26"/>
    </row>
    <row r="41" spans="1:23" s="44" customFormat="1" ht="117" customHeight="1" x14ac:dyDescent="0.35">
      <c r="A41" s="50">
        <v>31</v>
      </c>
      <c r="B41" s="50" t="s">
        <v>71</v>
      </c>
      <c r="C41" s="50" t="s">
        <v>72</v>
      </c>
      <c r="D41" s="49" t="s">
        <v>75</v>
      </c>
      <c r="E41" s="50" t="s">
        <v>9</v>
      </c>
      <c r="F41" s="50">
        <v>5</v>
      </c>
      <c r="G41" s="51" t="s">
        <v>76</v>
      </c>
      <c r="H41" s="48"/>
      <c r="I41" s="10">
        <v>7</v>
      </c>
      <c r="J41" s="10">
        <v>7</v>
      </c>
      <c r="K41" s="11">
        <v>1</v>
      </c>
      <c r="L41" s="54">
        <f t="shared" si="33"/>
        <v>1</v>
      </c>
      <c r="M41" s="12">
        <f t="shared" si="34"/>
        <v>19</v>
      </c>
      <c r="N41" s="12">
        <f t="shared" si="35"/>
        <v>19</v>
      </c>
      <c r="O41" s="11">
        <v>2</v>
      </c>
      <c r="P41" s="54">
        <f t="shared" si="36"/>
        <v>2</v>
      </c>
      <c r="Q41" s="22">
        <v>347.92</v>
      </c>
      <c r="R41" s="4">
        <f t="shared" si="24"/>
        <v>695.84</v>
      </c>
      <c r="S41" s="15">
        <f t="shared" si="37"/>
        <v>17</v>
      </c>
      <c r="T41" s="15">
        <f t="shared" si="38"/>
        <v>17</v>
      </c>
      <c r="U41" s="19">
        <v>1</v>
      </c>
      <c r="V41" s="19"/>
      <c r="W41" s="26"/>
    </row>
    <row r="42" spans="1:23" s="44" customFormat="1" ht="42.75" customHeight="1" x14ac:dyDescent="0.35">
      <c r="A42" s="31">
        <v>32</v>
      </c>
      <c r="B42" s="32" t="s">
        <v>77</v>
      </c>
      <c r="C42" s="32" t="s">
        <v>78</v>
      </c>
      <c r="D42" s="31" t="s">
        <v>99</v>
      </c>
      <c r="E42" s="32" t="s">
        <v>9</v>
      </c>
      <c r="F42" s="32">
        <v>2</v>
      </c>
      <c r="G42" s="42" t="s">
        <v>10</v>
      </c>
      <c r="H42" s="47"/>
      <c r="I42" s="10">
        <v>37</v>
      </c>
      <c r="J42" s="10">
        <v>37</v>
      </c>
      <c r="K42" s="11">
        <v>34</v>
      </c>
      <c r="L42" s="54">
        <f t="shared" si="33"/>
        <v>34</v>
      </c>
      <c r="M42" s="12">
        <f t="shared" si="34"/>
        <v>445</v>
      </c>
      <c r="N42" s="12">
        <f t="shared" si="35"/>
        <v>445</v>
      </c>
      <c r="O42" s="11">
        <v>359</v>
      </c>
      <c r="P42" s="54">
        <f t="shared" si="36"/>
        <v>359</v>
      </c>
      <c r="Q42" s="22">
        <v>72.27</v>
      </c>
      <c r="R42" s="4">
        <f t="shared" si="24"/>
        <v>25944.93</v>
      </c>
      <c r="S42" s="15">
        <f t="shared" si="37"/>
        <v>86</v>
      </c>
      <c r="T42" s="15">
        <f t="shared" si="38"/>
        <v>86</v>
      </c>
      <c r="U42" s="1"/>
      <c r="V42" s="1">
        <v>1</v>
      </c>
      <c r="W42" s="27" t="s">
        <v>111</v>
      </c>
    </row>
    <row r="43" spans="1:23" ht="20.25" customHeight="1" x14ac:dyDescent="0.35">
      <c r="A43" s="96">
        <v>33</v>
      </c>
      <c r="B43" s="97" t="s">
        <v>142</v>
      </c>
      <c r="C43" s="97" t="s">
        <v>79</v>
      </c>
      <c r="D43" s="96" t="s">
        <v>80</v>
      </c>
      <c r="E43" s="97" t="s">
        <v>9</v>
      </c>
      <c r="F43" s="97">
        <v>5</v>
      </c>
      <c r="G43" s="98" t="s">
        <v>110</v>
      </c>
      <c r="H43" s="102"/>
      <c r="I43" s="103">
        <v>0</v>
      </c>
      <c r="J43" s="103">
        <v>0</v>
      </c>
      <c r="K43" s="104">
        <v>0</v>
      </c>
      <c r="L43" s="99">
        <f t="shared" si="33"/>
        <v>0</v>
      </c>
      <c r="M43" s="100">
        <f t="shared" si="34"/>
        <v>0</v>
      </c>
      <c r="N43" s="100">
        <f t="shared" si="35"/>
        <v>0</v>
      </c>
      <c r="O43" s="104">
        <v>0</v>
      </c>
      <c r="P43" s="99">
        <f t="shared" si="36"/>
        <v>0</v>
      </c>
      <c r="Q43" s="105">
        <v>0</v>
      </c>
      <c r="R43" s="4">
        <f t="shared" si="24"/>
        <v>0</v>
      </c>
      <c r="S43" s="101">
        <f t="shared" si="37"/>
        <v>0</v>
      </c>
      <c r="T43" s="101">
        <f t="shared" si="38"/>
        <v>0</v>
      </c>
      <c r="U43" s="1"/>
      <c r="V43" s="1">
        <v>1</v>
      </c>
      <c r="W43" s="27" t="s">
        <v>126</v>
      </c>
    </row>
    <row r="44" spans="1:23" ht="22.5" customHeight="1" x14ac:dyDescent="0.35">
      <c r="A44" s="96">
        <v>34</v>
      </c>
      <c r="B44" s="97" t="s">
        <v>6</v>
      </c>
      <c r="C44" s="97" t="s">
        <v>81</v>
      </c>
      <c r="D44" s="96" t="s">
        <v>82</v>
      </c>
      <c r="E44" s="97" t="s">
        <v>9</v>
      </c>
      <c r="F44" s="97">
        <v>7</v>
      </c>
      <c r="G44" s="98" t="s">
        <v>112</v>
      </c>
      <c r="H44" s="102"/>
      <c r="I44" s="103">
        <v>0</v>
      </c>
      <c r="J44" s="103">
        <v>0</v>
      </c>
      <c r="K44" s="104">
        <v>0</v>
      </c>
      <c r="L44" s="99">
        <f t="shared" si="33"/>
        <v>0</v>
      </c>
      <c r="M44" s="100">
        <f t="shared" si="34"/>
        <v>0</v>
      </c>
      <c r="N44" s="100">
        <f t="shared" si="35"/>
        <v>0</v>
      </c>
      <c r="O44" s="104">
        <v>0</v>
      </c>
      <c r="P44" s="99">
        <f t="shared" si="36"/>
        <v>0</v>
      </c>
      <c r="Q44" s="105">
        <v>0</v>
      </c>
      <c r="R44" s="4">
        <f t="shared" si="24"/>
        <v>0</v>
      </c>
      <c r="S44" s="101">
        <f t="shared" si="37"/>
        <v>0</v>
      </c>
      <c r="T44" s="101">
        <f t="shared" si="38"/>
        <v>0</v>
      </c>
      <c r="U44" s="1"/>
      <c r="V44" s="1">
        <v>1</v>
      </c>
      <c r="W44" s="27" t="s">
        <v>126</v>
      </c>
    </row>
    <row r="45" spans="1:23" s="44" customFormat="1" ht="30" customHeight="1" x14ac:dyDescent="0.35">
      <c r="A45" s="50">
        <v>35</v>
      </c>
      <c r="B45" s="32" t="s">
        <v>77</v>
      </c>
      <c r="C45" s="32" t="s">
        <v>78</v>
      </c>
      <c r="D45" s="31" t="s">
        <v>83</v>
      </c>
      <c r="E45" s="32" t="s">
        <v>9</v>
      </c>
      <c r="F45" s="32">
        <v>5</v>
      </c>
      <c r="G45" s="42" t="s">
        <v>74</v>
      </c>
      <c r="H45" s="47"/>
      <c r="I45" s="10">
        <v>63</v>
      </c>
      <c r="J45" s="10">
        <v>63</v>
      </c>
      <c r="K45" s="11">
        <v>15</v>
      </c>
      <c r="L45" s="54">
        <f t="shared" si="33"/>
        <v>15</v>
      </c>
      <c r="M45" s="12">
        <f t="shared" si="34"/>
        <v>243</v>
      </c>
      <c r="N45" s="12">
        <f t="shared" si="35"/>
        <v>243</v>
      </c>
      <c r="O45" s="11">
        <v>101</v>
      </c>
      <c r="P45" s="54">
        <f t="shared" si="36"/>
        <v>101</v>
      </c>
      <c r="Q45" s="22">
        <v>59.51</v>
      </c>
      <c r="R45" s="4">
        <f t="shared" si="24"/>
        <v>6010.51</v>
      </c>
      <c r="S45" s="15">
        <f t="shared" si="37"/>
        <v>142</v>
      </c>
      <c r="T45" s="15">
        <f t="shared" si="38"/>
        <v>142</v>
      </c>
      <c r="U45" s="1">
        <v>1</v>
      </c>
      <c r="V45" s="1"/>
      <c r="W45" s="27"/>
    </row>
    <row r="46" spans="1:23" ht="30" customHeight="1" x14ac:dyDescent="0.35">
      <c r="A46" s="96">
        <v>36</v>
      </c>
      <c r="B46" s="97" t="s">
        <v>169</v>
      </c>
      <c r="C46" s="97" t="s">
        <v>170</v>
      </c>
      <c r="D46" s="96" t="s">
        <v>171</v>
      </c>
      <c r="E46" s="97" t="s">
        <v>9</v>
      </c>
      <c r="F46" s="97">
        <v>5</v>
      </c>
      <c r="G46" s="98" t="s">
        <v>172</v>
      </c>
      <c r="H46" s="102"/>
      <c r="I46" s="103">
        <v>0</v>
      </c>
      <c r="J46" s="103">
        <v>0</v>
      </c>
      <c r="K46" s="104">
        <v>0</v>
      </c>
      <c r="L46" s="99">
        <f t="shared" si="33"/>
        <v>0</v>
      </c>
      <c r="M46" s="100">
        <f t="shared" si="34"/>
        <v>0</v>
      </c>
      <c r="N46" s="100">
        <f t="shared" si="35"/>
        <v>0</v>
      </c>
      <c r="O46" s="104">
        <v>0</v>
      </c>
      <c r="P46" s="99">
        <f t="shared" si="36"/>
        <v>0</v>
      </c>
      <c r="Q46" s="105">
        <v>0</v>
      </c>
      <c r="R46" s="4">
        <f t="shared" si="24"/>
        <v>0</v>
      </c>
      <c r="S46" s="101">
        <f t="shared" si="37"/>
        <v>0</v>
      </c>
      <c r="T46" s="101">
        <f t="shared" si="38"/>
        <v>0</v>
      </c>
      <c r="U46" s="1">
        <v>1</v>
      </c>
      <c r="V46" s="1"/>
      <c r="W46" s="27" t="s">
        <v>126</v>
      </c>
    </row>
    <row r="47" spans="1:23" s="44" customFormat="1" ht="63.75" customHeight="1" x14ac:dyDescent="0.35">
      <c r="A47" s="31">
        <v>37</v>
      </c>
      <c r="B47" s="32" t="s">
        <v>84</v>
      </c>
      <c r="C47" s="32" t="s">
        <v>79</v>
      </c>
      <c r="D47" s="31" t="s">
        <v>85</v>
      </c>
      <c r="E47" s="32" t="s">
        <v>9</v>
      </c>
      <c r="F47" s="32">
        <v>5</v>
      </c>
      <c r="G47" s="42" t="s">
        <v>86</v>
      </c>
      <c r="H47" s="47"/>
      <c r="I47" s="10">
        <v>3</v>
      </c>
      <c r="J47" s="10">
        <v>3</v>
      </c>
      <c r="K47" s="11">
        <v>6</v>
      </c>
      <c r="L47" s="54">
        <f t="shared" si="33"/>
        <v>6</v>
      </c>
      <c r="M47" s="12">
        <f t="shared" si="34"/>
        <v>75</v>
      </c>
      <c r="N47" s="12">
        <f t="shared" si="35"/>
        <v>75</v>
      </c>
      <c r="O47" s="11">
        <v>75</v>
      </c>
      <c r="P47" s="54">
        <f t="shared" si="36"/>
        <v>75</v>
      </c>
      <c r="Q47" s="22">
        <v>154.88</v>
      </c>
      <c r="R47" s="4">
        <f t="shared" si="24"/>
        <v>11616</v>
      </c>
      <c r="S47" s="15">
        <f t="shared" si="37"/>
        <v>0</v>
      </c>
      <c r="T47" s="15">
        <f t="shared" si="38"/>
        <v>0</v>
      </c>
      <c r="U47" s="1"/>
      <c r="V47" s="1">
        <v>1</v>
      </c>
      <c r="W47" s="27"/>
    </row>
    <row r="48" spans="1:23" s="44" customFormat="1" ht="53.25" customHeight="1" x14ac:dyDescent="0.35">
      <c r="A48" s="31">
        <v>38</v>
      </c>
      <c r="B48" s="50" t="s">
        <v>87</v>
      </c>
      <c r="C48" s="50" t="s">
        <v>88</v>
      </c>
      <c r="D48" s="49" t="s">
        <v>89</v>
      </c>
      <c r="E48" s="50" t="s">
        <v>9</v>
      </c>
      <c r="F48" s="50">
        <v>5</v>
      </c>
      <c r="G48" s="51" t="s">
        <v>10</v>
      </c>
      <c r="H48" s="48"/>
      <c r="I48" s="10">
        <v>1</v>
      </c>
      <c r="J48" s="10">
        <v>1</v>
      </c>
      <c r="K48" s="11">
        <v>3</v>
      </c>
      <c r="L48" s="54">
        <f t="shared" si="33"/>
        <v>3</v>
      </c>
      <c r="M48" s="12">
        <f t="shared" si="34"/>
        <v>37</v>
      </c>
      <c r="N48" s="12">
        <f t="shared" si="35"/>
        <v>37</v>
      </c>
      <c r="O48" s="11">
        <v>16</v>
      </c>
      <c r="P48" s="54">
        <f t="shared" si="36"/>
        <v>16</v>
      </c>
      <c r="Q48" s="22">
        <v>1269.29</v>
      </c>
      <c r="R48" s="4">
        <f t="shared" si="24"/>
        <v>20308.64</v>
      </c>
      <c r="S48" s="15">
        <f t="shared" si="37"/>
        <v>21</v>
      </c>
      <c r="T48" s="15">
        <f t="shared" si="38"/>
        <v>21</v>
      </c>
      <c r="U48" s="1"/>
      <c r="V48" s="1">
        <v>1</v>
      </c>
      <c r="W48" s="27"/>
    </row>
    <row r="49" spans="1:23" s="44" customFormat="1" x14ac:dyDescent="0.35">
      <c r="A49" s="96">
        <v>39</v>
      </c>
      <c r="B49" s="97" t="s">
        <v>87</v>
      </c>
      <c r="C49" s="97" t="s">
        <v>90</v>
      </c>
      <c r="D49" s="96" t="s">
        <v>113</v>
      </c>
      <c r="E49" s="97" t="s">
        <v>9</v>
      </c>
      <c r="F49" s="97">
        <v>5</v>
      </c>
      <c r="G49" s="98" t="s">
        <v>10</v>
      </c>
      <c r="H49" s="102"/>
      <c r="I49" s="103">
        <v>0</v>
      </c>
      <c r="J49" s="103">
        <v>0</v>
      </c>
      <c r="K49" s="104">
        <v>0</v>
      </c>
      <c r="L49" s="99">
        <f t="shared" si="33"/>
        <v>0</v>
      </c>
      <c r="M49" s="100">
        <f t="shared" si="34"/>
        <v>0</v>
      </c>
      <c r="N49" s="100">
        <f t="shared" si="35"/>
        <v>0</v>
      </c>
      <c r="O49" s="104">
        <v>0</v>
      </c>
      <c r="P49" s="99">
        <f t="shared" si="36"/>
        <v>0</v>
      </c>
      <c r="Q49" s="105">
        <v>200</v>
      </c>
      <c r="R49" s="4">
        <f t="shared" si="24"/>
        <v>0</v>
      </c>
      <c r="S49" s="101">
        <f t="shared" si="37"/>
        <v>0</v>
      </c>
      <c r="T49" s="101">
        <f t="shared" si="38"/>
        <v>0</v>
      </c>
      <c r="U49" s="1"/>
      <c r="V49" s="1">
        <v>1</v>
      </c>
      <c r="W49" s="27" t="s">
        <v>109</v>
      </c>
    </row>
    <row r="50" spans="1:23" s="44" customFormat="1" ht="20.25" customHeight="1" x14ac:dyDescent="0.35">
      <c r="A50" s="39"/>
      <c r="B50" s="40"/>
      <c r="C50" s="41">
        <v>27</v>
      </c>
      <c r="D50" s="188" t="s">
        <v>91</v>
      </c>
      <c r="E50" s="188"/>
      <c r="F50" s="188"/>
      <c r="G50" s="188"/>
      <c r="H50" s="63"/>
      <c r="I50" s="9">
        <f>I51+I52</f>
        <v>18</v>
      </c>
      <c r="J50" s="9">
        <f t="shared" ref="J50" si="39">J51+J52</f>
        <v>18</v>
      </c>
      <c r="K50" s="9">
        <f t="shared" ref="K50:P50" si="40">K51+K52</f>
        <v>10</v>
      </c>
      <c r="L50" s="9">
        <f t="shared" si="40"/>
        <v>10</v>
      </c>
      <c r="M50" s="9">
        <f t="shared" si="40"/>
        <v>138</v>
      </c>
      <c r="N50" s="9">
        <f t="shared" si="40"/>
        <v>138</v>
      </c>
      <c r="O50" s="9">
        <f t="shared" si="40"/>
        <v>126</v>
      </c>
      <c r="P50" s="9">
        <f t="shared" si="40"/>
        <v>126</v>
      </c>
      <c r="Q50" s="20" t="s">
        <v>119</v>
      </c>
      <c r="R50" s="3">
        <f t="shared" ref="R50" si="41">R51+R52</f>
        <v>7712.5400000000009</v>
      </c>
      <c r="S50" s="9">
        <f>S51+S52</f>
        <v>12</v>
      </c>
      <c r="T50" s="9">
        <f>T51+T52</f>
        <v>12</v>
      </c>
      <c r="U50" s="7"/>
      <c r="V50" s="7">
        <v>1</v>
      </c>
      <c r="W50" s="27"/>
    </row>
    <row r="51" spans="1:23" s="44" customFormat="1" ht="28" x14ac:dyDescent="0.35">
      <c r="A51" s="31">
        <v>40</v>
      </c>
      <c r="B51" s="32" t="s">
        <v>6</v>
      </c>
      <c r="C51" s="32" t="s">
        <v>92</v>
      </c>
      <c r="D51" s="31" t="s">
        <v>93</v>
      </c>
      <c r="E51" s="32" t="s">
        <v>9</v>
      </c>
      <c r="F51" s="32">
        <v>3</v>
      </c>
      <c r="G51" s="42" t="s">
        <v>10</v>
      </c>
      <c r="H51" s="47"/>
      <c r="I51" s="10">
        <f>11+5</f>
        <v>16</v>
      </c>
      <c r="J51" s="10">
        <v>16</v>
      </c>
      <c r="K51" s="11">
        <v>8</v>
      </c>
      <c r="L51" s="54">
        <f t="shared" ref="L51:L52" si="42">IF(I51=0,K51,K51*(J51/I51))</f>
        <v>8</v>
      </c>
      <c r="M51" s="12">
        <f t="shared" ref="M51:M52" si="43">I51+(K51*12)</f>
        <v>112</v>
      </c>
      <c r="N51" s="12">
        <f t="shared" ref="N51:N52" si="44">J51+(L51*12)</f>
        <v>112</v>
      </c>
      <c r="O51" s="11">
        <v>106</v>
      </c>
      <c r="P51" s="54">
        <f t="shared" ref="P51:P52" si="45">IF(I51=0,O51,O51*(J51/I51))</f>
        <v>106</v>
      </c>
      <c r="Q51" s="22">
        <v>35.090000000000003</v>
      </c>
      <c r="R51" s="4">
        <f t="shared" ref="R51:R52" si="46">Q51*P51</f>
        <v>3719.5400000000004</v>
      </c>
      <c r="S51" s="15">
        <f t="shared" ref="S51:S52" si="47">M51-O51</f>
        <v>6</v>
      </c>
      <c r="T51" s="15">
        <f t="shared" ref="T51:T52" si="48">N51-P51</f>
        <v>6</v>
      </c>
      <c r="U51" s="1"/>
      <c r="V51" s="1">
        <v>1</v>
      </c>
      <c r="W51" s="27"/>
    </row>
    <row r="52" spans="1:23" s="44" customFormat="1" x14ac:dyDescent="0.35">
      <c r="A52" s="31">
        <v>41</v>
      </c>
      <c r="B52" s="32" t="s">
        <v>6</v>
      </c>
      <c r="C52" s="32" t="s">
        <v>94</v>
      </c>
      <c r="D52" s="31" t="s">
        <v>95</v>
      </c>
      <c r="E52" s="32" t="s">
        <v>9</v>
      </c>
      <c r="F52" s="32">
        <v>5</v>
      </c>
      <c r="G52" s="42" t="s">
        <v>10</v>
      </c>
      <c r="H52" s="47"/>
      <c r="I52" s="10">
        <v>2</v>
      </c>
      <c r="J52" s="10">
        <v>2</v>
      </c>
      <c r="K52" s="11">
        <v>2</v>
      </c>
      <c r="L52" s="54">
        <f t="shared" si="42"/>
        <v>2</v>
      </c>
      <c r="M52" s="12">
        <f t="shared" si="43"/>
        <v>26</v>
      </c>
      <c r="N52" s="12">
        <f t="shared" si="44"/>
        <v>26</v>
      </c>
      <c r="O52" s="11">
        <v>20</v>
      </c>
      <c r="P52" s="54">
        <f t="shared" si="45"/>
        <v>20</v>
      </c>
      <c r="Q52" s="22">
        <v>199.65</v>
      </c>
      <c r="R52" s="4">
        <f t="shared" si="46"/>
        <v>3993</v>
      </c>
      <c r="S52" s="15">
        <f t="shared" si="47"/>
        <v>6</v>
      </c>
      <c r="T52" s="15">
        <f t="shared" si="48"/>
        <v>6</v>
      </c>
      <c r="U52" s="1"/>
      <c r="V52" s="1">
        <v>1</v>
      </c>
      <c r="W52" s="27"/>
    </row>
    <row r="53" spans="1:23" x14ac:dyDescent="0.35">
      <c r="H53" s="46"/>
      <c r="I53" s="106">
        <f>ROUND(I8+I13+I15+I18+I21+I50,0)</f>
        <v>4121</v>
      </c>
      <c r="J53" s="17">
        <f>ROUND(J8+J13+J15+J18+J21+J50,0)</f>
        <v>6112</v>
      </c>
      <c r="K53" s="17">
        <f t="shared" ref="K53:P53" si="49">ROUND(K8+K13+K15+K18+K21+K50,0)</f>
        <v>651</v>
      </c>
      <c r="L53" s="17">
        <f t="shared" si="49"/>
        <v>843</v>
      </c>
      <c r="M53" s="17">
        <f t="shared" si="49"/>
        <v>11933</v>
      </c>
      <c r="N53" s="17">
        <f t="shared" si="49"/>
        <v>16229</v>
      </c>
      <c r="O53" s="106">
        <f>ROUND(O8+O13+O15+O18+O21+O50,0)</f>
        <v>6299</v>
      </c>
      <c r="P53" s="17">
        <f t="shared" si="49"/>
        <v>7620</v>
      </c>
      <c r="Q53" s="21" t="s">
        <v>119</v>
      </c>
      <c r="R53" s="17">
        <f>ROUND(R8+R13+R15+R18+R21+R50,0)</f>
        <v>1844850</v>
      </c>
      <c r="S53" s="106">
        <f>ROUND(S8+S13+S15+S18+S21+S50,0)</f>
        <v>5634</v>
      </c>
      <c r="T53" s="17">
        <f t="shared" ref="T53" si="50">ROUND(T8+T13+T15+T18+T21+T50,0)</f>
        <v>8609</v>
      </c>
    </row>
    <row r="54" spans="1:23" x14ac:dyDescent="0.35">
      <c r="H54" s="46"/>
      <c r="I54" s="18">
        <f>ROUND(I27+I28+I29+I30+I38+I39+I40+I41+I45+I46,0)</f>
        <v>3803</v>
      </c>
      <c r="J54" s="18">
        <f t="shared" ref="J54:T54" si="51">ROUND(J27+J28+J29+J30+J38+J39+J40+J41+J45+J46,0)</f>
        <v>5794</v>
      </c>
      <c r="K54" s="18">
        <f t="shared" si="51"/>
        <v>374</v>
      </c>
      <c r="L54" s="18">
        <f t="shared" si="51"/>
        <v>566</v>
      </c>
      <c r="M54" s="18">
        <f t="shared" si="51"/>
        <v>8291</v>
      </c>
      <c r="N54" s="18">
        <f t="shared" si="51"/>
        <v>12587</v>
      </c>
      <c r="O54" s="18">
        <f t="shared" si="51"/>
        <v>3108</v>
      </c>
      <c r="P54" s="18">
        <f t="shared" si="51"/>
        <v>4429</v>
      </c>
      <c r="Q54" s="18"/>
      <c r="R54" s="18">
        <f t="shared" si="51"/>
        <v>1166981</v>
      </c>
      <c r="S54" s="18">
        <f t="shared" si="51"/>
        <v>5183</v>
      </c>
      <c r="T54" s="18">
        <f t="shared" si="51"/>
        <v>8158</v>
      </c>
    </row>
    <row r="55" spans="1:23" x14ac:dyDescent="0.35">
      <c r="H55" s="46"/>
      <c r="I55" s="46"/>
      <c r="J55" s="46"/>
      <c r="K55" s="46"/>
      <c r="O55" s="46"/>
      <c r="P55" s="184" t="s">
        <v>231</v>
      </c>
      <c r="Q55" s="185" t="s">
        <v>130</v>
      </c>
      <c r="R55" s="18">
        <v>1166981</v>
      </c>
    </row>
    <row r="56" spans="1:23" x14ac:dyDescent="0.35">
      <c r="H56" s="46"/>
      <c r="I56" s="46"/>
      <c r="J56" s="46"/>
      <c r="K56" s="46"/>
      <c r="O56" s="46"/>
      <c r="P56" s="184" t="s">
        <v>131</v>
      </c>
      <c r="Q56" s="185" t="s">
        <v>131</v>
      </c>
      <c r="R56" s="18">
        <f>R54-R55</f>
        <v>0</v>
      </c>
    </row>
    <row r="57" spans="1:23" x14ac:dyDescent="0.35">
      <c r="H57" s="46"/>
      <c r="I57" s="46"/>
      <c r="J57" s="46"/>
      <c r="K57" s="46"/>
      <c r="O57" s="46"/>
      <c r="Q57" s="65"/>
    </row>
    <row r="58" spans="1:23" s="44" customFormat="1" x14ac:dyDescent="0.35">
      <c r="B58" s="45"/>
      <c r="C58" s="45"/>
      <c r="E58" s="45"/>
      <c r="F58" s="45"/>
      <c r="G58" s="46"/>
      <c r="H58" s="46"/>
      <c r="I58" s="18">
        <f>ROUND(I9+I10+I11+I12+I14+I16+I17+I19+I20+I22+I23+I24+I25+I26+I31+I32+I33+I34+I35+I36+I42+I43+I44+I47+I49+I51+I52+I48+I37,0)</f>
        <v>318</v>
      </c>
      <c r="J58" s="18">
        <f t="shared" ref="J58:P58" si="52">ROUND(J9+J10+J11+J12+J14+J16+J17+J19+J20+J22+J23+J24+J25+J26+J31+J32+J33+J34+J35+J36+J42+J43+J44+J47+J49+J51+J52+J48+J37,0)</f>
        <v>318</v>
      </c>
      <c r="K58" s="18">
        <f t="shared" si="52"/>
        <v>277</v>
      </c>
      <c r="L58" s="18">
        <f t="shared" si="52"/>
        <v>277</v>
      </c>
      <c r="M58" s="18">
        <f t="shared" si="52"/>
        <v>3642</v>
      </c>
      <c r="N58" s="18">
        <f t="shared" si="52"/>
        <v>3642</v>
      </c>
      <c r="O58" s="18">
        <f t="shared" si="52"/>
        <v>3191</v>
      </c>
      <c r="P58" s="18">
        <f t="shared" si="52"/>
        <v>3191</v>
      </c>
      <c r="Q58" s="18"/>
      <c r="R58" s="18">
        <f>ROUND(R9+R10+R11+R12+R14+R16+R17+R19+R20+R22+R23+R24+R25+R26+R31+R32+R33+R34+R35+R36+R42+R43+R44+R47+R49+R51+R52+R48+R37,0)</f>
        <v>677869</v>
      </c>
      <c r="S58" s="18">
        <f t="shared" ref="S58:T58" si="53">ROUND(S9+S10+S11+S12+S14+S16+S17+S19+S20+S22+S23+S24+S25+S26+S31+S32+S33+S34+S35+S36+S42+S43+S44+S47+S49+S51+S52+S48+S37,0)</f>
        <v>451</v>
      </c>
      <c r="T58" s="18">
        <f t="shared" si="53"/>
        <v>451</v>
      </c>
      <c r="U58" s="18"/>
      <c r="V58" s="18"/>
      <c r="W58" s="18"/>
    </row>
    <row r="59" spans="1:23" s="44" customFormat="1" x14ac:dyDescent="0.35">
      <c r="B59" s="45"/>
      <c r="C59" s="45"/>
      <c r="E59" s="45"/>
      <c r="F59" s="45"/>
      <c r="G59" s="46"/>
      <c r="H59" s="46"/>
      <c r="I59" s="46"/>
      <c r="J59" s="46"/>
      <c r="K59" s="46"/>
      <c r="L59" s="46"/>
      <c r="M59" s="46"/>
      <c r="N59" s="46"/>
      <c r="O59" s="46"/>
      <c r="P59" s="184" t="s">
        <v>232</v>
      </c>
      <c r="Q59" s="185" t="s">
        <v>130</v>
      </c>
      <c r="R59" s="18">
        <v>677869</v>
      </c>
      <c r="S59" s="46"/>
      <c r="T59" s="46"/>
      <c r="U59" s="8"/>
      <c r="V59" s="8"/>
      <c r="W59" s="27"/>
    </row>
    <row r="60" spans="1:23" s="44" customFormat="1" x14ac:dyDescent="0.35">
      <c r="B60" s="45"/>
      <c r="C60" s="45"/>
      <c r="E60" s="45"/>
      <c r="F60" s="45"/>
      <c r="G60" s="46"/>
      <c r="H60" s="46"/>
      <c r="I60" s="46"/>
      <c r="J60" s="46"/>
      <c r="K60" s="46"/>
      <c r="L60" s="46"/>
      <c r="M60" s="46"/>
      <c r="N60" s="46"/>
      <c r="O60" s="46"/>
      <c r="P60" s="184" t="s">
        <v>132</v>
      </c>
      <c r="Q60" s="185" t="s">
        <v>131</v>
      </c>
      <c r="R60" s="18">
        <f>R58-R59</f>
        <v>0</v>
      </c>
      <c r="S60" s="46"/>
      <c r="T60" s="46"/>
      <c r="U60" s="8"/>
      <c r="V60" s="8"/>
      <c r="W60" s="27"/>
    </row>
    <row r="61" spans="1:23" x14ac:dyDescent="0.35">
      <c r="H61" s="46"/>
      <c r="I61" s="46"/>
      <c r="J61" s="46"/>
      <c r="K61" s="46"/>
      <c r="O61" s="46"/>
      <c r="Q61" s="65"/>
    </row>
    <row r="62" spans="1:23" x14ac:dyDescent="0.35">
      <c r="H62" s="46"/>
      <c r="I62" s="46"/>
      <c r="J62" s="46"/>
      <c r="K62" s="46"/>
      <c r="O62" s="46"/>
      <c r="Q62" s="65" t="s">
        <v>233</v>
      </c>
      <c r="R62" s="18">
        <f>R55+R59</f>
        <v>1844850</v>
      </c>
    </row>
    <row r="63" spans="1:23" ht="18" x14ac:dyDescent="0.35">
      <c r="H63" s="46"/>
      <c r="I63" s="46"/>
      <c r="J63" s="46"/>
      <c r="K63" s="46"/>
      <c r="O63" s="66"/>
      <c r="P63" s="66"/>
      <c r="Q63" s="67" t="s">
        <v>234</v>
      </c>
      <c r="R63" s="77">
        <f>R53-R62</f>
        <v>0</v>
      </c>
    </row>
    <row r="64" spans="1:23" x14ac:dyDescent="0.35">
      <c r="H64" s="46"/>
      <c r="I64" s="46"/>
      <c r="J64" s="46"/>
      <c r="K64" s="46"/>
      <c r="O64" s="46"/>
      <c r="Q64" s="65"/>
      <c r="R64" s="18">
        <f>R53-R55-R59-R60-R56</f>
        <v>0</v>
      </c>
    </row>
    <row r="65" spans="8:20" x14ac:dyDescent="0.35">
      <c r="H65" s="46"/>
      <c r="I65" s="18">
        <f>I53-I54-I58</f>
        <v>0</v>
      </c>
      <c r="J65" s="18">
        <f t="shared" ref="J65:P65" si="54">J53-J54-J58</f>
        <v>0</v>
      </c>
      <c r="K65" s="18">
        <f t="shared" si="54"/>
        <v>0</v>
      </c>
      <c r="L65" s="18">
        <f t="shared" si="54"/>
        <v>0</v>
      </c>
      <c r="M65" s="18">
        <f t="shared" si="54"/>
        <v>0</v>
      </c>
      <c r="N65" s="18">
        <f t="shared" si="54"/>
        <v>0</v>
      </c>
      <c r="O65" s="18">
        <f t="shared" si="54"/>
        <v>0</v>
      </c>
      <c r="P65" s="18">
        <f t="shared" si="54"/>
        <v>0</v>
      </c>
      <c r="Q65" s="18"/>
      <c r="R65" s="18">
        <f>R53-R54-R58</f>
        <v>0</v>
      </c>
      <c r="S65" s="18">
        <f>S53-S54-S58</f>
        <v>0</v>
      </c>
      <c r="T65" s="18">
        <f>T53-T54-T58</f>
        <v>0</v>
      </c>
    </row>
    <row r="66" spans="8:20" x14ac:dyDescent="0.35">
      <c r="H66" s="46"/>
      <c r="I66" s="46"/>
      <c r="J66" s="46"/>
      <c r="K66" s="46"/>
      <c r="O66" s="46"/>
      <c r="Q66" s="65"/>
    </row>
    <row r="67" spans="8:20" x14ac:dyDescent="0.35">
      <c r="I67" s="18">
        <f>ROUND(I54,0)+ ROUND(I58,0)-ROUND(I53,0)</f>
        <v>0</v>
      </c>
      <c r="J67" s="18">
        <f t="shared" ref="J67:T67" si="55">ROUND(J54,0)+ ROUND(J58,0)-ROUND(J53,0)</f>
        <v>0</v>
      </c>
      <c r="K67" s="18">
        <f t="shared" si="55"/>
        <v>0</v>
      </c>
      <c r="L67" s="18">
        <f t="shared" si="55"/>
        <v>0</v>
      </c>
      <c r="M67" s="18">
        <f t="shared" si="55"/>
        <v>0</v>
      </c>
      <c r="N67" s="18">
        <f t="shared" si="55"/>
        <v>0</v>
      </c>
      <c r="O67" s="18">
        <f t="shared" si="55"/>
        <v>0</v>
      </c>
      <c r="P67" s="18">
        <f t="shared" si="55"/>
        <v>0</v>
      </c>
      <c r="Q67" s="18"/>
      <c r="R67" s="18">
        <f t="shared" si="55"/>
        <v>0</v>
      </c>
      <c r="S67" s="18">
        <f t="shared" si="55"/>
        <v>0</v>
      </c>
      <c r="T67" s="18">
        <f t="shared" si="55"/>
        <v>0</v>
      </c>
    </row>
    <row r="68" spans="8:20" x14ac:dyDescent="0.35">
      <c r="R68" s="18">
        <f>ROUND(R55,0)+ROUND(R56,0)-ROUND(R54,0)</f>
        <v>0</v>
      </c>
    </row>
    <row r="69" spans="8:20" x14ac:dyDescent="0.35">
      <c r="R69" s="18">
        <f>ROUND(R59,0)+ROUND(R60,0)-ROUND(R58,0)</f>
        <v>0</v>
      </c>
    </row>
    <row r="70" spans="8:20" x14ac:dyDescent="0.35">
      <c r="R70" s="18">
        <f>ROUND(R56,0)+ROUND(R60,0)-ROUND(R63,0)</f>
        <v>0</v>
      </c>
    </row>
  </sheetData>
  <autoFilter ref="A7:Z52" xr:uid="{7C37CABB-E10E-4EE9-BACF-F0E0C32B851A}"/>
  <mergeCells count="22">
    <mergeCell ref="P60:Q60"/>
    <mergeCell ref="D8:G8"/>
    <mergeCell ref="D13:G13"/>
    <mergeCell ref="D15:G15"/>
    <mergeCell ref="D18:G18"/>
    <mergeCell ref="D21:G21"/>
    <mergeCell ref="D50:G50"/>
    <mergeCell ref="P55:Q55"/>
    <mergeCell ref="P56:Q56"/>
    <mergeCell ref="P59:Q59"/>
    <mergeCell ref="A1:T1"/>
    <mergeCell ref="A2:T2"/>
    <mergeCell ref="A3:T3"/>
    <mergeCell ref="I4:R4"/>
    <mergeCell ref="A5:G5"/>
    <mergeCell ref="I5:J5"/>
    <mergeCell ref="K5:L5"/>
    <mergeCell ref="M5:N5"/>
    <mergeCell ref="O5:P5"/>
    <mergeCell ref="Q5:Q6"/>
    <mergeCell ref="R5:R6"/>
    <mergeCell ref="S5:T5"/>
  </mergeCells>
  <pageMargins left="0.51181102362204722" right="0.31496062992125984" top="0.94488188976377963" bottom="0.59055118110236227"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KOPSAVILKUMS</vt:lpstr>
      <vt:lpstr>_2022_VB_ar_ izmaiņām_MK+ fin</vt:lpstr>
      <vt:lpstr>_2023_VB_ar_ izmaiņām_MK+fin</vt:lpstr>
      <vt:lpstr>_2024_VB_ar_ izmaiņām_MK+ fin</vt:lpstr>
      <vt:lpstr>_2021_VB_ar_ izmaiņām_MK</vt:lpstr>
      <vt:lpstr>_2022_VB_ar_ izmaiņām_MK</vt:lpstr>
      <vt:lpstr>_2023_VB_ar_ izmaiņām_MK</vt:lpstr>
      <vt:lpstr>_2024_VB_ar_ izmaiņām_MK</vt:lpstr>
      <vt:lpstr>_2021_VB_bez izmaiņām</vt:lpstr>
      <vt:lpstr>_2022_VB_bez izmaiņām</vt:lpstr>
      <vt:lpstr>_2023_VB_bez izmaiņām</vt:lpstr>
      <vt:lpstr>_2024_VB_bez izmaiņām</vt:lpstr>
      <vt:lpstr>Sheet1</vt:lpstr>
      <vt:lpstr>'_2021_VB_ar_ izmaiņām_MK'!Print_Titles</vt:lpstr>
      <vt:lpstr>'_2021_VB_bez izmaiņām'!Print_Titles</vt:lpstr>
      <vt:lpstr>'_2022_VB_ar_ izmaiņām_MK'!Print_Titles</vt:lpstr>
      <vt:lpstr>'_2022_VB_ar_ izmaiņām_MK+ fin'!Print_Titles</vt:lpstr>
      <vt:lpstr>'_2022_VB_bez izmaiņām'!Print_Titles</vt:lpstr>
      <vt:lpstr>'_2023_VB_ar_ izmaiņām_MK'!Print_Titles</vt:lpstr>
      <vt:lpstr>'_2023_VB_ar_ izmaiņām_MK+fin'!Print_Titles</vt:lpstr>
      <vt:lpstr>'_2023_VB_bez izmaiņām'!Print_Titles</vt:lpstr>
      <vt:lpstr>'_2024_VB_ar_ izmaiņām_MK'!Print_Titles</vt:lpstr>
      <vt:lpstr>'_2024_VB_ar_ izmaiņām_MK+ fin'!Print_Titles</vt:lpstr>
      <vt:lpstr>'_2024_VB_bez izmaiņām'!Print_Titles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2021-03-19T13:59:21Z</dcterms:modified>
</cp:coreProperties>
</file>