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c-skol-01.lm.local\LMshared\LM_pamatnostadnes_2027\Iesniegsana_VSS\"/>
    </mc:Choice>
  </mc:AlternateContent>
  <xr:revisionPtr revIDLastSave="0" documentId="13_ncr:1_{037FAF4F-E7C3-4F97-89B9-A9F4A181839F}" xr6:coauthVersionLast="36" xr6:coauthVersionMax="46" xr10:uidLastSave="{00000000-0000-0000-0000-000000000000}"/>
  <bookViews>
    <workbookView xWindow="0" yWindow="0" windowWidth="28800" windowHeight="1162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F7" i="1"/>
  <c r="G7" i="1"/>
  <c r="H7" i="1"/>
  <c r="H8" i="1"/>
  <c r="I8" i="1"/>
  <c r="J8" i="1"/>
  <c r="K8" i="1"/>
  <c r="L8" i="1"/>
  <c r="G8" i="1"/>
  <c r="F8" i="1"/>
  <c r="C184" i="1"/>
  <c r="D184" i="1"/>
  <c r="E184" i="1"/>
  <c r="F184" i="1"/>
  <c r="G184" i="1"/>
  <c r="H184" i="1"/>
  <c r="I184" i="1"/>
  <c r="J184" i="1"/>
  <c r="K184" i="1"/>
  <c r="L184" i="1"/>
  <c r="B184" i="1"/>
  <c r="H185" i="1"/>
  <c r="I185" i="1"/>
  <c r="B185" i="1" s="1"/>
  <c r="J185" i="1"/>
  <c r="K185" i="1"/>
  <c r="L185" i="1"/>
  <c r="G185" i="1"/>
  <c r="C518" i="1" l="1"/>
  <c r="C36" i="1"/>
  <c r="D36" i="1"/>
  <c r="E36" i="1"/>
  <c r="F36" i="1"/>
  <c r="G36" i="1"/>
  <c r="H36" i="1"/>
  <c r="I36" i="1"/>
  <c r="J36" i="1"/>
  <c r="K36" i="1"/>
  <c r="L36" i="1"/>
  <c r="F35" i="1"/>
  <c r="F34" i="1" l="1"/>
  <c r="L574" i="1"/>
  <c r="B574" i="1" s="1"/>
  <c r="G570" i="1"/>
  <c r="H570" i="1"/>
  <c r="I570" i="1"/>
  <c r="J570" i="1"/>
  <c r="K570" i="1"/>
  <c r="L570" i="1"/>
  <c r="D223" i="1" l="1"/>
  <c r="C223" i="1"/>
  <c r="K522" i="1"/>
  <c r="B331" i="1"/>
  <c r="C522" i="1" l="1"/>
  <c r="B546" i="1"/>
  <c r="C544" i="1" l="1"/>
  <c r="B9" i="1" l="1"/>
  <c r="B10" i="1"/>
  <c r="L1016" i="1" l="1"/>
  <c r="K1016" i="1"/>
  <c r="J1016" i="1"/>
  <c r="I1016" i="1"/>
  <c r="H1016" i="1"/>
  <c r="G1016" i="1"/>
  <c r="G69" i="1"/>
  <c r="F710" i="1"/>
  <c r="B699" i="1" l="1"/>
  <c r="B700" i="1"/>
  <c r="B701" i="1"/>
  <c r="C714" i="1"/>
  <c r="D714" i="1"/>
  <c r="E714" i="1"/>
  <c r="F714" i="1"/>
  <c r="G714" i="1"/>
  <c r="H714" i="1"/>
  <c r="I714" i="1"/>
  <c r="J714" i="1"/>
  <c r="K714" i="1"/>
  <c r="L714" i="1"/>
  <c r="C715" i="1"/>
  <c r="D715" i="1"/>
  <c r="E715" i="1"/>
  <c r="F715" i="1"/>
  <c r="G715" i="1"/>
  <c r="H715" i="1"/>
  <c r="I715" i="1"/>
  <c r="J715" i="1"/>
  <c r="K715" i="1"/>
  <c r="L715" i="1"/>
  <c r="L1015" i="1"/>
  <c r="L1009" i="1" s="1"/>
  <c r="K1015" i="1"/>
  <c r="K1014" i="1" s="1"/>
  <c r="K1007" i="1" s="1"/>
  <c r="K1003" i="1" s="1"/>
  <c r="J1015" i="1"/>
  <c r="J1009" i="1" s="1"/>
  <c r="I1015" i="1"/>
  <c r="I1014" i="1" s="1"/>
  <c r="I1007" i="1" s="1"/>
  <c r="I1003" i="1" s="1"/>
  <c r="H1015" i="1"/>
  <c r="H1014" i="1" s="1"/>
  <c r="H1007" i="1" s="1"/>
  <c r="H1003" i="1" s="1"/>
  <c r="G1015" i="1"/>
  <c r="G1009" i="1" s="1"/>
  <c r="E1015" i="1"/>
  <c r="D1015" i="1"/>
  <c r="C1015" i="1"/>
  <c r="E1017" i="1"/>
  <c r="E1011" i="1" s="1"/>
  <c r="D1017" i="1"/>
  <c r="D1011" i="1" s="1"/>
  <c r="C1017" i="1"/>
  <c r="C1011" i="1" s="1"/>
  <c r="F1011" i="1"/>
  <c r="G1011" i="1"/>
  <c r="H1011" i="1"/>
  <c r="I1011" i="1"/>
  <c r="J1011" i="1"/>
  <c r="K1011" i="1"/>
  <c r="L1011" i="1"/>
  <c r="C1010" i="1"/>
  <c r="C711" i="1" s="1"/>
  <c r="C705" i="1" s="1"/>
  <c r="D1010" i="1"/>
  <c r="D711" i="1" s="1"/>
  <c r="D705" i="1" s="1"/>
  <c r="E1010" i="1"/>
  <c r="E711" i="1" s="1"/>
  <c r="E705" i="1" s="1"/>
  <c r="F1010" i="1"/>
  <c r="F711" i="1" s="1"/>
  <c r="G1010" i="1"/>
  <c r="G711" i="1" s="1"/>
  <c r="H1010" i="1"/>
  <c r="H711" i="1" s="1"/>
  <c r="I1010" i="1"/>
  <c r="I711" i="1" s="1"/>
  <c r="J1010" i="1"/>
  <c r="J711" i="1" s="1"/>
  <c r="J705" i="1" s="1"/>
  <c r="K1010" i="1"/>
  <c r="K711" i="1" s="1"/>
  <c r="K705" i="1" s="1"/>
  <c r="L1010" i="1"/>
  <c r="L711" i="1" s="1"/>
  <c r="F1009" i="1"/>
  <c r="B1004" i="1"/>
  <c r="B1005" i="1"/>
  <c r="B1006" i="1"/>
  <c r="F1014" i="1"/>
  <c r="F1007" i="1" s="1"/>
  <c r="F1003" i="1" s="1"/>
  <c r="B1016" i="1"/>
  <c r="B934" i="1"/>
  <c r="B935" i="1"/>
  <c r="B936" i="1"/>
  <c r="C939" i="1"/>
  <c r="D939" i="1"/>
  <c r="E939" i="1"/>
  <c r="F939" i="1"/>
  <c r="G939" i="1"/>
  <c r="H939" i="1"/>
  <c r="I939" i="1"/>
  <c r="J939" i="1"/>
  <c r="K939" i="1"/>
  <c r="L939" i="1"/>
  <c r="C940" i="1"/>
  <c r="D940" i="1"/>
  <c r="E940" i="1"/>
  <c r="F940" i="1"/>
  <c r="G940" i="1"/>
  <c r="H940" i="1"/>
  <c r="I940" i="1"/>
  <c r="J940" i="1"/>
  <c r="K940" i="1"/>
  <c r="L940" i="1"/>
  <c r="C943" i="1"/>
  <c r="D943" i="1"/>
  <c r="E943" i="1"/>
  <c r="F943" i="1"/>
  <c r="G943" i="1"/>
  <c r="H943" i="1"/>
  <c r="I943" i="1"/>
  <c r="J943" i="1"/>
  <c r="K943" i="1"/>
  <c r="L943" i="1"/>
  <c r="B945" i="1"/>
  <c r="B940" i="1" s="1"/>
  <c r="B944" i="1"/>
  <c r="B920" i="1"/>
  <c r="B921" i="1"/>
  <c r="B922" i="1"/>
  <c r="C925" i="1"/>
  <c r="D925" i="1"/>
  <c r="E925" i="1"/>
  <c r="F925" i="1"/>
  <c r="G925" i="1"/>
  <c r="H925" i="1"/>
  <c r="I925" i="1"/>
  <c r="J925" i="1"/>
  <c r="K925" i="1"/>
  <c r="L925" i="1"/>
  <c r="C926" i="1"/>
  <c r="D926" i="1"/>
  <c r="E926" i="1"/>
  <c r="F926" i="1"/>
  <c r="G926" i="1"/>
  <c r="H926" i="1"/>
  <c r="I926" i="1"/>
  <c r="J926" i="1"/>
  <c r="K926" i="1"/>
  <c r="L926" i="1"/>
  <c r="C929" i="1"/>
  <c r="C923" i="1" s="1"/>
  <c r="C919" i="1" s="1"/>
  <c r="D929" i="1"/>
  <c r="D923" i="1" s="1"/>
  <c r="D919" i="1" s="1"/>
  <c r="E929" i="1"/>
  <c r="E923" i="1" s="1"/>
  <c r="E919" i="1" s="1"/>
  <c r="F929" i="1"/>
  <c r="F923" i="1" s="1"/>
  <c r="F919" i="1" s="1"/>
  <c r="G929" i="1"/>
  <c r="G923" i="1" s="1"/>
  <c r="G919" i="1" s="1"/>
  <c r="H929" i="1"/>
  <c r="H923" i="1" s="1"/>
  <c r="H919" i="1" s="1"/>
  <c r="I929" i="1"/>
  <c r="I923" i="1" s="1"/>
  <c r="I919" i="1" s="1"/>
  <c r="J929" i="1"/>
  <c r="J923" i="1" s="1"/>
  <c r="J919" i="1" s="1"/>
  <c r="K929" i="1"/>
  <c r="K923" i="1" s="1"/>
  <c r="K919" i="1" s="1"/>
  <c r="L929" i="1"/>
  <c r="L923" i="1" s="1"/>
  <c r="L919" i="1" s="1"/>
  <c r="B931" i="1"/>
  <c r="B948" i="1"/>
  <c r="B949" i="1"/>
  <c r="B950" i="1"/>
  <c r="C953" i="1"/>
  <c r="D953" i="1"/>
  <c r="E953" i="1"/>
  <c r="F953" i="1"/>
  <c r="G953" i="1"/>
  <c r="H953" i="1"/>
  <c r="I953" i="1"/>
  <c r="J953" i="1"/>
  <c r="K953" i="1"/>
  <c r="L953" i="1"/>
  <c r="C954" i="1"/>
  <c r="D954" i="1"/>
  <c r="E954" i="1"/>
  <c r="F954" i="1"/>
  <c r="G954" i="1"/>
  <c r="H954" i="1"/>
  <c r="I954" i="1"/>
  <c r="J954" i="1"/>
  <c r="K954" i="1"/>
  <c r="L954" i="1"/>
  <c r="C957" i="1"/>
  <c r="C951" i="1" s="1"/>
  <c r="C947" i="1" s="1"/>
  <c r="D957" i="1"/>
  <c r="D951" i="1" s="1"/>
  <c r="D947" i="1" s="1"/>
  <c r="E957" i="1"/>
  <c r="E951" i="1" s="1"/>
  <c r="E947" i="1" s="1"/>
  <c r="F957" i="1"/>
  <c r="F951" i="1" s="1"/>
  <c r="F947" i="1" s="1"/>
  <c r="G957" i="1"/>
  <c r="G951" i="1" s="1"/>
  <c r="G947" i="1" s="1"/>
  <c r="H957" i="1"/>
  <c r="H951" i="1" s="1"/>
  <c r="H947" i="1" s="1"/>
  <c r="I957" i="1"/>
  <c r="I951" i="1" s="1"/>
  <c r="I947" i="1" s="1"/>
  <c r="J957" i="1"/>
  <c r="J951" i="1" s="1"/>
  <c r="J947" i="1" s="1"/>
  <c r="K957" i="1"/>
  <c r="K951" i="1" s="1"/>
  <c r="K947" i="1" s="1"/>
  <c r="L957" i="1"/>
  <c r="L951" i="1" s="1"/>
  <c r="L947" i="1" s="1"/>
  <c r="B958" i="1"/>
  <c r="B953" i="1" s="1"/>
  <c r="B959" i="1"/>
  <c r="B954" i="1" s="1"/>
  <c r="B962" i="1"/>
  <c r="B963" i="1"/>
  <c r="B964" i="1"/>
  <c r="C967" i="1"/>
  <c r="D967" i="1"/>
  <c r="E967" i="1"/>
  <c r="F967" i="1"/>
  <c r="G967" i="1"/>
  <c r="H967" i="1"/>
  <c r="I967" i="1"/>
  <c r="J967" i="1"/>
  <c r="K967" i="1"/>
  <c r="L967" i="1"/>
  <c r="C968" i="1"/>
  <c r="D968" i="1"/>
  <c r="E968" i="1"/>
  <c r="F968" i="1"/>
  <c r="G968" i="1"/>
  <c r="H968" i="1"/>
  <c r="I968" i="1"/>
  <c r="J968" i="1"/>
  <c r="K968" i="1"/>
  <c r="L968" i="1"/>
  <c r="C971" i="1"/>
  <c r="C965" i="1" s="1"/>
  <c r="C961" i="1" s="1"/>
  <c r="D971" i="1"/>
  <c r="D965" i="1" s="1"/>
  <c r="D961" i="1" s="1"/>
  <c r="E971" i="1"/>
  <c r="E965" i="1" s="1"/>
  <c r="E961" i="1" s="1"/>
  <c r="F971" i="1"/>
  <c r="F965" i="1" s="1"/>
  <c r="F961" i="1" s="1"/>
  <c r="G971" i="1"/>
  <c r="G965" i="1" s="1"/>
  <c r="G961" i="1" s="1"/>
  <c r="H971" i="1"/>
  <c r="H965" i="1" s="1"/>
  <c r="H961" i="1" s="1"/>
  <c r="I971" i="1"/>
  <c r="I965" i="1" s="1"/>
  <c r="I961" i="1" s="1"/>
  <c r="J971" i="1"/>
  <c r="J965" i="1" s="1"/>
  <c r="J961" i="1" s="1"/>
  <c r="K971" i="1"/>
  <c r="K965" i="1" s="1"/>
  <c r="K961" i="1" s="1"/>
  <c r="L971" i="1"/>
  <c r="L965" i="1" s="1"/>
  <c r="L961" i="1" s="1"/>
  <c r="B972" i="1"/>
  <c r="B967" i="1" s="1"/>
  <c r="B973" i="1"/>
  <c r="B968" i="1" s="1"/>
  <c r="B976" i="1"/>
  <c r="B977" i="1"/>
  <c r="B978" i="1"/>
  <c r="C981" i="1"/>
  <c r="D981" i="1"/>
  <c r="E981" i="1"/>
  <c r="F981" i="1"/>
  <c r="G981" i="1"/>
  <c r="H981" i="1"/>
  <c r="I981" i="1"/>
  <c r="J981" i="1"/>
  <c r="K981" i="1"/>
  <c r="L981" i="1"/>
  <c r="C982" i="1"/>
  <c r="D982" i="1"/>
  <c r="E982" i="1"/>
  <c r="F982" i="1"/>
  <c r="G982" i="1"/>
  <c r="H982" i="1"/>
  <c r="I982" i="1"/>
  <c r="J982" i="1"/>
  <c r="K982" i="1"/>
  <c r="L982" i="1"/>
  <c r="C985" i="1"/>
  <c r="C979" i="1" s="1"/>
  <c r="C975" i="1" s="1"/>
  <c r="D985" i="1"/>
  <c r="D979" i="1" s="1"/>
  <c r="D975" i="1" s="1"/>
  <c r="E985" i="1"/>
  <c r="E979" i="1" s="1"/>
  <c r="E975" i="1" s="1"/>
  <c r="F985" i="1"/>
  <c r="F979" i="1" s="1"/>
  <c r="F975" i="1" s="1"/>
  <c r="G985" i="1"/>
  <c r="G979" i="1" s="1"/>
  <c r="G975" i="1" s="1"/>
  <c r="H985" i="1"/>
  <c r="H979" i="1" s="1"/>
  <c r="H975" i="1" s="1"/>
  <c r="I985" i="1"/>
  <c r="I979" i="1" s="1"/>
  <c r="I975" i="1" s="1"/>
  <c r="J985" i="1"/>
  <c r="J979" i="1" s="1"/>
  <c r="J975" i="1" s="1"/>
  <c r="K985" i="1"/>
  <c r="K979" i="1" s="1"/>
  <c r="K975" i="1" s="1"/>
  <c r="L985" i="1"/>
  <c r="L979" i="1" s="1"/>
  <c r="L975" i="1" s="1"/>
  <c r="B986" i="1"/>
  <c r="B981" i="1" s="1"/>
  <c r="B987" i="1"/>
  <c r="B982" i="1" s="1"/>
  <c r="B990" i="1"/>
  <c r="B991" i="1"/>
  <c r="B992" i="1"/>
  <c r="C995" i="1"/>
  <c r="D995" i="1"/>
  <c r="E995" i="1"/>
  <c r="F995" i="1"/>
  <c r="G995" i="1"/>
  <c r="H995" i="1"/>
  <c r="I995" i="1"/>
  <c r="J995" i="1"/>
  <c r="K995" i="1"/>
  <c r="L995" i="1"/>
  <c r="C996" i="1"/>
  <c r="D996" i="1"/>
  <c r="E996" i="1"/>
  <c r="F996" i="1"/>
  <c r="G996" i="1"/>
  <c r="H996" i="1"/>
  <c r="I996" i="1"/>
  <c r="J996" i="1"/>
  <c r="K996" i="1"/>
  <c r="L996" i="1"/>
  <c r="C999" i="1"/>
  <c r="C993" i="1" s="1"/>
  <c r="C989" i="1" s="1"/>
  <c r="D999" i="1"/>
  <c r="D993" i="1" s="1"/>
  <c r="D989" i="1" s="1"/>
  <c r="E999" i="1"/>
  <c r="E993" i="1" s="1"/>
  <c r="E989" i="1" s="1"/>
  <c r="F999" i="1"/>
  <c r="F993" i="1" s="1"/>
  <c r="F989" i="1" s="1"/>
  <c r="G999" i="1"/>
  <c r="G993" i="1" s="1"/>
  <c r="G989" i="1" s="1"/>
  <c r="H999" i="1"/>
  <c r="H993" i="1" s="1"/>
  <c r="H989" i="1" s="1"/>
  <c r="I999" i="1"/>
  <c r="I993" i="1" s="1"/>
  <c r="I989" i="1" s="1"/>
  <c r="J999" i="1"/>
  <c r="J993" i="1" s="1"/>
  <c r="J989" i="1" s="1"/>
  <c r="K999" i="1"/>
  <c r="K993" i="1" s="1"/>
  <c r="K989" i="1" s="1"/>
  <c r="L999" i="1"/>
  <c r="L993" i="1" s="1"/>
  <c r="L989" i="1" s="1"/>
  <c r="B1000" i="1"/>
  <c r="B995" i="1" s="1"/>
  <c r="B1001" i="1"/>
  <c r="B996" i="1" s="1"/>
  <c r="B930" i="1"/>
  <c r="B925" i="1" s="1"/>
  <c r="B903" i="1"/>
  <c r="B904" i="1"/>
  <c r="B905" i="1"/>
  <c r="C908" i="1"/>
  <c r="D908" i="1"/>
  <c r="E908" i="1"/>
  <c r="F908" i="1"/>
  <c r="G908" i="1"/>
  <c r="H908" i="1"/>
  <c r="I908" i="1"/>
  <c r="J908" i="1"/>
  <c r="K908" i="1"/>
  <c r="L908" i="1"/>
  <c r="C909" i="1"/>
  <c r="D909" i="1"/>
  <c r="E909" i="1"/>
  <c r="F909" i="1"/>
  <c r="G909" i="1"/>
  <c r="H909" i="1"/>
  <c r="I909" i="1"/>
  <c r="J909" i="1"/>
  <c r="K909" i="1"/>
  <c r="L909" i="1"/>
  <c r="C912" i="1"/>
  <c r="D912" i="1"/>
  <c r="E912" i="1"/>
  <c r="F912" i="1"/>
  <c r="G912" i="1"/>
  <c r="H912" i="1"/>
  <c r="I912" i="1"/>
  <c r="J912" i="1"/>
  <c r="K912" i="1"/>
  <c r="L912" i="1"/>
  <c r="B913" i="1"/>
  <c r="B914" i="1"/>
  <c r="C915" i="1"/>
  <c r="D915" i="1"/>
  <c r="E915" i="1"/>
  <c r="F915" i="1"/>
  <c r="G915" i="1"/>
  <c r="H915" i="1"/>
  <c r="I915" i="1"/>
  <c r="J915" i="1"/>
  <c r="K915" i="1"/>
  <c r="L915" i="1"/>
  <c r="B916" i="1"/>
  <c r="B917" i="1"/>
  <c r="D906" i="1" l="1"/>
  <c r="D902" i="1" s="1"/>
  <c r="G713" i="1"/>
  <c r="E713" i="1"/>
  <c r="C713" i="1"/>
  <c r="L937" i="1"/>
  <c r="L933" i="1" s="1"/>
  <c r="D713" i="1"/>
  <c r="K713" i="1"/>
  <c r="I713" i="1"/>
  <c r="H713" i="1"/>
  <c r="L713" i="1"/>
  <c r="J1014" i="1"/>
  <c r="J1007" i="1" s="1"/>
  <c r="J1003" i="1" s="1"/>
  <c r="G1014" i="1"/>
  <c r="G1007" i="1" s="1"/>
  <c r="G1003" i="1" s="1"/>
  <c r="J713" i="1"/>
  <c r="F713" i="1"/>
  <c r="F705" i="1"/>
  <c r="K1009" i="1"/>
  <c r="C1009" i="1"/>
  <c r="C710" i="1"/>
  <c r="I906" i="1"/>
  <c r="I902" i="1" s="1"/>
  <c r="K937" i="1"/>
  <c r="K933" i="1" s="1"/>
  <c r="G937" i="1"/>
  <c r="G933" i="1" s="1"/>
  <c r="D1009" i="1"/>
  <c r="D710" i="1"/>
  <c r="F704" i="1"/>
  <c r="B943" i="1"/>
  <c r="F937" i="1"/>
  <c r="F933" i="1" s="1"/>
  <c r="E1009" i="1"/>
  <c r="E710" i="1"/>
  <c r="H705" i="1"/>
  <c r="L705" i="1"/>
  <c r="I705" i="1"/>
  <c r="G705" i="1"/>
  <c r="L1014" i="1"/>
  <c r="L1007" i="1" s="1"/>
  <c r="L1003" i="1" s="1"/>
  <c r="I1009" i="1"/>
  <c r="H1009" i="1"/>
  <c r="B1015" i="1"/>
  <c r="B1009" i="1" s="1"/>
  <c r="E1014" i="1"/>
  <c r="E1007" i="1" s="1"/>
  <c r="E1003" i="1" s="1"/>
  <c r="D1014" i="1"/>
  <c r="D1007" i="1" s="1"/>
  <c r="D1003" i="1" s="1"/>
  <c r="B1017" i="1"/>
  <c r="B1011" i="1" s="1"/>
  <c r="C1014" i="1"/>
  <c r="C1007" i="1" s="1"/>
  <c r="C1003" i="1" s="1"/>
  <c r="B1010" i="1"/>
  <c r="B711" i="1" s="1"/>
  <c r="B705" i="1" s="1"/>
  <c r="E906" i="1"/>
  <c r="E902" i="1" s="1"/>
  <c r="E937" i="1"/>
  <c r="E933" i="1" s="1"/>
  <c r="H937" i="1"/>
  <c r="H933" i="1" s="1"/>
  <c r="J937" i="1"/>
  <c r="J933" i="1" s="1"/>
  <c r="D937" i="1"/>
  <c r="D933" i="1" s="1"/>
  <c r="K906" i="1"/>
  <c r="K902" i="1" s="1"/>
  <c r="C906" i="1"/>
  <c r="C902" i="1" s="1"/>
  <c r="I937" i="1"/>
  <c r="I933" i="1" s="1"/>
  <c r="C937" i="1"/>
  <c r="C933" i="1" s="1"/>
  <c r="B929" i="1"/>
  <c r="B923" i="1" s="1"/>
  <c r="B919" i="1" s="1"/>
  <c r="H906" i="1"/>
  <c r="H902" i="1" s="1"/>
  <c r="B908" i="1"/>
  <c r="G906" i="1"/>
  <c r="G902" i="1" s="1"/>
  <c r="L906" i="1"/>
  <c r="L902" i="1" s="1"/>
  <c r="F906" i="1"/>
  <c r="F902" i="1" s="1"/>
  <c r="B939" i="1"/>
  <c r="B937" i="1" s="1"/>
  <c r="B933" i="1" s="1"/>
  <c r="J906" i="1"/>
  <c r="J902" i="1" s="1"/>
  <c r="B909" i="1"/>
  <c r="B926" i="1"/>
  <c r="B957" i="1"/>
  <c r="B951" i="1" s="1"/>
  <c r="B947" i="1" s="1"/>
  <c r="B971" i="1"/>
  <c r="B965" i="1" s="1"/>
  <c r="B961" i="1" s="1"/>
  <c r="B985" i="1"/>
  <c r="B979" i="1" s="1"/>
  <c r="B975" i="1" s="1"/>
  <c r="B999" i="1"/>
  <c r="B993" i="1" s="1"/>
  <c r="B989" i="1" s="1"/>
  <c r="B912" i="1"/>
  <c r="B915" i="1"/>
  <c r="B889" i="1"/>
  <c r="B890" i="1"/>
  <c r="B891" i="1"/>
  <c r="C894" i="1"/>
  <c r="D894" i="1"/>
  <c r="E894" i="1"/>
  <c r="F894" i="1"/>
  <c r="G894" i="1"/>
  <c r="H894" i="1"/>
  <c r="I894" i="1"/>
  <c r="J894" i="1"/>
  <c r="K894" i="1"/>
  <c r="L894" i="1"/>
  <c r="C895" i="1"/>
  <c r="D895" i="1"/>
  <c r="E895" i="1"/>
  <c r="F895" i="1"/>
  <c r="G895" i="1"/>
  <c r="H895" i="1"/>
  <c r="I895" i="1"/>
  <c r="J895" i="1"/>
  <c r="K895" i="1"/>
  <c r="L895" i="1"/>
  <c r="C898" i="1"/>
  <c r="C892" i="1" s="1"/>
  <c r="C888" i="1" s="1"/>
  <c r="D898" i="1"/>
  <c r="D892" i="1" s="1"/>
  <c r="D888" i="1" s="1"/>
  <c r="E898" i="1"/>
  <c r="E892" i="1" s="1"/>
  <c r="E888" i="1" s="1"/>
  <c r="F898" i="1"/>
  <c r="F892" i="1" s="1"/>
  <c r="F888" i="1" s="1"/>
  <c r="G898" i="1"/>
  <c r="G892" i="1" s="1"/>
  <c r="G888" i="1" s="1"/>
  <c r="H898" i="1"/>
  <c r="H892" i="1" s="1"/>
  <c r="H888" i="1" s="1"/>
  <c r="I898" i="1"/>
  <c r="I892" i="1" s="1"/>
  <c r="I888" i="1" s="1"/>
  <c r="J898" i="1"/>
  <c r="J892" i="1" s="1"/>
  <c r="J888" i="1" s="1"/>
  <c r="K898" i="1"/>
  <c r="K892" i="1" s="1"/>
  <c r="K888" i="1" s="1"/>
  <c r="L898" i="1"/>
  <c r="L892" i="1" s="1"/>
  <c r="L888" i="1" s="1"/>
  <c r="B899" i="1"/>
  <c r="B894" i="1" s="1"/>
  <c r="B900" i="1"/>
  <c r="B895" i="1" s="1"/>
  <c r="B872" i="1"/>
  <c r="B873" i="1"/>
  <c r="B874" i="1"/>
  <c r="C878" i="1"/>
  <c r="C875" i="1" s="1"/>
  <c r="C871" i="1" s="1"/>
  <c r="D878" i="1"/>
  <c r="D875" i="1" s="1"/>
  <c r="D871" i="1" s="1"/>
  <c r="E878" i="1"/>
  <c r="E875" i="1" s="1"/>
  <c r="E871" i="1" s="1"/>
  <c r="F878" i="1"/>
  <c r="F875" i="1" s="1"/>
  <c r="F871" i="1" s="1"/>
  <c r="G878" i="1"/>
  <c r="G875" i="1" s="1"/>
  <c r="G871" i="1" s="1"/>
  <c r="H878" i="1"/>
  <c r="H875" i="1" s="1"/>
  <c r="H871" i="1" s="1"/>
  <c r="I878" i="1"/>
  <c r="I875" i="1" s="1"/>
  <c r="I871" i="1" s="1"/>
  <c r="J878" i="1"/>
  <c r="J875" i="1" s="1"/>
  <c r="J871" i="1" s="1"/>
  <c r="K878" i="1"/>
  <c r="K875" i="1" s="1"/>
  <c r="K871" i="1" s="1"/>
  <c r="C881" i="1"/>
  <c r="D881" i="1"/>
  <c r="E881" i="1"/>
  <c r="F881" i="1"/>
  <c r="G881" i="1"/>
  <c r="H881" i="1"/>
  <c r="I881" i="1"/>
  <c r="J881" i="1"/>
  <c r="K881" i="1"/>
  <c r="C884" i="1"/>
  <c r="D884" i="1"/>
  <c r="E884" i="1"/>
  <c r="F884" i="1"/>
  <c r="G884" i="1"/>
  <c r="H884" i="1"/>
  <c r="I884" i="1"/>
  <c r="J884" i="1"/>
  <c r="K884" i="1"/>
  <c r="L884" i="1"/>
  <c r="B886" i="1"/>
  <c r="B715" i="1" s="1"/>
  <c r="B885" i="1"/>
  <c r="B714" i="1" s="1"/>
  <c r="L868" i="1"/>
  <c r="K868" i="1"/>
  <c r="J868" i="1"/>
  <c r="I868" i="1"/>
  <c r="H868" i="1"/>
  <c r="G868" i="1"/>
  <c r="G710" i="1" s="1"/>
  <c r="G704" i="1" s="1"/>
  <c r="B713" i="1" l="1"/>
  <c r="E704" i="1"/>
  <c r="D704" i="1"/>
  <c r="C704" i="1"/>
  <c r="B1014" i="1"/>
  <c r="B1007" i="1" s="1"/>
  <c r="B1003" i="1" s="1"/>
  <c r="B906" i="1"/>
  <c r="B902" i="1" s="1"/>
  <c r="B898" i="1"/>
  <c r="B892" i="1" s="1"/>
  <c r="B888" i="1" s="1"/>
  <c r="B884" i="1"/>
  <c r="B858" i="1" l="1"/>
  <c r="B859" i="1"/>
  <c r="B860" i="1"/>
  <c r="C863" i="1"/>
  <c r="D863" i="1"/>
  <c r="E863" i="1"/>
  <c r="F863" i="1"/>
  <c r="G863" i="1"/>
  <c r="H863" i="1"/>
  <c r="I863" i="1"/>
  <c r="J863" i="1"/>
  <c r="K863" i="1"/>
  <c r="L863" i="1"/>
  <c r="C864" i="1"/>
  <c r="D864" i="1"/>
  <c r="E864" i="1"/>
  <c r="F864" i="1"/>
  <c r="G864" i="1"/>
  <c r="H864" i="1"/>
  <c r="I864" i="1"/>
  <c r="J864" i="1"/>
  <c r="K864" i="1"/>
  <c r="L864" i="1"/>
  <c r="C867" i="1"/>
  <c r="C861" i="1" s="1"/>
  <c r="C857" i="1" s="1"/>
  <c r="D867" i="1"/>
  <c r="D861" i="1" s="1"/>
  <c r="D857" i="1" s="1"/>
  <c r="E867" i="1"/>
  <c r="E861" i="1" s="1"/>
  <c r="E857" i="1" s="1"/>
  <c r="F867" i="1"/>
  <c r="F861" i="1" s="1"/>
  <c r="F857" i="1" s="1"/>
  <c r="G867" i="1"/>
  <c r="G861" i="1" s="1"/>
  <c r="G857" i="1" s="1"/>
  <c r="H867" i="1"/>
  <c r="H861" i="1" s="1"/>
  <c r="H857" i="1" s="1"/>
  <c r="I867" i="1"/>
  <c r="I861" i="1" s="1"/>
  <c r="I857" i="1" s="1"/>
  <c r="J867" i="1"/>
  <c r="J861" i="1" s="1"/>
  <c r="J857" i="1" s="1"/>
  <c r="K867" i="1"/>
  <c r="K861" i="1" s="1"/>
  <c r="K857" i="1" s="1"/>
  <c r="L867" i="1"/>
  <c r="L861" i="1" s="1"/>
  <c r="L857" i="1" s="1"/>
  <c r="B868" i="1"/>
  <c r="B863" i="1" s="1"/>
  <c r="B869" i="1"/>
  <c r="B864" i="1" s="1"/>
  <c r="L855" i="1"/>
  <c r="L850" i="1" s="1"/>
  <c r="J855" i="1"/>
  <c r="J853" i="1" s="1"/>
  <c r="J847" i="1" s="1"/>
  <c r="J843" i="1" s="1"/>
  <c r="K855" i="1"/>
  <c r="K850" i="1" s="1"/>
  <c r="I855" i="1"/>
  <c r="I853" i="1" s="1"/>
  <c r="I847" i="1" s="1"/>
  <c r="I843" i="1" s="1"/>
  <c r="H855" i="1"/>
  <c r="H853" i="1" s="1"/>
  <c r="H847" i="1" s="1"/>
  <c r="H843" i="1" s="1"/>
  <c r="B844" i="1"/>
  <c r="B845" i="1"/>
  <c r="B846" i="1"/>
  <c r="C849" i="1"/>
  <c r="D849" i="1"/>
  <c r="E849" i="1"/>
  <c r="F849" i="1"/>
  <c r="G849" i="1"/>
  <c r="H849" i="1"/>
  <c r="I849" i="1"/>
  <c r="J849" i="1"/>
  <c r="K849" i="1"/>
  <c r="L849" i="1"/>
  <c r="C850" i="1"/>
  <c r="D850" i="1"/>
  <c r="E850" i="1"/>
  <c r="F850" i="1"/>
  <c r="G850" i="1"/>
  <c r="C853" i="1"/>
  <c r="C847" i="1" s="1"/>
  <c r="C843" i="1" s="1"/>
  <c r="D853" i="1"/>
  <c r="D847" i="1" s="1"/>
  <c r="D843" i="1" s="1"/>
  <c r="E853" i="1"/>
  <c r="E847" i="1" s="1"/>
  <c r="E843" i="1" s="1"/>
  <c r="F853" i="1"/>
  <c r="F847" i="1" s="1"/>
  <c r="F843" i="1" s="1"/>
  <c r="G853" i="1"/>
  <c r="G847" i="1" s="1"/>
  <c r="G843" i="1" s="1"/>
  <c r="B854" i="1"/>
  <c r="B849" i="1" s="1"/>
  <c r="B830" i="1"/>
  <c r="B831" i="1"/>
  <c r="B832" i="1"/>
  <c r="C835" i="1"/>
  <c r="D835" i="1"/>
  <c r="E835" i="1"/>
  <c r="F835" i="1"/>
  <c r="G835" i="1"/>
  <c r="H835" i="1"/>
  <c r="I835" i="1"/>
  <c r="J835" i="1"/>
  <c r="K835" i="1"/>
  <c r="L835" i="1"/>
  <c r="C836" i="1"/>
  <c r="D836" i="1"/>
  <c r="E836" i="1"/>
  <c r="F836" i="1"/>
  <c r="G836" i="1"/>
  <c r="H836" i="1"/>
  <c r="I836" i="1"/>
  <c r="J836" i="1"/>
  <c r="K836" i="1"/>
  <c r="L836" i="1"/>
  <c r="C839" i="1"/>
  <c r="C833" i="1" s="1"/>
  <c r="C829" i="1" s="1"/>
  <c r="D839" i="1"/>
  <c r="D833" i="1" s="1"/>
  <c r="D829" i="1" s="1"/>
  <c r="E839" i="1"/>
  <c r="E833" i="1" s="1"/>
  <c r="E829" i="1" s="1"/>
  <c r="F839" i="1"/>
  <c r="F833" i="1" s="1"/>
  <c r="F829" i="1" s="1"/>
  <c r="G839" i="1"/>
  <c r="G833" i="1" s="1"/>
  <c r="G829" i="1" s="1"/>
  <c r="H839" i="1"/>
  <c r="H833" i="1" s="1"/>
  <c r="H829" i="1" s="1"/>
  <c r="I839" i="1"/>
  <c r="I833" i="1" s="1"/>
  <c r="I829" i="1" s="1"/>
  <c r="J839" i="1"/>
  <c r="J833" i="1" s="1"/>
  <c r="J829" i="1" s="1"/>
  <c r="K839" i="1"/>
  <c r="K833" i="1" s="1"/>
  <c r="K829" i="1" s="1"/>
  <c r="L839" i="1"/>
  <c r="L833" i="1" s="1"/>
  <c r="L829" i="1" s="1"/>
  <c r="B840" i="1"/>
  <c r="B835" i="1" s="1"/>
  <c r="B841" i="1"/>
  <c r="B836" i="1" s="1"/>
  <c r="B816" i="1"/>
  <c r="B817" i="1"/>
  <c r="B818" i="1"/>
  <c r="C821" i="1"/>
  <c r="D821" i="1"/>
  <c r="E821" i="1"/>
  <c r="F821" i="1"/>
  <c r="G821" i="1"/>
  <c r="H821" i="1"/>
  <c r="I821" i="1"/>
  <c r="J821" i="1"/>
  <c r="K821" i="1"/>
  <c r="L821" i="1"/>
  <c r="C822" i="1"/>
  <c r="D822" i="1"/>
  <c r="E822" i="1"/>
  <c r="F822" i="1"/>
  <c r="G822" i="1"/>
  <c r="H822" i="1"/>
  <c r="I822" i="1"/>
  <c r="J822" i="1"/>
  <c r="K822" i="1"/>
  <c r="L822" i="1"/>
  <c r="C825" i="1"/>
  <c r="C819" i="1" s="1"/>
  <c r="C815" i="1" s="1"/>
  <c r="D825" i="1"/>
  <c r="D819" i="1" s="1"/>
  <c r="D815" i="1" s="1"/>
  <c r="E825" i="1"/>
  <c r="E819" i="1" s="1"/>
  <c r="E815" i="1" s="1"/>
  <c r="F825" i="1"/>
  <c r="F819" i="1" s="1"/>
  <c r="F815" i="1" s="1"/>
  <c r="G825" i="1"/>
  <c r="G819" i="1" s="1"/>
  <c r="G815" i="1" s="1"/>
  <c r="H825" i="1"/>
  <c r="H819" i="1" s="1"/>
  <c r="H815" i="1" s="1"/>
  <c r="I825" i="1"/>
  <c r="I819" i="1" s="1"/>
  <c r="I815" i="1" s="1"/>
  <c r="J825" i="1"/>
  <c r="J819" i="1" s="1"/>
  <c r="J815" i="1" s="1"/>
  <c r="K825" i="1"/>
  <c r="K819" i="1" s="1"/>
  <c r="K815" i="1" s="1"/>
  <c r="L825" i="1"/>
  <c r="L819" i="1" s="1"/>
  <c r="L815" i="1" s="1"/>
  <c r="B826" i="1"/>
  <c r="B821" i="1" s="1"/>
  <c r="B827" i="1"/>
  <c r="B822" i="1" s="1"/>
  <c r="B802" i="1"/>
  <c r="B803" i="1"/>
  <c r="B804" i="1"/>
  <c r="C807" i="1"/>
  <c r="D807" i="1"/>
  <c r="E807" i="1"/>
  <c r="F807" i="1"/>
  <c r="G807" i="1"/>
  <c r="H807" i="1"/>
  <c r="I807" i="1"/>
  <c r="J807" i="1"/>
  <c r="K807" i="1"/>
  <c r="L807" i="1"/>
  <c r="C808" i="1"/>
  <c r="D808" i="1"/>
  <c r="E808" i="1"/>
  <c r="F808" i="1"/>
  <c r="G808" i="1"/>
  <c r="H808" i="1"/>
  <c r="I808" i="1"/>
  <c r="J808" i="1"/>
  <c r="K808" i="1"/>
  <c r="L808" i="1"/>
  <c r="C811" i="1"/>
  <c r="C805" i="1" s="1"/>
  <c r="C801" i="1" s="1"/>
  <c r="D811" i="1"/>
  <c r="D805" i="1" s="1"/>
  <c r="D801" i="1" s="1"/>
  <c r="E811" i="1"/>
  <c r="E805" i="1" s="1"/>
  <c r="E801" i="1" s="1"/>
  <c r="F811" i="1"/>
  <c r="F805" i="1" s="1"/>
  <c r="F801" i="1" s="1"/>
  <c r="G811" i="1"/>
  <c r="G805" i="1" s="1"/>
  <c r="G801" i="1" s="1"/>
  <c r="H811" i="1"/>
  <c r="H805" i="1" s="1"/>
  <c r="H801" i="1" s="1"/>
  <c r="I811" i="1"/>
  <c r="I805" i="1" s="1"/>
  <c r="I801" i="1" s="1"/>
  <c r="J811" i="1"/>
  <c r="J805" i="1" s="1"/>
  <c r="J801" i="1" s="1"/>
  <c r="K811" i="1"/>
  <c r="K805" i="1" s="1"/>
  <c r="K801" i="1" s="1"/>
  <c r="L811" i="1"/>
  <c r="L805" i="1" s="1"/>
  <c r="L801" i="1" s="1"/>
  <c r="B812" i="1"/>
  <c r="B807" i="1" s="1"/>
  <c r="B813" i="1"/>
  <c r="B808" i="1" s="1"/>
  <c r="B788" i="1"/>
  <c r="B789" i="1"/>
  <c r="B790" i="1"/>
  <c r="C793" i="1"/>
  <c r="D793" i="1"/>
  <c r="E793" i="1"/>
  <c r="F793" i="1"/>
  <c r="G793" i="1"/>
  <c r="C794" i="1"/>
  <c r="D794" i="1"/>
  <c r="E794" i="1"/>
  <c r="F794" i="1"/>
  <c r="G794" i="1"/>
  <c r="H794" i="1"/>
  <c r="I794" i="1"/>
  <c r="J794" i="1"/>
  <c r="K794" i="1"/>
  <c r="L794" i="1"/>
  <c r="C797" i="1"/>
  <c r="C791" i="1" s="1"/>
  <c r="C787" i="1" s="1"/>
  <c r="D797" i="1"/>
  <c r="D791" i="1" s="1"/>
  <c r="D787" i="1" s="1"/>
  <c r="E797" i="1"/>
  <c r="E791" i="1" s="1"/>
  <c r="E787" i="1" s="1"/>
  <c r="F797" i="1"/>
  <c r="F791" i="1" s="1"/>
  <c r="F787" i="1" s="1"/>
  <c r="G797" i="1"/>
  <c r="G791" i="1" s="1"/>
  <c r="G787" i="1" s="1"/>
  <c r="B799" i="1"/>
  <c r="B794" i="1" s="1"/>
  <c r="B774" i="1"/>
  <c r="B775" i="1"/>
  <c r="B776" i="1"/>
  <c r="C779" i="1"/>
  <c r="D779" i="1"/>
  <c r="E779" i="1"/>
  <c r="F779" i="1"/>
  <c r="G779" i="1"/>
  <c r="H779" i="1"/>
  <c r="I779" i="1"/>
  <c r="J779" i="1"/>
  <c r="K779" i="1"/>
  <c r="L779" i="1"/>
  <c r="C780" i="1"/>
  <c r="D780" i="1"/>
  <c r="E780" i="1"/>
  <c r="F780" i="1"/>
  <c r="G780" i="1"/>
  <c r="H780" i="1"/>
  <c r="I780" i="1"/>
  <c r="J780" i="1"/>
  <c r="K780" i="1"/>
  <c r="L780" i="1"/>
  <c r="B760" i="1"/>
  <c r="B761" i="1"/>
  <c r="B762" i="1"/>
  <c r="C765" i="1"/>
  <c r="D765" i="1"/>
  <c r="E765" i="1"/>
  <c r="F765" i="1"/>
  <c r="G765" i="1"/>
  <c r="H765" i="1"/>
  <c r="I765" i="1"/>
  <c r="J765" i="1"/>
  <c r="K765" i="1"/>
  <c r="L765" i="1"/>
  <c r="C766" i="1"/>
  <c r="D766" i="1"/>
  <c r="E766" i="1"/>
  <c r="F766" i="1"/>
  <c r="G766" i="1"/>
  <c r="H766" i="1"/>
  <c r="I766" i="1"/>
  <c r="J766" i="1"/>
  <c r="K766" i="1"/>
  <c r="L766" i="1"/>
  <c r="C769" i="1"/>
  <c r="C763" i="1" s="1"/>
  <c r="C759" i="1" s="1"/>
  <c r="D769" i="1"/>
  <c r="D763" i="1" s="1"/>
  <c r="D759" i="1" s="1"/>
  <c r="E769" i="1"/>
  <c r="E763" i="1" s="1"/>
  <c r="E759" i="1" s="1"/>
  <c r="F769" i="1"/>
  <c r="F763" i="1" s="1"/>
  <c r="F759" i="1" s="1"/>
  <c r="G769" i="1"/>
  <c r="G763" i="1" s="1"/>
  <c r="G759" i="1" s="1"/>
  <c r="H769" i="1"/>
  <c r="H763" i="1" s="1"/>
  <c r="H759" i="1" s="1"/>
  <c r="I769" i="1"/>
  <c r="I763" i="1" s="1"/>
  <c r="I759" i="1" s="1"/>
  <c r="J769" i="1"/>
  <c r="J763" i="1" s="1"/>
  <c r="J759" i="1" s="1"/>
  <c r="K769" i="1"/>
  <c r="K763" i="1" s="1"/>
  <c r="K759" i="1" s="1"/>
  <c r="L769" i="1"/>
  <c r="L763" i="1" s="1"/>
  <c r="L759" i="1" s="1"/>
  <c r="B770" i="1"/>
  <c r="B765" i="1" s="1"/>
  <c r="B771" i="1"/>
  <c r="B766" i="1" s="1"/>
  <c r="B746" i="1"/>
  <c r="B747" i="1"/>
  <c r="B748" i="1"/>
  <c r="C751" i="1"/>
  <c r="D751" i="1"/>
  <c r="E751" i="1"/>
  <c r="F751" i="1"/>
  <c r="G751" i="1"/>
  <c r="H751" i="1"/>
  <c r="I751" i="1"/>
  <c r="J751" i="1"/>
  <c r="K751" i="1"/>
  <c r="L751" i="1"/>
  <c r="C752" i="1"/>
  <c r="D752" i="1"/>
  <c r="E752" i="1"/>
  <c r="F752" i="1"/>
  <c r="G752" i="1"/>
  <c r="H752" i="1"/>
  <c r="I752" i="1"/>
  <c r="J752" i="1"/>
  <c r="K752" i="1"/>
  <c r="L752" i="1"/>
  <c r="C755" i="1"/>
  <c r="C749" i="1" s="1"/>
  <c r="C745" i="1" s="1"/>
  <c r="D755" i="1"/>
  <c r="D749" i="1" s="1"/>
  <c r="D745" i="1" s="1"/>
  <c r="E755" i="1"/>
  <c r="E749" i="1" s="1"/>
  <c r="E745" i="1" s="1"/>
  <c r="F755" i="1"/>
  <c r="F749" i="1" s="1"/>
  <c r="F745" i="1" s="1"/>
  <c r="G755" i="1"/>
  <c r="G749" i="1" s="1"/>
  <c r="G745" i="1" s="1"/>
  <c r="H755" i="1"/>
  <c r="H749" i="1" s="1"/>
  <c r="H745" i="1" s="1"/>
  <c r="I755" i="1"/>
  <c r="I749" i="1" s="1"/>
  <c r="I745" i="1" s="1"/>
  <c r="J755" i="1"/>
  <c r="J749" i="1" s="1"/>
  <c r="J745" i="1" s="1"/>
  <c r="K755" i="1"/>
  <c r="K749" i="1" s="1"/>
  <c r="K745" i="1" s="1"/>
  <c r="L755" i="1"/>
  <c r="L749" i="1" s="1"/>
  <c r="L745" i="1" s="1"/>
  <c r="B756" i="1"/>
  <c r="B751" i="1" s="1"/>
  <c r="B757" i="1"/>
  <c r="B752" i="1" s="1"/>
  <c r="L734" i="1"/>
  <c r="K734" i="1" s="1"/>
  <c r="J734" i="1" s="1"/>
  <c r="I734" i="1" s="1"/>
  <c r="H734" i="1" s="1"/>
  <c r="G734" i="1" s="1"/>
  <c r="F734" i="1" s="1"/>
  <c r="E734" i="1" s="1"/>
  <c r="D734" i="1" s="1"/>
  <c r="C734" i="1" s="1"/>
  <c r="B734" i="1" s="1"/>
  <c r="L733" i="1"/>
  <c r="K733" i="1" s="1"/>
  <c r="J733" i="1" s="1"/>
  <c r="I733" i="1" s="1"/>
  <c r="H733" i="1" s="1"/>
  <c r="G733" i="1" s="1"/>
  <c r="F733" i="1" s="1"/>
  <c r="E733" i="1" s="1"/>
  <c r="D733" i="1" s="1"/>
  <c r="C733" i="1" s="1"/>
  <c r="B733" i="1" s="1"/>
  <c r="L732" i="1"/>
  <c r="K732" i="1" s="1"/>
  <c r="J732" i="1" s="1"/>
  <c r="I732" i="1" s="1"/>
  <c r="H732" i="1" s="1"/>
  <c r="G732" i="1" s="1"/>
  <c r="F732" i="1" s="1"/>
  <c r="E732" i="1" s="1"/>
  <c r="D732" i="1" s="1"/>
  <c r="C732" i="1" s="1"/>
  <c r="B732" i="1" s="1"/>
  <c r="C737" i="1"/>
  <c r="D737" i="1"/>
  <c r="E737" i="1"/>
  <c r="F737" i="1"/>
  <c r="G737" i="1"/>
  <c r="H737" i="1"/>
  <c r="I737" i="1"/>
  <c r="J737" i="1"/>
  <c r="K737" i="1"/>
  <c r="L737" i="1"/>
  <c r="C738" i="1"/>
  <c r="D738" i="1"/>
  <c r="E738" i="1"/>
  <c r="F738" i="1"/>
  <c r="G738" i="1"/>
  <c r="H738" i="1"/>
  <c r="I738" i="1"/>
  <c r="J738" i="1"/>
  <c r="K738" i="1"/>
  <c r="L738" i="1"/>
  <c r="C741" i="1"/>
  <c r="C735" i="1" s="1"/>
  <c r="D741" i="1"/>
  <c r="D735" i="1" s="1"/>
  <c r="E741" i="1"/>
  <c r="E735" i="1" s="1"/>
  <c r="F741" i="1"/>
  <c r="F735" i="1" s="1"/>
  <c r="G741" i="1"/>
  <c r="G735" i="1" s="1"/>
  <c r="H741" i="1"/>
  <c r="H735" i="1" s="1"/>
  <c r="I741" i="1"/>
  <c r="I735" i="1" s="1"/>
  <c r="J741" i="1"/>
  <c r="J735" i="1" s="1"/>
  <c r="K741" i="1"/>
  <c r="K735" i="1" s="1"/>
  <c r="L741" i="1"/>
  <c r="L735" i="1" s="1"/>
  <c r="B742" i="1"/>
  <c r="B737" i="1" s="1"/>
  <c r="B743" i="1"/>
  <c r="B738" i="1" s="1"/>
  <c r="C783" i="1"/>
  <c r="C777" i="1" s="1"/>
  <c r="C773" i="1" s="1"/>
  <c r="D783" i="1"/>
  <c r="D777" i="1" s="1"/>
  <c r="D773" i="1" s="1"/>
  <c r="E783" i="1"/>
  <c r="E777" i="1" s="1"/>
  <c r="E773" i="1" s="1"/>
  <c r="F783" i="1"/>
  <c r="F777" i="1" s="1"/>
  <c r="F773" i="1" s="1"/>
  <c r="G783" i="1"/>
  <c r="G777" i="1" s="1"/>
  <c r="G773" i="1" s="1"/>
  <c r="H783" i="1"/>
  <c r="H777" i="1" s="1"/>
  <c r="H773" i="1" s="1"/>
  <c r="I783" i="1"/>
  <c r="I777" i="1" s="1"/>
  <c r="I773" i="1" s="1"/>
  <c r="J783" i="1"/>
  <c r="J777" i="1" s="1"/>
  <c r="J773" i="1" s="1"/>
  <c r="K783" i="1"/>
  <c r="K777" i="1" s="1"/>
  <c r="K773" i="1" s="1"/>
  <c r="L783" i="1"/>
  <c r="L777" i="1" s="1"/>
  <c r="L773" i="1" s="1"/>
  <c r="B784" i="1"/>
  <c r="B779" i="1" s="1"/>
  <c r="B785" i="1"/>
  <c r="B780" i="1" s="1"/>
  <c r="K853" i="1" l="1"/>
  <c r="K847" i="1" s="1"/>
  <c r="K843" i="1" s="1"/>
  <c r="J850" i="1"/>
  <c r="B867" i="1"/>
  <c r="B861" i="1" s="1"/>
  <c r="B857" i="1" s="1"/>
  <c r="L853" i="1"/>
  <c r="L847" i="1" s="1"/>
  <c r="L843" i="1" s="1"/>
  <c r="I850" i="1"/>
  <c r="H850" i="1"/>
  <c r="B855" i="1"/>
  <c r="B850" i="1" s="1"/>
  <c r="B839" i="1"/>
  <c r="B833" i="1" s="1"/>
  <c r="B829" i="1" s="1"/>
  <c r="B825" i="1"/>
  <c r="B819" i="1" s="1"/>
  <c r="B815" i="1" s="1"/>
  <c r="B811" i="1"/>
  <c r="B805" i="1" s="1"/>
  <c r="B801" i="1" s="1"/>
  <c r="B769" i="1"/>
  <c r="B763" i="1" s="1"/>
  <c r="B759" i="1" s="1"/>
  <c r="H731" i="1"/>
  <c r="G731" i="1"/>
  <c r="I731" i="1"/>
  <c r="L731" i="1"/>
  <c r="F731" i="1"/>
  <c r="C731" i="1"/>
  <c r="K731" i="1"/>
  <c r="E731" i="1"/>
  <c r="J731" i="1"/>
  <c r="D731" i="1"/>
  <c r="B755" i="1"/>
  <c r="B749" i="1" s="1"/>
  <c r="B745" i="1" s="1"/>
  <c r="B741" i="1"/>
  <c r="B735" i="1" s="1"/>
  <c r="B731" i="1" s="1"/>
  <c r="B783" i="1"/>
  <c r="B777" i="1" s="1"/>
  <c r="B773" i="1" s="1"/>
  <c r="B853" i="1" l="1"/>
  <c r="B847" i="1" s="1"/>
  <c r="B843" i="1" s="1"/>
  <c r="B718" i="1" l="1"/>
  <c r="B719" i="1"/>
  <c r="B720" i="1"/>
  <c r="C723" i="1"/>
  <c r="D723" i="1"/>
  <c r="E723" i="1"/>
  <c r="F723" i="1"/>
  <c r="G723" i="1"/>
  <c r="H723" i="1"/>
  <c r="I723" i="1"/>
  <c r="J723" i="1"/>
  <c r="K723" i="1"/>
  <c r="L723" i="1"/>
  <c r="C724" i="1"/>
  <c r="C712" i="1" s="1"/>
  <c r="D724" i="1"/>
  <c r="D712" i="1" s="1"/>
  <c r="E724" i="1"/>
  <c r="E712" i="1" s="1"/>
  <c r="F724" i="1"/>
  <c r="F712" i="1" s="1"/>
  <c r="G724" i="1"/>
  <c r="G712" i="1" s="1"/>
  <c r="H724" i="1"/>
  <c r="H712" i="1" s="1"/>
  <c r="H706" i="1" s="1"/>
  <c r="I724" i="1"/>
  <c r="I712" i="1" s="1"/>
  <c r="I706" i="1" s="1"/>
  <c r="J724" i="1"/>
  <c r="J712" i="1" s="1"/>
  <c r="J706" i="1" s="1"/>
  <c r="K724" i="1"/>
  <c r="K712" i="1" s="1"/>
  <c r="K706" i="1" s="1"/>
  <c r="L724" i="1"/>
  <c r="C727" i="1"/>
  <c r="C721" i="1" s="1"/>
  <c r="C717" i="1" s="1"/>
  <c r="D727" i="1"/>
  <c r="D721" i="1" s="1"/>
  <c r="D717" i="1" s="1"/>
  <c r="E727" i="1"/>
  <c r="E721" i="1" s="1"/>
  <c r="E717" i="1" s="1"/>
  <c r="F727" i="1"/>
  <c r="F721" i="1" s="1"/>
  <c r="F717" i="1" s="1"/>
  <c r="G727" i="1"/>
  <c r="G721" i="1" s="1"/>
  <c r="G717" i="1" s="1"/>
  <c r="H727" i="1"/>
  <c r="H721" i="1" s="1"/>
  <c r="H717" i="1" s="1"/>
  <c r="I727" i="1"/>
  <c r="I721" i="1" s="1"/>
  <c r="I717" i="1" s="1"/>
  <c r="J727" i="1"/>
  <c r="J721" i="1" s="1"/>
  <c r="J717" i="1" s="1"/>
  <c r="K727" i="1"/>
  <c r="K721" i="1" s="1"/>
  <c r="K717" i="1" s="1"/>
  <c r="L727" i="1"/>
  <c r="L721" i="1" s="1"/>
  <c r="L717" i="1" s="1"/>
  <c r="B729" i="1"/>
  <c r="B728" i="1"/>
  <c r="G706" i="1" l="1"/>
  <c r="G702" i="1" s="1"/>
  <c r="G698" i="1" s="1"/>
  <c r="G709" i="1"/>
  <c r="C706" i="1"/>
  <c r="C702" i="1" s="1"/>
  <c r="C698" i="1" s="1"/>
  <c r="C709" i="1"/>
  <c r="E706" i="1"/>
  <c r="E702" i="1" s="1"/>
  <c r="E698" i="1" s="1"/>
  <c r="E709" i="1"/>
  <c r="B723" i="1"/>
  <c r="D706" i="1"/>
  <c r="D702" i="1" s="1"/>
  <c r="D698" i="1" s="1"/>
  <c r="D709" i="1"/>
  <c r="F706" i="1"/>
  <c r="F702" i="1" s="1"/>
  <c r="F698" i="1" s="1"/>
  <c r="F709" i="1"/>
  <c r="B727" i="1"/>
  <c r="B721" i="1" s="1"/>
  <c r="B717" i="1" s="1"/>
  <c r="B724" i="1"/>
  <c r="B489" i="1"/>
  <c r="B490" i="1"/>
  <c r="B491" i="1"/>
  <c r="D564" i="1"/>
  <c r="D558" i="1" s="1"/>
  <c r="E564" i="1"/>
  <c r="E558" i="1" s="1"/>
  <c r="F564" i="1"/>
  <c r="F558" i="1" s="1"/>
  <c r="G564" i="1"/>
  <c r="G558" i="1" s="1"/>
  <c r="H564" i="1"/>
  <c r="H558" i="1" s="1"/>
  <c r="I564" i="1"/>
  <c r="I558" i="1" s="1"/>
  <c r="J564" i="1"/>
  <c r="J558" i="1" s="1"/>
  <c r="K564" i="1"/>
  <c r="K558" i="1" s="1"/>
  <c r="L564" i="1"/>
  <c r="L558" i="1" s="1"/>
  <c r="C564" i="1"/>
  <c r="C558" i="1" s="1"/>
  <c r="D565" i="1"/>
  <c r="D559" i="1" s="1"/>
  <c r="E565" i="1"/>
  <c r="E559" i="1" s="1"/>
  <c r="F565" i="1"/>
  <c r="F559" i="1" s="1"/>
  <c r="G565" i="1"/>
  <c r="G559" i="1" s="1"/>
  <c r="H565" i="1"/>
  <c r="H559" i="1" s="1"/>
  <c r="I565" i="1"/>
  <c r="I559" i="1" s="1"/>
  <c r="J565" i="1"/>
  <c r="J559" i="1" s="1"/>
  <c r="K565" i="1"/>
  <c r="K559" i="1" s="1"/>
  <c r="L565" i="1"/>
  <c r="L559" i="1" s="1"/>
  <c r="C565" i="1"/>
  <c r="C559" i="1" s="1"/>
  <c r="D566" i="1"/>
  <c r="D560" i="1" s="1"/>
  <c r="E566" i="1"/>
  <c r="E560" i="1" s="1"/>
  <c r="F566" i="1"/>
  <c r="F560" i="1" s="1"/>
  <c r="C566" i="1"/>
  <c r="C568" i="1"/>
  <c r="C567" i="1" s="1"/>
  <c r="D568" i="1"/>
  <c r="D567" i="1" s="1"/>
  <c r="E568" i="1"/>
  <c r="E567" i="1" s="1"/>
  <c r="F568" i="1"/>
  <c r="F567" i="1" s="1"/>
  <c r="B569" i="1"/>
  <c r="B553" i="1"/>
  <c r="B554" i="1"/>
  <c r="B555" i="1"/>
  <c r="D516" i="1"/>
  <c r="D510" i="1" s="1"/>
  <c r="E516" i="1"/>
  <c r="E510" i="1" s="1"/>
  <c r="F516" i="1"/>
  <c r="F510" i="1" s="1"/>
  <c r="G516" i="1"/>
  <c r="G510" i="1" s="1"/>
  <c r="H516" i="1"/>
  <c r="H510" i="1" s="1"/>
  <c r="I516" i="1"/>
  <c r="I510" i="1" s="1"/>
  <c r="J516" i="1"/>
  <c r="J510" i="1" s="1"/>
  <c r="K516" i="1"/>
  <c r="K510" i="1" s="1"/>
  <c r="L516" i="1"/>
  <c r="L510" i="1" s="1"/>
  <c r="C516" i="1"/>
  <c r="C510" i="1" s="1"/>
  <c r="D517" i="1"/>
  <c r="D511" i="1" s="1"/>
  <c r="E517" i="1"/>
  <c r="E511" i="1" s="1"/>
  <c r="F517" i="1"/>
  <c r="F511" i="1" s="1"/>
  <c r="G517" i="1"/>
  <c r="G511" i="1" s="1"/>
  <c r="H517" i="1"/>
  <c r="H511" i="1" s="1"/>
  <c r="I517" i="1"/>
  <c r="I511" i="1" s="1"/>
  <c r="J517" i="1"/>
  <c r="J511" i="1" s="1"/>
  <c r="K517" i="1"/>
  <c r="K511" i="1" s="1"/>
  <c r="L517" i="1"/>
  <c r="L511" i="1" s="1"/>
  <c r="C517" i="1"/>
  <c r="C511" i="1" s="1"/>
  <c r="D518" i="1"/>
  <c r="D512" i="1" s="1"/>
  <c r="E518" i="1"/>
  <c r="F518" i="1"/>
  <c r="G518" i="1"/>
  <c r="G512" i="1" s="1"/>
  <c r="H518" i="1"/>
  <c r="H512" i="1" s="1"/>
  <c r="I518" i="1"/>
  <c r="I512" i="1" s="1"/>
  <c r="J518" i="1"/>
  <c r="J512" i="1" s="1"/>
  <c r="L518" i="1"/>
  <c r="B505" i="1"/>
  <c r="B506" i="1"/>
  <c r="B507" i="1"/>
  <c r="C548" i="1"/>
  <c r="C547" i="1" s="1"/>
  <c r="D548" i="1"/>
  <c r="D547" i="1" s="1"/>
  <c r="E548" i="1"/>
  <c r="E547" i="1" s="1"/>
  <c r="F548" i="1"/>
  <c r="F547" i="1" s="1"/>
  <c r="G548" i="1"/>
  <c r="G547" i="1" s="1"/>
  <c r="H548" i="1"/>
  <c r="H547" i="1" s="1"/>
  <c r="I548" i="1"/>
  <c r="I547" i="1" s="1"/>
  <c r="J548" i="1"/>
  <c r="J547" i="1" s="1"/>
  <c r="K548" i="1"/>
  <c r="K547" i="1" s="1"/>
  <c r="L548" i="1"/>
  <c r="L547" i="1" s="1"/>
  <c r="B549" i="1"/>
  <c r="B550" i="1"/>
  <c r="C543" i="1"/>
  <c r="D544" i="1"/>
  <c r="D543" i="1" s="1"/>
  <c r="E544" i="1"/>
  <c r="E543" i="1" s="1"/>
  <c r="F544" i="1"/>
  <c r="F543" i="1" s="1"/>
  <c r="G544" i="1"/>
  <c r="G543" i="1" s="1"/>
  <c r="H544" i="1"/>
  <c r="H543" i="1" s="1"/>
  <c r="I544" i="1"/>
  <c r="I543" i="1" s="1"/>
  <c r="J544" i="1"/>
  <c r="J543" i="1" s="1"/>
  <c r="K544" i="1"/>
  <c r="K543" i="1" s="1"/>
  <c r="L544" i="1"/>
  <c r="L543" i="1" s="1"/>
  <c r="B545" i="1"/>
  <c r="B544" i="1" s="1"/>
  <c r="C540" i="1"/>
  <c r="C539" i="1" s="1"/>
  <c r="D540" i="1"/>
  <c r="D539" i="1" s="1"/>
  <c r="E540" i="1"/>
  <c r="E539" i="1" s="1"/>
  <c r="F540" i="1"/>
  <c r="F539" i="1" s="1"/>
  <c r="G540" i="1"/>
  <c r="G539" i="1" s="1"/>
  <c r="H540" i="1"/>
  <c r="H539" i="1" s="1"/>
  <c r="I540" i="1"/>
  <c r="I539" i="1" s="1"/>
  <c r="J540" i="1"/>
  <c r="J539" i="1" s="1"/>
  <c r="K540" i="1"/>
  <c r="K539" i="1" s="1"/>
  <c r="L540" i="1"/>
  <c r="L539" i="1" s="1"/>
  <c r="B541" i="1"/>
  <c r="B542" i="1"/>
  <c r="C536" i="1"/>
  <c r="C535" i="1" s="1"/>
  <c r="D536" i="1"/>
  <c r="D535" i="1" s="1"/>
  <c r="E536" i="1"/>
  <c r="E535" i="1" s="1"/>
  <c r="F536" i="1"/>
  <c r="F535" i="1" s="1"/>
  <c r="G536" i="1"/>
  <c r="G535" i="1" s="1"/>
  <c r="H536" i="1"/>
  <c r="H535" i="1" s="1"/>
  <c r="I536" i="1"/>
  <c r="I535" i="1" s="1"/>
  <c r="J536" i="1"/>
  <c r="J535" i="1" s="1"/>
  <c r="K536" i="1"/>
  <c r="K535" i="1" s="1"/>
  <c r="L536" i="1"/>
  <c r="L535" i="1" s="1"/>
  <c r="B538" i="1"/>
  <c r="B537" i="1"/>
  <c r="C532" i="1"/>
  <c r="C531" i="1" s="1"/>
  <c r="D532" i="1"/>
  <c r="D531" i="1" s="1"/>
  <c r="E532" i="1"/>
  <c r="E531" i="1" s="1"/>
  <c r="F532" i="1"/>
  <c r="F531" i="1" s="1"/>
  <c r="G532" i="1"/>
  <c r="G531" i="1" s="1"/>
  <c r="H532" i="1"/>
  <c r="H531" i="1" s="1"/>
  <c r="I532" i="1"/>
  <c r="I531" i="1" s="1"/>
  <c r="J532" i="1"/>
  <c r="J531" i="1" s="1"/>
  <c r="K532" i="1"/>
  <c r="K531" i="1" s="1"/>
  <c r="L532" i="1"/>
  <c r="L531" i="1" s="1"/>
  <c r="B533" i="1"/>
  <c r="B534" i="1"/>
  <c r="C528" i="1"/>
  <c r="C527" i="1" s="1"/>
  <c r="D528" i="1"/>
  <c r="D527" i="1" s="1"/>
  <c r="E528" i="1"/>
  <c r="E527" i="1" s="1"/>
  <c r="F528" i="1"/>
  <c r="F527" i="1" s="1"/>
  <c r="G528" i="1"/>
  <c r="G527" i="1" s="1"/>
  <c r="H528" i="1"/>
  <c r="H527" i="1" s="1"/>
  <c r="I528" i="1"/>
  <c r="I527" i="1" s="1"/>
  <c r="J528" i="1"/>
  <c r="J527" i="1" s="1"/>
  <c r="K528" i="1"/>
  <c r="K527" i="1" s="1"/>
  <c r="L528" i="1"/>
  <c r="L527" i="1" s="1"/>
  <c r="B530" i="1"/>
  <c r="B529" i="1"/>
  <c r="C524" i="1"/>
  <c r="C523" i="1" s="1"/>
  <c r="D524" i="1"/>
  <c r="D523" i="1" s="1"/>
  <c r="E524" i="1"/>
  <c r="E523" i="1" s="1"/>
  <c r="F524" i="1"/>
  <c r="F523" i="1" s="1"/>
  <c r="G524" i="1"/>
  <c r="G523" i="1" s="1"/>
  <c r="H524" i="1"/>
  <c r="H523" i="1" s="1"/>
  <c r="I524" i="1"/>
  <c r="I523" i="1" s="1"/>
  <c r="J524" i="1"/>
  <c r="J523" i="1" s="1"/>
  <c r="K524" i="1"/>
  <c r="K523" i="1" s="1"/>
  <c r="L524" i="1"/>
  <c r="L523" i="1" s="1"/>
  <c r="B525" i="1"/>
  <c r="B526" i="1"/>
  <c r="L520" i="1"/>
  <c r="L519" i="1" s="1"/>
  <c r="I520" i="1"/>
  <c r="I519" i="1" s="1"/>
  <c r="H520" i="1"/>
  <c r="H519" i="1" s="1"/>
  <c r="C520" i="1"/>
  <c r="C519" i="1" s="1"/>
  <c r="D520" i="1"/>
  <c r="D519" i="1" s="1"/>
  <c r="E520" i="1"/>
  <c r="E519" i="1" s="1"/>
  <c r="F520" i="1"/>
  <c r="F519" i="1" s="1"/>
  <c r="G520" i="1"/>
  <c r="G519" i="1" s="1"/>
  <c r="B521" i="1"/>
  <c r="C572" i="1"/>
  <c r="C571" i="1" s="1"/>
  <c r="D572" i="1"/>
  <c r="D571" i="1" s="1"/>
  <c r="E572" i="1"/>
  <c r="E571" i="1" s="1"/>
  <c r="F572" i="1"/>
  <c r="F571" i="1" s="1"/>
  <c r="B573" i="1"/>
  <c r="K518" i="1" l="1"/>
  <c r="K515" i="1" s="1"/>
  <c r="K508" i="1" s="1"/>
  <c r="K504" i="1" s="1"/>
  <c r="B522" i="1"/>
  <c r="B520" i="1" s="1"/>
  <c r="B519" i="1" s="1"/>
  <c r="D501" i="1"/>
  <c r="D495" i="1" s="1"/>
  <c r="I501" i="1"/>
  <c r="I495" i="1" s="1"/>
  <c r="G501" i="1"/>
  <c r="G495" i="1" s="1"/>
  <c r="J501" i="1"/>
  <c r="J495" i="1" s="1"/>
  <c r="H501" i="1"/>
  <c r="H495" i="1" s="1"/>
  <c r="C501" i="1"/>
  <c r="C495" i="1" s="1"/>
  <c r="B532" i="1"/>
  <c r="B531" i="1" s="1"/>
  <c r="K501" i="1"/>
  <c r="K495" i="1" s="1"/>
  <c r="E501" i="1"/>
  <c r="E495" i="1" s="1"/>
  <c r="F563" i="1"/>
  <c r="F556" i="1" s="1"/>
  <c r="F552" i="1" s="1"/>
  <c r="F501" i="1"/>
  <c r="F495" i="1" s="1"/>
  <c r="B565" i="1"/>
  <c r="B559" i="1" s="1"/>
  <c r="L501" i="1"/>
  <c r="L495" i="1" s="1"/>
  <c r="B528" i="1"/>
  <c r="B527" i="1" s="1"/>
  <c r="E563" i="1"/>
  <c r="E556" i="1" s="1"/>
  <c r="E552" i="1" s="1"/>
  <c r="D563" i="1"/>
  <c r="D556" i="1" s="1"/>
  <c r="D552" i="1" s="1"/>
  <c r="B540" i="1"/>
  <c r="B539" i="1" s="1"/>
  <c r="B543" i="1"/>
  <c r="B564" i="1"/>
  <c r="B558" i="1" s="1"/>
  <c r="C563" i="1"/>
  <c r="C556" i="1" s="1"/>
  <c r="C552" i="1" s="1"/>
  <c r="C560" i="1"/>
  <c r="B516" i="1"/>
  <c r="B510" i="1" s="1"/>
  <c r="C515" i="1"/>
  <c r="C508" i="1" s="1"/>
  <c r="C504" i="1" s="1"/>
  <c r="J515" i="1"/>
  <c r="J508" i="1" s="1"/>
  <c r="J504" i="1" s="1"/>
  <c r="B536" i="1"/>
  <c r="B535" i="1" s="1"/>
  <c r="K520" i="1"/>
  <c r="K519" i="1" s="1"/>
  <c r="I515" i="1"/>
  <c r="I508" i="1" s="1"/>
  <c r="I504" i="1" s="1"/>
  <c r="H515" i="1"/>
  <c r="H508" i="1" s="1"/>
  <c r="H504" i="1" s="1"/>
  <c r="G515" i="1"/>
  <c r="G508" i="1" s="1"/>
  <c r="G504" i="1" s="1"/>
  <c r="D515" i="1"/>
  <c r="D508" i="1" s="1"/>
  <c r="D504" i="1" s="1"/>
  <c r="L515" i="1"/>
  <c r="L508" i="1" s="1"/>
  <c r="L504" i="1" s="1"/>
  <c r="F515" i="1"/>
  <c r="F508" i="1" s="1"/>
  <c r="F504" i="1" s="1"/>
  <c r="E515" i="1"/>
  <c r="E508" i="1" s="1"/>
  <c r="E504" i="1" s="1"/>
  <c r="B517" i="1"/>
  <c r="B511" i="1" s="1"/>
  <c r="L512" i="1"/>
  <c r="F512" i="1"/>
  <c r="E512" i="1"/>
  <c r="B548" i="1"/>
  <c r="B547" i="1" s="1"/>
  <c r="B524" i="1"/>
  <c r="B523" i="1" s="1"/>
  <c r="J520" i="1"/>
  <c r="J519" i="1" s="1"/>
  <c r="C576" i="1"/>
  <c r="C575" i="1" s="1"/>
  <c r="D576" i="1"/>
  <c r="D575" i="1" s="1"/>
  <c r="E576" i="1"/>
  <c r="E575" i="1" s="1"/>
  <c r="F576" i="1"/>
  <c r="F575" i="1" s="1"/>
  <c r="B577" i="1"/>
  <c r="C580" i="1"/>
  <c r="C579" i="1" s="1"/>
  <c r="D580" i="1"/>
  <c r="D579" i="1" s="1"/>
  <c r="E580" i="1"/>
  <c r="E579" i="1" s="1"/>
  <c r="F580" i="1"/>
  <c r="F579" i="1" s="1"/>
  <c r="G580" i="1"/>
  <c r="G579" i="1" s="1"/>
  <c r="H580" i="1"/>
  <c r="H579" i="1" s="1"/>
  <c r="I580" i="1"/>
  <c r="I579" i="1" s="1"/>
  <c r="J580" i="1"/>
  <c r="J579" i="1" s="1"/>
  <c r="K580" i="1"/>
  <c r="K579" i="1" s="1"/>
  <c r="L580" i="1"/>
  <c r="L579" i="1" s="1"/>
  <c r="B581" i="1"/>
  <c r="B582" i="1"/>
  <c r="C584" i="1"/>
  <c r="C583" i="1" s="1"/>
  <c r="D584" i="1"/>
  <c r="D583" i="1" s="1"/>
  <c r="E584" i="1"/>
  <c r="E583" i="1" s="1"/>
  <c r="F584" i="1"/>
  <c r="F583" i="1" s="1"/>
  <c r="G584" i="1"/>
  <c r="G583" i="1" s="1"/>
  <c r="H584" i="1"/>
  <c r="H583" i="1" s="1"/>
  <c r="I584" i="1"/>
  <c r="I583" i="1" s="1"/>
  <c r="J584" i="1"/>
  <c r="J583" i="1" s="1"/>
  <c r="K584" i="1"/>
  <c r="K583" i="1" s="1"/>
  <c r="L584" i="1"/>
  <c r="L583" i="1" s="1"/>
  <c r="B585" i="1"/>
  <c r="B586" i="1"/>
  <c r="C588" i="1"/>
  <c r="C587" i="1" s="1"/>
  <c r="D588" i="1"/>
  <c r="D587" i="1" s="1"/>
  <c r="E588" i="1"/>
  <c r="E587" i="1" s="1"/>
  <c r="F588" i="1"/>
  <c r="F587" i="1" s="1"/>
  <c r="G588" i="1"/>
  <c r="G587" i="1" s="1"/>
  <c r="H588" i="1"/>
  <c r="H587" i="1" s="1"/>
  <c r="I588" i="1"/>
  <c r="I587" i="1" s="1"/>
  <c r="J588" i="1"/>
  <c r="J587" i="1" s="1"/>
  <c r="K588" i="1"/>
  <c r="K587" i="1" s="1"/>
  <c r="L588" i="1"/>
  <c r="L587" i="1" s="1"/>
  <c r="B589" i="1"/>
  <c r="B590" i="1"/>
  <c r="K512" i="1" l="1"/>
  <c r="B501" i="1"/>
  <c r="B495" i="1" s="1"/>
  <c r="B588" i="1"/>
  <c r="B587" i="1" s="1"/>
  <c r="B518" i="1"/>
  <c r="B515" i="1" s="1"/>
  <c r="B508" i="1" s="1"/>
  <c r="B504" i="1" s="1"/>
  <c r="C512" i="1"/>
  <c r="C502" i="1" s="1"/>
  <c r="B584" i="1"/>
  <c r="B583" i="1" s="1"/>
  <c r="B580" i="1"/>
  <c r="B579" i="1" s="1"/>
  <c r="B593" i="1"/>
  <c r="B594" i="1"/>
  <c r="B595" i="1"/>
  <c r="C598" i="1"/>
  <c r="D598" i="1"/>
  <c r="E598" i="1"/>
  <c r="F598" i="1"/>
  <c r="G598" i="1"/>
  <c r="H598" i="1"/>
  <c r="I598" i="1"/>
  <c r="J598" i="1"/>
  <c r="K598" i="1"/>
  <c r="L598" i="1"/>
  <c r="C599" i="1"/>
  <c r="D599" i="1"/>
  <c r="E599" i="1"/>
  <c r="F599" i="1"/>
  <c r="G599" i="1"/>
  <c r="H599" i="1"/>
  <c r="I599" i="1"/>
  <c r="J599" i="1"/>
  <c r="K599" i="1"/>
  <c r="L599" i="1"/>
  <c r="C602" i="1"/>
  <c r="C596" i="1" s="1"/>
  <c r="C592" i="1" s="1"/>
  <c r="D602" i="1"/>
  <c r="D596" i="1" s="1"/>
  <c r="D592" i="1" s="1"/>
  <c r="E602" i="1"/>
  <c r="E596" i="1" s="1"/>
  <c r="E592" i="1" s="1"/>
  <c r="F602" i="1"/>
  <c r="F596" i="1" s="1"/>
  <c r="F592" i="1" s="1"/>
  <c r="G602" i="1"/>
  <c r="G596" i="1" s="1"/>
  <c r="G592" i="1" s="1"/>
  <c r="H602" i="1"/>
  <c r="H596" i="1" s="1"/>
  <c r="H592" i="1" s="1"/>
  <c r="I602" i="1"/>
  <c r="I596" i="1" s="1"/>
  <c r="I592" i="1" s="1"/>
  <c r="J602" i="1"/>
  <c r="J596" i="1" s="1"/>
  <c r="J592" i="1" s="1"/>
  <c r="K602" i="1"/>
  <c r="K596" i="1" s="1"/>
  <c r="K592" i="1" s="1"/>
  <c r="L602" i="1"/>
  <c r="L596" i="1" s="1"/>
  <c r="L592" i="1" s="1"/>
  <c r="B603" i="1"/>
  <c r="B598" i="1" s="1"/>
  <c r="B604" i="1"/>
  <c r="B599" i="1" s="1"/>
  <c r="B607" i="1"/>
  <c r="B608" i="1"/>
  <c r="B609" i="1"/>
  <c r="C612" i="1"/>
  <c r="D612" i="1"/>
  <c r="E612" i="1"/>
  <c r="F612" i="1"/>
  <c r="G612" i="1"/>
  <c r="H612" i="1"/>
  <c r="I612" i="1"/>
  <c r="J612" i="1"/>
  <c r="K612" i="1"/>
  <c r="L612" i="1"/>
  <c r="C613" i="1"/>
  <c r="D613" i="1"/>
  <c r="E613" i="1"/>
  <c r="F613" i="1"/>
  <c r="G613" i="1"/>
  <c r="H613" i="1"/>
  <c r="I613" i="1"/>
  <c r="J613" i="1"/>
  <c r="K613" i="1"/>
  <c r="L613" i="1"/>
  <c r="C616" i="1"/>
  <c r="C610" i="1" s="1"/>
  <c r="C606" i="1" s="1"/>
  <c r="D616" i="1"/>
  <c r="D610" i="1" s="1"/>
  <c r="D606" i="1" s="1"/>
  <c r="E616" i="1"/>
  <c r="E610" i="1" s="1"/>
  <c r="E606" i="1" s="1"/>
  <c r="F616" i="1"/>
  <c r="F610" i="1" s="1"/>
  <c r="F606" i="1" s="1"/>
  <c r="G616" i="1"/>
  <c r="G610" i="1" s="1"/>
  <c r="G606" i="1" s="1"/>
  <c r="H616" i="1"/>
  <c r="H610" i="1" s="1"/>
  <c r="H606" i="1" s="1"/>
  <c r="I616" i="1"/>
  <c r="I610" i="1" s="1"/>
  <c r="I606" i="1" s="1"/>
  <c r="J616" i="1"/>
  <c r="J610" i="1" s="1"/>
  <c r="J606" i="1" s="1"/>
  <c r="K616" i="1"/>
  <c r="K610" i="1" s="1"/>
  <c r="K606" i="1" s="1"/>
  <c r="L616" i="1"/>
  <c r="L610" i="1" s="1"/>
  <c r="L606" i="1" s="1"/>
  <c r="B617" i="1"/>
  <c r="B612" i="1" s="1"/>
  <c r="B618" i="1"/>
  <c r="D195" i="1"/>
  <c r="D19" i="1" s="1"/>
  <c r="E195" i="1"/>
  <c r="E19" i="1" s="1"/>
  <c r="F195" i="1"/>
  <c r="F19" i="1" s="1"/>
  <c r="G195" i="1"/>
  <c r="G19" i="1" s="1"/>
  <c r="H195" i="1"/>
  <c r="H19" i="1" s="1"/>
  <c r="I195" i="1"/>
  <c r="I19" i="1" s="1"/>
  <c r="J195" i="1"/>
  <c r="J19" i="1" s="1"/>
  <c r="K195" i="1"/>
  <c r="K19" i="1" s="1"/>
  <c r="L195" i="1"/>
  <c r="L19" i="1" s="1"/>
  <c r="C195" i="1"/>
  <c r="C19" i="1" s="1"/>
  <c r="D196" i="1"/>
  <c r="D20" i="1" s="1"/>
  <c r="E196" i="1"/>
  <c r="E20" i="1" s="1"/>
  <c r="F196" i="1"/>
  <c r="F20" i="1" s="1"/>
  <c r="G196" i="1"/>
  <c r="G20" i="1" s="1"/>
  <c r="H196" i="1"/>
  <c r="H20" i="1" s="1"/>
  <c r="I196" i="1"/>
  <c r="I20" i="1" s="1"/>
  <c r="J196" i="1"/>
  <c r="J20" i="1" s="1"/>
  <c r="K196" i="1"/>
  <c r="K20" i="1" s="1"/>
  <c r="C196" i="1"/>
  <c r="C20" i="1" s="1"/>
  <c r="B186" i="1"/>
  <c r="B187" i="1"/>
  <c r="B472" i="1"/>
  <c r="B473" i="1"/>
  <c r="B474" i="1"/>
  <c r="L477" i="1"/>
  <c r="K477" i="1" s="1"/>
  <c r="J477" i="1" s="1"/>
  <c r="I477" i="1" s="1"/>
  <c r="H477" i="1" s="1"/>
  <c r="G477" i="1" s="1"/>
  <c r="F477" i="1" s="1"/>
  <c r="E477" i="1" s="1"/>
  <c r="D477" i="1" s="1"/>
  <c r="C477" i="1" s="1"/>
  <c r="B477" i="1" s="1"/>
  <c r="D478" i="1"/>
  <c r="E478" i="1"/>
  <c r="F478" i="1"/>
  <c r="G478" i="1"/>
  <c r="J478" i="1"/>
  <c r="K478" i="1"/>
  <c r="C478" i="1"/>
  <c r="I486" i="1"/>
  <c r="I484" i="1" s="1"/>
  <c r="H486" i="1"/>
  <c r="H478" i="1" s="1"/>
  <c r="C484" i="1"/>
  <c r="D484" i="1"/>
  <c r="E484" i="1"/>
  <c r="F484" i="1"/>
  <c r="G484" i="1"/>
  <c r="J484" i="1"/>
  <c r="K484" i="1"/>
  <c r="L484" i="1"/>
  <c r="B485" i="1"/>
  <c r="C481" i="1"/>
  <c r="D481" i="1"/>
  <c r="E481" i="1"/>
  <c r="F481" i="1"/>
  <c r="G481" i="1"/>
  <c r="H481" i="1"/>
  <c r="I481" i="1"/>
  <c r="J481" i="1"/>
  <c r="K481" i="1"/>
  <c r="B482" i="1"/>
  <c r="L483" i="1"/>
  <c r="B483" i="1" s="1"/>
  <c r="L469" i="1"/>
  <c r="L467" i="1" s="1"/>
  <c r="L461" i="1" s="1"/>
  <c r="L457" i="1" s="1"/>
  <c r="B458" i="1"/>
  <c r="B459" i="1"/>
  <c r="B460" i="1"/>
  <c r="C463" i="1"/>
  <c r="D463" i="1"/>
  <c r="E463" i="1"/>
  <c r="F463" i="1"/>
  <c r="G463" i="1"/>
  <c r="H463" i="1"/>
  <c r="I463" i="1"/>
  <c r="J463" i="1"/>
  <c r="K463" i="1"/>
  <c r="L463" i="1"/>
  <c r="C464" i="1"/>
  <c r="D464" i="1"/>
  <c r="E464" i="1"/>
  <c r="F464" i="1"/>
  <c r="G464" i="1"/>
  <c r="H464" i="1"/>
  <c r="I464" i="1"/>
  <c r="J464" i="1"/>
  <c r="K464" i="1"/>
  <c r="C467" i="1"/>
  <c r="C461" i="1" s="1"/>
  <c r="C457" i="1" s="1"/>
  <c r="D467" i="1"/>
  <c r="D461" i="1" s="1"/>
  <c r="D457" i="1" s="1"/>
  <c r="E467" i="1"/>
  <c r="E461" i="1" s="1"/>
  <c r="E457" i="1" s="1"/>
  <c r="F467" i="1"/>
  <c r="F461" i="1" s="1"/>
  <c r="F457" i="1" s="1"/>
  <c r="G467" i="1"/>
  <c r="G461" i="1" s="1"/>
  <c r="G457" i="1" s="1"/>
  <c r="H467" i="1"/>
  <c r="H461" i="1" s="1"/>
  <c r="H457" i="1" s="1"/>
  <c r="I467" i="1"/>
  <c r="I461" i="1" s="1"/>
  <c r="I457" i="1" s="1"/>
  <c r="J467" i="1"/>
  <c r="J461" i="1" s="1"/>
  <c r="J457" i="1" s="1"/>
  <c r="K467" i="1"/>
  <c r="K461" i="1" s="1"/>
  <c r="K457" i="1" s="1"/>
  <c r="B468" i="1"/>
  <c r="B463" i="1" s="1"/>
  <c r="F194" i="1" l="1"/>
  <c r="F18" i="1" s="1"/>
  <c r="F502" i="1"/>
  <c r="F496" i="1" s="1"/>
  <c r="B512" i="1"/>
  <c r="G194" i="1"/>
  <c r="G18" i="1" s="1"/>
  <c r="L500" i="1"/>
  <c r="L494" i="1" s="1"/>
  <c r="F500" i="1"/>
  <c r="K500" i="1"/>
  <c r="K494" i="1" s="1"/>
  <c r="E500" i="1"/>
  <c r="E494" i="1" s="1"/>
  <c r="C496" i="1"/>
  <c r="L196" i="1"/>
  <c r="J194" i="1"/>
  <c r="J18" i="1" s="1"/>
  <c r="D194" i="1"/>
  <c r="D18" i="1" s="1"/>
  <c r="B616" i="1"/>
  <c r="B610" i="1" s="1"/>
  <c r="B606" i="1" s="1"/>
  <c r="E502" i="1"/>
  <c r="E496" i="1" s="1"/>
  <c r="J500" i="1"/>
  <c r="I500" i="1"/>
  <c r="C500" i="1"/>
  <c r="D502" i="1"/>
  <c r="D496" i="1" s="1"/>
  <c r="H500" i="1"/>
  <c r="D500" i="1"/>
  <c r="G500" i="1"/>
  <c r="G475" i="1"/>
  <c r="G471" i="1" s="1"/>
  <c r="L481" i="1"/>
  <c r="L475" i="1" s="1"/>
  <c r="L471" i="1" s="1"/>
  <c r="F475" i="1"/>
  <c r="F471" i="1" s="1"/>
  <c r="B195" i="1"/>
  <c r="B19" i="1" s="1"/>
  <c r="B602" i="1"/>
  <c r="B596" i="1" s="1"/>
  <c r="B592" i="1" s="1"/>
  <c r="E475" i="1"/>
  <c r="E471" i="1" s="1"/>
  <c r="I478" i="1"/>
  <c r="H194" i="1"/>
  <c r="H18" i="1" s="1"/>
  <c r="K194" i="1"/>
  <c r="K18" i="1" s="1"/>
  <c r="E194" i="1"/>
  <c r="E18" i="1" s="1"/>
  <c r="B613" i="1"/>
  <c r="K475" i="1"/>
  <c r="K471" i="1" s="1"/>
  <c r="J475" i="1"/>
  <c r="J471" i="1" s="1"/>
  <c r="I475" i="1"/>
  <c r="I471" i="1" s="1"/>
  <c r="C475" i="1"/>
  <c r="C471" i="1" s="1"/>
  <c r="I194" i="1"/>
  <c r="I18" i="1" s="1"/>
  <c r="B481" i="1"/>
  <c r="C194" i="1"/>
  <c r="C18" i="1" s="1"/>
  <c r="D475" i="1"/>
  <c r="D471" i="1" s="1"/>
  <c r="H484" i="1"/>
  <c r="H475" i="1" s="1"/>
  <c r="H471" i="1" s="1"/>
  <c r="L478" i="1"/>
  <c r="B486" i="1"/>
  <c r="B484" i="1" s="1"/>
  <c r="L464" i="1"/>
  <c r="B469" i="1"/>
  <c r="B464" i="1" s="1"/>
  <c r="L194" i="1" l="1"/>
  <c r="L18" i="1" s="1"/>
  <c r="L20" i="1"/>
  <c r="B196" i="1"/>
  <c r="F499" i="1"/>
  <c r="F492" i="1" s="1"/>
  <c r="F488" i="1" s="1"/>
  <c r="F494" i="1"/>
  <c r="E499" i="1"/>
  <c r="E492" i="1" s="1"/>
  <c r="E488" i="1" s="1"/>
  <c r="B478" i="1"/>
  <c r="G494" i="1"/>
  <c r="D499" i="1"/>
  <c r="D492" i="1" s="1"/>
  <c r="D488" i="1" s="1"/>
  <c r="D494" i="1"/>
  <c r="C494" i="1"/>
  <c r="C499" i="1"/>
  <c r="C492" i="1" s="1"/>
  <c r="C488" i="1" s="1"/>
  <c r="B500" i="1"/>
  <c r="B494" i="1" s="1"/>
  <c r="H494" i="1"/>
  <c r="I494" i="1"/>
  <c r="J494" i="1"/>
  <c r="B475" i="1"/>
  <c r="B471" i="1" s="1"/>
  <c r="B467" i="1"/>
  <c r="B461" i="1" s="1"/>
  <c r="B457" i="1" s="1"/>
  <c r="B194" i="1" l="1"/>
  <c r="B18" i="1" s="1"/>
  <c r="B20" i="1"/>
  <c r="B444" i="1"/>
  <c r="B445" i="1"/>
  <c r="B446" i="1"/>
  <c r="C449" i="1"/>
  <c r="D449" i="1"/>
  <c r="E449" i="1"/>
  <c r="F449" i="1"/>
  <c r="G449" i="1"/>
  <c r="H449" i="1"/>
  <c r="I449" i="1"/>
  <c r="J449" i="1"/>
  <c r="K449" i="1"/>
  <c r="L449" i="1"/>
  <c r="C450" i="1"/>
  <c r="D450" i="1"/>
  <c r="E450" i="1"/>
  <c r="F450" i="1"/>
  <c r="K450" i="1"/>
  <c r="L450" i="1"/>
  <c r="C453" i="1"/>
  <c r="D453" i="1"/>
  <c r="E453" i="1"/>
  <c r="F453" i="1"/>
  <c r="K453" i="1"/>
  <c r="L453" i="1"/>
  <c r="G455" i="1"/>
  <c r="G453" i="1" s="1"/>
  <c r="B454" i="1"/>
  <c r="B449" i="1" s="1"/>
  <c r="B343" i="1"/>
  <c r="D352" i="1"/>
  <c r="D347" i="1" s="1"/>
  <c r="E352" i="1"/>
  <c r="E347" i="1" s="1"/>
  <c r="F352" i="1"/>
  <c r="F347" i="1" s="1"/>
  <c r="G352" i="1"/>
  <c r="G347" i="1" s="1"/>
  <c r="H352" i="1"/>
  <c r="H347" i="1" s="1"/>
  <c r="I352" i="1"/>
  <c r="I347" i="1" s="1"/>
  <c r="J352" i="1"/>
  <c r="J347" i="1" s="1"/>
  <c r="K352" i="1"/>
  <c r="K347" i="1" s="1"/>
  <c r="L352" i="1"/>
  <c r="L347" i="1" s="1"/>
  <c r="C352" i="1"/>
  <c r="C347" i="1" s="1"/>
  <c r="D353" i="1"/>
  <c r="D348" i="1" s="1"/>
  <c r="E353" i="1"/>
  <c r="E348" i="1" s="1"/>
  <c r="F353" i="1"/>
  <c r="F348" i="1" s="1"/>
  <c r="G353" i="1"/>
  <c r="G348" i="1" s="1"/>
  <c r="H353" i="1"/>
  <c r="H348" i="1" s="1"/>
  <c r="I353" i="1"/>
  <c r="I348" i="1" s="1"/>
  <c r="J353" i="1"/>
  <c r="J348" i="1" s="1"/>
  <c r="K353" i="1"/>
  <c r="K348" i="1" s="1"/>
  <c r="L353" i="1"/>
  <c r="L348" i="1" s="1"/>
  <c r="C353" i="1"/>
  <c r="C348" i="1" s="1"/>
  <c r="C367" i="1"/>
  <c r="C366" i="1" s="1"/>
  <c r="D367" i="1"/>
  <c r="D366" i="1" s="1"/>
  <c r="E367" i="1"/>
  <c r="E366" i="1" s="1"/>
  <c r="F367" i="1"/>
  <c r="F366" i="1" s="1"/>
  <c r="G367" i="1"/>
  <c r="G366" i="1" s="1"/>
  <c r="H367" i="1"/>
  <c r="H366" i="1" s="1"/>
  <c r="I367" i="1"/>
  <c r="I366" i="1" s="1"/>
  <c r="J367" i="1"/>
  <c r="J366" i="1" s="1"/>
  <c r="K367" i="1"/>
  <c r="K366" i="1" s="1"/>
  <c r="L367" i="1"/>
  <c r="L366" i="1" s="1"/>
  <c r="B368" i="1"/>
  <c r="K447" i="1" l="1"/>
  <c r="K443" i="1" s="1"/>
  <c r="L345" i="1"/>
  <c r="L341" i="1" s="1"/>
  <c r="H345" i="1"/>
  <c r="H341" i="1" s="1"/>
  <c r="D345" i="1"/>
  <c r="D341" i="1" s="1"/>
  <c r="C447" i="1"/>
  <c r="C443" i="1" s="1"/>
  <c r="E447" i="1"/>
  <c r="E443" i="1" s="1"/>
  <c r="G345" i="1"/>
  <c r="G341" i="1" s="1"/>
  <c r="K345" i="1"/>
  <c r="K341" i="1" s="1"/>
  <c r="F447" i="1"/>
  <c r="F443" i="1" s="1"/>
  <c r="L447" i="1"/>
  <c r="L443" i="1" s="1"/>
  <c r="D447" i="1"/>
  <c r="D443" i="1" s="1"/>
  <c r="J345" i="1"/>
  <c r="J341" i="1" s="1"/>
  <c r="F345" i="1"/>
  <c r="F341" i="1" s="1"/>
  <c r="C345" i="1"/>
  <c r="C341" i="1" s="1"/>
  <c r="B347" i="1"/>
  <c r="I345" i="1"/>
  <c r="I341" i="1" s="1"/>
  <c r="E345" i="1"/>
  <c r="E341" i="1" s="1"/>
  <c r="B348" i="1"/>
  <c r="G450" i="1"/>
  <c r="G447" i="1" s="1"/>
  <c r="G443" i="1" s="1"/>
  <c r="C430" i="1"/>
  <c r="C429" i="1" s="1"/>
  <c r="D430" i="1"/>
  <c r="D429" i="1" s="1"/>
  <c r="E430" i="1"/>
  <c r="E429" i="1" s="1"/>
  <c r="F430" i="1"/>
  <c r="F429" i="1" s="1"/>
  <c r="G430" i="1"/>
  <c r="G429" i="1" s="1"/>
  <c r="H430" i="1"/>
  <c r="H429" i="1" s="1"/>
  <c r="I430" i="1"/>
  <c r="I429" i="1" s="1"/>
  <c r="J430" i="1"/>
  <c r="J429" i="1" s="1"/>
  <c r="K430" i="1"/>
  <c r="K429" i="1" s="1"/>
  <c r="L430" i="1"/>
  <c r="L429" i="1" s="1"/>
  <c r="B431" i="1"/>
  <c r="B432" i="1"/>
  <c r="B373" i="1"/>
  <c r="B374" i="1"/>
  <c r="J382" i="1"/>
  <c r="K382" i="1"/>
  <c r="L382" i="1"/>
  <c r="I382" i="1"/>
  <c r="H382" i="1"/>
  <c r="G382" i="1"/>
  <c r="F382" i="1"/>
  <c r="F383" i="1"/>
  <c r="D385" i="1"/>
  <c r="D198" i="1" s="1"/>
  <c r="D22" i="1" s="1"/>
  <c r="E385" i="1"/>
  <c r="E198" i="1" s="1"/>
  <c r="E22" i="1" s="1"/>
  <c r="F385" i="1"/>
  <c r="F198" i="1" s="1"/>
  <c r="F22" i="1" s="1"/>
  <c r="G385" i="1"/>
  <c r="G198" i="1" s="1"/>
  <c r="G22" i="1" s="1"/>
  <c r="H385" i="1"/>
  <c r="H198" i="1" s="1"/>
  <c r="H22" i="1" s="1"/>
  <c r="I385" i="1"/>
  <c r="I198" i="1" s="1"/>
  <c r="I22" i="1" s="1"/>
  <c r="J385" i="1"/>
  <c r="J198" i="1" s="1"/>
  <c r="J22" i="1" s="1"/>
  <c r="K385" i="1"/>
  <c r="K198" i="1" s="1"/>
  <c r="K22" i="1" s="1"/>
  <c r="L385" i="1"/>
  <c r="L198" i="1" s="1"/>
  <c r="L22" i="1" s="1"/>
  <c r="C385" i="1"/>
  <c r="C198" i="1" s="1"/>
  <c r="C22" i="1" s="1"/>
  <c r="D386" i="1"/>
  <c r="D199" i="1" s="1"/>
  <c r="D23" i="1" s="1"/>
  <c r="E386" i="1"/>
  <c r="E199" i="1" s="1"/>
  <c r="E23" i="1" s="1"/>
  <c r="F386" i="1"/>
  <c r="F199" i="1" s="1"/>
  <c r="F23" i="1" s="1"/>
  <c r="G386" i="1"/>
  <c r="G199" i="1" s="1"/>
  <c r="G23" i="1" s="1"/>
  <c r="H386" i="1"/>
  <c r="H199" i="1" s="1"/>
  <c r="H23" i="1" s="1"/>
  <c r="I386" i="1"/>
  <c r="I199" i="1" s="1"/>
  <c r="I23" i="1" s="1"/>
  <c r="J386" i="1"/>
  <c r="J199" i="1" s="1"/>
  <c r="J23" i="1" s="1"/>
  <c r="K386" i="1"/>
  <c r="K199" i="1" s="1"/>
  <c r="K23" i="1" s="1"/>
  <c r="L386" i="1"/>
  <c r="L199" i="1" s="1"/>
  <c r="L23" i="1" s="1"/>
  <c r="C386" i="1"/>
  <c r="C199" i="1" s="1"/>
  <c r="C23" i="1" s="1"/>
  <c r="B410" i="1"/>
  <c r="B406" i="1"/>
  <c r="K383" i="1"/>
  <c r="G383" i="1"/>
  <c r="B369" i="1"/>
  <c r="B367" i="1" s="1"/>
  <c r="B366" i="1" s="1"/>
  <c r="I197" i="1" l="1"/>
  <c r="I21" i="1" s="1"/>
  <c r="J197" i="1"/>
  <c r="J21" i="1" s="1"/>
  <c r="D197" i="1"/>
  <c r="D21" i="1" s="1"/>
  <c r="B198" i="1"/>
  <c r="B22" i="1" s="1"/>
  <c r="C197" i="1"/>
  <c r="C21" i="1" s="1"/>
  <c r="G197" i="1"/>
  <c r="G21" i="1" s="1"/>
  <c r="F197" i="1"/>
  <c r="F21" i="1" s="1"/>
  <c r="H197" i="1"/>
  <c r="H21" i="1" s="1"/>
  <c r="L197" i="1"/>
  <c r="L21" i="1" s="1"/>
  <c r="B199" i="1"/>
  <c r="B23" i="1" s="1"/>
  <c r="K197" i="1"/>
  <c r="K21" i="1" s="1"/>
  <c r="E197" i="1"/>
  <c r="E21" i="1" s="1"/>
  <c r="B345" i="1"/>
  <c r="B341" i="1" s="1"/>
  <c r="F377" i="1"/>
  <c r="K377" i="1"/>
  <c r="H384" i="1"/>
  <c r="J377" i="1"/>
  <c r="G377" i="1"/>
  <c r="L377" i="1"/>
  <c r="B430" i="1"/>
  <c r="B429" i="1" s="1"/>
  <c r="K378" i="1"/>
  <c r="B386" i="1"/>
  <c r="G384" i="1"/>
  <c r="H377" i="1"/>
  <c r="L384" i="1"/>
  <c r="F384" i="1"/>
  <c r="I377" i="1"/>
  <c r="B385" i="1"/>
  <c r="G378" i="1"/>
  <c r="F381" i="1"/>
  <c r="C384" i="1"/>
  <c r="F378" i="1"/>
  <c r="G381" i="1"/>
  <c r="K381" i="1"/>
  <c r="K384" i="1"/>
  <c r="E384" i="1"/>
  <c r="J384" i="1"/>
  <c r="D384" i="1"/>
  <c r="I384" i="1"/>
  <c r="B197" i="1" l="1"/>
  <c r="B21" i="1" s="1"/>
  <c r="F375" i="1"/>
  <c r="F371" i="1" s="1"/>
  <c r="B384" i="1"/>
  <c r="G375" i="1"/>
  <c r="G371" i="1" s="1"/>
  <c r="K375" i="1"/>
  <c r="K371" i="1" s="1"/>
  <c r="D299" i="1"/>
  <c r="D294" i="1" s="1"/>
  <c r="E299" i="1"/>
  <c r="E294" i="1" s="1"/>
  <c r="F299" i="1"/>
  <c r="F294" i="1" s="1"/>
  <c r="L299" i="1"/>
  <c r="L294" i="1" s="1"/>
  <c r="F298" i="1"/>
  <c r="F293" i="1" s="1"/>
  <c r="B288" i="1"/>
  <c r="B289" i="1"/>
  <c r="B290" i="1"/>
  <c r="C337" i="1"/>
  <c r="C336" i="1" s="1"/>
  <c r="D337" i="1"/>
  <c r="D336" i="1" s="1"/>
  <c r="E337" i="1"/>
  <c r="E336" i="1" s="1"/>
  <c r="F337" i="1"/>
  <c r="F336" i="1" s="1"/>
  <c r="G337" i="1"/>
  <c r="G336" i="1" s="1"/>
  <c r="H337" i="1"/>
  <c r="H336" i="1" s="1"/>
  <c r="I337" i="1"/>
  <c r="I336" i="1" s="1"/>
  <c r="J337" i="1"/>
  <c r="J336" i="1" s="1"/>
  <c r="K337" i="1"/>
  <c r="K336" i="1" s="1"/>
  <c r="L337" i="1"/>
  <c r="L336" i="1" s="1"/>
  <c r="B338" i="1"/>
  <c r="B339" i="1"/>
  <c r="C333" i="1"/>
  <c r="C332" i="1" s="1"/>
  <c r="D333" i="1"/>
  <c r="D332" i="1" s="1"/>
  <c r="E333" i="1"/>
  <c r="E332" i="1" s="1"/>
  <c r="F333" i="1"/>
  <c r="F332" i="1" s="1"/>
  <c r="G333" i="1"/>
  <c r="G332" i="1" s="1"/>
  <c r="H333" i="1"/>
  <c r="H332" i="1" s="1"/>
  <c r="I333" i="1"/>
  <c r="I332" i="1" s="1"/>
  <c r="J333" i="1"/>
  <c r="J332" i="1" s="1"/>
  <c r="K333" i="1"/>
  <c r="K332" i="1" s="1"/>
  <c r="L333" i="1"/>
  <c r="L332" i="1" s="1"/>
  <c r="B334" i="1"/>
  <c r="B335" i="1"/>
  <c r="C329" i="1"/>
  <c r="C328" i="1" s="1"/>
  <c r="D329" i="1"/>
  <c r="D328" i="1" s="1"/>
  <c r="E329" i="1"/>
  <c r="E328" i="1" s="1"/>
  <c r="F329" i="1"/>
  <c r="F328" i="1" s="1"/>
  <c r="G329" i="1"/>
  <c r="G328" i="1" s="1"/>
  <c r="C325" i="1"/>
  <c r="C324" i="1" s="1"/>
  <c r="D325" i="1"/>
  <c r="D324" i="1" s="1"/>
  <c r="E325" i="1"/>
  <c r="E324" i="1" s="1"/>
  <c r="F325" i="1"/>
  <c r="F324" i="1" s="1"/>
  <c r="K325" i="1"/>
  <c r="K324" i="1" s="1"/>
  <c r="L325" i="1"/>
  <c r="L324" i="1" s="1"/>
  <c r="B326" i="1"/>
  <c r="C321" i="1"/>
  <c r="C320" i="1" s="1"/>
  <c r="D321" i="1"/>
  <c r="D320" i="1" s="1"/>
  <c r="E321" i="1"/>
  <c r="E320" i="1" s="1"/>
  <c r="F321" i="1"/>
  <c r="F320" i="1" s="1"/>
  <c r="G321" i="1"/>
  <c r="G320" i="1" s="1"/>
  <c r="H321" i="1"/>
  <c r="H320" i="1" s="1"/>
  <c r="I321" i="1"/>
  <c r="I320" i="1" s="1"/>
  <c r="J321" i="1"/>
  <c r="J320" i="1" s="1"/>
  <c r="K321" i="1"/>
  <c r="K320" i="1" s="1"/>
  <c r="L321" i="1"/>
  <c r="L320" i="1" s="1"/>
  <c r="B322" i="1"/>
  <c r="C317" i="1"/>
  <c r="C316" i="1" s="1"/>
  <c r="D317" i="1"/>
  <c r="D316" i="1" s="1"/>
  <c r="E317" i="1"/>
  <c r="E316" i="1" s="1"/>
  <c r="F317" i="1"/>
  <c r="F316" i="1" s="1"/>
  <c r="G317" i="1"/>
  <c r="G316" i="1" s="1"/>
  <c r="L317" i="1"/>
  <c r="L316" i="1" s="1"/>
  <c r="B318" i="1"/>
  <c r="D313" i="1"/>
  <c r="D312" i="1" s="1"/>
  <c r="E313" i="1"/>
  <c r="E312" i="1" s="1"/>
  <c r="F313" i="1"/>
  <c r="F312" i="1" s="1"/>
  <c r="G313" i="1"/>
  <c r="G312" i="1" s="1"/>
  <c r="H313" i="1"/>
  <c r="H312" i="1" s="1"/>
  <c r="I313" i="1"/>
  <c r="I312" i="1" s="1"/>
  <c r="J313" i="1"/>
  <c r="J312" i="1" s="1"/>
  <c r="K313" i="1"/>
  <c r="K312" i="1" s="1"/>
  <c r="L313" i="1"/>
  <c r="L312" i="1" s="1"/>
  <c r="B314" i="1"/>
  <c r="F309" i="1"/>
  <c r="F308" i="1" s="1"/>
  <c r="F305" i="1"/>
  <c r="F304" i="1" s="1"/>
  <c r="B307" i="1"/>
  <c r="C301" i="1"/>
  <c r="C300" i="1" s="1"/>
  <c r="D301" i="1"/>
  <c r="D300" i="1" s="1"/>
  <c r="E301" i="1"/>
  <c r="E300" i="1" s="1"/>
  <c r="F301" i="1"/>
  <c r="F300" i="1" s="1"/>
  <c r="G301" i="1"/>
  <c r="G300" i="1" s="1"/>
  <c r="H301" i="1"/>
  <c r="H300" i="1" s="1"/>
  <c r="I301" i="1"/>
  <c r="I300" i="1" s="1"/>
  <c r="J301" i="1"/>
  <c r="J300" i="1" s="1"/>
  <c r="K301" i="1"/>
  <c r="K300" i="1" s="1"/>
  <c r="L301" i="1"/>
  <c r="L300" i="1" s="1"/>
  <c r="B302" i="1"/>
  <c r="B303" i="1"/>
  <c r="B276" i="1"/>
  <c r="B275" i="1"/>
  <c r="B280" i="1"/>
  <c r="B285" i="1"/>
  <c r="E249" i="1"/>
  <c r="F249" i="1"/>
  <c r="J249" i="1"/>
  <c r="K249" i="1"/>
  <c r="L249" i="1"/>
  <c r="I248" i="1"/>
  <c r="J248" i="1"/>
  <c r="K248" i="1"/>
  <c r="L248" i="1"/>
  <c r="H248" i="1"/>
  <c r="D248" i="1"/>
  <c r="E248" i="1"/>
  <c r="F248" i="1"/>
  <c r="G248" i="1"/>
  <c r="C248" i="1"/>
  <c r="D252" i="1"/>
  <c r="D205" i="1" s="1"/>
  <c r="D33" i="1" s="1"/>
  <c r="E252" i="1"/>
  <c r="E205" i="1" s="1"/>
  <c r="E33" i="1" s="1"/>
  <c r="F252" i="1"/>
  <c r="F205" i="1" s="1"/>
  <c r="F33" i="1" s="1"/>
  <c r="G252" i="1"/>
  <c r="G205" i="1" s="1"/>
  <c r="G33" i="1" s="1"/>
  <c r="H252" i="1"/>
  <c r="H205" i="1" s="1"/>
  <c r="H33" i="1" s="1"/>
  <c r="I252" i="1"/>
  <c r="I205" i="1" s="1"/>
  <c r="I33" i="1" s="1"/>
  <c r="J252" i="1"/>
  <c r="J205" i="1" s="1"/>
  <c r="J33" i="1" s="1"/>
  <c r="K252" i="1"/>
  <c r="K205" i="1" s="1"/>
  <c r="K33" i="1" s="1"/>
  <c r="L252" i="1"/>
  <c r="L205" i="1" s="1"/>
  <c r="L33" i="1" s="1"/>
  <c r="C252" i="1"/>
  <c r="C205" i="1" s="1"/>
  <c r="C33" i="1" s="1"/>
  <c r="D251" i="1"/>
  <c r="D204" i="1" s="1"/>
  <c r="D32" i="1" s="1"/>
  <c r="E251" i="1"/>
  <c r="E204" i="1" s="1"/>
  <c r="E32" i="1" s="1"/>
  <c r="F251" i="1"/>
  <c r="F204" i="1" s="1"/>
  <c r="F32" i="1" s="1"/>
  <c r="G251" i="1"/>
  <c r="G204" i="1" s="1"/>
  <c r="G32" i="1" s="1"/>
  <c r="H251" i="1"/>
  <c r="H204" i="1" s="1"/>
  <c r="H32" i="1" s="1"/>
  <c r="I251" i="1"/>
  <c r="I204" i="1" s="1"/>
  <c r="I32" i="1" s="1"/>
  <c r="J251" i="1"/>
  <c r="J204" i="1" s="1"/>
  <c r="J32" i="1" s="1"/>
  <c r="K251" i="1"/>
  <c r="K204" i="1" s="1"/>
  <c r="K32" i="1" s="1"/>
  <c r="L251" i="1"/>
  <c r="L204" i="1" s="1"/>
  <c r="L32" i="1" s="1"/>
  <c r="C251" i="1"/>
  <c r="C204" i="1" s="1"/>
  <c r="C32" i="1" s="1"/>
  <c r="B239" i="1"/>
  <c r="B240" i="1"/>
  <c r="C269" i="1"/>
  <c r="C268" i="1" s="1"/>
  <c r="D269" i="1"/>
  <c r="D268" i="1" s="1"/>
  <c r="E269" i="1"/>
  <c r="E268" i="1" s="1"/>
  <c r="F269" i="1"/>
  <c r="F268" i="1" s="1"/>
  <c r="G269" i="1"/>
  <c r="G268" i="1" s="1"/>
  <c r="H269" i="1"/>
  <c r="H268" i="1" s="1"/>
  <c r="I269" i="1"/>
  <c r="I268" i="1" s="1"/>
  <c r="J269" i="1"/>
  <c r="J268" i="1" s="1"/>
  <c r="K269" i="1"/>
  <c r="K268" i="1" s="1"/>
  <c r="L269" i="1"/>
  <c r="L268" i="1" s="1"/>
  <c r="B270" i="1"/>
  <c r="B271" i="1"/>
  <c r="E262" i="1"/>
  <c r="F262" i="1"/>
  <c r="G262" i="1"/>
  <c r="H262" i="1"/>
  <c r="I262" i="1"/>
  <c r="J262" i="1"/>
  <c r="K262" i="1"/>
  <c r="L262" i="1"/>
  <c r="B263" i="1"/>
  <c r="C265" i="1"/>
  <c r="D265" i="1"/>
  <c r="E265" i="1"/>
  <c r="F265" i="1"/>
  <c r="G265" i="1"/>
  <c r="H265" i="1"/>
  <c r="I265" i="1"/>
  <c r="J265" i="1"/>
  <c r="K265" i="1"/>
  <c r="L265" i="1"/>
  <c r="D264" i="1"/>
  <c r="D249" i="1" s="1"/>
  <c r="C264" i="1"/>
  <c r="C262" i="1" s="1"/>
  <c r="B267" i="1"/>
  <c r="B266" i="1"/>
  <c r="I258" i="1"/>
  <c r="I257" i="1" s="1"/>
  <c r="J258" i="1"/>
  <c r="J257" i="1" s="1"/>
  <c r="K258" i="1"/>
  <c r="K257" i="1" s="1"/>
  <c r="L258" i="1"/>
  <c r="L257" i="1" s="1"/>
  <c r="H258" i="1"/>
  <c r="H257" i="1" s="1"/>
  <c r="C258" i="1"/>
  <c r="C257" i="1" s="1"/>
  <c r="D258" i="1"/>
  <c r="D257" i="1" s="1"/>
  <c r="E258" i="1"/>
  <c r="E257" i="1" s="1"/>
  <c r="F258" i="1"/>
  <c r="F257" i="1" s="1"/>
  <c r="G258" i="1"/>
  <c r="G257" i="1" s="1"/>
  <c r="B259" i="1"/>
  <c r="C254" i="1"/>
  <c r="C253" i="1" s="1"/>
  <c r="D254" i="1"/>
  <c r="D253" i="1" s="1"/>
  <c r="E254" i="1"/>
  <c r="E253" i="1" s="1"/>
  <c r="F254" i="1"/>
  <c r="F253" i="1" s="1"/>
  <c r="J254" i="1"/>
  <c r="J253" i="1" s="1"/>
  <c r="K254" i="1"/>
  <c r="K253" i="1" s="1"/>
  <c r="L254" i="1"/>
  <c r="L253" i="1" s="1"/>
  <c r="E214" i="1"/>
  <c r="F214" i="1"/>
  <c r="B208" i="1"/>
  <c r="B209" i="1"/>
  <c r="B210" i="1"/>
  <c r="E219" i="1"/>
  <c r="F219" i="1"/>
  <c r="F218" i="1"/>
  <c r="F213" i="1" s="1"/>
  <c r="F233" i="1"/>
  <c r="F232" i="1" s="1"/>
  <c r="B235" i="1"/>
  <c r="C229" i="1"/>
  <c r="C228" i="1" s="1"/>
  <c r="D229" i="1"/>
  <c r="D228" i="1" s="1"/>
  <c r="E229" i="1"/>
  <c r="E228" i="1" s="1"/>
  <c r="F229" i="1"/>
  <c r="F228" i="1" s="1"/>
  <c r="L231" i="1"/>
  <c r="C225" i="1"/>
  <c r="C224" i="1" s="1"/>
  <c r="D225" i="1"/>
  <c r="D224" i="1" s="1"/>
  <c r="E225" i="1"/>
  <c r="E224" i="1" s="1"/>
  <c r="F225" i="1"/>
  <c r="F224" i="1" s="1"/>
  <c r="L225" i="1"/>
  <c r="L224" i="1" s="1"/>
  <c r="F221" i="1"/>
  <c r="F220" i="1" s="1"/>
  <c r="C31" i="1" l="1"/>
  <c r="G31" i="1"/>
  <c r="K31" i="1"/>
  <c r="E31" i="1"/>
  <c r="L31" i="1"/>
  <c r="F31" i="1"/>
  <c r="J31" i="1"/>
  <c r="D31" i="1"/>
  <c r="I31" i="1"/>
  <c r="H31" i="1"/>
  <c r="J203" i="1"/>
  <c r="D203" i="1"/>
  <c r="G203" i="1"/>
  <c r="I203" i="1"/>
  <c r="H203" i="1"/>
  <c r="C203" i="1"/>
  <c r="B204" i="1"/>
  <c r="B32" i="1" s="1"/>
  <c r="L203" i="1"/>
  <c r="F203" i="1"/>
  <c r="K203" i="1"/>
  <c r="E203" i="1"/>
  <c r="B205" i="1"/>
  <c r="B33" i="1" s="1"/>
  <c r="F244" i="1"/>
  <c r="K261" i="1"/>
  <c r="E261" i="1"/>
  <c r="B337" i="1"/>
  <c r="B336" i="1" s="1"/>
  <c r="K244" i="1"/>
  <c r="C261" i="1"/>
  <c r="B265" i="1"/>
  <c r="J261" i="1"/>
  <c r="I261" i="1"/>
  <c r="B269" i="1"/>
  <c r="B268" i="1" s="1"/>
  <c r="J247" i="1"/>
  <c r="F291" i="1"/>
  <c r="F287" i="1" s="1"/>
  <c r="F297" i="1"/>
  <c r="B333" i="1"/>
  <c r="B332" i="1" s="1"/>
  <c r="B301" i="1"/>
  <c r="B300" i="1" s="1"/>
  <c r="G261" i="1"/>
  <c r="L261" i="1"/>
  <c r="F261" i="1"/>
  <c r="E244" i="1"/>
  <c r="D243" i="1"/>
  <c r="C249" i="1"/>
  <c r="C247" i="1" s="1"/>
  <c r="J244" i="1"/>
  <c r="H261" i="1"/>
  <c r="B252" i="1"/>
  <c r="J243" i="1"/>
  <c r="L244" i="1"/>
  <c r="D262" i="1"/>
  <c r="D261" i="1" s="1"/>
  <c r="E247" i="1"/>
  <c r="D244" i="1"/>
  <c r="F247" i="1"/>
  <c r="B264" i="1"/>
  <c r="B262" i="1" s="1"/>
  <c r="I243" i="1"/>
  <c r="F211" i="1"/>
  <c r="F207" i="1" s="1"/>
  <c r="L247" i="1"/>
  <c r="K247" i="1"/>
  <c r="D247" i="1"/>
  <c r="H243" i="1"/>
  <c r="B248" i="1"/>
  <c r="L243" i="1"/>
  <c r="F243" i="1"/>
  <c r="K243" i="1"/>
  <c r="E243" i="1"/>
  <c r="G243" i="1"/>
  <c r="C243" i="1"/>
  <c r="I250" i="1"/>
  <c r="H250" i="1"/>
  <c r="J250" i="1"/>
  <c r="D250" i="1"/>
  <c r="B251" i="1"/>
  <c r="G250" i="1"/>
  <c r="L250" i="1"/>
  <c r="F250" i="1"/>
  <c r="K250" i="1"/>
  <c r="E250" i="1"/>
  <c r="C250" i="1"/>
  <c r="C214" i="1"/>
  <c r="C219" i="1"/>
  <c r="D214" i="1"/>
  <c r="D219" i="1"/>
  <c r="B223" i="1"/>
  <c r="L214" i="1"/>
  <c r="L202" i="1" s="1"/>
  <c r="L191" i="1" s="1"/>
  <c r="L219" i="1"/>
  <c r="F217" i="1"/>
  <c r="D39" i="1"/>
  <c r="D8" i="1" s="1"/>
  <c r="E39" i="1"/>
  <c r="E8" i="1" s="1"/>
  <c r="F39" i="1"/>
  <c r="C39" i="1"/>
  <c r="C8" i="1" s="1"/>
  <c r="B40" i="1"/>
  <c r="B41" i="1"/>
  <c r="D90" i="1"/>
  <c r="E90" i="1"/>
  <c r="F90" i="1"/>
  <c r="G90" i="1"/>
  <c r="H90" i="1"/>
  <c r="I90" i="1"/>
  <c r="J90" i="1"/>
  <c r="K90" i="1"/>
  <c r="L90" i="1"/>
  <c r="C90" i="1"/>
  <c r="D54" i="1"/>
  <c r="E54" i="1"/>
  <c r="C54" i="1"/>
  <c r="F53" i="1"/>
  <c r="B55" i="1"/>
  <c r="B36" i="1" s="1"/>
  <c r="B171" i="1"/>
  <c r="B172" i="1"/>
  <c r="B173" i="1"/>
  <c r="C176" i="1"/>
  <c r="D176" i="1"/>
  <c r="E176" i="1"/>
  <c r="F176" i="1"/>
  <c r="G176" i="1"/>
  <c r="H176" i="1"/>
  <c r="I176" i="1"/>
  <c r="J176" i="1"/>
  <c r="K176" i="1"/>
  <c r="L176" i="1"/>
  <c r="C180" i="1"/>
  <c r="D180" i="1"/>
  <c r="E180" i="1"/>
  <c r="F180" i="1"/>
  <c r="G180" i="1"/>
  <c r="H180" i="1"/>
  <c r="I180" i="1"/>
  <c r="J180" i="1"/>
  <c r="K180" i="1"/>
  <c r="L180" i="1"/>
  <c r="B181" i="1"/>
  <c r="B176" i="1" s="1"/>
  <c r="B31" i="1" l="1"/>
  <c r="E53" i="1"/>
  <c r="E35" i="1"/>
  <c r="E34" i="1" s="1"/>
  <c r="C53" i="1"/>
  <c r="C35" i="1"/>
  <c r="C34" i="1" s="1"/>
  <c r="D53" i="1"/>
  <c r="D35" i="1"/>
  <c r="D34" i="1" s="1"/>
  <c r="B203" i="1"/>
  <c r="K241" i="1"/>
  <c r="K237" i="1" s="1"/>
  <c r="D241" i="1"/>
  <c r="D237" i="1" s="1"/>
  <c r="C244" i="1"/>
  <c r="C241" i="1" s="1"/>
  <c r="C237" i="1" s="1"/>
  <c r="B261" i="1"/>
  <c r="J241" i="1"/>
  <c r="J237" i="1" s="1"/>
  <c r="B250" i="1"/>
  <c r="E241" i="1"/>
  <c r="E237" i="1" s="1"/>
  <c r="L241" i="1"/>
  <c r="L237" i="1" s="1"/>
  <c r="B243" i="1"/>
  <c r="F241" i="1"/>
  <c r="F237" i="1" s="1"/>
  <c r="B54" i="1"/>
  <c r="B39" i="1"/>
  <c r="L174" i="1"/>
  <c r="K174" i="1"/>
  <c r="B53" i="1" l="1"/>
  <c r="B35" i="1"/>
  <c r="B34" i="1" s="1"/>
  <c r="B158" i="1"/>
  <c r="B157" i="1"/>
  <c r="B159" i="1"/>
  <c r="C162" i="1"/>
  <c r="D162" i="1"/>
  <c r="E162" i="1"/>
  <c r="F162" i="1"/>
  <c r="G162" i="1"/>
  <c r="H162" i="1"/>
  <c r="I162" i="1"/>
  <c r="J162" i="1"/>
  <c r="K162" i="1"/>
  <c r="L162" i="1"/>
  <c r="C163" i="1"/>
  <c r="D163" i="1"/>
  <c r="E163" i="1"/>
  <c r="F163" i="1"/>
  <c r="G163" i="1"/>
  <c r="H163" i="1"/>
  <c r="I163" i="1"/>
  <c r="J163" i="1"/>
  <c r="K163" i="1"/>
  <c r="L163" i="1"/>
  <c r="C166" i="1"/>
  <c r="C160" i="1" s="1"/>
  <c r="C156" i="1" s="1"/>
  <c r="D166" i="1"/>
  <c r="D160" i="1" s="1"/>
  <c r="D156" i="1" s="1"/>
  <c r="E166" i="1"/>
  <c r="E160" i="1" s="1"/>
  <c r="E156" i="1" s="1"/>
  <c r="F166" i="1"/>
  <c r="F160" i="1" s="1"/>
  <c r="F156" i="1" s="1"/>
  <c r="G166" i="1"/>
  <c r="G160" i="1" s="1"/>
  <c r="G156" i="1" s="1"/>
  <c r="H166" i="1"/>
  <c r="H160" i="1" s="1"/>
  <c r="H156" i="1" s="1"/>
  <c r="I166" i="1"/>
  <c r="I160" i="1" s="1"/>
  <c r="I156" i="1" s="1"/>
  <c r="J166" i="1"/>
  <c r="J160" i="1" s="1"/>
  <c r="J156" i="1" s="1"/>
  <c r="K166" i="1"/>
  <c r="K160" i="1" s="1"/>
  <c r="K156" i="1" s="1"/>
  <c r="L166" i="1"/>
  <c r="L160" i="1" s="1"/>
  <c r="L156" i="1" s="1"/>
  <c r="B167" i="1"/>
  <c r="B162" i="1" s="1"/>
  <c r="B168" i="1"/>
  <c r="B163" i="1" s="1"/>
  <c r="C147" i="1"/>
  <c r="D147" i="1"/>
  <c r="E147" i="1"/>
  <c r="F147" i="1"/>
  <c r="G147" i="1"/>
  <c r="H147" i="1"/>
  <c r="I147" i="1"/>
  <c r="J147" i="1"/>
  <c r="K147" i="1"/>
  <c r="L147" i="1"/>
  <c r="B153" i="1"/>
  <c r="B147" i="1" s="1"/>
  <c r="C151" i="1"/>
  <c r="D151" i="1"/>
  <c r="E151" i="1"/>
  <c r="F151" i="1"/>
  <c r="G151" i="1"/>
  <c r="H151" i="1"/>
  <c r="I151" i="1"/>
  <c r="J151" i="1"/>
  <c r="K151" i="1"/>
  <c r="L151" i="1"/>
  <c r="B166" i="1" l="1"/>
  <c r="B160" i="1" s="1"/>
  <c r="B156" i="1" s="1"/>
  <c r="B141" i="1"/>
  <c r="B142" i="1"/>
  <c r="B143" i="1"/>
  <c r="C144" i="1"/>
  <c r="C140" i="1" s="1"/>
  <c r="D144" i="1"/>
  <c r="D140" i="1" s="1"/>
  <c r="E144" i="1"/>
  <c r="E140" i="1" s="1"/>
  <c r="F144" i="1"/>
  <c r="F140" i="1" s="1"/>
  <c r="G144" i="1"/>
  <c r="G140" i="1" s="1"/>
  <c r="H144" i="1"/>
  <c r="H140" i="1" s="1"/>
  <c r="I144" i="1"/>
  <c r="I140" i="1" s="1"/>
  <c r="J144" i="1"/>
  <c r="J140" i="1" s="1"/>
  <c r="K144" i="1"/>
  <c r="K140" i="1" s="1"/>
  <c r="L144" i="1"/>
  <c r="L140" i="1" s="1"/>
  <c r="C146" i="1"/>
  <c r="D146" i="1"/>
  <c r="E146" i="1"/>
  <c r="F146" i="1"/>
  <c r="G146" i="1"/>
  <c r="H146" i="1"/>
  <c r="I146" i="1"/>
  <c r="J146" i="1"/>
  <c r="K146" i="1"/>
  <c r="L146" i="1"/>
  <c r="C148" i="1"/>
  <c r="D148" i="1"/>
  <c r="E148" i="1"/>
  <c r="F148" i="1"/>
  <c r="G148" i="1"/>
  <c r="H148" i="1"/>
  <c r="I148" i="1"/>
  <c r="J148" i="1"/>
  <c r="K148" i="1"/>
  <c r="L148" i="1"/>
  <c r="B152" i="1"/>
  <c r="B154" i="1"/>
  <c r="B148" i="1" s="1"/>
  <c r="B127" i="1"/>
  <c r="B128" i="1"/>
  <c r="B129" i="1"/>
  <c r="C132" i="1"/>
  <c r="D132" i="1"/>
  <c r="E132" i="1"/>
  <c r="F132" i="1"/>
  <c r="G132" i="1"/>
  <c r="H132" i="1"/>
  <c r="I132" i="1"/>
  <c r="J132" i="1"/>
  <c r="K132" i="1"/>
  <c r="L132" i="1"/>
  <c r="C133" i="1"/>
  <c r="D133" i="1"/>
  <c r="E133" i="1"/>
  <c r="F133" i="1"/>
  <c r="G133" i="1"/>
  <c r="H133" i="1"/>
  <c r="I133" i="1"/>
  <c r="J133" i="1"/>
  <c r="K133" i="1"/>
  <c r="L133" i="1"/>
  <c r="C136" i="1"/>
  <c r="D136" i="1"/>
  <c r="E136" i="1"/>
  <c r="F136" i="1"/>
  <c r="G136" i="1"/>
  <c r="H136" i="1"/>
  <c r="I136" i="1"/>
  <c r="J136" i="1"/>
  <c r="K136" i="1"/>
  <c r="L136" i="1"/>
  <c r="B137" i="1"/>
  <c r="B132" i="1" s="1"/>
  <c r="B138" i="1"/>
  <c r="B133" i="1" s="1"/>
  <c r="C122" i="1"/>
  <c r="C116" i="1" s="1"/>
  <c r="D122" i="1"/>
  <c r="D116" i="1" s="1"/>
  <c r="E122" i="1"/>
  <c r="E116" i="1" s="1"/>
  <c r="F122" i="1"/>
  <c r="F116" i="1" s="1"/>
  <c r="G122" i="1"/>
  <c r="G116" i="1" s="1"/>
  <c r="H122" i="1"/>
  <c r="H116" i="1" s="1"/>
  <c r="I122" i="1"/>
  <c r="I116" i="1" s="1"/>
  <c r="J122" i="1"/>
  <c r="J116" i="1" s="1"/>
  <c r="K122" i="1"/>
  <c r="K116" i="1" s="1"/>
  <c r="L122" i="1"/>
  <c r="L116" i="1" s="1"/>
  <c r="C119" i="1"/>
  <c r="D119" i="1"/>
  <c r="E119" i="1"/>
  <c r="F119" i="1"/>
  <c r="G119" i="1"/>
  <c r="H119" i="1"/>
  <c r="I119" i="1"/>
  <c r="J119" i="1"/>
  <c r="K119" i="1"/>
  <c r="L119" i="1"/>
  <c r="C118" i="1"/>
  <c r="D118" i="1"/>
  <c r="E118" i="1"/>
  <c r="F118" i="1"/>
  <c r="G118" i="1"/>
  <c r="H118" i="1"/>
  <c r="I118" i="1"/>
  <c r="J118" i="1"/>
  <c r="K118" i="1"/>
  <c r="L118" i="1"/>
  <c r="B114" i="1"/>
  <c r="B115" i="1"/>
  <c r="B113" i="1"/>
  <c r="B123" i="1"/>
  <c r="B118" i="1" s="1"/>
  <c r="B124" i="1"/>
  <c r="B119" i="1" s="1"/>
  <c r="C108" i="1"/>
  <c r="C107" i="1" s="1"/>
  <c r="D108" i="1"/>
  <c r="D107" i="1" s="1"/>
  <c r="E108" i="1"/>
  <c r="E107" i="1" s="1"/>
  <c r="F108" i="1"/>
  <c r="F107" i="1" s="1"/>
  <c r="G108" i="1"/>
  <c r="G107" i="1" s="1"/>
  <c r="H108" i="1"/>
  <c r="H107" i="1" s="1"/>
  <c r="I108" i="1"/>
  <c r="I107" i="1" s="1"/>
  <c r="J108" i="1"/>
  <c r="J107" i="1" s="1"/>
  <c r="K108" i="1"/>
  <c r="K107" i="1" s="1"/>
  <c r="L108" i="1"/>
  <c r="L107" i="1" s="1"/>
  <c r="B109" i="1"/>
  <c r="B110" i="1"/>
  <c r="C104" i="1"/>
  <c r="C103" i="1" s="1"/>
  <c r="D104" i="1"/>
  <c r="D103" i="1" s="1"/>
  <c r="E104" i="1"/>
  <c r="E103" i="1" s="1"/>
  <c r="F104" i="1"/>
  <c r="F103" i="1" s="1"/>
  <c r="G104" i="1"/>
  <c r="G103" i="1" s="1"/>
  <c r="H104" i="1"/>
  <c r="H103" i="1" s="1"/>
  <c r="I104" i="1"/>
  <c r="I103" i="1" s="1"/>
  <c r="J104" i="1"/>
  <c r="J103" i="1" s="1"/>
  <c r="K104" i="1"/>
  <c r="K103" i="1" s="1"/>
  <c r="L104" i="1"/>
  <c r="L103" i="1" s="1"/>
  <c r="B105" i="1"/>
  <c r="B104" i="1" s="1"/>
  <c r="B103" i="1" s="1"/>
  <c r="F99" i="1"/>
  <c r="G99" i="1"/>
  <c r="C100" i="1"/>
  <c r="C99" i="1" s="1"/>
  <c r="D100" i="1"/>
  <c r="D99" i="1" s="1"/>
  <c r="E100" i="1"/>
  <c r="E99" i="1" s="1"/>
  <c r="J130" i="1" l="1"/>
  <c r="J126" i="1" s="1"/>
  <c r="D130" i="1"/>
  <c r="D126" i="1" s="1"/>
  <c r="B108" i="1"/>
  <c r="B107" i="1" s="1"/>
  <c r="I130" i="1"/>
  <c r="I126" i="1" s="1"/>
  <c r="C130" i="1"/>
  <c r="C126" i="1" s="1"/>
  <c r="H130" i="1"/>
  <c r="H126" i="1" s="1"/>
  <c r="G130" i="1"/>
  <c r="G126" i="1" s="1"/>
  <c r="B136" i="1"/>
  <c r="L130" i="1"/>
  <c r="L126" i="1" s="1"/>
  <c r="F130" i="1"/>
  <c r="F126" i="1" s="1"/>
  <c r="K130" i="1"/>
  <c r="K126" i="1" s="1"/>
  <c r="E130" i="1"/>
  <c r="E126" i="1" s="1"/>
  <c r="B130" i="1"/>
  <c r="B126" i="1" s="1"/>
  <c r="B151" i="1"/>
  <c r="B144" i="1" s="1"/>
  <c r="B140" i="1" s="1"/>
  <c r="B146" i="1"/>
  <c r="B122" i="1"/>
  <c r="B116" i="1" s="1"/>
  <c r="B112" i="1" s="1"/>
  <c r="B170" i="1"/>
  <c r="B102" i="1" l="1"/>
  <c r="B101" i="1"/>
  <c r="C96" i="1"/>
  <c r="C95" i="1" s="1"/>
  <c r="C89" i="1" s="1"/>
  <c r="C83" i="1" s="1"/>
  <c r="D96" i="1"/>
  <c r="D95" i="1" s="1"/>
  <c r="D89" i="1" s="1"/>
  <c r="E96" i="1"/>
  <c r="E95" i="1" s="1"/>
  <c r="E89" i="1" s="1"/>
  <c r="F96" i="1"/>
  <c r="F95" i="1" s="1"/>
  <c r="F89" i="1" s="1"/>
  <c r="G96" i="1"/>
  <c r="G95" i="1" s="1"/>
  <c r="G89" i="1" s="1"/>
  <c r="H96" i="1"/>
  <c r="H95" i="1" s="1"/>
  <c r="H89" i="1" s="1"/>
  <c r="I96" i="1"/>
  <c r="I95" i="1" s="1"/>
  <c r="I89" i="1" s="1"/>
  <c r="J96" i="1"/>
  <c r="J95" i="1" s="1"/>
  <c r="J89" i="1" s="1"/>
  <c r="K96" i="1"/>
  <c r="K95" i="1" s="1"/>
  <c r="K89" i="1" s="1"/>
  <c r="L96" i="1"/>
  <c r="L95" i="1" s="1"/>
  <c r="L89" i="1" s="1"/>
  <c r="L83" i="1" s="1"/>
  <c r="L51" i="1" s="1"/>
  <c r="L45" i="1" s="1"/>
  <c r="L26" i="1" s="1"/>
  <c r="L14" i="1" s="1"/>
  <c r="B97" i="1"/>
  <c r="B98" i="1"/>
  <c r="G92" i="1"/>
  <c r="G91" i="1" s="1"/>
  <c r="G88" i="1" s="1"/>
  <c r="G82" i="1" s="1"/>
  <c r="K92" i="1"/>
  <c r="K91" i="1" s="1"/>
  <c r="K88" i="1" s="1"/>
  <c r="K82" i="1" s="1"/>
  <c r="L92" i="1"/>
  <c r="L91" i="1" s="1"/>
  <c r="L88" i="1" s="1"/>
  <c r="L82" i="1" s="1"/>
  <c r="C92" i="1"/>
  <c r="C91" i="1" s="1"/>
  <c r="C88" i="1" s="1"/>
  <c r="D92" i="1"/>
  <c r="D91" i="1" s="1"/>
  <c r="D88" i="1" s="1"/>
  <c r="D82" i="1" s="1"/>
  <c r="E92" i="1"/>
  <c r="E91" i="1" s="1"/>
  <c r="E88" i="1" s="1"/>
  <c r="E82" i="1" s="1"/>
  <c r="F92" i="1"/>
  <c r="F91" i="1" s="1"/>
  <c r="F88" i="1" s="1"/>
  <c r="F82" i="1" s="1"/>
  <c r="B94" i="1"/>
  <c r="B77" i="1"/>
  <c r="B78" i="1"/>
  <c r="B79" i="1"/>
  <c r="C84" i="1"/>
  <c r="C52" i="1" s="1"/>
  <c r="D84" i="1"/>
  <c r="D52" i="1" s="1"/>
  <c r="E84" i="1"/>
  <c r="F84" i="1"/>
  <c r="F52" i="1" s="1"/>
  <c r="G84" i="1"/>
  <c r="G52" i="1" s="1"/>
  <c r="H84" i="1"/>
  <c r="I84" i="1"/>
  <c r="I52" i="1" s="1"/>
  <c r="J84" i="1"/>
  <c r="J52" i="1" s="1"/>
  <c r="K84" i="1"/>
  <c r="L84" i="1"/>
  <c r="L52" i="1" s="1"/>
  <c r="B90" i="1"/>
  <c r="B84" i="1" s="1"/>
  <c r="B60" i="1"/>
  <c r="B59" i="1"/>
  <c r="B58" i="1"/>
  <c r="C64" i="1"/>
  <c r="D64" i="1"/>
  <c r="E64" i="1"/>
  <c r="F64" i="1"/>
  <c r="I63" i="1"/>
  <c r="J63" i="1"/>
  <c r="K63" i="1"/>
  <c r="L63" i="1"/>
  <c r="F63" i="1"/>
  <c r="B65" i="1"/>
  <c r="I68" i="1"/>
  <c r="J68" i="1"/>
  <c r="K68" i="1"/>
  <c r="L68" i="1"/>
  <c r="F68" i="1"/>
  <c r="B70" i="1"/>
  <c r="B64" i="1" s="1"/>
  <c r="L46" i="1" l="1"/>
  <c r="F46" i="1"/>
  <c r="G46" i="1"/>
  <c r="J46" i="1"/>
  <c r="I46" i="1"/>
  <c r="D46" i="1"/>
  <c r="C46" i="1"/>
  <c r="C51" i="1"/>
  <c r="C45" i="1" s="1"/>
  <c r="C26" i="1" s="1"/>
  <c r="C14" i="1" s="1"/>
  <c r="C87" i="1"/>
  <c r="L87" i="1"/>
  <c r="B100" i="1"/>
  <c r="B99" i="1" s="1"/>
  <c r="L80" i="1"/>
  <c r="L76" i="1" s="1"/>
  <c r="B89" i="1"/>
  <c r="H83" i="1"/>
  <c r="H51" i="1" s="1"/>
  <c r="H45" i="1" s="1"/>
  <c r="H26" i="1" s="1"/>
  <c r="H14" i="1" s="1"/>
  <c r="K87" i="1"/>
  <c r="K83" i="1"/>
  <c r="K51" i="1" s="1"/>
  <c r="K45" i="1" s="1"/>
  <c r="K26" i="1" s="1"/>
  <c r="K14" i="1" s="1"/>
  <c r="D87" i="1"/>
  <c r="D83" i="1"/>
  <c r="D51" i="1" s="1"/>
  <c r="J83" i="1"/>
  <c r="J51" i="1" s="1"/>
  <c r="J45" i="1" s="1"/>
  <c r="J26" i="1" s="1"/>
  <c r="J14" i="1" s="1"/>
  <c r="G87" i="1"/>
  <c r="G83" i="1"/>
  <c r="G51" i="1" s="1"/>
  <c r="G45" i="1" s="1"/>
  <c r="G26" i="1" s="1"/>
  <c r="G14" i="1" s="1"/>
  <c r="L61" i="1"/>
  <c r="L57" i="1" s="1"/>
  <c r="L50" i="1"/>
  <c r="E87" i="1"/>
  <c r="E83" i="1"/>
  <c r="E80" i="1" s="1"/>
  <c r="E76" i="1" s="1"/>
  <c r="K61" i="1"/>
  <c r="K57" i="1" s="1"/>
  <c r="K50" i="1"/>
  <c r="J61" i="1"/>
  <c r="J57" i="1" s="1"/>
  <c r="C82" i="1"/>
  <c r="C80" i="1" s="1"/>
  <c r="C76" i="1" s="1"/>
  <c r="I83" i="1"/>
  <c r="I51" i="1" s="1"/>
  <c r="I45" i="1" s="1"/>
  <c r="I26" i="1" s="1"/>
  <c r="I14" i="1" s="1"/>
  <c r="I61" i="1"/>
  <c r="I57" i="1" s="1"/>
  <c r="F50" i="1"/>
  <c r="F87" i="1"/>
  <c r="F83" i="1"/>
  <c r="F80" i="1" s="1"/>
  <c r="F76" i="1" s="1"/>
  <c r="K52" i="1"/>
  <c r="E52" i="1"/>
  <c r="H52" i="1"/>
  <c r="B96" i="1"/>
  <c r="B95" i="1" s="1"/>
  <c r="F61" i="1"/>
  <c r="F57" i="1" s="1"/>
  <c r="K46" i="1" l="1"/>
  <c r="H46" i="1"/>
  <c r="F51" i="1"/>
  <c r="F45" i="1" s="1"/>
  <c r="F26" i="1" s="1"/>
  <c r="F14" i="1" s="1"/>
  <c r="K80" i="1"/>
  <c r="K76" i="1" s="1"/>
  <c r="D80" i="1"/>
  <c r="D76" i="1" s="1"/>
  <c r="D45" i="1"/>
  <c r="D26" i="1" s="1"/>
  <c r="D14" i="1" s="1"/>
  <c r="K49" i="1"/>
  <c r="K44" i="1"/>
  <c r="K42" i="1" s="1"/>
  <c r="K38" i="1" s="1"/>
  <c r="F44" i="1"/>
  <c r="L44" i="1"/>
  <c r="L42" i="1" s="1"/>
  <c r="L38" i="1" s="1"/>
  <c r="L49" i="1"/>
  <c r="B52" i="1"/>
  <c r="E46" i="1"/>
  <c r="E51" i="1"/>
  <c r="E45" i="1" s="1"/>
  <c r="E26" i="1" s="1"/>
  <c r="E14" i="1" s="1"/>
  <c r="G80" i="1"/>
  <c r="G76" i="1" s="1"/>
  <c r="B83" i="1"/>
  <c r="G63" i="1"/>
  <c r="G68" i="1"/>
  <c r="H69" i="1"/>
  <c r="B46" i="1" l="1"/>
  <c r="F42" i="1"/>
  <c r="F38" i="1" s="1"/>
  <c r="F49" i="1"/>
  <c r="B51" i="1"/>
  <c r="B45" i="1" s="1"/>
  <c r="B26" i="1" s="1"/>
  <c r="B14" i="1" s="1"/>
  <c r="G61" i="1"/>
  <c r="G57" i="1" s="1"/>
  <c r="G50" i="1"/>
  <c r="H63" i="1"/>
  <c r="H68" i="1"/>
  <c r="G44" i="1" l="1"/>
  <c r="G42" i="1" s="1"/>
  <c r="G38" i="1" s="1"/>
  <c r="G49" i="1"/>
  <c r="H61" i="1"/>
  <c r="H57" i="1" s="1"/>
  <c r="E69" i="1"/>
  <c r="D69" i="1"/>
  <c r="C69" i="1"/>
  <c r="B71" i="1"/>
  <c r="C72" i="1"/>
  <c r="D72" i="1"/>
  <c r="E72" i="1"/>
  <c r="F72" i="1"/>
  <c r="B73" i="1"/>
  <c r="B74" i="1"/>
  <c r="B72" i="1" l="1"/>
  <c r="C68" i="1"/>
  <c r="C63" i="1"/>
  <c r="B69" i="1"/>
  <c r="D63" i="1"/>
  <c r="D68" i="1"/>
  <c r="E63" i="1"/>
  <c r="E68" i="1"/>
  <c r="D61" i="1" l="1"/>
  <c r="D57" i="1" s="1"/>
  <c r="D50" i="1"/>
  <c r="C61" i="1"/>
  <c r="C57" i="1" s="1"/>
  <c r="C50" i="1"/>
  <c r="E61" i="1"/>
  <c r="E57" i="1" s="1"/>
  <c r="E50" i="1"/>
  <c r="B63" i="1"/>
  <c r="B61" i="1" s="1"/>
  <c r="B57" i="1" s="1"/>
  <c r="B68" i="1"/>
  <c r="C49" i="1" l="1"/>
  <c r="C44" i="1"/>
  <c r="C42" i="1" s="1"/>
  <c r="C38" i="1" s="1"/>
  <c r="E44" i="1"/>
  <c r="E42" i="1" s="1"/>
  <c r="E38" i="1" s="1"/>
  <c r="E49" i="1"/>
  <c r="D49" i="1"/>
  <c r="D44" i="1"/>
  <c r="D42" i="1" s="1"/>
  <c r="D38" i="1" s="1"/>
  <c r="L310" i="1" l="1"/>
  <c r="L309" i="1" s="1"/>
  <c r="L308" i="1" s="1"/>
  <c r="I310" i="1"/>
  <c r="J310" i="1"/>
  <c r="K310" i="1"/>
  <c r="K309" i="1" s="1"/>
  <c r="K308" i="1" s="1"/>
  <c r="H310" i="1"/>
  <c r="G310" i="1"/>
  <c r="E310" i="1"/>
  <c r="E309" i="1" s="1"/>
  <c r="E308" i="1" s="1"/>
  <c r="D310" i="1"/>
  <c r="D309" i="1" s="1"/>
  <c r="D308" i="1" s="1"/>
  <c r="C310" i="1"/>
  <c r="C309" i="1" s="1"/>
  <c r="C308" i="1" s="1"/>
  <c r="B310" i="1" l="1"/>
  <c r="H311" i="1"/>
  <c r="G311" i="1"/>
  <c r="H798" i="1"/>
  <c r="H710" i="1" s="1"/>
  <c r="H704" i="1" l="1"/>
  <c r="H702" i="1" s="1"/>
  <c r="H698" i="1" s="1"/>
  <c r="H709" i="1"/>
  <c r="I798" i="1"/>
  <c r="I710" i="1" s="1"/>
  <c r="H797" i="1"/>
  <c r="H791" i="1" s="1"/>
  <c r="H787" i="1" s="1"/>
  <c r="H793" i="1"/>
  <c r="G309" i="1"/>
  <c r="G308" i="1" s="1"/>
  <c r="H309" i="1"/>
  <c r="H308" i="1" s="1"/>
  <c r="B255" i="1"/>
  <c r="B258" i="1"/>
  <c r="B257" i="1" s="1"/>
  <c r="H234" i="1"/>
  <c r="H233" i="1" s="1"/>
  <c r="H232" i="1" s="1"/>
  <c r="I704" i="1" l="1"/>
  <c r="I702" i="1" s="1"/>
  <c r="I698" i="1" s="1"/>
  <c r="I709" i="1"/>
  <c r="J798" i="1"/>
  <c r="J710" i="1" s="1"/>
  <c r="I797" i="1"/>
  <c r="I791" i="1" s="1"/>
  <c r="I787" i="1" s="1"/>
  <c r="I793" i="1"/>
  <c r="J704" i="1" l="1"/>
  <c r="J702" i="1" s="1"/>
  <c r="J698" i="1" s="1"/>
  <c r="J709" i="1"/>
  <c r="K798" i="1"/>
  <c r="K710" i="1" s="1"/>
  <c r="J797" i="1"/>
  <c r="J791" i="1" s="1"/>
  <c r="J787" i="1" s="1"/>
  <c r="J793" i="1"/>
  <c r="H330" i="1"/>
  <c r="K704" i="1" l="1"/>
  <c r="K702" i="1" s="1"/>
  <c r="K698" i="1" s="1"/>
  <c r="K709" i="1"/>
  <c r="L798" i="1"/>
  <c r="L710" i="1" s="1"/>
  <c r="K793" i="1"/>
  <c r="K797" i="1"/>
  <c r="K791" i="1" s="1"/>
  <c r="K787" i="1" s="1"/>
  <c r="I330" i="1"/>
  <c r="H329" i="1"/>
  <c r="H328" i="1" s="1"/>
  <c r="J413" i="1"/>
  <c r="K413" i="1"/>
  <c r="L413" i="1"/>
  <c r="I413" i="1"/>
  <c r="B434" i="1"/>
  <c r="L383" i="1"/>
  <c r="J383" i="1"/>
  <c r="H383" i="1"/>
  <c r="B413" i="1" l="1"/>
  <c r="L704" i="1"/>
  <c r="L797" i="1"/>
  <c r="L791" i="1" s="1"/>
  <c r="L787" i="1" s="1"/>
  <c r="L793" i="1"/>
  <c r="B798" i="1"/>
  <c r="B710" i="1" s="1"/>
  <c r="L381" i="1"/>
  <c r="L378" i="1"/>
  <c r="L375" i="1" s="1"/>
  <c r="L371" i="1" s="1"/>
  <c r="H378" i="1"/>
  <c r="H375" i="1" s="1"/>
  <c r="H371" i="1" s="1"/>
  <c r="H381" i="1"/>
  <c r="J378" i="1"/>
  <c r="J375" i="1" s="1"/>
  <c r="J371" i="1" s="1"/>
  <c r="J381" i="1"/>
  <c r="J330" i="1"/>
  <c r="I329" i="1"/>
  <c r="I328" i="1" s="1"/>
  <c r="E394" i="1"/>
  <c r="E383" i="1" s="1"/>
  <c r="D394" i="1"/>
  <c r="D383" i="1" s="1"/>
  <c r="C394" i="1"/>
  <c r="C383" i="1" s="1"/>
  <c r="E393" i="1"/>
  <c r="E382" i="1" s="1"/>
  <c r="D393" i="1"/>
  <c r="D382" i="1" s="1"/>
  <c r="C393" i="1"/>
  <c r="C382" i="1" s="1"/>
  <c r="F392" i="1"/>
  <c r="F391" i="1" s="1"/>
  <c r="G392" i="1"/>
  <c r="G391" i="1" s="1"/>
  <c r="H392" i="1"/>
  <c r="H391" i="1" s="1"/>
  <c r="I392" i="1"/>
  <c r="I391" i="1" s="1"/>
  <c r="J392" i="1"/>
  <c r="J391" i="1" s="1"/>
  <c r="K392" i="1"/>
  <c r="K391" i="1" s="1"/>
  <c r="L392" i="1"/>
  <c r="L391" i="1" s="1"/>
  <c r="I390" i="1"/>
  <c r="C388" i="1"/>
  <c r="C387" i="1" s="1"/>
  <c r="D388" i="1"/>
  <c r="D387" i="1" s="1"/>
  <c r="E388" i="1"/>
  <c r="E387" i="1" s="1"/>
  <c r="F388" i="1"/>
  <c r="F387" i="1" s="1"/>
  <c r="G388" i="1"/>
  <c r="G387" i="1" s="1"/>
  <c r="H388" i="1"/>
  <c r="H387" i="1" s="1"/>
  <c r="J388" i="1"/>
  <c r="J387" i="1" s="1"/>
  <c r="K388" i="1"/>
  <c r="K387" i="1" s="1"/>
  <c r="L388" i="1"/>
  <c r="L387" i="1" s="1"/>
  <c r="B389" i="1"/>
  <c r="C363" i="1"/>
  <c r="C362" i="1" s="1"/>
  <c r="D363" i="1"/>
  <c r="D362" i="1" s="1"/>
  <c r="E363" i="1"/>
  <c r="E362" i="1" s="1"/>
  <c r="F363" i="1"/>
  <c r="F362" i="1" s="1"/>
  <c r="G363" i="1"/>
  <c r="G362" i="1" s="1"/>
  <c r="H363" i="1"/>
  <c r="H362" i="1" s="1"/>
  <c r="I363" i="1"/>
  <c r="I362" i="1" s="1"/>
  <c r="J363" i="1"/>
  <c r="J362" i="1" s="1"/>
  <c r="K363" i="1"/>
  <c r="K362" i="1" s="1"/>
  <c r="L363" i="1"/>
  <c r="L362" i="1" s="1"/>
  <c r="B365" i="1"/>
  <c r="B364" i="1"/>
  <c r="B704" i="1" l="1"/>
  <c r="B793" i="1"/>
  <c r="B797" i="1"/>
  <c r="B791" i="1" s="1"/>
  <c r="B787" i="1" s="1"/>
  <c r="D378" i="1"/>
  <c r="E378" i="1"/>
  <c r="C378" i="1"/>
  <c r="C377" i="1"/>
  <c r="B382" i="1"/>
  <c r="C381" i="1"/>
  <c r="I388" i="1"/>
  <c r="I387" i="1" s="1"/>
  <c r="I383" i="1"/>
  <c r="D377" i="1"/>
  <c r="D381" i="1"/>
  <c r="E377" i="1"/>
  <c r="E381" i="1"/>
  <c r="K330" i="1"/>
  <c r="J329" i="1"/>
  <c r="J328" i="1" s="1"/>
  <c r="K351" i="1"/>
  <c r="B363" i="1"/>
  <c r="B362" i="1" s="1"/>
  <c r="J351" i="1"/>
  <c r="B390" i="1"/>
  <c r="B388" i="1" s="1"/>
  <c r="B387" i="1" s="1"/>
  <c r="C392" i="1"/>
  <c r="C391" i="1" s="1"/>
  <c r="C351" i="1"/>
  <c r="I351" i="1"/>
  <c r="H351" i="1"/>
  <c r="E351" i="1"/>
  <c r="D351" i="1"/>
  <c r="G351" i="1"/>
  <c r="L351" i="1"/>
  <c r="F351" i="1"/>
  <c r="B393" i="1"/>
  <c r="B352" i="1"/>
  <c r="B353" i="1"/>
  <c r="D392" i="1"/>
  <c r="D391" i="1" s="1"/>
  <c r="B394" i="1"/>
  <c r="E392" i="1"/>
  <c r="E391" i="1" s="1"/>
  <c r="D375" i="1" l="1"/>
  <c r="D371" i="1" s="1"/>
  <c r="E375" i="1"/>
  <c r="E371" i="1" s="1"/>
  <c r="B377" i="1"/>
  <c r="C375" i="1"/>
  <c r="C371" i="1" s="1"/>
  <c r="I378" i="1"/>
  <c r="I375" i="1" s="1"/>
  <c r="I371" i="1" s="1"/>
  <c r="I381" i="1"/>
  <c r="B383" i="1"/>
  <c r="B381" i="1" s="1"/>
  <c r="L330" i="1"/>
  <c r="L329" i="1" s="1"/>
  <c r="L328" i="1" s="1"/>
  <c r="K329" i="1"/>
  <c r="K328" i="1" s="1"/>
  <c r="B392" i="1"/>
  <c r="B391" i="1" s="1"/>
  <c r="B351" i="1"/>
  <c r="B378" i="1" l="1"/>
  <c r="B375" i="1" s="1"/>
  <c r="B371" i="1" s="1"/>
  <c r="B330" i="1"/>
  <c r="B329" i="1" s="1"/>
  <c r="B328" i="1" s="1"/>
  <c r="C355" i="1"/>
  <c r="C354" i="1" s="1"/>
  <c r="D355" i="1"/>
  <c r="D354" i="1" s="1"/>
  <c r="E355" i="1"/>
  <c r="E354" i="1" s="1"/>
  <c r="F355" i="1"/>
  <c r="F354" i="1" s="1"/>
  <c r="G355" i="1"/>
  <c r="G354" i="1" s="1"/>
  <c r="H355" i="1"/>
  <c r="H354" i="1" s="1"/>
  <c r="I355" i="1"/>
  <c r="I354" i="1" s="1"/>
  <c r="J355" i="1"/>
  <c r="J354" i="1" s="1"/>
  <c r="K355" i="1"/>
  <c r="K354" i="1" s="1"/>
  <c r="L355" i="1"/>
  <c r="L354" i="1" s="1"/>
  <c r="B357" i="1"/>
  <c r="B356" i="1"/>
  <c r="B355" i="1" l="1"/>
  <c r="B354" i="1" s="1"/>
  <c r="I230" i="1"/>
  <c r="J230" i="1" l="1"/>
  <c r="G327" i="1"/>
  <c r="B323" i="1"/>
  <c r="B321" i="1" s="1"/>
  <c r="B320" i="1" s="1"/>
  <c r="C315" i="1"/>
  <c r="C313" i="1" l="1"/>
  <c r="C312" i="1" s="1"/>
  <c r="C299" i="1"/>
  <c r="G325" i="1"/>
  <c r="G324" i="1" s="1"/>
  <c r="G299" i="1"/>
  <c r="G294" i="1" s="1"/>
  <c r="K230" i="1"/>
  <c r="B315" i="1"/>
  <c r="B313" i="1" s="1"/>
  <c r="B312" i="1" s="1"/>
  <c r="B226" i="1"/>
  <c r="L712" i="1"/>
  <c r="L706" i="1" l="1"/>
  <c r="L702" i="1" s="1"/>
  <c r="L698" i="1" s="1"/>
  <c r="L709" i="1"/>
  <c r="L881" i="1"/>
  <c r="L878" i="1"/>
  <c r="L875" i="1" s="1"/>
  <c r="L871" i="1" s="1"/>
  <c r="B883" i="1"/>
  <c r="B712" i="1" s="1"/>
  <c r="C294" i="1"/>
  <c r="L230" i="1"/>
  <c r="L229" i="1" s="1"/>
  <c r="L228" i="1" s="1"/>
  <c r="B182" i="1"/>
  <c r="B180" i="1" s="1"/>
  <c r="B436" i="1"/>
  <c r="B441" i="1"/>
  <c r="H436" i="1"/>
  <c r="I436" i="1" s="1"/>
  <c r="J436" i="1" s="1"/>
  <c r="K436" i="1" s="1"/>
  <c r="L436" i="1" s="1"/>
  <c r="I222" i="1"/>
  <c r="H222" i="1"/>
  <c r="G222" i="1"/>
  <c r="B706" i="1" l="1"/>
  <c r="B702" i="1" s="1"/>
  <c r="B698" i="1" s="1"/>
  <c r="B709" i="1"/>
  <c r="B881" i="1"/>
  <c r="B878" i="1"/>
  <c r="B875" i="1" s="1"/>
  <c r="B871" i="1" s="1"/>
  <c r="B230" i="1"/>
  <c r="G221" i="1"/>
  <c r="G220" i="1" s="1"/>
  <c r="J222" i="1"/>
  <c r="I221" i="1"/>
  <c r="I220" i="1" s="1"/>
  <c r="H218" i="1"/>
  <c r="H221" i="1"/>
  <c r="H220" i="1" s="1"/>
  <c r="E234" i="1"/>
  <c r="E233" i="1" s="1"/>
  <c r="E232" i="1" s="1"/>
  <c r="D234" i="1"/>
  <c r="D233" i="1" s="1"/>
  <c r="D232" i="1" s="1"/>
  <c r="C234" i="1"/>
  <c r="E222" i="1"/>
  <c r="D222" i="1"/>
  <c r="C222" i="1"/>
  <c r="E306" i="1"/>
  <c r="D306" i="1"/>
  <c r="C306" i="1"/>
  <c r="D305" i="1" l="1"/>
  <c r="D304" i="1" s="1"/>
  <c r="D298" i="1"/>
  <c r="E305" i="1"/>
  <c r="E304" i="1" s="1"/>
  <c r="E298" i="1"/>
  <c r="C305" i="1"/>
  <c r="C304" i="1" s="1"/>
  <c r="C298" i="1"/>
  <c r="C233" i="1"/>
  <c r="C232" i="1" s="1"/>
  <c r="C218" i="1"/>
  <c r="C221" i="1"/>
  <c r="C220" i="1" s="1"/>
  <c r="E221" i="1"/>
  <c r="E220" i="1" s="1"/>
  <c r="E218" i="1"/>
  <c r="K222" i="1"/>
  <c r="J221" i="1"/>
  <c r="J220" i="1" s="1"/>
  <c r="D221" i="1"/>
  <c r="D220" i="1" s="1"/>
  <c r="D218" i="1"/>
  <c r="H213" i="1"/>
  <c r="E293" i="1" l="1"/>
  <c r="E291" i="1" s="1"/>
  <c r="E287" i="1" s="1"/>
  <c r="E297" i="1"/>
  <c r="C293" i="1"/>
  <c r="C291" i="1" s="1"/>
  <c r="C287" i="1" s="1"/>
  <c r="C297" i="1"/>
  <c r="D297" i="1"/>
  <c r="D293" i="1"/>
  <c r="D291" i="1" s="1"/>
  <c r="D287" i="1" s="1"/>
  <c r="D213" i="1"/>
  <c r="D217" i="1"/>
  <c r="C213" i="1"/>
  <c r="C217" i="1"/>
  <c r="L222" i="1"/>
  <c r="K221" i="1"/>
  <c r="K220" i="1" s="1"/>
  <c r="E217" i="1"/>
  <c r="E213" i="1"/>
  <c r="E211" i="1" l="1"/>
  <c r="E207" i="1" s="1"/>
  <c r="D211" i="1"/>
  <c r="D207" i="1" s="1"/>
  <c r="C211" i="1"/>
  <c r="C207" i="1" s="1"/>
  <c r="L221" i="1"/>
  <c r="L220" i="1" s="1"/>
  <c r="B222" i="1"/>
  <c r="B221" i="1" s="1"/>
  <c r="B220" i="1" s="1"/>
  <c r="H306" i="1" l="1"/>
  <c r="I306" i="1"/>
  <c r="J306" i="1"/>
  <c r="K306" i="1"/>
  <c r="L306" i="1"/>
  <c r="G306" i="1"/>
  <c r="L234" i="1"/>
  <c r="K234" i="1"/>
  <c r="J234" i="1"/>
  <c r="I234" i="1"/>
  <c r="G234" i="1"/>
  <c r="L298" i="1" l="1"/>
  <c r="L305" i="1"/>
  <c r="L304" i="1" s="1"/>
  <c r="H298" i="1"/>
  <c r="H305" i="1"/>
  <c r="H304" i="1" s="1"/>
  <c r="G298" i="1"/>
  <c r="G305" i="1"/>
  <c r="G304" i="1" s="1"/>
  <c r="B306" i="1"/>
  <c r="B305" i="1" s="1"/>
  <c r="B304" i="1" s="1"/>
  <c r="K305" i="1"/>
  <c r="K304" i="1" s="1"/>
  <c r="K298" i="1"/>
  <c r="J305" i="1"/>
  <c r="J304" i="1" s="1"/>
  <c r="J298" i="1"/>
  <c r="I305" i="1"/>
  <c r="I304" i="1" s="1"/>
  <c r="I298" i="1"/>
  <c r="G233" i="1"/>
  <c r="G232" i="1" s="1"/>
  <c r="G218" i="1"/>
  <c r="B234" i="1"/>
  <c r="B233" i="1" s="1"/>
  <c r="B232" i="1" s="1"/>
  <c r="I233" i="1"/>
  <c r="I232" i="1" s="1"/>
  <c r="I218" i="1"/>
  <c r="K233" i="1"/>
  <c r="K232" i="1" s="1"/>
  <c r="K218" i="1"/>
  <c r="J233" i="1"/>
  <c r="J232" i="1" s="1"/>
  <c r="J218" i="1"/>
  <c r="L233" i="1"/>
  <c r="L232" i="1" s="1"/>
  <c r="L218" i="1"/>
  <c r="I293" i="1" l="1"/>
  <c r="G293" i="1"/>
  <c r="G291" i="1" s="1"/>
  <c r="G287" i="1" s="1"/>
  <c r="G297" i="1"/>
  <c r="B298" i="1"/>
  <c r="L293" i="1"/>
  <c r="L291" i="1" s="1"/>
  <c r="L287" i="1" s="1"/>
  <c r="L297" i="1"/>
  <c r="J293" i="1"/>
  <c r="H293" i="1"/>
  <c r="K293" i="1"/>
  <c r="I213" i="1"/>
  <c r="J213" i="1"/>
  <c r="G213" i="1"/>
  <c r="B218" i="1"/>
  <c r="L217" i="1"/>
  <c r="L213" i="1"/>
  <c r="K213" i="1"/>
  <c r="K227" i="1"/>
  <c r="J227" i="1"/>
  <c r="I227" i="1"/>
  <c r="H227" i="1"/>
  <c r="G227" i="1"/>
  <c r="K231" i="1"/>
  <c r="K229" i="1" s="1"/>
  <c r="K228" i="1" s="1"/>
  <c r="J231" i="1"/>
  <c r="J229" i="1" s="1"/>
  <c r="J228" i="1" s="1"/>
  <c r="I231" i="1"/>
  <c r="I229" i="1" s="1"/>
  <c r="I228" i="1" s="1"/>
  <c r="H231" i="1"/>
  <c r="H229" i="1" s="1"/>
  <c r="H228" i="1" s="1"/>
  <c r="G231" i="1"/>
  <c r="I256" i="1"/>
  <c r="H256" i="1"/>
  <c r="G256" i="1"/>
  <c r="J311" i="1"/>
  <c r="I311" i="1"/>
  <c r="K319" i="1"/>
  <c r="J319" i="1"/>
  <c r="J317" i="1" s="1"/>
  <c r="J316" i="1" s="1"/>
  <c r="I319" i="1"/>
  <c r="I317" i="1" s="1"/>
  <c r="I316" i="1" s="1"/>
  <c r="H319" i="1"/>
  <c r="J327" i="1"/>
  <c r="J325" i="1" s="1"/>
  <c r="J324" i="1" s="1"/>
  <c r="I327" i="1"/>
  <c r="I325" i="1" s="1"/>
  <c r="I324" i="1" s="1"/>
  <c r="H327" i="1"/>
  <c r="H325" i="1" s="1"/>
  <c r="H324" i="1" s="1"/>
  <c r="J455" i="1"/>
  <c r="I455" i="1"/>
  <c r="H455" i="1"/>
  <c r="C359" i="1"/>
  <c r="C358" i="1" s="1"/>
  <c r="D359" i="1"/>
  <c r="D358" i="1" s="1"/>
  <c r="E359" i="1"/>
  <c r="E358" i="1" s="1"/>
  <c r="F359" i="1"/>
  <c r="F358" i="1" s="1"/>
  <c r="G359" i="1"/>
  <c r="G358" i="1" s="1"/>
  <c r="H359" i="1"/>
  <c r="H358" i="1" s="1"/>
  <c r="I359" i="1"/>
  <c r="I358" i="1" s="1"/>
  <c r="J359" i="1"/>
  <c r="J358" i="1" s="1"/>
  <c r="K359" i="1"/>
  <c r="K358" i="1" s="1"/>
  <c r="L359" i="1"/>
  <c r="L358" i="1" s="1"/>
  <c r="B360" i="1"/>
  <c r="B361" i="1"/>
  <c r="C396" i="1"/>
  <c r="C395" i="1" s="1"/>
  <c r="D396" i="1"/>
  <c r="D395" i="1" s="1"/>
  <c r="E396" i="1"/>
  <c r="E395" i="1" s="1"/>
  <c r="F396" i="1"/>
  <c r="F395" i="1" s="1"/>
  <c r="G396" i="1"/>
  <c r="G395" i="1" s="1"/>
  <c r="H396" i="1"/>
  <c r="H395" i="1" s="1"/>
  <c r="I396" i="1"/>
  <c r="I395" i="1" s="1"/>
  <c r="J396" i="1"/>
  <c r="J395" i="1" s="1"/>
  <c r="K396" i="1"/>
  <c r="K395" i="1" s="1"/>
  <c r="L396" i="1"/>
  <c r="L395" i="1" s="1"/>
  <c r="B397" i="1"/>
  <c r="B398" i="1"/>
  <c r="C400" i="1"/>
  <c r="C399" i="1" s="1"/>
  <c r="D400" i="1"/>
  <c r="D399" i="1" s="1"/>
  <c r="E400" i="1"/>
  <c r="E399" i="1" s="1"/>
  <c r="F400" i="1"/>
  <c r="F399" i="1" s="1"/>
  <c r="G400" i="1"/>
  <c r="G399" i="1" s="1"/>
  <c r="H400" i="1"/>
  <c r="H399" i="1" s="1"/>
  <c r="I400" i="1"/>
  <c r="I399" i="1" s="1"/>
  <c r="J400" i="1"/>
  <c r="J399" i="1" s="1"/>
  <c r="K400" i="1"/>
  <c r="K399" i="1" s="1"/>
  <c r="L400" i="1"/>
  <c r="L399" i="1" s="1"/>
  <c r="B401" i="1"/>
  <c r="B402" i="1"/>
  <c r="B414" i="1"/>
  <c r="B415" i="1"/>
  <c r="C424" i="1"/>
  <c r="D424" i="1"/>
  <c r="E424" i="1"/>
  <c r="E202" i="1" s="1"/>
  <c r="F424" i="1"/>
  <c r="G424" i="1"/>
  <c r="G419" i="1" s="1"/>
  <c r="H424" i="1"/>
  <c r="H419" i="1" s="1"/>
  <c r="I424" i="1"/>
  <c r="I419" i="1" s="1"/>
  <c r="J424" i="1"/>
  <c r="J419" i="1" s="1"/>
  <c r="K424" i="1"/>
  <c r="K419" i="1" s="1"/>
  <c r="L424" i="1"/>
  <c r="L419" i="1" s="1"/>
  <c r="C423" i="1"/>
  <c r="C418" i="1" s="1"/>
  <c r="C201" i="1" s="1"/>
  <c r="C25" i="1" s="1"/>
  <c r="D423" i="1"/>
  <c r="D418" i="1" s="1"/>
  <c r="D201" i="1" s="1"/>
  <c r="D25" i="1" s="1"/>
  <c r="E423" i="1"/>
  <c r="E418" i="1" s="1"/>
  <c r="E201" i="1" s="1"/>
  <c r="E25" i="1" s="1"/>
  <c r="F423" i="1"/>
  <c r="G423" i="1"/>
  <c r="G418" i="1" s="1"/>
  <c r="H423" i="1"/>
  <c r="H418" i="1" s="1"/>
  <c r="I423" i="1"/>
  <c r="I418" i="1" s="1"/>
  <c r="J423" i="1"/>
  <c r="K423" i="1"/>
  <c r="K418" i="1" s="1"/>
  <c r="L423" i="1"/>
  <c r="C426" i="1"/>
  <c r="C425" i="1" s="1"/>
  <c r="D426" i="1"/>
  <c r="D425" i="1" s="1"/>
  <c r="E426" i="1"/>
  <c r="E425" i="1" s="1"/>
  <c r="F426" i="1"/>
  <c r="F425" i="1" s="1"/>
  <c r="G426" i="1"/>
  <c r="G425" i="1" s="1"/>
  <c r="H426" i="1"/>
  <c r="H425" i="1" s="1"/>
  <c r="I426" i="1"/>
  <c r="I425" i="1" s="1"/>
  <c r="J426" i="1"/>
  <c r="J425" i="1" s="1"/>
  <c r="K426" i="1"/>
  <c r="K425" i="1" s="1"/>
  <c r="L426" i="1"/>
  <c r="L425" i="1" s="1"/>
  <c r="B427" i="1"/>
  <c r="B428" i="1"/>
  <c r="C435" i="1"/>
  <c r="C433" i="1" s="1"/>
  <c r="D435" i="1"/>
  <c r="D433" i="1" s="1"/>
  <c r="E435" i="1"/>
  <c r="E433" i="1" s="1"/>
  <c r="F435" i="1"/>
  <c r="F433" i="1" s="1"/>
  <c r="G435" i="1"/>
  <c r="G433" i="1" s="1"/>
  <c r="H435" i="1"/>
  <c r="H433" i="1" s="1"/>
  <c r="I435" i="1"/>
  <c r="I433" i="1" s="1"/>
  <c r="J435" i="1"/>
  <c r="J433" i="1" s="1"/>
  <c r="K435" i="1"/>
  <c r="K433" i="1" s="1"/>
  <c r="L435" i="1"/>
  <c r="L433" i="1" s="1"/>
  <c r="B437" i="1"/>
  <c r="C439" i="1"/>
  <c r="C438" i="1" s="1"/>
  <c r="D439" i="1"/>
  <c r="D438" i="1" s="1"/>
  <c r="E439" i="1"/>
  <c r="E438" i="1" s="1"/>
  <c r="F439" i="1"/>
  <c r="F438" i="1" s="1"/>
  <c r="G439" i="1"/>
  <c r="G438" i="1" s="1"/>
  <c r="H439" i="1"/>
  <c r="H438" i="1" s="1"/>
  <c r="I439" i="1"/>
  <c r="I438" i="1" s="1"/>
  <c r="J439" i="1"/>
  <c r="J438" i="1" s="1"/>
  <c r="K439" i="1"/>
  <c r="K438" i="1" s="1"/>
  <c r="L439" i="1"/>
  <c r="L438" i="1" s="1"/>
  <c r="B440" i="1"/>
  <c r="C623" i="1"/>
  <c r="D623" i="1"/>
  <c r="E623" i="1"/>
  <c r="F623" i="1"/>
  <c r="G623" i="1"/>
  <c r="H623" i="1"/>
  <c r="I623" i="1"/>
  <c r="J623" i="1"/>
  <c r="K623" i="1"/>
  <c r="L623" i="1"/>
  <c r="C622" i="1"/>
  <c r="D622" i="1"/>
  <c r="E622" i="1"/>
  <c r="F622" i="1"/>
  <c r="G622" i="1"/>
  <c r="H622" i="1"/>
  <c r="I622" i="1"/>
  <c r="J622" i="1"/>
  <c r="K622" i="1"/>
  <c r="L622" i="1"/>
  <c r="C621" i="1"/>
  <c r="D621" i="1"/>
  <c r="E621" i="1"/>
  <c r="F621" i="1"/>
  <c r="G621" i="1"/>
  <c r="H621" i="1"/>
  <c r="I621" i="1"/>
  <c r="J621" i="1"/>
  <c r="K621" i="1"/>
  <c r="L621" i="1"/>
  <c r="B637" i="1"/>
  <c r="B636" i="1"/>
  <c r="B635" i="1"/>
  <c r="C641" i="1"/>
  <c r="D641" i="1"/>
  <c r="E641" i="1"/>
  <c r="F641" i="1"/>
  <c r="G641" i="1"/>
  <c r="H641" i="1"/>
  <c r="I641" i="1"/>
  <c r="J641" i="1"/>
  <c r="K641" i="1"/>
  <c r="L641" i="1"/>
  <c r="C640" i="1"/>
  <c r="D640" i="1"/>
  <c r="E640" i="1"/>
  <c r="F640" i="1"/>
  <c r="G640" i="1"/>
  <c r="H640" i="1"/>
  <c r="I640" i="1"/>
  <c r="J640" i="1"/>
  <c r="K640" i="1"/>
  <c r="L640" i="1"/>
  <c r="C644" i="1"/>
  <c r="D644" i="1"/>
  <c r="E644" i="1"/>
  <c r="F644" i="1"/>
  <c r="G644" i="1"/>
  <c r="H644" i="1"/>
  <c r="I644" i="1"/>
  <c r="J644" i="1"/>
  <c r="K644" i="1"/>
  <c r="L644" i="1"/>
  <c r="B646" i="1"/>
  <c r="B641" i="1" s="1"/>
  <c r="B645" i="1"/>
  <c r="B640" i="1" s="1"/>
  <c r="L660" i="1"/>
  <c r="L655" i="1" s="1"/>
  <c r="L659" i="1"/>
  <c r="L654" i="1" s="1"/>
  <c r="J663" i="1"/>
  <c r="J659" i="1" s="1"/>
  <c r="J654" i="1" s="1"/>
  <c r="I663" i="1"/>
  <c r="I659" i="1" s="1"/>
  <c r="H663" i="1"/>
  <c r="H662" i="1" s="1"/>
  <c r="H661" i="1" s="1"/>
  <c r="B649" i="1"/>
  <c r="B650" i="1"/>
  <c r="B651" i="1"/>
  <c r="C660" i="1"/>
  <c r="C655" i="1" s="1"/>
  <c r="D660" i="1"/>
  <c r="E660" i="1"/>
  <c r="E655" i="1" s="1"/>
  <c r="F660" i="1"/>
  <c r="G660" i="1"/>
  <c r="G655" i="1" s="1"/>
  <c r="H660" i="1"/>
  <c r="H655" i="1" s="1"/>
  <c r="I660" i="1"/>
  <c r="I655" i="1" s="1"/>
  <c r="J660" i="1"/>
  <c r="K660" i="1"/>
  <c r="K655" i="1" s="1"/>
  <c r="C659" i="1"/>
  <c r="D659" i="1"/>
  <c r="D654" i="1" s="1"/>
  <c r="E659" i="1"/>
  <c r="F659" i="1"/>
  <c r="F654" i="1" s="1"/>
  <c r="G659" i="1"/>
  <c r="K659" i="1"/>
  <c r="B664" i="1"/>
  <c r="C662" i="1"/>
  <c r="C661" i="1" s="1"/>
  <c r="D662" i="1"/>
  <c r="D661" i="1" s="1"/>
  <c r="E662" i="1"/>
  <c r="E661" i="1" s="1"/>
  <c r="F662" i="1"/>
  <c r="F661" i="1" s="1"/>
  <c r="G662" i="1"/>
  <c r="G661" i="1" s="1"/>
  <c r="K662" i="1"/>
  <c r="K661" i="1" s="1"/>
  <c r="L662" i="1"/>
  <c r="L661" i="1" s="1"/>
  <c r="C666" i="1"/>
  <c r="C665" i="1" s="1"/>
  <c r="D666" i="1"/>
  <c r="D665" i="1" s="1"/>
  <c r="E666" i="1"/>
  <c r="E665" i="1" s="1"/>
  <c r="F666" i="1"/>
  <c r="F665" i="1" s="1"/>
  <c r="G666" i="1"/>
  <c r="G665" i="1" s="1"/>
  <c r="H666" i="1"/>
  <c r="H665" i="1" s="1"/>
  <c r="I666" i="1"/>
  <c r="I665" i="1" s="1"/>
  <c r="J666" i="1"/>
  <c r="J665" i="1" s="1"/>
  <c r="K666" i="1"/>
  <c r="K665" i="1" s="1"/>
  <c r="L666" i="1"/>
  <c r="L665" i="1" s="1"/>
  <c r="B668" i="1"/>
  <c r="B667" i="1"/>
  <c r="J681" i="1"/>
  <c r="J676" i="1" s="1"/>
  <c r="I681" i="1"/>
  <c r="I676" i="1" s="1"/>
  <c r="H681" i="1"/>
  <c r="H676" i="1" s="1"/>
  <c r="B671" i="1"/>
  <c r="B672" i="1"/>
  <c r="B673" i="1"/>
  <c r="C676" i="1"/>
  <c r="D676" i="1"/>
  <c r="E676" i="1"/>
  <c r="F676" i="1"/>
  <c r="G676" i="1"/>
  <c r="K676" i="1"/>
  <c r="L676" i="1"/>
  <c r="C677" i="1"/>
  <c r="D677" i="1"/>
  <c r="E677" i="1"/>
  <c r="F677" i="1"/>
  <c r="G677" i="1"/>
  <c r="H677" i="1"/>
  <c r="I677" i="1"/>
  <c r="J677" i="1"/>
  <c r="K677" i="1"/>
  <c r="L677" i="1"/>
  <c r="C680" i="1"/>
  <c r="D680" i="1"/>
  <c r="E680" i="1"/>
  <c r="F680" i="1"/>
  <c r="G680" i="1"/>
  <c r="K680" i="1"/>
  <c r="L680" i="1"/>
  <c r="B682" i="1"/>
  <c r="B677" i="1" s="1"/>
  <c r="B687" i="1"/>
  <c r="B686" i="1"/>
  <c r="B685" i="1"/>
  <c r="C690" i="1"/>
  <c r="D690" i="1"/>
  <c r="E690" i="1"/>
  <c r="F690" i="1"/>
  <c r="G690" i="1"/>
  <c r="H690" i="1"/>
  <c r="I690" i="1"/>
  <c r="J690" i="1"/>
  <c r="K690" i="1"/>
  <c r="L690" i="1"/>
  <c r="C691" i="1"/>
  <c r="D691" i="1"/>
  <c r="E691" i="1"/>
  <c r="F691" i="1"/>
  <c r="G691" i="1"/>
  <c r="H691" i="1"/>
  <c r="I691" i="1"/>
  <c r="J691" i="1"/>
  <c r="K691" i="1"/>
  <c r="L691" i="1"/>
  <c r="C694" i="1"/>
  <c r="D694" i="1"/>
  <c r="E694" i="1"/>
  <c r="F694" i="1"/>
  <c r="G694" i="1"/>
  <c r="H694" i="1"/>
  <c r="I694" i="1"/>
  <c r="J694" i="1"/>
  <c r="K694" i="1"/>
  <c r="L694" i="1"/>
  <c r="B696" i="1"/>
  <c r="B691" i="1" s="1"/>
  <c r="B695" i="1"/>
  <c r="E191" i="1" l="1"/>
  <c r="E27" i="1"/>
  <c r="E24" i="1"/>
  <c r="B570" i="1"/>
  <c r="B568" i="1" s="1"/>
  <c r="B567" i="1" s="1"/>
  <c r="G568" i="1"/>
  <c r="G567" i="1" s="1"/>
  <c r="H568" i="1"/>
  <c r="H567" i="1" s="1"/>
  <c r="I568" i="1"/>
  <c r="I567" i="1" s="1"/>
  <c r="J568" i="1"/>
  <c r="J567" i="1" s="1"/>
  <c r="K568" i="1"/>
  <c r="K567" i="1" s="1"/>
  <c r="L568" i="1"/>
  <c r="L567" i="1" s="1"/>
  <c r="G201" i="1"/>
  <c r="G25" i="1" s="1"/>
  <c r="D190" i="1"/>
  <c r="C190" i="1"/>
  <c r="K201" i="1"/>
  <c r="K25" i="1" s="1"/>
  <c r="I201" i="1"/>
  <c r="F419" i="1"/>
  <c r="F202" i="1"/>
  <c r="L211" i="1"/>
  <c r="L207" i="1" s="1"/>
  <c r="E200" i="1"/>
  <c r="E190" i="1"/>
  <c r="H201" i="1"/>
  <c r="C419" i="1"/>
  <c r="C202" i="1"/>
  <c r="C27" i="1" s="1"/>
  <c r="D419" i="1"/>
  <c r="D202" i="1"/>
  <c r="H450" i="1"/>
  <c r="H447" i="1" s="1"/>
  <c r="H443" i="1" s="1"/>
  <c r="H453" i="1"/>
  <c r="B455" i="1"/>
  <c r="I450" i="1"/>
  <c r="I447" i="1" s="1"/>
  <c r="I443" i="1" s="1"/>
  <c r="I453" i="1"/>
  <c r="J450" i="1"/>
  <c r="J447" i="1" s="1"/>
  <c r="J443" i="1" s="1"/>
  <c r="J453" i="1"/>
  <c r="K299" i="1"/>
  <c r="K317" i="1"/>
  <c r="K316" i="1" s="1"/>
  <c r="I299" i="1"/>
  <c r="I309" i="1"/>
  <c r="I308" i="1" s="1"/>
  <c r="B293" i="1"/>
  <c r="J299" i="1"/>
  <c r="J309" i="1"/>
  <c r="J308" i="1" s="1"/>
  <c r="H317" i="1"/>
  <c r="H316" i="1" s="1"/>
  <c r="H299" i="1"/>
  <c r="I254" i="1"/>
  <c r="I253" i="1" s="1"/>
  <c r="I249" i="1"/>
  <c r="G254" i="1"/>
  <c r="G253" i="1" s="1"/>
  <c r="G249" i="1"/>
  <c r="H254" i="1"/>
  <c r="H253" i="1" s="1"/>
  <c r="H249" i="1"/>
  <c r="K214" i="1"/>
  <c r="K219" i="1"/>
  <c r="K217" i="1" s="1"/>
  <c r="K225" i="1"/>
  <c r="K224" i="1" s="1"/>
  <c r="G214" i="1"/>
  <c r="G219" i="1"/>
  <c r="G225" i="1"/>
  <c r="G224" i="1" s="1"/>
  <c r="G229" i="1"/>
  <c r="G228" i="1" s="1"/>
  <c r="B231" i="1"/>
  <c r="B229" i="1" s="1"/>
  <c r="B228" i="1" s="1"/>
  <c r="H219" i="1"/>
  <c r="H217" i="1" s="1"/>
  <c r="H214" i="1"/>
  <c r="H225" i="1"/>
  <c r="H224" i="1" s="1"/>
  <c r="I219" i="1"/>
  <c r="I217" i="1" s="1"/>
  <c r="I214" i="1"/>
  <c r="I225" i="1"/>
  <c r="I224" i="1" s="1"/>
  <c r="J214" i="1"/>
  <c r="J219" i="1"/>
  <c r="J217" i="1" s="1"/>
  <c r="J225" i="1"/>
  <c r="J224" i="1" s="1"/>
  <c r="B213" i="1"/>
  <c r="B311" i="1"/>
  <c r="B309" i="1" s="1"/>
  <c r="B308" i="1" s="1"/>
  <c r="J680" i="1"/>
  <c r="B227" i="1"/>
  <c r="B225" i="1" s="1"/>
  <c r="B224" i="1" s="1"/>
  <c r="B327" i="1"/>
  <c r="B325" i="1" s="1"/>
  <c r="B324" i="1" s="1"/>
  <c r="B319" i="1"/>
  <c r="B317" i="1" s="1"/>
  <c r="B316" i="1" s="1"/>
  <c r="B256" i="1"/>
  <c r="B254" i="1" s="1"/>
  <c r="B253" i="1" s="1"/>
  <c r="F638" i="1"/>
  <c r="F634" i="1" s="1"/>
  <c r="I662" i="1"/>
  <c r="I661" i="1" s="1"/>
  <c r="B400" i="1"/>
  <c r="B399" i="1" s="1"/>
  <c r="B396" i="1"/>
  <c r="B395" i="1" s="1"/>
  <c r="D674" i="1"/>
  <c r="D670" i="1" s="1"/>
  <c r="H674" i="1"/>
  <c r="H670" i="1" s="1"/>
  <c r="J662" i="1"/>
  <c r="J661" i="1" s="1"/>
  <c r="L638" i="1"/>
  <c r="L634" i="1" s="1"/>
  <c r="I658" i="1"/>
  <c r="I652" i="1" s="1"/>
  <c r="I648" i="1" s="1"/>
  <c r="H638" i="1"/>
  <c r="H634" i="1" s="1"/>
  <c r="D631" i="1"/>
  <c r="D626" i="1" s="1"/>
  <c r="D29" i="1" s="1"/>
  <c r="D13" i="1" s="1"/>
  <c r="I638" i="1"/>
  <c r="I634" i="1" s="1"/>
  <c r="C638" i="1"/>
  <c r="C634" i="1" s="1"/>
  <c r="B622" i="1"/>
  <c r="E658" i="1"/>
  <c r="E652" i="1" s="1"/>
  <c r="E648" i="1" s="1"/>
  <c r="C688" i="1"/>
  <c r="C684" i="1" s="1"/>
  <c r="E674" i="1"/>
  <c r="E670" i="1" s="1"/>
  <c r="B644" i="1"/>
  <c r="K638" i="1"/>
  <c r="K634" i="1" s="1"/>
  <c r="E638" i="1"/>
  <c r="E634" i="1" s="1"/>
  <c r="I632" i="1"/>
  <c r="I627" i="1" s="1"/>
  <c r="I30" i="1" s="1"/>
  <c r="B663" i="1"/>
  <c r="B662" i="1" s="1"/>
  <c r="B661" i="1" s="1"/>
  <c r="J638" i="1"/>
  <c r="J634" i="1" s="1"/>
  <c r="D638" i="1"/>
  <c r="D634" i="1" s="1"/>
  <c r="I674" i="1"/>
  <c r="I670" i="1" s="1"/>
  <c r="B660" i="1"/>
  <c r="B655" i="1" s="1"/>
  <c r="B632" i="1" s="1"/>
  <c r="B627" i="1" s="1"/>
  <c r="B30" i="1" s="1"/>
  <c r="K688" i="1"/>
  <c r="K684" i="1" s="1"/>
  <c r="G638" i="1"/>
  <c r="G634" i="1" s="1"/>
  <c r="E632" i="1"/>
  <c r="E627" i="1" s="1"/>
  <c r="E30" i="1" s="1"/>
  <c r="B359" i="1"/>
  <c r="B358" i="1" s="1"/>
  <c r="F674" i="1"/>
  <c r="F670" i="1" s="1"/>
  <c r="H659" i="1"/>
  <c r="H654" i="1" s="1"/>
  <c r="H631" i="1" s="1"/>
  <c r="L632" i="1"/>
  <c r="L627" i="1" s="1"/>
  <c r="L30" i="1" s="1"/>
  <c r="H632" i="1"/>
  <c r="H627" i="1" s="1"/>
  <c r="H30" i="1" s="1"/>
  <c r="B623" i="1"/>
  <c r="J674" i="1"/>
  <c r="J670" i="1" s="1"/>
  <c r="K632" i="1"/>
  <c r="K627" i="1" s="1"/>
  <c r="K30" i="1" s="1"/>
  <c r="G632" i="1"/>
  <c r="G627" i="1" s="1"/>
  <c r="G30" i="1" s="1"/>
  <c r="C632" i="1"/>
  <c r="C627" i="1" s="1"/>
  <c r="C30" i="1" s="1"/>
  <c r="G674" i="1"/>
  <c r="G670" i="1" s="1"/>
  <c r="C674" i="1"/>
  <c r="C670" i="1" s="1"/>
  <c r="L631" i="1"/>
  <c r="B621" i="1"/>
  <c r="B638" i="1"/>
  <c r="B634" i="1" s="1"/>
  <c r="I680" i="1"/>
  <c r="B694" i="1"/>
  <c r="L688" i="1"/>
  <c r="L684" i="1" s="1"/>
  <c r="D688" i="1"/>
  <c r="D684" i="1" s="1"/>
  <c r="J688" i="1"/>
  <c r="J684" i="1" s="1"/>
  <c r="F688" i="1"/>
  <c r="F684" i="1" s="1"/>
  <c r="H680" i="1"/>
  <c r="K658" i="1"/>
  <c r="K652" i="1" s="1"/>
  <c r="K648" i="1" s="1"/>
  <c r="G658" i="1"/>
  <c r="G652" i="1" s="1"/>
  <c r="G648" i="1" s="1"/>
  <c r="C658" i="1"/>
  <c r="C652" i="1" s="1"/>
  <c r="C648" i="1" s="1"/>
  <c r="J631" i="1"/>
  <c r="F631" i="1"/>
  <c r="D658" i="1"/>
  <c r="D652" i="1" s="1"/>
  <c r="D648" i="1" s="1"/>
  <c r="B435" i="1"/>
  <c r="B433" i="1" s="1"/>
  <c r="J422" i="1"/>
  <c r="J416" i="1" s="1"/>
  <c r="J412" i="1" s="1"/>
  <c r="B423" i="1"/>
  <c r="B418" i="1" s="1"/>
  <c r="B426" i="1"/>
  <c r="B425" i="1" s="1"/>
  <c r="J418" i="1"/>
  <c r="J201" i="1" s="1"/>
  <c r="E422" i="1"/>
  <c r="E416" i="1" s="1"/>
  <c r="E412" i="1" s="1"/>
  <c r="L422" i="1"/>
  <c r="L416" i="1" s="1"/>
  <c r="L412" i="1" s="1"/>
  <c r="F422" i="1"/>
  <c r="F416" i="1" s="1"/>
  <c r="F412" i="1" s="1"/>
  <c r="L418" i="1"/>
  <c r="L201" i="1" s="1"/>
  <c r="L25" i="1" s="1"/>
  <c r="K422" i="1"/>
  <c r="K416" i="1" s="1"/>
  <c r="K412" i="1" s="1"/>
  <c r="I422" i="1"/>
  <c r="I416" i="1" s="1"/>
  <c r="I412" i="1" s="1"/>
  <c r="H422" i="1"/>
  <c r="H416" i="1" s="1"/>
  <c r="H412" i="1" s="1"/>
  <c r="G422" i="1"/>
  <c r="G416" i="1" s="1"/>
  <c r="G412" i="1" s="1"/>
  <c r="F418" i="1"/>
  <c r="F201" i="1" s="1"/>
  <c r="F25" i="1" s="1"/>
  <c r="B439" i="1"/>
  <c r="B438" i="1" s="1"/>
  <c r="D422" i="1"/>
  <c r="D416" i="1" s="1"/>
  <c r="D412" i="1" s="1"/>
  <c r="E419" i="1"/>
  <c r="B424" i="1"/>
  <c r="C422" i="1"/>
  <c r="C416" i="1" s="1"/>
  <c r="C412" i="1" s="1"/>
  <c r="K654" i="1"/>
  <c r="K631" i="1" s="1"/>
  <c r="L658" i="1"/>
  <c r="G654" i="1"/>
  <c r="G631" i="1" s="1"/>
  <c r="C654" i="1"/>
  <c r="C631" i="1" s="1"/>
  <c r="D655" i="1"/>
  <c r="D632" i="1" s="1"/>
  <c r="J658" i="1"/>
  <c r="J652" i="1" s="1"/>
  <c r="J648" i="1" s="1"/>
  <c r="F658" i="1"/>
  <c r="F652" i="1" s="1"/>
  <c r="F648" i="1" s="1"/>
  <c r="I654" i="1"/>
  <c r="I631" i="1" s="1"/>
  <c r="E654" i="1"/>
  <c r="E631" i="1" s="1"/>
  <c r="J655" i="1"/>
  <c r="J632" i="1" s="1"/>
  <c r="J627" i="1" s="1"/>
  <c r="J30" i="1" s="1"/>
  <c r="F655" i="1"/>
  <c r="F632" i="1" s="1"/>
  <c r="F627" i="1" s="1"/>
  <c r="F30" i="1" s="1"/>
  <c r="B666" i="1"/>
  <c r="B665" i="1" s="1"/>
  <c r="I688" i="1"/>
  <c r="I684" i="1" s="1"/>
  <c r="E688" i="1"/>
  <c r="E684" i="1" s="1"/>
  <c r="K674" i="1"/>
  <c r="K670" i="1" s="1"/>
  <c r="H688" i="1"/>
  <c r="H684" i="1" s="1"/>
  <c r="L674" i="1"/>
  <c r="L670" i="1" s="1"/>
  <c r="B681" i="1"/>
  <c r="G688" i="1"/>
  <c r="G684" i="1" s="1"/>
  <c r="B690" i="1"/>
  <c r="B688" i="1" s="1"/>
  <c r="B684" i="1" s="1"/>
  <c r="E188" i="1" l="1"/>
  <c r="C15" i="1"/>
  <c r="D191" i="1"/>
  <c r="D188" i="1" s="1"/>
  <c r="D27" i="1"/>
  <c r="F191" i="1"/>
  <c r="F27" i="1"/>
  <c r="F15" i="1" s="1"/>
  <c r="C24" i="1"/>
  <c r="E15" i="1"/>
  <c r="G202" i="1"/>
  <c r="G190" i="1"/>
  <c r="J190" i="1"/>
  <c r="B201" i="1"/>
  <c r="H211" i="1"/>
  <c r="H207" i="1" s="1"/>
  <c r="C191" i="1"/>
  <c r="C188" i="1" s="1"/>
  <c r="J211" i="1"/>
  <c r="J207" i="1" s="1"/>
  <c r="C200" i="1"/>
  <c r="F200" i="1"/>
  <c r="F190" i="1"/>
  <c r="H190" i="1"/>
  <c r="L200" i="1"/>
  <c r="L190" i="1"/>
  <c r="L188" i="1" s="1"/>
  <c r="I211" i="1"/>
  <c r="I207" i="1" s="1"/>
  <c r="K211" i="1"/>
  <c r="K207" i="1" s="1"/>
  <c r="K202" i="1"/>
  <c r="I190" i="1"/>
  <c r="K190" i="1"/>
  <c r="D200" i="1"/>
  <c r="B453" i="1"/>
  <c r="B450" i="1"/>
  <c r="B447" i="1" s="1"/>
  <c r="B443" i="1" s="1"/>
  <c r="H294" i="1"/>
  <c r="H291" i="1" s="1"/>
  <c r="H287" i="1" s="1"/>
  <c r="B299" i="1"/>
  <c r="H297" i="1"/>
  <c r="I294" i="1"/>
  <c r="I291" i="1" s="1"/>
  <c r="I287" i="1" s="1"/>
  <c r="I297" i="1"/>
  <c r="J294" i="1"/>
  <c r="J291" i="1" s="1"/>
  <c r="J287" i="1" s="1"/>
  <c r="J297" i="1"/>
  <c r="K294" i="1"/>
  <c r="K291" i="1" s="1"/>
  <c r="K287" i="1" s="1"/>
  <c r="K297" i="1"/>
  <c r="H244" i="1"/>
  <c r="H241" i="1" s="1"/>
  <c r="H237" i="1" s="1"/>
  <c r="H247" i="1"/>
  <c r="B249" i="1"/>
  <c r="B247" i="1" s="1"/>
  <c r="G244" i="1"/>
  <c r="G247" i="1"/>
  <c r="I247" i="1"/>
  <c r="I244" i="1"/>
  <c r="I241" i="1" s="1"/>
  <c r="I237" i="1" s="1"/>
  <c r="B214" i="1"/>
  <c r="B211" i="1" s="1"/>
  <c r="B207" i="1" s="1"/>
  <c r="G211" i="1"/>
  <c r="G207" i="1" s="1"/>
  <c r="B219" i="1"/>
  <c r="B217" i="1" s="1"/>
  <c r="G217" i="1"/>
  <c r="H658" i="1"/>
  <c r="H652" i="1" s="1"/>
  <c r="H648" i="1" s="1"/>
  <c r="B659" i="1"/>
  <c r="B658" i="1" s="1"/>
  <c r="B652" i="1" s="1"/>
  <c r="B648" i="1" s="1"/>
  <c r="L630" i="1"/>
  <c r="L626" i="1"/>
  <c r="E626" i="1"/>
  <c r="E630" i="1"/>
  <c r="D627" i="1"/>
  <c r="D630" i="1"/>
  <c r="G630" i="1"/>
  <c r="G626" i="1"/>
  <c r="I626" i="1"/>
  <c r="I630" i="1"/>
  <c r="C630" i="1"/>
  <c r="C626" i="1"/>
  <c r="J626" i="1"/>
  <c r="J630" i="1"/>
  <c r="H630" i="1"/>
  <c r="H626" i="1"/>
  <c r="K630" i="1"/>
  <c r="K626" i="1"/>
  <c r="F626" i="1"/>
  <c r="F630" i="1"/>
  <c r="B422" i="1"/>
  <c r="B416" i="1" s="1"/>
  <c r="B412" i="1" s="1"/>
  <c r="B419" i="1"/>
  <c r="L652" i="1"/>
  <c r="L648" i="1" s="1"/>
  <c r="B676" i="1"/>
  <c r="B674" i="1" s="1"/>
  <c r="B670" i="1" s="1"/>
  <c r="B680" i="1"/>
  <c r="F24" i="1" l="1"/>
  <c r="K624" i="1"/>
  <c r="K29" i="1"/>
  <c r="K13" i="1" s="1"/>
  <c r="D624" i="1"/>
  <c r="D30" i="1"/>
  <c r="D15" i="1" s="1"/>
  <c r="D11" i="1" s="1"/>
  <c r="D7" i="1" s="1"/>
  <c r="G191" i="1"/>
  <c r="G188" i="1" s="1"/>
  <c r="J624" i="1"/>
  <c r="J29" i="1"/>
  <c r="H624" i="1"/>
  <c r="H29" i="1"/>
  <c r="I624" i="1"/>
  <c r="I29" i="1"/>
  <c r="E624" i="1"/>
  <c r="E29" i="1"/>
  <c r="E13" i="1" s="1"/>
  <c r="E11" i="1" s="1"/>
  <c r="E7" i="1" s="1"/>
  <c r="D24" i="1"/>
  <c r="F624" i="1"/>
  <c r="F29" i="1"/>
  <c r="F13" i="1" s="1"/>
  <c r="F11" i="1" s="1"/>
  <c r="C624" i="1"/>
  <c r="C29" i="1"/>
  <c r="C13" i="1" s="1"/>
  <c r="C11" i="1" s="1"/>
  <c r="C7" i="1" s="1"/>
  <c r="G624" i="1"/>
  <c r="G29" i="1"/>
  <c r="G13" i="1" s="1"/>
  <c r="L624" i="1"/>
  <c r="L29" i="1"/>
  <c r="L13" i="1" s="1"/>
  <c r="K191" i="1"/>
  <c r="K188" i="1" s="1"/>
  <c r="F188" i="1"/>
  <c r="G200" i="1"/>
  <c r="K200" i="1"/>
  <c r="H202" i="1"/>
  <c r="J202" i="1"/>
  <c r="B190" i="1"/>
  <c r="I202" i="1"/>
  <c r="B294" i="1"/>
  <c r="B291" i="1" s="1"/>
  <c r="B287" i="1" s="1"/>
  <c r="B297" i="1"/>
  <c r="B244" i="1"/>
  <c r="G241" i="1"/>
  <c r="B654" i="1"/>
  <c r="B631" i="1" s="1"/>
  <c r="L620" i="1" l="1"/>
  <c r="L28" i="1"/>
  <c r="F620" i="1"/>
  <c r="F28" i="1"/>
  <c r="I620" i="1"/>
  <c r="I28" i="1"/>
  <c r="G620" i="1"/>
  <c r="G28" i="1"/>
  <c r="H620" i="1"/>
  <c r="H28" i="1"/>
  <c r="D620" i="1"/>
  <c r="D28" i="1"/>
  <c r="C620" i="1"/>
  <c r="C28" i="1"/>
  <c r="E620" i="1"/>
  <c r="E28" i="1"/>
  <c r="J620" i="1"/>
  <c r="J28" i="1"/>
  <c r="K620" i="1"/>
  <c r="K28" i="1"/>
  <c r="J191" i="1"/>
  <c r="J188" i="1" s="1"/>
  <c r="J200" i="1"/>
  <c r="H191" i="1"/>
  <c r="H200" i="1"/>
  <c r="B202" i="1"/>
  <c r="I191" i="1"/>
  <c r="I188" i="1" s="1"/>
  <c r="I200" i="1"/>
  <c r="G237" i="1"/>
  <c r="B241" i="1"/>
  <c r="B237" i="1" s="1"/>
  <c r="B626" i="1"/>
  <c r="B630" i="1"/>
  <c r="B624" i="1" l="1"/>
  <c r="B29" i="1"/>
  <c r="B200" i="1"/>
  <c r="B191" i="1"/>
  <c r="B188" i="1" s="1"/>
  <c r="H188" i="1"/>
  <c r="H93" i="1"/>
  <c r="B620" i="1" l="1"/>
  <c r="B28" i="1"/>
  <c r="I93" i="1"/>
  <c r="H92" i="1"/>
  <c r="H91" i="1" s="1"/>
  <c r="H88" i="1" s="1"/>
  <c r="B177" i="1"/>
  <c r="B174" i="1"/>
  <c r="H87" i="1" l="1"/>
  <c r="H82" i="1"/>
  <c r="J93" i="1"/>
  <c r="I92" i="1"/>
  <c r="I91" i="1" s="1"/>
  <c r="I88" i="1" s="1"/>
  <c r="I82" i="1" l="1"/>
  <c r="I87" i="1"/>
  <c r="H80" i="1"/>
  <c r="H76" i="1" s="1"/>
  <c r="H50" i="1"/>
  <c r="H25" i="1" s="1"/>
  <c r="J92" i="1"/>
  <c r="J91" i="1" s="1"/>
  <c r="J88" i="1" s="1"/>
  <c r="B93" i="1"/>
  <c r="B92" i="1" s="1"/>
  <c r="B91" i="1" s="1"/>
  <c r="H13" i="1" l="1"/>
  <c r="H49" i="1"/>
  <c r="H44" i="1"/>
  <c r="H42" i="1" s="1"/>
  <c r="H38" i="1" s="1"/>
  <c r="J82" i="1"/>
  <c r="J87" i="1"/>
  <c r="B88" i="1"/>
  <c r="I80" i="1"/>
  <c r="I76" i="1" s="1"/>
  <c r="I50" i="1"/>
  <c r="I25" i="1" s="1"/>
  <c r="I13" i="1" l="1"/>
  <c r="B82" i="1"/>
  <c r="B80" i="1" s="1"/>
  <c r="B76" i="1" s="1"/>
  <c r="B87" i="1"/>
  <c r="J80" i="1"/>
  <c r="J76" i="1" s="1"/>
  <c r="J50" i="1"/>
  <c r="J25" i="1" s="1"/>
  <c r="I49" i="1"/>
  <c r="I44" i="1"/>
  <c r="I42" i="1" s="1"/>
  <c r="I38" i="1" s="1"/>
  <c r="J13" i="1" l="1"/>
  <c r="J44" i="1"/>
  <c r="J42" i="1" s="1"/>
  <c r="J38" i="1" s="1"/>
  <c r="J49" i="1"/>
  <c r="B50" i="1"/>
  <c r="B25" i="1" s="1"/>
  <c r="B13" i="1" l="1"/>
  <c r="B44" i="1"/>
  <c r="B42" i="1" s="1"/>
  <c r="B38" i="1" s="1"/>
  <c r="B49" i="1"/>
  <c r="L576" i="1" l="1"/>
  <c r="L575" i="1" s="1"/>
  <c r="I576" i="1"/>
  <c r="I575" i="1" s="1"/>
  <c r="K576" i="1"/>
  <c r="K575" i="1" s="1"/>
  <c r="G576" i="1"/>
  <c r="G575" i="1" s="1"/>
  <c r="H576" i="1"/>
  <c r="H575" i="1" s="1"/>
  <c r="B578" i="1"/>
  <c r="B576" i="1" s="1"/>
  <c r="B575" i="1" s="1"/>
  <c r="J576" i="1"/>
  <c r="J575" i="1" s="1"/>
  <c r="G572" i="1"/>
  <c r="G571" i="1" s="1"/>
  <c r="G566" i="1"/>
  <c r="G563" i="1" l="1"/>
  <c r="G556" i="1" s="1"/>
  <c r="G552" i="1" s="1"/>
  <c r="G560" i="1"/>
  <c r="G502" i="1" s="1"/>
  <c r="G496" i="1" l="1"/>
  <c r="G27" i="1" s="1"/>
  <c r="G499" i="1"/>
  <c r="G492" i="1" s="1"/>
  <c r="G488" i="1" s="1"/>
  <c r="H572" i="1"/>
  <c r="H571" i="1" s="1"/>
  <c r="H566" i="1"/>
  <c r="H560" i="1" s="1"/>
  <c r="H502" i="1" s="1"/>
  <c r="H563" i="1" l="1"/>
  <c r="H556" i="1" s="1"/>
  <c r="H552" i="1" s="1"/>
  <c r="G15" i="1"/>
  <c r="G11" i="1" s="1"/>
  <c r="G24" i="1"/>
  <c r="H496" i="1"/>
  <c r="H27" i="1" s="1"/>
  <c r="H499" i="1"/>
  <c r="H492" i="1" s="1"/>
  <c r="H488" i="1" s="1"/>
  <c r="I572" i="1"/>
  <c r="I571" i="1" s="1"/>
  <c r="I566" i="1"/>
  <c r="I560" i="1" s="1"/>
  <c r="I502" i="1" s="1"/>
  <c r="I499" i="1" s="1"/>
  <c r="I492" i="1" s="1"/>
  <c r="I488" i="1" s="1"/>
  <c r="H15" i="1" l="1"/>
  <c r="H11" i="1" s="1"/>
  <c r="H24" i="1"/>
  <c r="I563" i="1"/>
  <c r="I556" i="1" s="1"/>
  <c r="I552" i="1" s="1"/>
  <c r="I496" i="1"/>
  <c r="I27" i="1" s="1"/>
  <c r="J572" i="1"/>
  <c r="J571" i="1" s="1"/>
  <c r="J566" i="1"/>
  <c r="J563" i="1" s="1"/>
  <c r="J556" i="1" s="1"/>
  <c r="J552" i="1" s="1"/>
  <c r="I15" i="1" l="1"/>
  <c r="I11" i="1" s="1"/>
  <c r="I7" i="1" s="1"/>
  <c r="I24" i="1"/>
  <c r="J560" i="1"/>
  <c r="J502" i="1" s="1"/>
  <c r="J499" i="1" l="1"/>
  <c r="J492" i="1" s="1"/>
  <c r="J488" i="1" s="1"/>
  <c r="J496" i="1"/>
  <c r="J27" i="1" s="1"/>
  <c r="K572" i="1"/>
  <c r="K571" i="1" s="1"/>
  <c r="K566" i="1"/>
  <c r="K560" i="1" s="1"/>
  <c r="K502" i="1" s="1"/>
  <c r="J15" i="1" l="1"/>
  <c r="J11" i="1" s="1"/>
  <c r="J7" i="1" s="1"/>
  <c r="J24" i="1"/>
  <c r="K563" i="1"/>
  <c r="K556" i="1" s="1"/>
  <c r="K552" i="1" s="1"/>
  <c r="K496" i="1"/>
  <c r="K27" i="1" s="1"/>
  <c r="K499" i="1"/>
  <c r="K492" i="1" s="1"/>
  <c r="K488" i="1" s="1"/>
  <c r="L572" i="1"/>
  <c r="L571" i="1" s="1"/>
  <c r="B572" i="1"/>
  <c r="B571" i="1" s="1"/>
  <c r="L566" i="1"/>
  <c r="L563" i="1" s="1"/>
  <c r="L556" i="1" s="1"/>
  <c r="L552" i="1" s="1"/>
  <c r="K15" i="1" l="1"/>
  <c r="K11" i="1" s="1"/>
  <c r="K7" i="1" s="1"/>
  <c r="K24" i="1"/>
  <c r="B566" i="1"/>
  <c r="B560" i="1" s="1"/>
  <c r="L560" i="1"/>
  <c r="L502" i="1" s="1"/>
  <c r="B563" i="1" l="1"/>
  <c r="B556" i="1" s="1"/>
  <c r="B552" i="1" s="1"/>
  <c r="B502" i="1"/>
  <c r="B27" i="1" s="1"/>
  <c r="B15" i="1" s="1"/>
  <c r="L496" i="1"/>
  <c r="L27" i="1" s="1"/>
  <c r="L499" i="1"/>
  <c r="L492" i="1" s="1"/>
  <c r="L488" i="1" s="1"/>
  <c r="L15" i="1" l="1"/>
  <c r="L11" i="1" s="1"/>
  <c r="L7" i="1" s="1"/>
  <c r="L24" i="1"/>
  <c r="B496" i="1"/>
  <c r="B499" i="1"/>
  <c r="B492" i="1" s="1"/>
  <c r="B488" i="1" s="1"/>
  <c r="B11" i="1" l="1"/>
  <c r="B7" i="1" s="1"/>
  <c r="B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Aija Grinberga</author>
  </authors>
  <commentList>
    <comment ref="C137" authorId="0" shapeId="0" xr:uid="{00000000-0006-0000-0000-000002000000}">
      <text>
        <r>
          <rPr>
            <b/>
            <sz val="9"/>
            <color indexed="81"/>
            <rFont val="Tahoma"/>
            <family val="2"/>
            <charset val="186"/>
          </rPr>
          <t>Aija Grinberga:</t>
        </r>
        <r>
          <rPr>
            <sz val="9"/>
            <color indexed="81"/>
            <rFont val="Tahoma"/>
            <family val="2"/>
            <charset val="186"/>
          </rPr>
          <t xml:space="preserve">
Pēc sarunas ar Sanitu Vasiļjevu liekam visas pensijas, izņemt izdienas pensijas (I.Štrausa - FVD)</t>
        </r>
      </text>
    </comment>
  </commentList>
</comments>
</file>

<file path=xl/sharedStrings.xml><?xml version="1.0" encoding="utf-8"?>
<sst xmlns="http://schemas.openxmlformats.org/spreadsheetml/2006/main" count="1269" uniqueCount="192">
  <si>
    <t>Indikatīvais ietekmes novērtējums uz valsts un pašvaldību budžetiem</t>
  </si>
  <si>
    <t>Uzdevums</t>
  </si>
  <si>
    <t>Finansējums kopā</t>
  </si>
  <si>
    <t>Plānotais finansējums</t>
  </si>
  <si>
    <t>Nepieciešamais papildu finansējums***</t>
  </si>
  <si>
    <t xml:space="preserve">Finansējums kopā </t>
  </si>
  <si>
    <t>Pašvaldību budžets</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</si>
  <si>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</si>
  <si>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</si>
  <si>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</si>
  <si>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</si>
  <si>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</si>
  <si>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</si>
  <si>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Informatīvi</t>
  </si>
  <si>
    <t>Sadalījumā pa budžeta resoriem</t>
  </si>
  <si>
    <t xml:space="preserve">12.Ekonomikas ministrija </t>
  </si>
  <si>
    <t>18. Labklājības ministrija</t>
  </si>
  <si>
    <t>19. Tieslietu ministrija</t>
  </si>
  <si>
    <t>21.Vides aizsardzības un reģionālās attīstības ministrija</t>
  </si>
  <si>
    <t>5.pielikums Sociālās aizsardzības un darba tirgus politikas pamatnostādnēm 2021. - 2027.gadam</t>
  </si>
  <si>
    <t>2.1. veicot ģimenes valsts pabalsta piešķiršanas nosacījumu pārskatīšanu un novēršot atšķirības pabalsta un piemaksas piešķiršanas nosacījumos</t>
  </si>
  <si>
    <t>2.2.nodrošinot vecāku un paternitātes pabalstu pārskatīšanu un aprūpētāja atvaļinājuma ieviešanu darba un privātās  dzīves līdzsvara uzlabošanai (Eiropas Parlamenta un Padomes direktīvas par darba un privātās dzīves līdzsvaru  (ES 2019/1158) nosacījumu pārņemšana)</t>
  </si>
  <si>
    <t>18.Labklājības ministrija</t>
  </si>
  <si>
    <t>2.3. nodrošinot vienotu pieeju pašvaldību izmaksājamo pamata sociālās palīdzības pabalstu- garantētā minimālā ienākuma pabalsta un mājokļa pabalsta piešķiršanā</t>
  </si>
  <si>
    <t>5.RĪCĪBAS VIRZIENS: Sociālās aizsardzības un darba tirgus politikas pārvaldības stiprināšana</t>
  </si>
  <si>
    <t xml:space="preserve">18.Labklājības ministrija </t>
  </si>
  <si>
    <t xml:space="preserve">1.UZDEVUMS: Attīstīt uz personu ar funkcionēšanas ierobežojumiem vajadzībām mērķētu atbalsta pasākumu sistēmu (t.sk. starpnozaru līmenī), primāri tādās jomās kā nodarbinātība, veselība, izglītība, publiskās vides un sabiedriskā transporta pieejamība </t>
  </si>
  <si>
    <t xml:space="preserve">18. Labklājības ministrija </t>
  </si>
  <si>
    <t>4.RĪCĪBAS VIRZIENS: Attīstīta valsts nodrošinātā juridiskā atbalsta sistēma, paplašinot mazāk aizsargāto personu piekļuvi tiesu sistēmai</t>
  </si>
  <si>
    <t xml:space="preserve">1.UZDEVUMS: Mazāk aizsargāto personu informēšana un izglītošana par savām tiesībām un pienākumiem, kā arī savlaicīgu strīdu un juridisku jautājumu risināšanas nozīmību un par juridiskā atbalsta sistēmas pieejamību </t>
  </si>
  <si>
    <t>2.UZDEVUMS: Palielināt mazāk aizsargāto personu juridiskā atbalsta pieejamību, efektivitāti un atbilstību mērķa grupas vajadzībām, tai skaitā:</t>
  </si>
  <si>
    <t>2.1. reformēt valsts nodrošinātās juridiskās palīdzības sistēmu, veicot gan funkcionālas, gan organizatoriskas izmaiņas, kas vērstas uz mazāk aizsargāto un cietušo personu atbalstu savlaicīgai pieejai taisnīgumam un tiesiskumam</t>
  </si>
  <si>
    <t>2.2. rast risinājumu mediācijas faktiskas pieejamības nodrošināšanai mērķgrupai, tai skaitā, ieviešot valsts apmaksātu (pilnībā vai daļēji) mediāciju, to integrējot valsts nodrošinātās juridiskās palīdzības sistēmā</t>
  </si>
  <si>
    <t>3.UZDEVUMS: Esošo, kā arī jaunu informācijas tehnoloģiju un savstarpēji papildinošu un pieejamu digitālo risinājumu attīstīšana, kas vērsta uz sociāli mazaizsargāto personu tiesību efektīvāku nodrošināšanu, tostarp iestāžu savstarpējās sadarbības veicināšana minēto personu tiesību realizēšanā, t.sk. sadarbības platformu izveide</t>
  </si>
  <si>
    <t>4.UZDEVUMS: Mazāk aizsargāto personu juridiskā atbalsta pakalpojumu nodrošināšanā iesaistīto personālresursu kompetenču attīstība un prasmju paaugstināšana</t>
  </si>
  <si>
    <t>3.RĪCĪBAS VIRZIENS: Iekļaujošs darba tirgus ikvienam un kvalitatīvas darba vietas, atbalstot ilgtermiņa līdzdalību darba tirgū</t>
  </si>
  <si>
    <t>1.UZDEVUMS: Paaugstināt bezdarbnieku,  darba meklētāju un bezdarba riskam pakļauto personu konkurētspēju un reaģēšanu uz darba tirgus transformāciju un nepieciešamību pielāgoties aktuālajai situācijai darba tirgū,  tai skaitā</t>
  </si>
  <si>
    <t>1.1. uzlabojot bezdarbnieku, darba meklētāju un bezdarba riskam pakļauto personu darba tirgum nepieciešamās zināšanas un prasmes</t>
  </si>
  <si>
    <t>1.2. pilnveidojot individualizēta atbalsta sniegšanu darba meklētājiem, bezdarbniekiem un bezdarba riskam pakļautajām personām, īpaši personām ar invaliditāti, pirmspensijas vecumā esošām personām, jauniešiem, kas nemācās un nestrādā, personām ar zemām pamatprasmēm</t>
  </si>
  <si>
    <t>1.3. pilnveidojot atbalstu reģionālās mobilitātes un remigrācijas veicināšanai</t>
  </si>
  <si>
    <t>1.4. palielinot pieejamību karjeras attīstības atbalsta pakalpojumiem un veicinot to kvalitāti, t.sk. paredzot NVA karjeras konsultantu profesionālās kompetences pilnveidi, pakalpojuma kvalitātes uzraudzību un cilvēkresursu nodrošināšanu, un stiprinot karjeras konsultāciju lomu indivīda karjeras vadības prasmju attīstībā</t>
  </si>
  <si>
    <t>1.5. pilnveidojot subsidētās, pagaidu nodarbinātības un darbam nepieciešamo iemaņu attīstības pasākumus</t>
  </si>
  <si>
    <t>1.6. palielinot nelabvēlīgākā situācijā esošo bezdarbnieku un ekonomiski neaktīvo iedzīvotāju iekļaušanos darba tirgū, pilnveidojot atbalsta pasākumus un uzlabojot starpinstitucionālo sadarbību efektīvākam mērķa grupu atbalstam</t>
  </si>
  <si>
    <t>1.7. pilnveidojot digitālos un mākslīgā intelekta risinājumus darba tirgus pieprasījuma un piedāvājuma efektīvākai salāgošanai</t>
  </si>
  <si>
    <t>2.UZDEVUMS: Nodrošināt drošas darba vides, kvalitatīvu darba vietu un cienīga darba attīstību, tai skaitā:</t>
  </si>
  <si>
    <t>2.1. veicinot iekļaujoša darba tirgus attīstību un sabiedrības, darba ņēmēju un darba devēju izpratni par dažādības veicināšanu, diskriminācijas mazināšanu un iekļaušanu</t>
  </si>
  <si>
    <t>2.2. veicinot darba un privātās dzīves saskaņošanu nodarbinātajiem, tai skaitā, ar aprūpes pienākumiem mājsaimniecībās</t>
  </si>
  <si>
    <t>2.3. paaugstinot sabiedrības, īpaši darba devēju, nodarbināto un darba aizsardzības speciālistu informētības un izpratnes līmeni par darba aizsardzības jautājumiem (dažādās nodarbinātības formās) un veicinot preventīvās kultūras attīstību</t>
  </si>
  <si>
    <t>2.4. nodrošinot atbalstu uzņēmumiem, īpaši mikro un mazajiem uzņēmumiem, drošas un veselībai nekaitīgas darba vides izveidošanā</t>
  </si>
  <si>
    <t>2.5. veicinot arodslimību preventīvu novēršanu un arodslimību agrīnu diagnosticēšanu</t>
  </si>
  <si>
    <t>2.6. pilnveidojot nodarbināto tiesisko aizsardzību, viņu izpratni un zināšanas par darba tiesiskajām attiecībām, īpaši nestandarta/ jaunajās nodarbinātības formās strādājošiem</t>
  </si>
  <si>
    <t>3.UZDEVUMS: Attīstīt un pilnveidot sociālās uzņēmējdarbības vidi un atbalsta instrumentus</t>
  </si>
  <si>
    <t xml:space="preserve">4.UZDEVUMS: Nodrošināt minimālās darba algas regulāru pārskatīšanu   </t>
  </si>
  <si>
    <t>2.RĪCĪBAS VIRZIENS: Moderna un pieejama sociālo pakalpojumu sistēma, kas cita starpā uzlabo iedzīvotāju iespējas dzīvot neatkarīgi un dzīvot sabiedrībā, iekļauties izglītībā un darba tirgū</t>
  </si>
  <si>
    <t>1.UZDEVUMS: Palielināt sabiedrībā balstītu sociālo pakalpojumu pieejamību, efektivitāti un atbilstību mērķa grupas vajadzībām, tai skaitā:</t>
  </si>
  <si>
    <t xml:space="preserve">1.1. palielinot  atbalstu un sabiedrībā balstītu sociālo pakalpojumu pieejamību bērniem un pilngadīgām personām ar funkcionāliem traucējumiem, t.sk. garīga rakstura traucējumiem vai multipliem traucējumiem, vecāka gada gājuma cilvēkiem, t.sk. cilvēkiem ar demenci, un sniedzot atbalstu viņu ģimenes locekļiem un neformālajiem aprūpētājiem, veicinot starpdisciplināru pieeju sociālajā aprūpē </t>
  </si>
  <si>
    <t>1.2. veidojot starpdiscplinārus sociālos pakalpojumus hroniski un nedziedināmi slimiem (paliatīvā aprūpē esošiem) cilvēkiem un viņu ģimenes locekļiem un neformālajiem aprūpētājiem</t>
  </si>
  <si>
    <t xml:space="preserve">1.3. attīstot atbalstu,  bērniem ar iespējamu vai esošu invaliditāti, tai skaitā, nodrošinot metodisku un praktisku atbalstu viņu aprūpē iesaistītajiem ģimenes locekļiem </t>
  </si>
  <si>
    <t>2.UZDEVUMS: Veicināt personu pāreju uz sabiedrībā balstītu vai ģimeniskai videi pietuvinātu pakalpojumu saņemšanu, vienlaikus uzlabojot institucionālās aprūpes pakalpojumu kvalitāti, tai skaitā:</t>
  </si>
  <si>
    <t xml:space="preserve">2.1. veidojot ģimeniskai videi pietuvinātas pakalpojumu sniegšanas vietas  bērniem ar smagiem funkcionāliem traucējumiem </t>
  </si>
  <si>
    <t>2.2. veidojot ģimeniskai videi pietuvinātas pakalpojumu sniegšanas vietas  pensijas vecuma personām, veicinot personas pašaprūpes spēju uzturēšanu</t>
  </si>
  <si>
    <t>2.4. uzlabot atbalstu personām pārejas posmā no institucionālās aprūpes uz sabiedrībā balstītām formām, no ārpusģimenes aprūpes uz patstāvīgu dzīvi</t>
  </si>
  <si>
    <t>3.UZDEVUMS: Nodrošināt līdzvērtīgu sociālo pakalpojumu pieejamību reģionos, nosakot iedzīvotājiem obligāti nodrošināmo sociālo pakalpojumu veidus novadu un valsts pilsētu pašvaldībās un tā ieviešanas nosacījumus</t>
  </si>
  <si>
    <t>4.UZDEVUMS: Uzlabot sociālo pakalpojumu kvalitāti un pieejamību iedzīvotājiem, tai skaitā</t>
  </si>
  <si>
    <t xml:space="preserve">4.3. uzlabojot sociālo pakalpojumu kvalitātes uzraudzības un efektivitātes novērtēšanas sistēmu </t>
  </si>
  <si>
    <t xml:space="preserve">4.4. pilnveidojot sociālo pakalpojumu finansēšanas modeli, palielinot pakalpojuma saņēmēja pašnoteikšanās iespējas un atbilstoši savām individuālajām vajadzībām noteiktā finansējuma ietvaros saņemt pakalpojumu (individuālā budžeta pieejas ieviešana) </t>
  </si>
  <si>
    <t>4.6. uzlabojot iedzīvotājiem nepieciešamo tehnisko palīglīdzekļu klāstu un pilnveidot to piešķiršanas kārtību</t>
  </si>
  <si>
    <t>4.7. apzinot sabiedrības vajadzības un ieviešot jaunus sociālos pakalpojumus, pirms tam tos izmēģinot un pārliecinoties par to efektivitāti</t>
  </si>
  <si>
    <t>5.UZDEVUMS: Stiprināt sociālā darba nozīmi un lomu citu saistīto nozaru vidū un sabiedrībā, tai skaitā</t>
  </si>
  <si>
    <t>5.1. sekmējot izpratni par sociālā darba profesiju un veicinot tās novērtēšanu sabiedrībā</t>
  </si>
  <si>
    <t>5.2. nostiprinot sociālā darba profesiju tiesiskajā regulējumā, t.sk. jautājumu par sociālā darba specializācijām un reģistrēšanu vai sertificēšanu, sociālā darbinieka (neatkarīgi no prakses vietas) atzinuma ietekmi (statusu) citu institūciju speciālistu lēmumu pieņemšanā</t>
  </si>
  <si>
    <t>6.UZDEVUMS: Sociālo pakalpojumu sniegšanā un sociālajā darbā iesaistīto cilvēkresursu analīze, piesaiste un prasmju pilnveide, tai skaitā:</t>
  </si>
  <si>
    <t xml:space="preserve">18. Labklājības ministrija  </t>
  </si>
  <si>
    <t>7.UZDEVUMS: Pilnveidot sociālā darba speciālistu un citu sociālo pakalpojumu sniegšanā iesaistīto speciālistu atalgojuma un motivācijas sistēmu</t>
  </si>
  <si>
    <t>7.1.piešķirot valsts budžeta mērķdotāciju  sociālajiem darbiniekiem</t>
  </si>
  <si>
    <t>7.2.izveidojot konkurētspējīgu sociālā darba un citu sociālo pakalpojumu sniegšanā iesaistīto speciālistu atalgojuma sistēmu, tajā skaitā, izstrādājot atalgojuma noteikšanas modeļus, paredzot pamatlikmi un mainīgo daļu, kas nosakāma attiecībā no specializācijas, t.i. nepieciešamajām kompetencēm (kvalifikācijas), pieredzes un atbildības</t>
  </si>
  <si>
    <t>7.3. nodrošinot konkurētspējīgu atalgojumu sociālā darba un citu sociālo pakalpojumu sniegšanā iesaistītajiem speciālistiem atbilstoši noteiktajai atalgojuma sistēmai</t>
  </si>
  <si>
    <t>7.4. izstrādājot objektīvus kritērijus sociālo darbinieku slodzes noteikšanai un uzsākot to ieviešanu</t>
  </si>
  <si>
    <t xml:space="preserve">8.UZDEVUMS: Pārskatīt invaliditātes noteikšanu, nodrošinot invaliditātes statusa sasaisti ar funkcionēšanas spēju novērtēšanu, kas nodrošinātu cilvēku vajadzībām atbilstošāku pakalpojumu sniegšanu un atbalsta plānošanu </t>
  </si>
  <si>
    <t>9.UZDEVUMS: Izstrādāt priekšlikumus kvalitātes un cenas ziņā pieejamu mājokļu nodrošināšanai nabadzības un sociālās atstumtības riskam pakļautajām iedzīvotāju grupām, iedzīvotājiem krīzes situācijās, iedzīvotājiem reģionālās mobilitātes veicināšanai</t>
  </si>
  <si>
    <t>10.UZDEVUMS: Izstrādāt priekšlikumus vides pieejamības uzlabošanai daudzdzīvokļu ēkās izbūvējot liftus, veicinot personu pārvietošanās brīvību, tai skaitā iekļaušanos izglītībā un darba tirgū</t>
  </si>
  <si>
    <t>7.UZDEVUMS: Mazināt pārtikas un pamata materiālo nenodrošinātību, sniedzot pārtikas atbalstu un pamata materiālo palīdzību zemu ienākumu un krīzes situācijā nonākušām mājsaimniecībām</t>
  </si>
  <si>
    <t>6.UZDEVUMS: Izskatīt iespējas pilnveidot pensiju sistēmas 2.līmeņa darbību, monitorējot administrēšanas izmaksas par ieguldījumu plāna pārvaldi,  un uzkrātā pensiju kapitāla izmantošanu, nosakot vienu mūža pensijas polises apmēru visā izmaksas periodā</t>
  </si>
  <si>
    <t>5.UZDEVUMS: Nodrošināt izdienas pensiju shēmu atbilstību vispārējiem valsts sociālās apdrošināšanas principiem un valsts pensiju politikai, izstrādājot tādu centralizētu izdienas pensiju politiku un normatīvo regulējumu, kas: 
1) ievēro tiesisko paļāvību esošiem izdienas pensiju saņēmējiem;  
2) sadala izdienas pensijas saņēmējus a) grupā, kuriem nodrošina iespēju pārkvalificēties un b) grupā, kuriem nodrošina iespēju pārkvalificēties un kompensē (reālu) paaugstinātu risku dzīvībai un veselībai; 
3) izslēdz personas, kuru darba specifika neatbilst minētajiem mērķiem; 
4) nosaka, ka visām izdienas pensijām jābūt terminētām; 
5) nosaka katrai profesiju (amatu) grupai vienotus izdienas pensijas ieguves un aprēķina kritērijus</t>
  </si>
  <si>
    <t>4.UZDEVUMS: Turpināt ieviest pasākumus valsts sociālās apdrošināšanas sistēmas stabilitātes ilgtermiņā nodrošināšanai, tai skaitā pārskatot pensionēšanās nosacījumus, valsts sociālās apdrošināšanas obligāto iemaksu likmi, pārskatot universālā un personificētā atbalsta nosacījumus, izvērtējot bāzes pensijas ieviešanas iespēju</t>
  </si>
  <si>
    <t xml:space="preserve">18.labklājības ministrija </t>
  </si>
  <si>
    <t>3.UZDEVUMS: Uzlabot sociālo aizsardzību speciālajos nodokļu režīmos strādājošajiem vidējā un ilgtermiņā, tai skaitā pārskatot nestandarta nodarbinātības formās nodarbināto un pašnodarbināto personu aizsardzību pret noteiktiem sociālās apdrošināšanas riskiem</t>
  </si>
  <si>
    <t>2.5. pārskatot atbalsta saņemšanas nosacījumus situācijās, kad cilvēks nevar saņemt finansiālo palīdzību sociālās aizsardzības sistēmas ietvaros</t>
  </si>
  <si>
    <t>2.4. izvērtējot sociālo pabalstu mērķi un efektivitāti, novēršot pārklāšanos un fragmentāciju</t>
  </si>
  <si>
    <t>2.UZDEVUMS: Pārskatīt sociālo pabalstu izmaksu mērķētību un uzlabot saņēmēju pārklājumu, tai skaitā</t>
  </si>
  <si>
    <t>1.RĪCĪBAS VIRZIENS: Ilgtspējīgs, stabils un adekvāts materiālais atbalsts, kas nodrošina pietiekamu ekonomisko neatkarību</t>
  </si>
  <si>
    <t>1.4. pilnveidojot un ieviešot jaunus sociālos pakalpojumus (gan akūtu problēmu risināšanai, gan ilgtermiņa atbalsta nodrošināšanai) bērniem un jauniešiem ar psihiskiem un uzvedības traucējumiem, tai skaitā atkarības vielu un procesu atkarībām un multiplām problēmām</t>
  </si>
  <si>
    <t>5.3. stiprinot profesionālo organizāciju (LSDB, LPSDVA) rīcībspēju sociālā darba profesijas profesionālā standarta uzturēšanā un celšanā un rīcībpolitikas attīstībā</t>
  </si>
  <si>
    <t>5.4. veicinot sociālā darba prakses pētniecību</t>
  </si>
  <si>
    <t>6.1. veidojot valsts pasūtījumu socālā darba speciālistu izglītības programmu saturam, pilnveidojot sociālā darba speciālistu izglītības programmas (pirmā un otrā līmeņa augstākās izglītības, tālākizglītības programmas)</t>
  </si>
  <si>
    <t>6.2. attīstot specializācijas iespējas un veicinot profesionālās kompetences pilnveidi, tostarp izmantojot darba vidē balstītu mācību elementus, nodrošinot metodiku darbam ar dažādām klientu mērķa grupām ilgtspējīgu ieviešanu praksē  un savlaicīgi integrējot reformu un citu izmaiņu un jauninājumu saturu papildu kompetenču un jaunu speciālistu sagatavošanā</t>
  </si>
  <si>
    <t xml:space="preserve">6.4. izvērtējot un saskaņā ar darba tirgus pieprasījumu palielinot nepieciešamo no valsts budžeta finansēto studiju vietu skaitu studiju virziena “Sociālā labklājība” programmās valsts dibinātās augstākās izglītības iestādēs (tai skaitā,  ģimenes asistentu, mentoru, sociālo rehabilitētāju un sociālo aprūpētāju izglītības programmās) </t>
  </si>
  <si>
    <t>6.5. ieviešot motivējošus pasākumus profesionālu mācībspēku piesaistei un sagatavošanai sociālā darba jomā</t>
  </si>
  <si>
    <t>6.6.apzinot esošos un nepieciešamos sociālā darba un sociālo pakalpojumu jomā nodarbināto cilvēkresursus  un prognozējot to vajadzību</t>
  </si>
  <si>
    <t>2.UZDEVUMS: Integrēt veselības aprūpes un sociālo pakalpojumu plānošanu, koordinēšanu un finansēšanu</t>
  </si>
  <si>
    <t>2027 un turpmākie gadi</t>
  </si>
  <si>
    <t>X</t>
  </si>
  <si>
    <t>1.UZDEVUMS: Palielināt sociālo transfertu apmēru un to ietekmi uz nabadzības mazināšanu (īpaši nabadzības riskam visvairāk pakļautajām iedzīvotāju grupām), tai skaitā nodrošinot atsevišķu sociālo pabalstu, atlīdzību un piemaksu pārskatīšanu un to sasaisti atbilstoši sociāli ekonomisko rādītāju izmaiņām</t>
  </si>
  <si>
    <t>15. Izglītības un zinātnes ministrija</t>
  </si>
  <si>
    <t>valsts sociālās apdrošināšanas speciālais budžets</t>
  </si>
  <si>
    <t>29.Veselības ministrija</t>
  </si>
  <si>
    <t>X vai dzeltenā krāsā iezīmēta šūna</t>
  </si>
  <si>
    <t>plānota papildu ietekme uz valsts vai pašvaldību budžetu, kas pašreizējā stadijā nav aprēķināma vai norādītais indikatīvais finansējums var mainīties/ tikt pārskatīts</t>
  </si>
  <si>
    <t>Piezīmes</t>
  </si>
  <si>
    <t>Plānotais finansējums ir ietverts arī 1.uzdevuma plānotā finansējuma apmērā, tādēļ šīs summas netiek dublētas 1.Rīcības virziena plānota finansējuma kopsummā</t>
  </si>
  <si>
    <t>Uzdevuma īstenošana nozares finansējuma ietvaros, izvērtējuma rezultāti var radīt papildu ietekmi uz 1.rīcības virziena 1.uzdevuma īstenošanai nepieciešamo papildu finansējumu.</t>
  </si>
  <si>
    <t>Uzdevuma īstenošana nozares finansējuma ietvaros, pārskatīšanas rezultāti var radīt papildu ietekmi uz 1.rīcības virziena 1. un 4.uzdevuma īstenošanai nepieciešamo papildu finansējumu.</t>
  </si>
  <si>
    <t>Uzdevuma īstenošana nozares finansējuma ietvaros, var radīt papildu ietekmi uz 1.rīcības virziena 1. un 4.uzdevuma īstenošanai nepieciešamo papildu finansējumu.</t>
  </si>
  <si>
    <t>NAP2027 indikatīvais finansējums - EUR 150 000 000.</t>
  </si>
  <si>
    <t>Iespējama līdzekļu ekonomija.</t>
  </si>
  <si>
    <t>Uzdevuma īstenošana nozares finansējuma ietvaros</t>
  </si>
  <si>
    <t>NAP2027 indikatīvais finansējums- EUR 44 000 000.</t>
  </si>
  <si>
    <t>NAP2027 indikatīvais finansējums - EUR 124 000 000 . Konkrēta ietekme tiks aprēķināta, pārskatot valsts sociālo pabalstu, atlīdzību un piemaksu apmērus, tai skaitā, minimālo ienākumu sliekšņus.</t>
  </si>
  <si>
    <t>NAP2027 indikatīvais finansējums - EUR 115 000 000 (pasākuma darbības aptver arī  2.Rīcības virziena 4.4., 4.5.uzdevumus).</t>
  </si>
  <si>
    <t>NAP2027 indikatīvais finansējums - EUR 4 500 000.</t>
  </si>
  <si>
    <t>NAP2027 indikatīvais finansējums - EUR 5 000 000.</t>
  </si>
  <si>
    <t>NAP2027 indikatīvais finansējums - EUR 1 350 000. 1.4.uzdevuma īstenošanai papildu nepieciešamais ES fondu finansējums ir  ietverts 2.rīcības virziena 4.5.uzdevuma finansējumā.</t>
  </si>
  <si>
    <t>2.3. uzlabojot sociālās aprūpes institūcijās sniegto pakalpojumu kvalitāti (IKT risinājumi, optimāls klientu skaits iestādē), tai skaitā, pielāgojot, uzlabojot un pilnveidojot institūciju infrastruktūru personas pašaprūpes veicināšanai, cieņpilnai aprūpei un epidemioloģiskā apdraudējuma novēršanai</t>
  </si>
  <si>
    <t xml:space="preserve">21.Vides aizsardzības un reģionālās attīstības ministrija </t>
  </si>
  <si>
    <t>NAP2027 indikatīvais finansējums - EUR 30 000 000.</t>
  </si>
  <si>
    <t>Paredzama papildu ietekme uz pašvaldību budžetu</t>
  </si>
  <si>
    <t xml:space="preserve">21. Vides aizsardzības un reģionālās attīstības ministrija </t>
  </si>
  <si>
    <t>2.4.uzdevuma īstenošanai papildu nepieciešamais ES fondu finansējums ir  ietverts 2.rīcības virziena 1.1.uzdevuma finansējumā.</t>
  </si>
  <si>
    <t xml:space="preserve">4.1. pārskatot sociālo pakalpojumu saturu atbilstoši mērķa grupas individuālām vajadzībām (uz klientu vērsts pakalpojuma dizains), uzlabojot pakalpojumu rezultātu mērīšanu, kas liecinātu par pakalpojuma ietekmi un efektivitāti un, balstoties uz pakalpojumu saņēmēju pieredzi, vērtējumu par pakalpojumu kvalitāti un pieejamību </t>
  </si>
  <si>
    <t xml:space="preserve">4.2. pārskatot sociālo pakalpojumu cenu atbilstību faktiskajām tirgus cenām un izvērtējot sociālo pakalpojumu finansēšanas sasaisti ar ekonomisko rādītāju (patēriņa cenu indekss, vidējā darba samaksa, minimālā mēneša darba alga, nodokļu samaksa un izmaiņas nodokļu sistēmā) izmaiņām, tādējādi nodrošinot kvalitatīvākus pakalpojumus un atbilstošāku atalgojumu pakalpojumu sniedzējiem  </t>
  </si>
  <si>
    <t xml:space="preserve">4.5. attīstot sociālās inovācijas, tai skaitā, digitālus un tehnoloģiskus risinājumus sociālo pakalpojumu sniegšanā, kā arī uzlabojot sociālo pakalpojumu sniedzēju digitālās prasmes un IKT risinājumu izmantošanā </t>
  </si>
  <si>
    <t>4.8. nodrošinot iespēju personu ar funkcionāliem traucējumiem neformālajiem aprūpētājiem, asistentiem un sociālo pakalpojumu sniedzēju darbiniekiem apgūt prasmes aprūpēt (tostarp prasmes izmantot tehnoloģiskos un digitālos rīkus aprūpes veikšanā), komunicēt un izprast personu ar funkcionāliem traucējumiem vajadzības, kā arī attīstot sociālās un profesionālās rehabilitācijas pakalpojumu sinerģiju ātrākai cilvēku atgriešanai darba tirgū, sociālajā dzīvē, izglītībā</t>
  </si>
  <si>
    <t>4.9. pārskatot sociālā pakalpojuma saturu, tai skaitā harmonizējot terminoloģiju (ieviešot atbilstīgu tiesisko regulējumu) un nosacījumus pakalpojumiem (pārejā starp dažādiem vecumposmiem), atbilstoši uz personu vērstiem pakalpojumu sniegšanas principiem</t>
  </si>
  <si>
    <t>4.10. sekmējot inovatīvu tehnoloģisko un mākslīgā intelekta risinājumu izstrādi sociālo pakalpojumu sniegšanai</t>
  </si>
  <si>
    <t>4.1.uzdevuma īstenošanai nepieciešamais finansējums ir ietverts 2.rīcības virziena 4.2.uzdevuma finansējumā.</t>
  </si>
  <si>
    <t>Uzdevuma īstenošana plānota nozares finansējuma ietvaros</t>
  </si>
  <si>
    <t>NAP2027 indikatīvais finansējums - EUR 2 000 000.</t>
  </si>
  <si>
    <t xml:space="preserve">15. Izglītības un zinātnes ministrija </t>
  </si>
  <si>
    <t xml:space="preserve">6.3. nodrošinot mērķtiecīgu pāreju ar 2028.gadu pilnībā ieviešot jauno pieeju sociālajam darbam ģimenēm ar bērniem, tai skaitā, nostiprinot ģimenes asistenta pakalpojumu </t>
  </si>
  <si>
    <t xml:space="preserve">15. Izglītības un zinātnes ministrija  </t>
  </si>
  <si>
    <t>7.2.uzdevuma īstenošanai plānotais ES fondu finansējums ir ietverts 2.rīcības virziena 7.4.uzdevuma finansējumā.</t>
  </si>
  <si>
    <t xml:space="preserve">NAP2027 indikatīvais finansējums - EUR 32 248 632 (pasākuma darbības aptver arī 2.rīcības virziena 4.1.uzdevumu). </t>
  </si>
  <si>
    <t>NAP2027 indikatīvais finansējums - EUR 28 000 000 (pasākuma darbības aptver arī 2.rīcības virziena 6.1., 7.2., 7.4.uzdevumus).</t>
  </si>
  <si>
    <t>NAP2027 indikatīvais finansējums - EUR 1 500 000 (pasākuma darbības aptver arī 4.rīcības virziena 2.uzdevumu)</t>
  </si>
  <si>
    <t>NAP2027 indikatīvais finansējums- EUR 6 400 000 (pasākuma darbības aptver arī 4.rīcības virziena 3.uzdevumu).</t>
  </si>
  <si>
    <t>NAP2027 indikatīvais finansējums - EUR 75 000 000.</t>
  </si>
  <si>
    <t>NAP2027 indikatīvais finansējums - EUR 25 000 000.</t>
  </si>
  <si>
    <t xml:space="preserve">15.Izglītības un zinātnes ministrija </t>
  </si>
  <si>
    <t xml:space="preserve">Minimālās darba algas pārskatīšanai nepieciešamās dokumentācijas sagatavošana notiek esošā budžeta ietvaros. Papildus izdevumu-ieņēmumu aprēķins tiks veikts atkarībā no pieņemtā lēmuma par konkrēto minimālās darba algas paaugstināšanas apmēru. </t>
  </si>
  <si>
    <t>NAP2027 indikatīvais finansējums - EUR 14 000 000.</t>
  </si>
  <si>
    <t>NAP2027 indikatīvais finansējums - EUR 21 000 000</t>
  </si>
  <si>
    <t>NAP2027 indikatīvais finansējums - EUR 3 000 000.</t>
  </si>
  <si>
    <t>NAP2027 indikatīvais finansējums- EUR 55 000 000 (pasākuma darbības aptver arī 3.rīcības virziena 1.4.uzdevumu).</t>
  </si>
  <si>
    <t>NAP2027 indikatīvais finansējums - EUR 15 000 000 (pasākuma darbības aptver arī 3.rīcības virziena 1.3.uzdevumu).</t>
  </si>
  <si>
    <t>NAP2027 indikatīvais finansējums - EUR 15 750 000.</t>
  </si>
  <si>
    <t>NAP2027 indikatīvais finansējums - EUR 40 000 000 (pasākuma darbības aptver arī 3.rīcības virziena 1.5., 1.6.uzdevumu). 1.2.uzdevuma īstenošanai plānotais finansējums iekļauts 3.rīcības virziena 1.1.uzdevuma finansējumā</t>
  </si>
  <si>
    <t>NAP2027 indikatīvais finansējums - EUR 1 500 000.</t>
  </si>
  <si>
    <t>1.2.uzdevuma īstenošanai plānotais ES fondu finansējums iekļauts 3.rīcības virziena 1.1.uzdevuma finansējumā</t>
  </si>
  <si>
    <t>1.6.uzdevuma īstenošanai plānotais speciālā budžeta finansējums iekļauts 3.rīcības virziena 1.5.uzdevuma finansējumā, ES fondu finansējums iekļauts 3.rīcības virziena 1.1. un 1.5.uzdevuma finansējumā</t>
  </si>
  <si>
    <t>1.8. uzlabojot personu ar invaliditāti nodarbinātības situāciju, sniedzot kompleksu un mērķtiecīgu atbalstu (darba vietu pielāgojumi, konsultācijas u.c.) un veicinot ilgtspējīgu iekļaušanos darba tirgū</t>
  </si>
  <si>
    <t>1.8.uzdevuma īstenošanai plānotais speciālā budžeta finansējums iekļauts 3.rīcības virziena 1.5.uzdevuma finansējumā, ES fondu finansējums iekļauts 3.rīcības virziena 1.1. un 1.5.uzdevuma finansējumā</t>
  </si>
  <si>
    <t>NAP2027 indikatīvais finansējums - EUR 5 484 278. 2.4.uzdevuma īstenošanai plānotais ES fondu finansējums ir iekļauts 3.rīcības virziena 2.3.uzdevumā</t>
  </si>
  <si>
    <t>2.5.uzdevuma īstenošanai plānotais ES fondu finansējums ir iekļauts 3.rīcības virziena 2.3.uzdevumā</t>
  </si>
  <si>
    <t>3.UZDEVUMS: Uzlabot starpnozaru sadarbību starp labklājības un izglītības nozares institūcijām sociālo pakalpojumu plānošanā, koordinēšanā un finansēšanā</t>
  </si>
  <si>
    <t>4.UZDEVUMS: Uzlabot  starpnozaru sadarbību starp  labklājības, veselības, iekšlietu un tieslietu nozares institūcijām aktuālu jautājumu risināšanā, tai skaitā,  antisociālās uzvedības, vardarbības mazināšanas, bērnu tiesību aizsardzības jautājumos</t>
  </si>
  <si>
    <t>5.UZDEVUMS: Starpinstitucionālās sadarbības algoritmu (ceļa karšu) izveidošana un pašvaldību starpinstitucionālās komandas sadarbības stiprināšana klientu gadījumu vadīšanā</t>
  </si>
  <si>
    <t xml:space="preserve">6.UZDEVUMS: Izvērtēt dažādām mērķa grupām pieejamos sociālos pakalpojumus, īpaši pievēršot uzmanību nepieciešamajai starpinstitucionālajai sadarbībai efektīvu pakalpojumu nodrošināšanā   </t>
  </si>
  <si>
    <t xml:space="preserve">7.UZDEVUMS: Paplašināt starpdisciplināro pieeju sociālās aprūpes pakalpojumu nodrošināšanā bērniem un pilngadīgām personām ar funkcionāliem traucējumiem, tai skaitā, multipliem traucējumiem, vecāka gadagājuma cilvēkiem, tai skaitā, cilvēkiem ar demenci, un hroniski slimiem un nedziedināmiem cilvēkiem (paliatīvā aprūpē esošiem)  </t>
  </si>
  <si>
    <t xml:space="preserve">8.UZDEVUMS: Pilnveidot NVA, sociālo dienestu, sociālo partneru un NVO sadarbību darba meklētāju, bezdarbnieku un bezdarba riskam pakļauto iedzīvotāju, īpaši nelabvēlīgākā situācijā esošo bezdarbnieku un ekonomiski neaktīvo iedzīvotāju, iekļaušanai darba tirgū  </t>
  </si>
  <si>
    <t>9.UZDEVUMS: Sadarbības veicināšana starp darba devējiem, nodarbinātajiem, darba aizsardzības speciālistiem un Valsts darba inspekciju par darba tiesību un darba aizsardzības prasību piemērošanas jautājumiem</t>
  </si>
  <si>
    <t>10.UZDEVUMS: Uzlabot augsti kvalificēta darbaspēka piesaisti un to veiktspējas pilnveidošanu</t>
  </si>
  <si>
    <t xml:space="preserve">11.UZDEVUMS: Nodrošināt konkurētspējīgu atalgojumu un kvalitatīvu darba vidi </t>
  </si>
  <si>
    <t>12.UZDEVUMS: Uzlabot sociālās aizsardzības un darba tirgus politikas plānošanai  un pakalpojumu efektivitātes uzlabošanai nepieciešamo datu pieejamību, kvalitātes uzlabošanu un pētījumu publicēšanu un izmantošanu</t>
  </si>
  <si>
    <t>13.UZDEVUMS:Pilnveidot Pensiju prognozēšanas metodoloģiju, atbilstoši ES EUROSTAT prasībām, un ieviest analītikas informācijas sistēmu nacionālās sociālās aizsardzības prognozēšanai</t>
  </si>
  <si>
    <t>14.UZDEVUMS: Pilnveidot sociālās aizsardzības un darba tirgus politikas plānošanai un uzraudzībai nepieciešamās IKT sistēmas, datu analīzes rīkus, iekļaujot valsts kopējā IS mērķarhitektūrā</t>
  </si>
  <si>
    <t>15.UZDEVUMS: Nodrošināt sieviešu un vīriešu vienlīdzīgu tiesību un iespēju integrētās pieejas īstenošanu nozaru politiku plānošanā, īstenošanā un uzraudzībā, kā arī īstenot pasākumus dažādās politiku jomās sieviešu un vīriešu vienlīdzīgu tiesību un iespēju stiprināšanai</t>
  </si>
  <si>
    <t>16.UZDEVUMS: Paaugstināt sabiedrības un visu iesaistīto pušu izpratni par sociālās aizsardzības un darba tirgus politikas jautājumiem, tai skaitā, par personu ar invaliditāti, personu ar garīga rakstura traucējumiem, gados vecāku cilvēku iekļaušanu sabiedrībā un darba tirgū, sieviešu un vīriešu vienlīdzīgu tiesību un iespēju nodrošināšanu, par personas iesaistīšanos valsts sociālās apdrošināšanas sistēmā</t>
  </si>
  <si>
    <t>17.UZDEVUMS: Sekmēt iedzīvotāju finanšu pratību, īpaši nabadzības un sociālās atstumtības riskam pakļautajās iedzīvotāju grupās</t>
  </si>
  <si>
    <t>18.UZDEVUMS: Uzlabot nozares stratēģisko komunikāciju par sabiedrībai nozīmīgiem sociālās aizsardzības un nodarbinātības jautājumiem</t>
  </si>
  <si>
    <t>19.UZDEVUMS: Izstrādāt priekšlikumus COVID-19 pandēmijas negatīvās ietekmes mazināšanai ilgtermiņā un pastāvīgu krīzes atbalsta pasākumu ieviešanai</t>
  </si>
  <si>
    <t>20.UZDEVUMS: Nodrošināt sociālās iekļaušanas politikas plānošanu, īstenošanu un koordinēšanu, pamatojoties uz pilnīgu un aktuālu informāciju par nabadzības un/vai sociālās atstumtības riskam pakļautām personām un to nabadzības risku, un nacionālā līmenī definētu nabadzības riska mazināšanas mērķi</t>
  </si>
  <si>
    <t>21.UZDEVUMS: Nodrošināt labklājības nozares institūciju pārziņā esošo informācijas sistēmu attīstību un pamatdarbības un atbalsta darbības procesu automatizāciju, proaktīvu e-pakalpojumu izstrādi,  analītikas pakalpojumu attīstību un MI risinājumu ieviešanu, lai pilnvērtīgi nodrošinātu nozares funkciju izpildi un kvalitatīvu datu  piegādi starpresoru un pārrobežu sadarbībai</t>
  </si>
  <si>
    <t>Uzdevuma īstenošana plānota nozares finansējuma ietvaros. Konkrēti  pasākumi un atbilstošs finanšu ietekmes aprēķins tiks iekļauti īstermiņa plānošanas dokumentos.</t>
  </si>
  <si>
    <t>Uzdevuma īstenošana plānota nozares finansējuma ietvaros. Konkrēti atbalsta pasākumi un atbilstošs finanšu ietekmes aprēķins tiks iekļauti īstermiņa plānošanas dokumentos.</t>
  </si>
  <si>
    <t>Uzdevuma īstenošanai plānotais ES fondu finansējums 2021.-2023.gadam ir iekļauts 2.rīcības virziena 7.4.uzdevuma ES fondu finansējumā.</t>
  </si>
  <si>
    <t>Uzdevuma īstenošana plānota nozares finansējuma ietvaros.  Pakalpojuma attīstība un sniegšana iekļauta 2.rīcības virziena 1.2.uzdevumā.</t>
  </si>
  <si>
    <t>Uzdevuma īstenošana plānota nozares finansējuma ietvaros.</t>
  </si>
  <si>
    <t>NAP2027 indikatīvais finansējums - EUR 600 000. Visu pārvaldes nodarbināto atlīdzības, tai skaitā, labklājības nozares, celšanai NAP2027 indikatīvais finansējums- EUR 703 647 023.</t>
  </si>
  <si>
    <t>Visām valsts pārvaldes institūcijām IKT risinājumu un pakalpojumu attīstībai un iespēju radīšanai privātajam sektoram NAP2027 indikatīvais finansējums- EUR 125 000 000.</t>
  </si>
  <si>
    <t>Plānotais ES fondu finansējums aptver arī 5.rīcības virziena 15.un 16.uzdevumu.</t>
  </si>
  <si>
    <t>NAP2027 indikatīvais fiannsējums - EUR 7 600 000 (pasākuma darbības aptver arī 5.rīcības virziena 15.uzdevumu)</t>
  </si>
  <si>
    <t>15.uzdevuma īstenošanai plānotais ES fondu finansējums iekļauts 5.rīcības virziena 16.uzdevumā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</si>
</sst>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9" x14ac:knownFonts="1">
    <font>
      <sz val="11"/>
      <color theme="1"/>
      <name val="Calibri"/>
      <family val="2"/>
      <charset val="186"/>
      <scheme val="minor"/>
    </font>
    <font>
      <sz val="11"/>
      <name val="Times New Roman"/>
      <family val="1"/>
      <charset val="186"/>
    </font>
    <font>
      <sz val="10"/>
      <name val="Times New Roman"/>
      <family val="1"/>
      <charset val="186"/>
    </font>
    <font>
      <b/>
      <sz val="13"/>
      <name val="Times New Roman"/>
      <family val="1"/>
      <charset val="186"/>
    </font>
    <font>
      <b/>
      <sz val="10"/>
      <name val="Times New Roman"/>
      <family val="1"/>
      <charset val="186"/>
    </font>
    <font>
      <b/>
      <i/>
      <sz val="10"/>
      <name val="Times New Roman"/>
      <family val="1"/>
      <charset val="186"/>
    </font>
    <font>
      <i/>
      <sz val="10"/>
      <name val="Times New Roman"/>
      <family val="1"/>
      <charset val="186"/>
    </font>
    <font>
      <sz val="11"/>
      <color theme="1"/>
      <name val="Calibri"/>
      <family val="2"/>
      <charset val="186"/>
      <scheme val="minor"/>
    </font>
    <font>
      <sz val="9"/>
      <color indexed="81"/>
      <name val="Tahoma"/>
      <family val="2"/>
      <charset val="186"/>
    </font>
    <font>
      <b/>
      <sz val="9"/>
      <color indexed="81"/>
      <name val="Tahoma"/>
      <family val="2"/>
      <charset val="186"/>
    </font>
    <font>
      <sz val="11"/>
      <name val="Calibri"/>
      <family val="2"/>
      <charset val="186"/>
      <scheme val="minor"/>
    </font>
    <font>
      <sz val="8"/>
      <name val="Calibri"/>
      <family val="2"/>
      <charset val="186"/>
      <scheme val="minor"/>
    </font>
    <font>
      <sz val="10"/>
      <color indexed="8"/>
      <name val="Times New Roman"/>
      <family val="1"/>
      <charset val="186"/>
    </font>
    <font>
      <sz val="10"/>
      <color theme="8" tint="-0.249977111117893"/>
      <name val="Times New Roman"/>
      <family val="1"/>
      <charset val="186"/>
    </font>
    <font>
      <sz val="10"/>
      <color theme="1"/>
      <name val="Times New Roman"/>
      <family val="1"/>
      <charset val="186"/>
    </font>
    <font>
      <sz val="11"/>
      <color theme="1"/>
      <name val="Times New Roman"/>
      <family val="1"/>
      <charset val="186"/>
    </font>
    <font>
      <sz val="10"/>
      <color theme="8" tint="-0.499984740745262"/>
      <name val="Calibri"/>
      <family val="2"/>
      <charset val="186"/>
      <scheme val="minor"/>
    </font>
    <font>
      <sz val="11"/>
      <color rgb="FFFF0000"/>
      <name val="Times New Roman"/>
      <family val="1"/>
      <charset val="186"/>
    </font>
    <font>
      <sz val="10"/>
      <name val="Arial"/>
      <family val="2"/>
      <charset val="186"/>
    </font>
  </fonts>
  <fills count="12">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41"/>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theme="2" tint="-0.749961851863155"/>
      </left>
      <right style="thin">
        <color indexed="64"/>
      </right>
      <top style="thin">
        <color indexed="64"/>
      </top>
      <bottom style="thin">
        <color theme="2" tint="-0.7499618518631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theme="2" tint="-0.499984740745262"/>
      </bottom>
      <diagonal/>
    </border>
    <border>
      <left style="thin">
        <color theme="2" tint="-0.749961851863155"/>
      </left>
      <right style="medium">
        <color indexed="64"/>
      </right>
      <top style="thin">
        <color indexed="64"/>
      </top>
      <bottom style="thin">
        <color theme="2" tint="-0.749961851863155"/>
      </bottom>
      <diagonal/>
    </border>
    <border>
      <left style="thin">
        <color indexed="64"/>
      </left>
      <right style="medium">
        <color indexed="64"/>
      </right>
      <top style="thin">
        <color theme="2" tint="-0.749961851863155"/>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43" fontId="7" fillId="0" borderId="0" applyFont="0" applyFill="0" applyBorder="0" applyAlignment="0" applyProtection="0"/>
    <xf numFmtId="4" fontId="12" fillId="11" borderId="29" applyNumberFormat="0" applyFill="0" applyProtection="0">
      <alignment horizontal="right" vertical="center"/>
    </xf>
    <xf numFmtId="0" fontId="18" fillId="0" borderId="0"/>
  </cellStyleXfs>
  <cellXfs count="251">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right"/>
    </xf>
    <xf numFmtId="0" fontId="4" fillId="2" borderId="6" xfId="0" applyFont="1" applyFill="1" applyBorder="1" applyAlignment="1">
      <alignment horizontal="center" vertical="center" wrapText="1"/>
    </xf>
    <xf numFmtId="3" fontId="5" fillId="4" borderId="1" xfId="0" applyNumberFormat="1" applyFont="1" applyFill="1" applyBorder="1" applyAlignment="1">
      <alignment wrapText="1"/>
    </xf>
    <xf numFmtId="3" fontId="6" fillId="4" borderId="7" xfId="0" applyNumberFormat="1" applyFont="1" applyFill="1" applyBorder="1" applyAlignment="1">
      <alignment wrapText="1"/>
    </xf>
    <xf numFmtId="3" fontId="6" fillId="4" borderId="4" xfId="0" applyNumberFormat="1" applyFont="1" applyFill="1" applyBorder="1" applyAlignment="1">
      <alignment wrapText="1"/>
    </xf>
    <xf numFmtId="3" fontId="5" fillId="0" borderId="1" xfId="0" applyNumberFormat="1" applyFont="1" applyBorder="1" applyAlignment="1">
      <alignment wrapText="1"/>
    </xf>
    <xf numFmtId="3" fontId="6" fillId="4" borderId="7" xfId="0" applyNumberFormat="1" applyFont="1" applyFill="1" applyBorder="1" applyAlignment="1">
      <alignment horizontal="left" wrapText="1"/>
    </xf>
    <xf numFmtId="3" fontId="6" fillId="4" borderId="4" xfId="0" applyNumberFormat="1" applyFont="1" applyFill="1" applyBorder="1" applyAlignment="1">
      <alignment horizontal="left" wrapText="1"/>
    </xf>
    <xf numFmtId="3" fontId="5" fillId="4" borderId="13" xfId="0" applyNumberFormat="1" applyFont="1" applyFill="1" applyBorder="1" applyAlignment="1">
      <alignment wrapText="1"/>
    </xf>
    <xf numFmtId="3" fontId="5" fillId="4" borderId="2"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8" xfId="0" applyNumberFormat="1" applyFont="1" applyFill="1" applyBorder="1" applyAlignment="1">
      <alignment horizontal="center" vertical="center"/>
    </xf>
    <xf numFmtId="3" fontId="5" fillId="4" borderId="9" xfId="0" applyNumberFormat="1" applyFont="1" applyFill="1" applyBorder="1" applyAlignment="1">
      <alignment horizontal="center" vertical="center"/>
    </xf>
    <xf numFmtId="3" fontId="5" fillId="0" borderId="7" xfId="0" applyNumberFormat="1" applyFont="1" applyBorder="1" applyAlignment="1">
      <alignment wrapText="1"/>
    </xf>
    <xf numFmtId="3" fontId="6" fillId="4" borderId="9" xfId="0" applyNumberFormat="1" applyFont="1" applyFill="1" applyBorder="1" applyAlignment="1">
      <alignment horizontal="right" vertical="center"/>
    </xf>
    <xf numFmtId="3" fontId="5" fillId="0" borderId="7" xfId="0" applyNumberFormat="1" applyFont="1" applyBorder="1" applyAlignment="1">
      <alignment vertical="center" wrapText="1"/>
    </xf>
    <xf numFmtId="3" fontId="4" fillId="7" borderId="7" xfId="0" applyNumberFormat="1" applyFont="1" applyFill="1" applyBorder="1" applyAlignment="1">
      <alignment vertical="center" wrapText="1"/>
    </xf>
    <xf numFmtId="3" fontId="4" fillId="7" borderId="8" xfId="0" applyNumberFormat="1" applyFont="1" applyFill="1" applyBorder="1" applyAlignment="1">
      <alignment horizontal="center" vertical="center"/>
    </xf>
    <xf numFmtId="3" fontId="4" fillId="7" borderId="9" xfId="0" applyNumberFormat="1" applyFont="1" applyFill="1" applyBorder="1" applyAlignment="1">
      <alignment horizontal="center" vertical="center"/>
    </xf>
    <xf numFmtId="3" fontId="4" fillId="6" borderId="7" xfId="0" applyNumberFormat="1" applyFont="1" applyFill="1" applyBorder="1" applyAlignment="1">
      <alignment vertical="center" wrapText="1"/>
    </xf>
    <xf numFmtId="3" fontId="4" fillId="6" borderId="8" xfId="0" applyNumberFormat="1" applyFont="1" applyFill="1" applyBorder="1" applyAlignment="1">
      <alignment horizontal="center" vertical="center"/>
    </xf>
    <xf numFmtId="3" fontId="4" fillId="6" borderId="9" xfId="0" applyNumberFormat="1" applyFont="1" applyFill="1" applyBorder="1" applyAlignment="1">
      <alignment horizontal="center" vertical="center"/>
    </xf>
    <xf numFmtId="3" fontId="4" fillId="6" borderId="7" xfId="0" applyNumberFormat="1" applyFont="1" applyFill="1" applyBorder="1" applyAlignment="1">
      <alignment wrapText="1"/>
    </xf>
    <xf numFmtId="3" fontId="4" fillId="7" borderId="7" xfId="0" applyNumberFormat="1" applyFont="1" applyFill="1" applyBorder="1" applyAlignment="1">
      <alignment wrapText="1"/>
    </xf>
    <xf numFmtId="3" fontId="2" fillId="4" borderId="4" xfId="0" applyNumberFormat="1" applyFont="1" applyFill="1" applyBorder="1" applyAlignment="1">
      <alignment wrapText="1"/>
    </xf>
    <xf numFmtId="3" fontId="2" fillId="4" borderId="5" xfId="0" applyNumberFormat="1" applyFont="1" applyFill="1" applyBorder="1" applyAlignment="1">
      <alignment horizontal="right" vertical="center"/>
    </xf>
    <xf numFmtId="3" fontId="2" fillId="4" borderId="6" xfId="0" applyNumberFormat="1" applyFont="1" applyFill="1" applyBorder="1" applyAlignment="1">
      <alignment horizontal="right" vertical="center"/>
    </xf>
    <xf numFmtId="3" fontId="6" fillId="4" borderId="5" xfId="0" applyNumberFormat="1" applyFont="1" applyFill="1" applyBorder="1" applyAlignment="1">
      <alignment horizontal="right" vertical="center"/>
    </xf>
    <xf numFmtId="3" fontId="6" fillId="4" borderId="6" xfId="0" applyNumberFormat="1" applyFont="1" applyFill="1" applyBorder="1" applyAlignment="1">
      <alignment horizontal="right" vertical="center"/>
    </xf>
    <xf numFmtId="3" fontId="4" fillId="6" borderId="1" xfId="0" applyNumberFormat="1" applyFont="1" applyFill="1" applyBorder="1" applyAlignment="1">
      <alignment wrapText="1"/>
    </xf>
    <xf numFmtId="3" fontId="4" fillId="6" borderId="2" xfId="0" applyNumberFormat="1" applyFont="1" applyFill="1" applyBorder="1" applyAlignment="1">
      <alignment horizontal="center" vertical="center"/>
    </xf>
    <xf numFmtId="3" fontId="4" fillId="6" borderId="3" xfId="0" applyNumberFormat="1" applyFont="1" applyFill="1" applyBorder="1" applyAlignment="1">
      <alignment horizontal="center" vertical="center"/>
    </xf>
    <xf numFmtId="3" fontId="5" fillId="4" borderId="7" xfId="0" applyNumberFormat="1" applyFont="1" applyFill="1" applyBorder="1" applyAlignment="1">
      <alignment wrapText="1"/>
    </xf>
    <xf numFmtId="3" fontId="5" fillId="0" borderId="8" xfId="0" applyNumberFormat="1" applyFont="1" applyBorder="1" applyAlignment="1">
      <alignment horizontal="center" vertical="center"/>
    </xf>
    <xf numFmtId="3" fontId="5" fillId="0" borderId="9" xfId="0" applyNumberFormat="1" applyFont="1" applyBorder="1" applyAlignment="1">
      <alignment horizontal="center" vertical="center"/>
    </xf>
    <xf numFmtId="3" fontId="4" fillId="3" borderId="7" xfId="0" applyNumberFormat="1" applyFont="1" applyFill="1" applyBorder="1" applyAlignment="1">
      <alignment wrapText="1"/>
    </xf>
    <xf numFmtId="3" fontId="2" fillId="3" borderId="7" xfId="0" applyNumberFormat="1" applyFont="1" applyFill="1" applyBorder="1" applyAlignment="1">
      <alignment wrapText="1"/>
    </xf>
    <xf numFmtId="3" fontId="2" fillId="3" borderId="8"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4" fillId="4" borderId="7" xfId="0" applyNumberFormat="1" applyFont="1" applyFill="1" applyBorder="1" applyAlignment="1">
      <alignment wrapText="1"/>
    </xf>
    <xf numFmtId="3" fontId="4" fillId="6" borderId="1" xfId="0" applyNumberFormat="1" applyFont="1" applyFill="1" applyBorder="1" applyAlignment="1">
      <alignment vertical="center" wrapText="1"/>
    </xf>
    <xf numFmtId="3" fontId="6" fillId="4" borderId="1" xfId="0" applyNumberFormat="1" applyFont="1" applyFill="1" applyBorder="1" applyAlignment="1">
      <alignment wrapText="1"/>
    </xf>
    <xf numFmtId="3" fontId="5" fillId="4" borderId="14" xfId="0" applyNumberFormat="1" applyFont="1" applyFill="1" applyBorder="1" applyAlignment="1">
      <alignment horizontal="center" vertical="center"/>
    </xf>
    <xf numFmtId="3" fontId="5" fillId="4" borderId="15" xfId="0" applyNumberFormat="1" applyFont="1" applyFill="1" applyBorder="1" applyAlignment="1">
      <alignment horizontal="center" vertical="center"/>
    </xf>
    <xf numFmtId="3" fontId="6" fillId="4" borderId="14" xfId="0" applyNumberFormat="1" applyFont="1" applyFill="1" applyBorder="1" applyAlignment="1">
      <alignment horizontal="right" vertical="center"/>
    </xf>
    <xf numFmtId="3" fontId="6" fillId="4" borderId="15" xfId="0" applyNumberFormat="1" applyFont="1" applyFill="1" applyBorder="1" applyAlignment="1">
      <alignment horizontal="right" vertical="center"/>
    </xf>
    <xf numFmtId="3" fontId="2" fillId="4" borderId="26" xfId="0" applyNumberFormat="1" applyFont="1" applyFill="1" applyBorder="1" applyAlignment="1">
      <alignment horizontal="right" vertical="center"/>
    </xf>
    <xf numFmtId="0" fontId="1" fillId="0" borderId="0" xfId="0" applyFont="1"/>
    <xf numFmtId="3" fontId="2" fillId="4" borderId="7" xfId="0" applyNumberFormat="1" applyFont="1" applyFill="1" applyBorder="1" applyAlignment="1">
      <alignment wrapText="1"/>
    </xf>
    <xf numFmtId="3" fontId="2" fillId="4" borderId="9" xfId="0" applyNumberFormat="1" applyFont="1" applyFill="1" applyBorder="1" applyAlignment="1">
      <alignment horizontal="right" vertical="center"/>
    </xf>
    <xf numFmtId="3" fontId="2" fillId="4" borderId="8" xfId="0" applyNumberFormat="1" applyFont="1" applyFill="1" applyBorder="1" applyAlignment="1">
      <alignment horizontal="right" vertical="center"/>
    </xf>
    <xf numFmtId="3" fontId="6" fillId="4" borderId="8" xfId="0" applyNumberFormat="1" applyFont="1" applyFill="1" applyBorder="1" applyAlignment="1">
      <alignment horizontal="right" vertical="center"/>
    </xf>
    <xf numFmtId="0" fontId="4" fillId="2" borderId="5" xfId="0" applyFont="1" applyFill="1" applyBorder="1" applyAlignment="1">
      <alignment horizontal="center" vertical="center" wrapText="1"/>
    </xf>
    <xf numFmtId="3" fontId="4" fillId="3" borderId="1" xfId="0" applyNumberFormat="1" applyFont="1" applyFill="1" applyBorder="1" applyAlignment="1">
      <alignment vertical="center" wrapText="1"/>
    </xf>
    <xf numFmtId="3" fontId="4" fillId="3" borderId="2" xfId="0" applyNumberFormat="1" applyFont="1" applyFill="1" applyBorder="1" applyAlignment="1">
      <alignment horizontal="center" vertical="center"/>
    </xf>
    <xf numFmtId="3" fontId="4" fillId="3" borderId="3" xfId="0" applyNumberFormat="1" applyFont="1" applyFill="1" applyBorder="1" applyAlignment="1">
      <alignment horizontal="center" vertical="center"/>
    </xf>
    <xf numFmtId="3" fontId="2" fillId="0" borderId="7" xfId="0" applyNumberFormat="1" applyFont="1" applyBorder="1" applyAlignment="1">
      <alignment wrapText="1"/>
    </xf>
    <xf numFmtId="3" fontId="4" fillId="3" borderId="8" xfId="0" applyNumberFormat="1" applyFont="1" applyFill="1" applyBorder="1" applyAlignment="1">
      <alignment horizontal="center" vertical="center"/>
    </xf>
    <xf numFmtId="3" fontId="4" fillId="3" borderId="9" xfId="0" applyNumberFormat="1" applyFont="1" applyFill="1" applyBorder="1" applyAlignment="1">
      <alignment horizontal="center" vertical="center"/>
    </xf>
    <xf numFmtId="3" fontId="2" fillId="3" borderId="10" xfId="0" applyNumberFormat="1" applyFont="1" applyFill="1" applyBorder="1" applyAlignment="1">
      <alignment wrapText="1"/>
    </xf>
    <xf numFmtId="3" fontId="2" fillId="3" borderId="11" xfId="0" applyNumberFormat="1" applyFont="1" applyFill="1" applyBorder="1" applyAlignment="1">
      <alignment horizontal="right" vertical="center"/>
    </xf>
    <xf numFmtId="3" fontId="2" fillId="3" borderId="12" xfId="0" applyNumberFormat="1" applyFont="1" applyFill="1" applyBorder="1" applyAlignment="1">
      <alignment horizontal="right" vertical="center"/>
    </xf>
    <xf numFmtId="3" fontId="6" fillId="4" borderId="10" xfId="0" applyNumberFormat="1" applyFont="1" applyFill="1" applyBorder="1" applyAlignment="1">
      <alignment wrapText="1"/>
    </xf>
    <xf numFmtId="3" fontId="5" fillId="4" borderId="11" xfId="0" applyNumberFormat="1" applyFont="1" applyFill="1" applyBorder="1" applyAlignment="1">
      <alignment horizontal="center" vertical="center"/>
    </xf>
    <xf numFmtId="3" fontId="5" fillId="4" borderId="12" xfId="0" applyNumberFormat="1" applyFont="1" applyFill="1" applyBorder="1" applyAlignment="1">
      <alignment horizontal="center" vertical="center"/>
    </xf>
    <xf numFmtId="3" fontId="6" fillId="4" borderId="8" xfId="0" applyNumberFormat="1" applyFont="1" applyFill="1" applyBorder="1" applyAlignment="1">
      <alignment horizontal="center" vertical="center"/>
    </xf>
    <xf numFmtId="3" fontId="6" fillId="4" borderId="9" xfId="0" applyNumberFormat="1" applyFont="1" applyFill="1" applyBorder="1" applyAlignment="1">
      <alignment horizontal="center" vertical="center"/>
    </xf>
    <xf numFmtId="3" fontId="4" fillId="4" borderId="13" xfId="0" applyNumberFormat="1" applyFont="1" applyFill="1" applyBorder="1" applyAlignment="1">
      <alignment vertical="center" wrapText="1"/>
    </xf>
    <xf numFmtId="3" fontId="4" fillId="4" borderId="14" xfId="0" applyNumberFormat="1" applyFont="1" applyFill="1" applyBorder="1" applyAlignment="1">
      <alignment horizontal="center" vertical="center"/>
    </xf>
    <xf numFmtId="3" fontId="2" fillId="4" borderId="8"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3" fontId="4" fillId="4" borderId="8"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3" fontId="4" fillId="3" borderId="7" xfId="0" applyNumberFormat="1" applyFont="1" applyFill="1" applyBorder="1" applyAlignment="1">
      <alignment vertical="center" wrapText="1"/>
    </xf>
    <xf numFmtId="3" fontId="2" fillId="3" borderId="8" xfId="0" applyNumberFormat="1" applyFont="1" applyFill="1" applyBorder="1" applyAlignment="1">
      <alignment horizontal="center" vertical="center"/>
    </xf>
    <xf numFmtId="3" fontId="2" fillId="10" borderId="8" xfId="0" applyNumberFormat="1" applyFont="1" applyFill="1" applyBorder="1" applyAlignment="1">
      <alignment horizontal="center" vertical="center"/>
    </xf>
    <xf numFmtId="3" fontId="2" fillId="3" borderId="9" xfId="0" applyNumberFormat="1" applyFont="1" applyFill="1" applyBorder="1" applyAlignment="1">
      <alignment horizontal="center" vertical="center"/>
    </xf>
    <xf numFmtId="3" fontId="2" fillId="3" borderId="4" xfId="0" applyNumberFormat="1" applyFont="1" applyFill="1" applyBorder="1" applyAlignment="1">
      <alignment wrapText="1"/>
    </xf>
    <xf numFmtId="3" fontId="2" fillId="3" borderId="5"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3" fontId="4" fillId="6" borderId="13" xfId="0" applyNumberFormat="1" applyFont="1" applyFill="1" applyBorder="1" applyAlignment="1">
      <alignment wrapText="1"/>
    </xf>
    <xf numFmtId="3" fontId="4" fillId="6" borderId="14" xfId="0" applyNumberFormat="1" applyFont="1" applyFill="1" applyBorder="1" applyAlignment="1">
      <alignment horizontal="center" vertical="center"/>
    </xf>
    <xf numFmtId="3" fontId="4" fillId="6" borderId="15" xfId="0" applyNumberFormat="1" applyFont="1" applyFill="1" applyBorder="1" applyAlignment="1">
      <alignment horizontal="center" vertical="center"/>
    </xf>
    <xf numFmtId="3" fontId="1" fillId="0" borderId="0" xfId="0" applyNumberFormat="1" applyFont="1"/>
    <xf numFmtId="164" fontId="1" fillId="0" borderId="0" xfId="1" applyNumberFormat="1" applyFont="1" applyAlignment="1">
      <alignment horizontal="center"/>
    </xf>
    <xf numFmtId="3" fontId="4" fillId="4" borderId="13" xfId="0" applyNumberFormat="1" applyFont="1" applyFill="1" applyBorder="1" applyAlignment="1">
      <alignment wrapText="1"/>
    </xf>
    <xf numFmtId="3" fontId="2" fillId="4" borderId="10" xfId="0" applyNumberFormat="1" applyFont="1" applyFill="1" applyBorder="1" applyAlignment="1">
      <alignment wrapText="1"/>
    </xf>
    <xf numFmtId="3" fontId="2" fillId="4" borderId="11" xfId="0" applyNumberFormat="1" applyFont="1" applyFill="1" applyBorder="1" applyAlignment="1">
      <alignment horizontal="right" vertical="center"/>
    </xf>
    <xf numFmtId="3" fontId="2" fillId="4" borderId="12" xfId="0" applyNumberFormat="1" applyFont="1" applyFill="1" applyBorder="1" applyAlignment="1">
      <alignment horizontal="right" vertical="center"/>
    </xf>
    <xf numFmtId="3" fontId="4" fillId="4" borderId="1" xfId="0" applyNumberFormat="1" applyFont="1" applyFill="1" applyBorder="1" applyAlignment="1">
      <alignment wrapText="1"/>
    </xf>
    <xf numFmtId="3" fontId="4" fillId="4" borderId="2" xfId="0" applyNumberFormat="1" applyFont="1" applyFill="1" applyBorder="1" applyAlignment="1">
      <alignment horizontal="center" vertical="center"/>
    </xf>
    <xf numFmtId="3" fontId="4" fillId="4" borderId="3" xfId="0" applyNumberFormat="1" applyFont="1" applyFill="1" applyBorder="1" applyAlignment="1">
      <alignment horizontal="center" vertical="center"/>
    </xf>
    <xf numFmtId="0" fontId="10" fillId="0" borderId="0" xfId="0" applyFont="1"/>
    <xf numFmtId="3" fontId="2" fillId="4" borderId="19" xfId="0" applyNumberFormat="1" applyFont="1" applyFill="1" applyBorder="1" applyAlignment="1">
      <alignment wrapText="1"/>
    </xf>
    <xf numFmtId="3" fontId="2" fillId="4" borderId="20" xfId="0" applyNumberFormat="1" applyFont="1" applyFill="1" applyBorder="1" applyAlignment="1">
      <alignment horizontal="right" vertical="center"/>
    </xf>
    <xf numFmtId="3" fontId="2" fillId="4" borderId="21" xfId="0" applyNumberFormat="1" applyFont="1" applyFill="1" applyBorder="1" applyAlignment="1">
      <alignment horizontal="right" vertical="center"/>
    </xf>
    <xf numFmtId="3" fontId="5" fillId="4" borderId="22" xfId="0" applyNumberFormat="1" applyFont="1" applyFill="1" applyBorder="1" applyAlignment="1">
      <alignment wrapText="1"/>
    </xf>
    <xf numFmtId="3" fontId="5" fillId="4" borderId="23" xfId="0" applyNumberFormat="1" applyFont="1" applyFill="1" applyBorder="1" applyAlignment="1">
      <alignment horizontal="center" vertical="center"/>
    </xf>
    <xf numFmtId="3" fontId="5" fillId="4" borderId="24" xfId="0" applyNumberFormat="1" applyFont="1" applyFill="1" applyBorder="1" applyAlignment="1">
      <alignment horizontal="center" vertical="center"/>
    </xf>
    <xf numFmtId="3" fontId="2" fillId="3" borderId="8" xfId="0" applyNumberFormat="1" applyFont="1" applyFill="1" applyBorder="1" applyAlignment="1">
      <alignment vertical="center"/>
    </xf>
    <xf numFmtId="3" fontId="2" fillId="3" borderId="9" xfId="0" applyNumberFormat="1" applyFont="1" applyFill="1" applyBorder="1" applyAlignment="1">
      <alignment vertical="center"/>
    </xf>
    <xf numFmtId="3" fontId="2" fillId="3" borderId="5" xfId="0" applyNumberFormat="1" applyFont="1" applyFill="1" applyBorder="1" applyAlignment="1">
      <alignment vertical="center"/>
    </xf>
    <xf numFmtId="3" fontId="2" fillId="3" borderId="6" xfId="0" applyNumberFormat="1" applyFont="1" applyFill="1" applyBorder="1" applyAlignment="1">
      <alignment vertical="center"/>
    </xf>
    <xf numFmtId="3" fontId="4" fillId="9" borderId="8" xfId="0" applyNumberFormat="1" applyFont="1" applyFill="1" applyBorder="1" applyAlignment="1">
      <alignment horizontal="center" vertical="center"/>
    </xf>
    <xf numFmtId="3" fontId="4" fillId="9" borderId="9" xfId="0" applyNumberFormat="1" applyFont="1" applyFill="1" applyBorder="1" applyAlignment="1">
      <alignment horizontal="center" vertical="center"/>
    </xf>
    <xf numFmtId="0" fontId="1" fillId="10" borderId="0" xfId="0" applyFont="1" applyFill="1"/>
    <xf numFmtId="3" fontId="6" fillId="4" borderId="21" xfId="0" applyNumberFormat="1" applyFont="1" applyFill="1" applyBorder="1" applyAlignment="1">
      <alignment horizontal="right" vertical="center"/>
    </xf>
    <xf numFmtId="3" fontId="2" fillId="4" borderId="30" xfId="0" applyNumberFormat="1" applyFont="1" applyFill="1" applyBorder="1" applyAlignment="1">
      <alignment horizontal="right" vertical="center"/>
    </xf>
    <xf numFmtId="3" fontId="6" fillId="10" borderId="8" xfId="0" applyNumberFormat="1" applyFont="1" applyFill="1" applyBorder="1" applyAlignment="1">
      <alignment horizontal="right" vertical="center"/>
    </xf>
    <xf numFmtId="3" fontId="6" fillId="4" borderId="11" xfId="0" applyNumberFormat="1" applyFont="1" applyFill="1" applyBorder="1" applyAlignment="1">
      <alignment horizontal="right" vertical="center"/>
    </xf>
    <xf numFmtId="3" fontId="6" fillId="4" borderId="12" xfId="0" applyNumberFormat="1" applyFont="1" applyFill="1" applyBorder="1" applyAlignment="1">
      <alignment horizontal="right" vertical="center"/>
    </xf>
    <xf numFmtId="3" fontId="2" fillId="10" borderId="11" xfId="0" applyNumberFormat="1" applyFont="1" applyFill="1" applyBorder="1" applyAlignment="1">
      <alignment horizontal="right" vertical="center"/>
    </xf>
    <xf numFmtId="0" fontId="15" fillId="0" borderId="0" xfId="0" applyFont="1" applyAlignment="1">
      <alignment wrapText="1"/>
    </xf>
    <xf numFmtId="0" fontId="15" fillId="0" borderId="0" xfId="0" applyFont="1" applyAlignment="1">
      <alignment vertical="center"/>
    </xf>
    <xf numFmtId="3" fontId="14" fillId="4" borderId="5" xfId="0" applyNumberFormat="1" applyFont="1" applyFill="1" applyBorder="1" applyAlignment="1">
      <alignment horizontal="right" vertical="center"/>
    </xf>
    <xf numFmtId="3" fontId="4" fillId="10" borderId="2" xfId="0" applyNumberFormat="1" applyFont="1" applyFill="1" applyBorder="1" applyAlignment="1">
      <alignment horizontal="center" vertical="center"/>
    </xf>
    <xf numFmtId="3" fontId="4" fillId="10" borderId="3" xfId="0" applyNumberFormat="1" applyFont="1" applyFill="1" applyBorder="1" applyAlignment="1">
      <alignment horizontal="center" vertical="center"/>
    </xf>
    <xf numFmtId="3" fontId="2" fillId="4" borderId="10" xfId="0" applyNumberFormat="1" applyFont="1" applyFill="1" applyBorder="1" applyAlignment="1">
      <alignment vertical="center" wrapText="1"/>
    </xf>
    <xf numFmtId="3" fontId="4" fillId="10" borderId="14" xfId="0" applyNumberFormat="1" applyFont="1" applyFill="1" applyBorder="1" applyAlignment="1">
      <alignment horizontal="center" vertical="center"/>
    </xf>
    <xf numFmtId="3" fontId="16" fillId="4" borderId="32" xfId="0" applyNumberFormat="1" applyFont="1" applyFill="1" applyBorder="1" applyAlignment="1">
      <alignment horizontal="right" vertical="center"/>
    </xf>
    <xf numFmtId="3" fontId="2" fillId="4" borderId="8" xfId="0" applyNumberFormat="1" applyFont="1" applyFill="1" applyBorder="1" applyAlignment="1">
      <alignment wrapText="1"/>
    </xf>
    <xf numFmtId="3" fontId="6" fillId="4" borderId="31" xfId="0" applyNumberFormat="1" applyFont="1" applyFill="1" applyBorder="1" applyAlignment="1">
      <alignment wrapText="1"/>
    </xf>
    <xf numFmtId="3" fontId="2" fillId="4" borderId="22" xfId="0" applyNumberFormat="1" applyFont="1" applyFill="1" applyBorder="1" applyAlignment="1">
      <alignment wrapText="1"/>
    </xf>
    <xf numFmtId="3" fontId="4" fillId="6" borderId="13" xfId="0" applyNumberFormat="1" applyFont="1" applyFill="1" applyBorder="1" applyAlignment="1">
      <alignment vertical="center" wrapText="1"/>
    </xf>
    <xf numFmtId="3" fontId="1" fillId="0" borderId="0" xfId="0" applyNumberFormat="1" applyFont="1" applyAlignment="1">
      <alignment horizontal="center"/>
    </xf>
    <xf numFmtId="3" fontId="2" fillId="0" borderId="11" xfId="0" applyNumberFormat="1" applyFont="1" applyFill="1" applyBorder="1" applyAlignment="1">
      <alignment horizontal="right" vertical="center"/>
    </xf>
    <xf numFmtId="3" fontId="2" fillId="0" borderId="8" xfId="0" applyNumberFormat="1" applyFont="1" applyFill="1" applyBorder="1" applyAlignment="1">
      <alignment horizontal="right" vertical="center"/>
    </xf>
    <xf numFmtId="3" fontId="5" fillId="7" borderId="8" xfId="0" applyNumberFormat="1" applyFont="1" applyFill="1" applyBorder="1" applyAlignment="1">
      <alignment horizontal="center" vertical="center"/>
    </xf>
    <xf numFmtId="3" fontId="5" fillId="7" borderId="9" xfId="0" applyNumberFormat="1" applyFont="1" applyFill="1" applyBorder="1" applyAlignment="1">
      <alignment horizontal="center" vertical="center"/>
    </xf>
    <xf numFmtId="3" fontId="6" fillId="0" borderId="8" xfId="0" applyNumberFormat="1" applyFont="1" applyFill="1" applyBorder="1" applyAlignment="1">
      <alignment horizontal="right" vertical="center"/>
    </xf>
    <xf numFmtId="3" fontId="6" fillId="0" borderId="9" xfId="0" applyNumberFormat="1" applyFont="1" applyFill="1" applyBorder="1" applyAlignment="1">
      <alignment horizontal="right" vertical="center"/>
    </xf>
    <xf numFmtId="3" fontId="6" fillId="0" borderId="6" xfId="0" applyNumberFormat="1" applyFont="1" applyFill="1" applyBorder="1" applyAlignment="1">
      <alignment horizontal="right" vertical="center"/>
    </xf>
    <xf numFmtId="3" fontId="2" fillId="0" borderId="7" xfId="0" applyNumberFormat="1" applyFont="1" applyFill="1" applyBorder="1" applyAlignment="1">
      <alignment wrapText="1"/>
    </xf>
    <xf numFmtId="3" fontId="6" fillId="0" borderId="11" xfId="0" applyNumberFormat="1" applyFont="1" applyFill="1" applyBorder="1" applyAlignment="1">
      <alignment horizontal="right" vertical="center"/>
    </xf>
    <xf numFmtId="0" fontId="15" fillId="0" borderId="0" xfId="0" applyFont="1" applyFill="1"/>
    <xf numFmtId="3" fontId="4" fillId="6" borderId="8" xfId="0" applyNumberFormat="1" applyFont="1" applyFill="1" applyBorder="1" applyAlignment="1">
      <alignment wrapText="1"/>
    </xf>
    <xf numFmtId="3" fontId="2" fillId="0" borderId="5" xfId="0" applyNumberFormat="1" applyFont="1" applyFill="1" applyBorder="1" applyAlignment="1">
      <alignment horizontal="right" vertical="center"/>
    </xf>
    <xf numFmtId="3" fontId="6" fillId="4" borderId="10" xfId="0" applyNumberFormat="1" applyFont="1" applyFill="1" applyBorder="1" applyAlignment="1">
      <alignment horizontal="left" wrapText="1"/>
    </xf>
    <xf numFmtId="3" fontId="6" fillId="4" borderId="11" xfId="0" applyNumberFormat="1" applyFont="1" applyFill="1" applyBorder="1" applyAlignment="1">
      <alignment horizontal="center" vertical="center"/>
    </xf>
    <xf numFmtId="3" fontId="6" fillId="4" borderId="12" xfId="0" applyNumberFormat="1" applyFont="1" applyFill="1" applyBorder="1" applyAlignment="1">
      <alignment horizontal="center" vertical="center"/>
    </xf>
    <xf numFmtId="3" fontId="6" fillId="4" borderId="2" xfId="0" applyNumberFormat="1" applyFont="1" applyFill="1" applyBorder="1" applyAlignment="1">
      <alignment horizontal="right" vertical="center"/>
    </xf>
    <xf numFmtId="3" fontId="6" fillId="4" borderId="3" xfId="0" applyNumberFormat="1" applyFont="1" applyFill="1" applyBorder="1" applyAlignment="1">
      <alignment horizontal="right" vertical="center"/>
    </xf>
    <xf numFmtId="3" fontId="5" fillId="4" borderId="7" xfId="0" applyNumberFormat="1" applyFont="1" applyFill="1" applyBorder="1" applyAlignment="1">
      <alignment horizontal="left" wrapText="1"/>
    </xf>
    <xf numFmtId="3" fontId="5" fillId="4" borderId="8" xfId="0" applyNumberFormat="1" applyFont="1" applyFill="1" applyBorder="1" applyAlignment="1">
      <alignment horizontal="right" vertical="center"/>
    </xf>
    <xf numFmtId="3" fontId="6" fillId="4" borderId="6" xfId="0" applyNumberFormat="1" applyFont="1" applyFill="1" applyBorder="1" applyAlignment="1">
      <alignment horizontal="center" vertical="center"/>
    </xf>
    <xf numFmtId="3" fontId="5" fillId="10" borderId="8" xfId="0" applyNumberFormat="1" applyFont="1" applyFill="1" applyBorder="1" applyAlignment="1">
      <alignment horizontal="center" vertical="center"/>
    </xf>
    <xf numFmtId="3" fontId="5" fillId="10" borderId="9" xfId="0" applyNumberFormat="1" applyFont="1" applyFill="1" applyBorder="1" applyAlignment="1">
      <alignment horizontal="center" vertical="center"/>
    </xf>
    <xf numFmtId="3" fontId="6" fillId="10" borderId="8" xfId="0" applyNumberFormat="1" applyFont="1" applyFill="1" applyBorder="1" applyAlignment="1">
      <alignment horizontal="center" vertical="center"/>
    </xf>
    <xf numFmtId="3" fontId="6" fillId="10" borderId="9" xfId="0" applyNumberFormat="1" applyFont="1" applyFill="1" applyBorder="1" applyAlignment="1">
      <alignment horizontal="center" vertical="center"/>
    </xf>
    <xf numFmtId="3" fontId="2" fillId="3" borderId="11" xfId="0" applyNumberFormat="1" applyFont="1" applyFill="1" applyBorder="1" applyAlignment="1">
      <alignment horizontal="center" vertical="center"/>
    </xf>
    <xf numFmtId="3" fontId="2" fillId="3" borderId="12"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3" borderId="6"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2" fillId="10" borderId="9" xfId="0" applyNumberFormat="1" applyFont="1" applyFill="1" applyBorder="1" applyAlignment="1">
      <alignment horizontal="center" vertical="center"/>
    </xf>
    <xf numFmtId="3" fontId="4" fillId="10" borderId="8" xfId="0" applyNumberFormat="1" applyFont="1" applyFill="1" applyBorder="1" applyAlignment="1">
      <alignment horizontal="center" vertical="center"/>
    </xf>
    <xf numFmtId="3" fontId="4" fillId="10" borderId="9" xfId="0" applyNumberFormat="1" applyFont="1" applyFill="1" applyBorder="1" applyAlignment="1">
      <alignment horizontal="center" vertical="center"/>
    </xf>
    <xf numFmtId="3" fontId="2" fillId="4" borderId="7" xfId="0" applyNumberFormat="1" applyFont="1" applyFill="1" applyBorder="1" applyAlignment="1">
      <alignment horizontal="left" wrapText="1"/>
    </xf>
    <xf numFmtId="3" fontId="2" fillId="4" borderId="5" xfId="0" applyNumberFormat="1" applyFont="1" applyFill="1" applyBorder="1" applyAlignment="1">
      <alignment horizontal="center" vertical="center"/>
    </xf>
    <xf numFmtId="3" fontId="2" fillId="4" borderId="6" xfId="0" applyNumberFormat="1" applyFont="1" applyFill="1" applyBorder="1" applyAlignment="1">
      <alignment horizontal="center" vertical="center"/>
    </xf>
    <xf numFmtId="3" fontId="2" fillId="10" borderId="8" xfId="0" applyNumberFormat="1" applyFont="1" applyFill="1" applyBorder="1" applyAlignment="1">
      <alignment horizontal="right" vertical="center"/>
    </xf>
    <xf numFmtId="3" fontId="2" fillId="10" borderId="9" xfId="0" applyNumberFormat="1" applyFont="1" applyFill="1" applyBorder="1" applyAlignment="1">
      <alignment horizontal="right" vertical="center"/>
    </xf>
    <xf numFmtId="3" fontId="6" fillId="4" borderId="5"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2" fillId="10" borderId="12" xfId="0" applyNumberFormat="1" applyFont="1" applyFill="1" applyBorder="1" applyAlignment="1">
      <alignment horizontal="right" vertical="center"/>
    </xf>
    <xf numFmtId="3" fontId="6" fillId="10" borderId="9" xfId="0" applyNumberFormat="1" applyFont="1" applyFill="1" applyBorder="1" applyAlignment="1">
      <alignment horizontal="right" vertical="center"/>
    </xf>
    <xf numFmtId="3" fontId="2" fillId="10" borderId="11" xfId="0" applyNumberFormat="1" applyFont="1" applyFill="1" applyBorder="1" applyAlignment="1">
      <alignment horizontal="center" vertical="center"/>
    </xf>
    <xf numFmtId="3" fontId="2" fillId="10" borderId="12" xfId="0" applyNumberFormat="1" applyFont="1" applyFill="1" applyBorder="1" applyAlignment="1">
      <alignment horizontal="center" vertical="center"/>
    </xf>
    <xf numFmtId="3" fontId="2" fillId="0" borderId="0" xfId="0" applyNumberFormat="1" applyFont="1" applyAlignment="1">
      <alignment vertical="top" wrapText="1"/>
    </xf>
    <xf numFmtId="3" fontId="2" fillId="4" borderId="11"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wrapText="1"/>
    </xf>
    <xf numFmtId="3" fontId="2" fillId="4" borderId="12" xfId="0" applyNumberFormat="1" applyFont="1" applyFill="1" applyBorder="1" applyAlignment="1">
      <alignment horizontal="center" vertical="center"/>
    </xf>
    <xf numFmtId="0" fontId="2" fillId="0" borderId="0" xfId="0" applyFont="1" applyAlignment="1">
      <alignment vertical="top" wrapText="1"/>
    </xf>
    <xf numFmtId="3" fontId="2" fillId="4" borderId="5"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xf>
    <xf numFmtId="0" fontId="2" fillId="0" borderId="0" xfId="0" applyFont="1" applyAlignment="1">
      <alignment horizontal="left" vertical="top" wrapText="1"/>
    </xf>
    <xf numFmtId="3" fontId="2" fillId="0" borderId="8"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7" borderId="11" xfId="0" applyNumberFormat="1" applyFont="1" applyFill="1" applyBorder="1" applyAlignment="1">
      <alignment horizontal="center" vertical="center"/>
    </xf>
    <xf numFmtId="3" fontId="2" fillId="7" borderId="12" xfId="0" applyNumberFormat="1" applyFont="1" applyFill="1" applyBorder="1" applyAlignment="1">
      <alignment horizontal="center" vertical="center"/>
    </xf>
    <xf numFmtId="3" fontId="2" fillId="4" borderId="20" xfId="0" applyNumberFormat="1" applyFont="1" applyFill="1" applyBorder="1" applyAlignment="1">
      <alignment horizontal="center" vertical="center"/>
    </xf>
    <xf numFmtId="3" fontId="2" fillId="4" borderId="23" xfId="0" applyNumberFormat="1" applyFont="1" applyFill="1" applyBorder="1" applyAlignment="1">
      <alignment horizontal="center" vertical="center"/>
    </xf>
    <xf numFmtId="3" fontId="2" fillId="4" borderId="21" xfId="0" applyNumberFormat="1" applyFont="1" applyFill="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xf numFmtId="3" fontId="6" fillId="0" borderId="5" xfId="0"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3" fontId="14" fillId="0" borderId="5"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5" fillId="4" borderId="5"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3" borderId="11" xfId="0" applyNumberFormat="1" applyFont="1" applyFill="1" applyBorder="1" applyAlignment="1">
      <alignment horizontal="right" vertical="center"/>
    </xf>
    <xf numFmtId="3" fontId="4" fillId="3" borderId="12" xfId="0" applyNumberFormat="1" applyFont="1" applyFill="1" applyBorder="1" applyAlignment="1">
      <alignment horizontal="right" vertical="center"/>
    </xf>
    <xf numFmtId="3" fontId="2" fillId="4" borderId="37" xfId="0" applyNumberFormat="1" applyFont="1" applyFill="1" applyBorder="1" applyAlignment="1">
      <alignment horizontal="right" vertical="center"/>
    </xf>
    <xf numFmtId="3" fontId="16" fillId="4" borderId="6" xfId="0" applyNumberFormat="1" applyFont="1" applyFill="1" applyBorder="1" applyAlignment="1">
      <alignment horizontal="right" vertical="center"/>
    </xf>
    <xf numFmtId="3" fontId="2" fillId="4" borderId="32" xfId="0" applyNumberFormat="1" applyFont="1" applyFill="1" applyBorder="1" applyAlignment="1">
      <alignment horizontal="right" vertical="center"/>
    </xf>
    <xf numFmtId="3" fontId="2" fillId="4" borderId="38" xfId="0" applyNumberFormat="1" applyFont="1" applyFill="1" applyBorder="1" applyAlignment="1">
      <alignment horizontal="right" vertical="center"/>
    </xf>
    <xf numFmtId="3" fontId="4" fillId="6" borderId="39"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3" borderId="11" xfId="0" applyNumberFormat="1" applyFont="1" applyFill="1" applyBorder="1" applyAlignment="1">
      <alignment vertical="center"/>
    </xf>
    <xf numFmtId="3" fontId="2" fillId="3" borderId="12" xfId="0" applyNumberFormat="1" applyFont="1" applyFill="1" applyBorder="1" applyAlignment="1">
      <alignment vertical="center"/>
    </xf>
    <xf numFmtId="3" fontId="6" fillId="0" borderId="7" xfId="0" applyNumberFormat="1" applyFont="1" applyFill="1" applyBorder="1" applyAlignment="1">
      <alignment wrapText="1"/>
    </xf>
    <xf numFmtId="3" fontId="2" fillId="0" borderId="2" xfId="0" applyNumberFormat="1" applyFont="1" applyFill="1" applyBorder="1" applyAlignment="1">
      <alignment horizontal="center" vertical="center"/>
    </xf>
    <xf numFmtId="0" fontId="2" fillId="0" borderId="0" xfId="0" applyFont="1" applyAlignment="1">
      <alignment horizontal="left" vertical="top" wrapText="1"/>
    </xf>
    <xf numFmtId="3" fontId="14" fillId="4" borderId="6" xfId="0" applyNumberFormat="1" applyFont="1" applyFill="1" applyBorder="1" applyAlignment="1">
      <alignment horizontal="right" vertical="center"/>
    </xf>
    <xf numFmtId="0" fontId="17" fillId="0" borderId="0" xfId="0" applyFont="1" applyFill="1"/>
    <xf numFmtId="3" fontId="5" fillId="4" borderId="10" xfId="0" applyNumberFormat="1" applyFont="1" applyFill="1" applyBorder="1" applyAlignment="1">
      <alignment horizontal="left" wrapText="1"/>
    </xf>
    <xf numFmtId="3" fontId="13" fillId="4" borderId="40" xfId="0" applyNumberFormat="1" applyFont="1" applyFill="1" applyBorder="1" applyAlignment="1">
      <alignment horizontal="right"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vertical="top" wrapText="1"/>
    </xf>
    <xf numFmtId="3" fontId="4" fillId="3" borderId="27" xfId="0" applyNumberFormat="1" applyFont="1" applyFill="1" applyBorder="1" applyAlignment="1">
      <alignment wrapText="1"/>
    </xf>
    <xf numFmtId="3" fontId="4" fillId="3" borderId="28" xfId="0" applyNumberFormat="1" applyFont="1" applyFill="1" applyBorder="1" applyAlignment="1">
      <alignment wrapText="1"/>
    </xf>
    <xf numFmtId="3" fontId="4" fillId="3" borderId="25" xfId="0" applyNumberFormat="1" applyFont="1" applyFill="1" applyBorder="1" applyAlignment="1">
      <alignment wrapText="1"/>
    </xf>
    <xf numFmtId="3" fontId="4" fillId="5" borderId="16" xfId="0" applyNumberFormat="1" applyFont="1" applyFill="1" applyBorder="1" applyAlignment="1">
      <alignment horizontal="center" vertical="center" wrapText="1"/>
    </xf>
    <xf numFmtId="3" fontId="4" fillId="5" borderId="17" xfId="0" applyNumberFormat="1" applyFont="1" applyFill="1" applyBorder="1" applyAlignment="1">
      <alignment horizontal="center" vertical="center" wrapText="1"/>
    </xf>
    <xf numFmtId="3" fontId="4" fillId="5" borderId="18" xfId="0" applyNumberFormat="1" applyFont="1" applyFill="1" applyBorder="1" applyAlignment="1">
      <alignment horizontal="center" vertical="center" wrapText="1"/>
    </xf>
    <xf numFmtId="3" fontId="4" fillId="5" borderId="22" xfId="0" applyNumberFormat="1" applyFont="1" applyFill="1" applyBorder="1" applyAlignment="1">
      <alignment horizontal="center" vertical="center" wrapText="1"/>
    </xf>
    <xf numFmtId="3" fontId="4" fillId="5" borderId="23" xfId="0" applyNumberFormat="1" applyFont="1" applyFill="1" applyBorder="1" applyAlignment="1">
      <alignment horizontal="center" vertical="center" wrapText="1"/>
    </xf>
    <xf numFmtId="3" fontId="4" fillId="5" borderId="24" xfId="0" applyNumberFormat="1" applyFont="1" applyFill="1" applyBorder="1" applyAlignment="1">
      <alignment horizontal="center" vertical="center" wrapText="1"/>
    </xf>
    <xf numFmtId="3" fontId="2" fillId="0" borderId="0" xfId="0" applyNumberFormat="1" applyFont="1" applyBorder="1" applyAlignment="1">
      <alignment horizontal="left" vertical="top" wrapText="1"/>
    </xf>
    <xf numFmtId="0" fontId="2" fillId="0" borderId="0" xfId="0" applyFont="1" applyFill="1" applyAlignment="1">
      <alignment vertical="top"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3" fontId="4" fillId="8" borderId="10" xfId="0" applyNumberFormat="1" applyFont="1" applyFill="1" applyBorder="1" applyAlignment="1">
      <alignment horizontal="center" vertical="center" wrapText="1"/>
    </xf>
    <xf numFmtId="3" fontId="4" fillId="8" borderId="11" xfId="0" applyNumberFormat="1" applyFont="1" applyFill="1" applyBorder="1" applyAlignment="1">
      <alignment horizontal="center" vertical="center" wrapText="1"/>
    </xf>
    <xf numFmtId="3" fontId="4" fillId="8" borderId="12" xfId="0" applyNumberFormat="1" applyFont="1" applyFill="1" applyBorder="1" applyAlignment="1">
      <alignment horizontal="center" vertical="center" wrapText="1"/>
    </xf>
    <xf numFmtId="3" fontId="4" fillId="3" borderId="27" xfId="0" applyNumberFormat="1" applyFont="1" applyFill="1" applyBorder="1" applyAlignment="1">
      <alignment vertical="top" wrapText="1"/>
    </xf>
    <xf numFmtId="3" fontId="4" fillId="3" borderId="28" xfId="0" applyNumberFormat="1" applyFont="1" applyFill="1" applyBorder="1" applyAlignment="1">
      <alignment vertical="top" wrapText="1"/>
    </xf>
    <xf numFmtId="3" fontId="4" fillId="3" borderId="25" xfId="0" applyNumberFormat="1" applyFont="1" applyFill="1" applyBorder="1" applyAlignment="1">
      <alignment vertical="top" wrapText="1"/>
    </xf>
    <xf numFmtId="0" fontId="1" fillId="0" borderId="0" xfId="0" applyFont="1" applyAlignment="1">
      <alignment horizontal="right"/>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3" fontId="4" fillId="3" borderId="35" xfId="0" applyNumberFormat="1" applyFont="1" applyFill="1" applyBorder="1" applyAlignment="1">
      <alignment wrapText="1"/>
    </xf>
    <xf numFmtId="3" fontId="4" fillId="3" borderId="36" xfId="0" applyNumberFormat="1" applyFont="1" applyFill="1" applyBorder="1" applyAlignment="1">
      <alignment wrapText="1"/>
    </xf>
    <xf numFmtId="3" fontId="4" fillId="3" borderId="26" xfId="0" applyNumberFormat="1" applyFont="1" applyFill="1" applyBorder="1" applyAlignment="1">
      <alignment wrapText="1"/>
    </xf>
    <xf numFmtId="3" fontId="4" fillId="3" borderId="27" xfId="0" applyNumberFormat="1" applyFont="1" applyFill="1" applyBorder="1" applyAlignment="1">
      <alignment horizontal="left" vertical="top" wrapText="1"/>
    </xf>
    <xf numFmtId="3" fontId="4" fillId="3" borderId="28" xfId="0" applyNumberFormat="1" applyFont="1" applyFill="1" applyBorder="1" applyAlignment="1">
      <alignment horizontal="left" vertical="top" wrapText="1"/>
    </xf>
    <xf numFmtId="3" fontId="4" fillId="3" borderId="25" xfId="0" applyNumberFormat="1" applyFont="1" applyFill="1" applyBorder="1" applyAlignment="1">
      <alignment horizontal="left" vertical="top" wrapText="1"/>
    </xf>
  </cellXfs>
  <cellStyles count="4">
    <cellStyle name="Comma" xfId="1" builtinId="3"/>
    <cellStyle name="Normal" xfId="0" builtinId="0"/>
    <cellStyle name="Normal 2" xfId="3" xr:uid="{00000000-0005-0000-0000-000004000000}"/>
    <cellStyle name="SAPBEXstdData"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20"/>
  <sheetViews>
    <sheetView tabSelected="1" zoomScale="89" zoomScaleNormal="89" zoomScaleSheetLayoutView="100" workbookViewId="0">
      <pane ySplit="6" topLeftCell="A7" activePane="bottomLeft" state="frozen"/>
      <selection pane="bottomLeft" activeCell="N20" sqref="N20"/>
    </sheetView>
  </sheetViews>
  <sheetFormatPr defaultColWidth="9.28515625" defaultRowHeight="15" x14ac:dyDescent="0.25"/>
  <cols>
    <col min="1" max="1" width="40.85546875" style="50" customWidth="1"/>
    <col min="2" max="2" width="15" style="50" customWidth="1"/>
    <col min="3" max="3" width="14.85546875" style="50" customWidth="1"/>
    <col min="4" max="5" width="13.7109375" style="50" bestFit="1" customWidth="1"/>
    <col min="6" max="6" width="12.28515625" style="50" customWidth="1"/>
    <col min="7" max="7" width="13.5703125" style="50" customWidth="1"/>
    <col min="8" max="12" width="12.28515625" style="50" customWidth="1"/>
    <col min="13" max="13" width="22.42578125" style="50" customWidth="1"/>
    <col min="14" max="14" width="12.7109375" style="50" bestFit="1" customWidth="1"/>
    <col min="15" max="15" width="13.7109375" style="50" customWidth="1"/>
    <col min="16" max="16" width="15.42578125" style="50" customWidth="1"/>
    <col min="17" max="17" width="12.7109375" style="50" bestFit="1" customWidth="1"/>
    <col min="18" max="16384" width="9.28515625" style="50"/>
  </cols>
  <sheetData>
    <row r="1" spans="1:16" x14ac:dyDescent="0.25">
      <c r="A1" s="238" t="s">
        <v>19</v>
      </c>
      <c r="B1" s="238"/>
      <c r="C1" s="238"/>
      <c r="D1" s="238"/>
      <c r="E1" s="238"/>
      <c r="F1" s="238"/>
      <c r="G1" s="238"/>
      <c r="H1" s="238"/>
      <c r="I1" s="238"/>
      <c r="J1" s="238"/>
      <c r="K1" s="238"/>
      <c r="L1" s="238"/>
    </row>
    <row r="2" spans="1:16" x14ac:dyDescent="0.25">
      <c r="A2" s="1"/>
      <c r="B2" s="1"/>
      <c r="C2" s="2"/>
      <c r="D2" s="2"/>
      <c r="E2" s="2"/>
      <c r="F2" s="2"/>
      <c r="G2" s="2"/>
      <c r="H2" s="2"/>
      <c r="I2" s="2"/>
      <c r="J2" s="2"/>
      <c r="K2" s="2"/>
      <c r="L2" s="3"/>
    </row>
    <row r="3" spans="1:16" ht="16.5" x14ac:dyDescent="0.25">
      <c r="A3" s="239" t="s">
        <v>0</v>
      </c>
      <c r="B3" s="239"/>
      <c r="C3" s="239"/>
      <c r="D3" s="239"/>
      <c r="E3" s="239"/>
      <c r="F3" s="239"/>
      <c r="G3" s="239"/>
      <c r="H3" s="239"/>
      <c r="I3" s="239"/>
      <c r="J3" s="239"/>
      <c r="K3" s="239"/>
      <c r="L3" s="239"/>
    </row>
    <row r="4" spans="1:16" ht="15.75" thickBot="1" x14ac:dyDescent="0.3">
      <c r="A4" s="1"/>
      <c r="B4" s="1"/>
      <c r="C4" s="2"/>
      <c r="D4" s="2"/>
      <c r="E4" s="2"/>
      <c r="F4" s="2"/>
      <c r="G4" s="2"/>
      <c r="H4" s="2"/>
      <c r="I4" s="2"/>
      <c r="J4" s="2"/>
      <c r="K4" s="2"/>
      <c r="L4" s="2"/>
    </row>
    <row r="5" spans="1:16" x14ac:dyDescent="0.25">
      <c r="A5" s="240" t="s">
        <v>1</v>
      </c>
      <c r="B5" s="242" t="s">
        <v>2</v>
      </c>
      <c r="C5" s="242" t="s">
        <v>3</v>
      </c>
      <c r="D5" s="242"/>
      <c r="E5" s="242"/>
      <c r="F5" s="242" t="s">
        <v>4</v>
      </c>
      <c r="G5" s="242"/>
      <c r="H5" s="242"/>
      <c r="I5" s="242"/>
      <c r="J5" s="242"/>
      <c r="K5" s="242"/>
      <c r="L5" s="244"/>
      <c r="M5" s="230" t="s">
        <v>108</v>
      </c>
    </row>
    <row r="6" spans="1:16" ht="39" thickBot="1" x14ac:dyDescent="0.3">
      <c r="A6" s="241"/>
      <c r="B6" s="243"/>
      <c r="C6" s="55">
        <v>2021</v>
      </c>
      <c r="D6" s="55">
        <v>2022</v>
      </c>
      <c r="E6" s="55">
        <v>2023</v>
      </c>
      <c r="F6" s="55">
        <v>2021</v>
      </c>
      <c r="G6" s="55">
        <v>2022</v>
      </c>
      <c r="H6" s="55">
        <v>2023</v>
      </c>
      <c r="I6" s="55">
        <v>2024</v>
      </c>
      <c r="J6" s="55">
        <v>2025</v>
      </c>
      <c r="K6" s="55">
        <v>2026</v>
      </c>
      <c r="L6" s="4" t="s">
        <v>100</v>
      </c>
      <c r="M6" s="231"/>
    </row>
    <row r="7" spans="1:16" x14ac:dyDescent="0.25">
      <c r="A7" s="56" t="s">
        <v>5</v>
      </c>
      <c r="B7" s="57">
        <f>B8+B9+B10+B11</f>
        <v>12975603022.122284</v>
      </c>
      <c r="C7" s="57">
        <f t="shared" ref="C7:E7" si="0">C8+C9+C10+C11</f>
        <v>3294683262.4400001</v>
      </c>
      <c r="D7" s="57">
        <f t="shared" si="0"/>
        <v>3356391292.3600001</v>
      </c>
      <c r="E7" s="57">
        <f t="shared" si="0"/>
        <v>3466282471.1700001</v>
      </c>
      <c r="F7" s="57">
        <f t="shared" ref="F7" si="1">F8+F9+F10+F11</f>
        <v>0</v>
      </c>
      <c r="G7" s="57">
        <f t="shared" ref="G7" si="2">G8+G9+G10+G11</f>
        <v>246096833.73100001</v>
      </c>
      <c r="H7" s="57">
        <f t="shared" ref="H7" si="3">H8+H9+H10+H11</f>
        <v>389480157.03209013</v>
      </c>
      <c r="I7" s="57">
        <f t="shared" ref="I7" si="4">I8+I9+I10+I11</f>
        <v>466304361.97598225</v>
      </c>
      <c r="J7" s="57">
        <f t="shared" ref="J7" si="5">J8+J9+J10+J11</f>
        <v>489127079.21067339</v>
      </c>
      <c r="K7" s="57">
        <f t="shared" ref="K7" si="6">K8+K9+K10+K11</f>
        <v>558993991.05126941</v>
      </c>
      <c r="L7" s="58">
        <f t="shared" ref="L7" si="7">L8+L9+L10+L11</f>
        <v>708243573.15126944</v>
      </c>
    </row>
    <row r="8" spans="1:16" x14ac:dyDescent="0.25">
      <c r="A8" s="39" t="s">
        <v>6</v>
      </c>
      <c r="B8" s="60">
        <f>SUM(C8:L8)</f>
        <v>108898035</v>
      </c>
      <c r="C8" s="60">
        <f>C39+C434</f>
        <v>25041101</v>
      </c>
      <c r="D8" s="60">
        <f>D39+D434</f>
        <v>23060234</v>
      </c>
      <c r="E8" s="60">
        <f>E39+E434</f>
        <v>21175496</v>
      </c>
      <c r="F8" s="60">
        <f t="shared" ref="F8" si="8">F39+F434</f>
        <v>0</v>
      </c>
      <c r="G8" s="60">
        <f>G434</f>
        <v>0</v>
      </c>
      <c r="H8" s="60">
        <f t="shared" ref="H8:L8" si="9">H434</f>
        <v>0</v>
      </c>
      <c r="I8" s="60">
        <f t="shared" si="9"/>
        <v>6280488</v>
      </c>
      <c r="J8" s="60">
        <f t="shared" si="9"/>
        <v>11113572</v>
      </c>
      <c r="K8" s="60">
        <f t="shared" si="9"/>
        <v>11113572</v>
      </c>
      <c r="L8" s="61">
        <f t="shared" si="9"/>
        <v>11113572</v>
      </c>
    </row>
    <row r="9" spans="1:16" x14ac:dyDescent="0.25">
      <c r="A9" s="39" t="s">
        <v>7</v>
      </c>
      <c r="B9" s="60">
        <f>SUM(C9:L9)</f>
        <v>0</v>
      </c>
      <c r="C9" s="60">
        <v>0</v>
      </c>
      <c r="D9" s="60">
        <v>0</v>
      </c>
      <c r="E9" s="60">
        <v>0</v>
      </c>
      <c r="F9" s="60">
        <v>0</v>
      </c>
      <c r="G9" s="60">
        <v>0</v>
      </c>
      <c r="H9" s="60">
        <v>0</v>
      </c>
      <c r="I9" s="60">
        <v>0</v>
      </c>
      <c r="J9" s="60">
        <v>0</v>
      </c>
      <c r="K9" s="60">
        <v>0</v>
      </c>
      <c r="L9" s="61">
        <v>0</v>
      </c>
    </row>
    <row r="10" spans="1:16" ht="26.25" x14ac:dyDescent="0.25">
      <c r="A10" s="39" t="s">
        <v>8</v>
      </c>
      <c r="B10" s="60">
        <f>SUM(C10:L10)</f>
        <v>0</v>
      </c>
      <c r="C10" s="60">
        <v>0</v>
      </c>
      <c r="D10" s="60">
        <v>0</v>
      </c>
      <c r="E10" s="60">
        <v>0</v>
      </c>
      <c r="F10" s="60">
        <v>0</v>
      </c>
      <c r="G10" s="60">
        <v>0</v>
      </c>
      <c r="H10" s="60">
        <v>0</v>
      </c>
      <c r="I10" s="60">
        <v>0</v>
      </c>
      <c r="J10" s="60">
        <v>0</v>
      </c>
      <c r="K10" s="60">
        <v>0</v>
      </c>
      <c r="L10" s="61">
        <v>0</v>
      </c>
    </row>
    <row r="11" spans="1:16" x14ac:dyDescent="0.25">
      <c r="A11" s="38" t="s">
        <v>9</v>
      </c>
      <c r="B11" s="60">
        <f>B13+B14+B15</f>
        <v>12866704987.122284</v>
      </c>
      <c r="C11" s="60">
        <f t="shared" ref="C11:L11" si="10">C13+C14+C15</f>
        <v>3269642161.4400001</v>
      </c>
      <c r="D11" s="60">
        <f t="shared" si="10"/>
        <v>3333331058.3600001</v>
      </c>
      <c r="E11" s="60">
        <f t="shared" si="10"/>
        <v>3445106975.1700001</v>
      </c>
      <c r="F11" s="60">
        <f t="shared" si="10"/>
        <v>0</v>
      </c>
      <c r="G11" s="60">
        <f t="shared" si="10"/>
        <v>246096833.73100001</v>
      </c>
      <c r="H11" s="60">
        <f t="shared" si="10"/>
        <v>389480157.03209013</v>
      </c>
      <c r="I11" s="60">
        <f t="shared" si="10"/>
        <v>460023873.97598225</v>
      </c>
      <c r="J11" s="60">
        <f t="shared" si="10"/>
        <v>478013507.21067339</v>
      </c>
      <c r="K11" s="60">
        <f t="shared" si="10"/>
        <v>547880419.05126941</v>
      </c>
      <c r="L11" s="61">
        <f t="shared" si="10"/>
        <v>697130001.15126944</v>
      </c>
      <c r="N11" s="86"/>
    </row>
    <row r="12" spans="1:16" x14ac:dyDescent="0.25">
      <c r="A12" s="39" t="s">
        <v>10</v>
      </c>
      <c r="B12" s="40"/>
      <c r="C12" s="40"/>
      <c r="D12" s="40"/>
      <c r="E12" s="40"/>
      <c r="F12" s="40"/>
      <c r="G12" s="40"/>
      <c r="H12" s="40"/>
      <c r="I12" s="40"/>
      <c r="J12" s="40"/>
      <c r="K12" s="40"/>
      <c r="L12" s="41"/>
      <c r="N12" s="86"/>
      <c r="O12" s="86"/>
    </row>
    <row r="13" spans="1:16" x14ac:dyDescent="0.25">
      <c r="A13" s="39" t="s">
        <v>11</v>
      </c>
      <c r="B13" s="40">
        <f>B19+B22+B25+B29+B32+B35</f>
        <v>2895758947</v>
      </c>
      <c r="C13" s="40">
        <f t="shared" ref="C13:F13" si="11">C19+C22+C25+C29+C32+C35</f>
        <v>551276626</v>
      </c>
      <c r="D13" s="40">
        <f t="shared" si="11"/>
        <v>565895536</v>
      </c>
      <c r="E13" s="40">
        <f t="shared" si="11"/>
        <v>573773022</v>
      </c>
      <c r="F13" s="40">
        <f t="shared" si="11"/>
        <v>0</v>
      </c>
      <c r="G13" s="40">
        <f>G19+G22+G25+G29+G32</f>
        <v>184464335</v>
      </c>
      <c r="H13" s="40">
        <f t="shared" ref="H13:L13" si="12">H19+H22+H25+H29+H32</f>
        <v>202349240</v>
      </c>
      <c r="I13" s="40">
        <f t="shared" si="12"/>
        <v>206171470</v>
      </c>
      <c r="J13" s="40">
        <f t="shared" si="12"/>
        <v>202456647</v>
      </c>
      <c r="K13" s="40">
        <f t="shared" si="12"/>
        <v>204990010</v>
      </c>
      <c r="L13" s="41">
        <f t="shared" si="12"/>
        <v>204382061</v>
      </c>
      <c r="N13" s="86"/>
      <c r="O13" s="86"/>
    </row>
    <row r="14" spans="1:16" ht="16.5" customHeight="1" x14ac:dyDescent="0.25">
      <c r="A14" s="62" t="s">
        <v>104</v>
      </c>
      <c r="B14" s="63">
        <f>B26</f>
        <v>9223005322.6522846</v>
      </c>
      <c r="C14" s="63">
        <f t="shared" ref="C14:L14" si="13">C26</f>
        <v>2633130078</v>
      </c>
      <c r="D14" s="63">
        <f t="shared" si="13"/>
        <v>2694070817</v>
      </c>
      <c r="E14" s="63">
        <f t="shared" si="13"/>
        <v>2840857000</v>
      </c>
      <c r="F14" s="63">
        <f t="shared" si="13"/>
        <v>0</v>
      </c>
      <c r="G14" s="63">
        <f t="shared" si="13"/>
        <v>41448004.230999999</v>
      </c>
      <c r="H14" s="63">
        <f t="shared" si="13"/>
        <v>83465624.542090103</v>
      </c>
      <c r="I14" s="63">
        <f t="shared" si="13"/>
        <v>133818427.52598229</v>
      </c>
      <c r="J14" s="63">
        <f t="shared" si="13"/>
        <v>181658712.91067338</v>
      </c>
      <c r="K14" s="63">
        <f t="shared" si="13"/>
        <v>257021757.75126943</v>
      </c>
      <c r="L14" s="64">
        <f t="shared" si="13"/>
        <v>357534900.69126946</v>
      </c>
      <c r="N14" s="86"/>
      <c r="O14" s="86"/>
    </row>
    <row r="15" spans="1:16" ht="39.75" thickBot="1" x14ac:dyDescent="0.3">
      <c r="A15" s="62" t="s">
        <v>12</v>
      </c>
      <c r="B15" s="63">
        <f>B20+B23+B27+B30+B33+B36</f>
        <v>747940717.47000003</v>
      </c>
      <c r="C15" s="63">
        <f t="shared" ref="C15:L15" si="14">C20+C23+C27+C30+C36+C33</f>
        <v>85235457.439999998</v>
      </c>
      <c r="D15" s="63">
        <f t="shared" si="14"/>
        <v>73364705.359999999</v>
      </c>
      <c r="E15" s="63">
        <f t="shared" si="14"/>
        <v>30476953.170000002</v>
      </c>
      <c r="F15" s="63">
        <f t="shared" si="14"/>
        <v>0</v>
      </c>
      <c r="G15" s="63">
        <f t="shared" si="14"/>
        <v>20184494.5</v>
      </c>
      <c r="H15" s="63">
        <f t="shared" si="14"/>
        <v>103665292.48999999</v>
      </c>
      <c r="I15" s="63">
        <f t="shared" si="14"/>
        <v>120033976.45</v>
      </c>
      <c r="J15" s="63">
        <f t="shared" si="14"/>
        <v>93898147.299999997</v>
      </c>
      <c r="K15" s="63">
        <f t="shared" si="14"/>
        <v>85868651.299999997</v>
      </c>
      <c r="L15" s="64">
        <f t="shared" si="14"/>
        <v>135213039.45999998</v>
      </c>
      <c r="N15" s="86"/>
      <c r="O15" s="86"/>
      <c r="P15" s="86"/>
    </row>
    <row r="16" spans="1:16" x14ac:dyDescent="0.25">
      <c r="A16" s="5" t="s">
        <v>13</v>
      </c>
      <c r="B16" s="12"/>
      <c r="C16" s="12"/>
      <c r="D16" s="12"/>
      <c r="E16" s="12"/>
      <c r="F16" s="12"/>
      <c r="G16" s="12"/>
      <c r="H16" s="12"/>
      <c r="I16" s="12"/>
      <c r="J16" s="12"/>
      <c r="K16" s="12"/>
      <c r="L16" s="13"/>
      <c r="P16" s="86"/>
    </row>
    <row r="17" spans="1:12" ht="15.75" thickBot="1" x14ac:dyDescent="0.3">
      <c r="A17" s="65" t="s">
        <v>14</v>
      </c>
      <c r="B17" s="66"/>
      <c r="C17" s="66"/>
      <c r="D17" s="66"/>
      <c r="E17" s="66"/>
      <c r="F17" s="66"/>
      <c r="G17" s="66"/>
      <c r="H17" s="66"/>
      <c r="I17" s="66"/>
      <c r="J17" s="66"/>
      <c r="K17" s="66"/>
      <c r="L17" s="67"/>
    </row>
    <row r="18" spans="1:12" x14ac:dyDescent="0.25">
      <c r="A18" s="8" t="s">
        <v>15</v>
      </c>
      <c r="B18" s="12">
        <f t="shared" ref="B18:B23" si="15">B194</f>
        <v>70252500</v>
      </c>
      <c r="C18" s="12">
        <f t="shared" ref="C18:L18" si="16">C194</f>
        <v>0</v>
      </c>
      <c r="D18" s="12">
        <f t="shared" si="16"/>
        <v>0</v>
      </c>
      <c r="E18" s="12">
        <f t="shared" si="16"/>
        <v>0</v>
      </c>
      <c r="F18" s="12">
        <f t="shared" si="16"/>
        <v>0</v>
      </c>
      <c r="G18" s="12">
        <f t="shared" si="16"/>
        <v>0</v>
      </c>
      <c r="H18" s="12">
        <f t="shared" si="16"/>
        <v>1806250</v>
      </c>
      <c r="I18" s="12">
        <f t="shared" si="16"/>
        <v>6162500</v>
      </c>
      <c r="J18" s="12">
        <f t="shared" si="16"/>
        <v>10200000</v>
      </c>
      <c r="K18" s="12">
        <f t="shared" si="16"/>
        <v>16383750</v>
      </c>
      <c r="L18" s="13">
        <f t="shared" si="16"/>
        <v>35700000</v>
      </c>
    </row>
    <row r="19" spans="1:12" x14ac:dyDescent="0.25">
      <c r="A19" s="9" t="s">
        <v>11</v>
      </c>
      <c r="B19" s="54">
        <f t="shared" si="15"/>
        <v>0</v>
      </c>
      <c r="C19" s="54">
        <f t="shared" ref="C19:L19" si="17">C195</f>
        <v>0</v>
      </c>
      <c r="D19" s="54">
        <f t="shared" si="17"/>
        <v>0</v>
      </c>
      <c r="E19" s="54">
        <f t="shared" si="17"/>
        <v>0</v>
      </c>
      <c r="F19" s="54">
        <f t="shared" si="17"/>
        <v>0</v>
      </c>
      <c r="G19" s="54">
        <f t="shared" si="17"/>
        <v>0</v>
      </c>
      <c r="H19" s="54">
        <f t="shared" si="17"/>
        <v>0</v>
      </c>
      <c r="I19" s="54">
        <f t="shared" si="17"/>
        <v>0</v>
      </c>
      <c r="J19" s="54">
        <f t="shared" si="17"/>
        <v>0</v>
      </c>
      <c r="K19" s="54">
        <f t="shared" si="17"/>
        <v>0</v>
      </c>
      <c r="L19" s="17">
        <f t="shared" si="17"/>
        <v>0</v>
      </c>
    </row>
    <row r="20" spans="1:12" ht="42" customHeight="1" thickBot="1" x14ac:dyDescent="0.3">
      <c r="A20" s="10" t="s">
        <v>12</v>
      </c>
      <c r="B20" s="30">
        <f t="shared" si="15"/>
        <v>70252500</v>
      </c>
      <c r="C20" s="30">
        <f t="shared" ref="C20:L20" si="18">C196</f>
        <v>0</v>
      </c>
      <c r="D20" s="30">
        <f t="shared" si="18"/>
        <v>0</v>
      </c>
      <c r="E20" s="30">
        <f t="shared" si="18"/>
        <v>0</v>
      </c>
      <c r="F20" s="30">
        <f t="shared" si="18"/>
        <v>0</v>
      </c>
      <c r="G20" s="30">
        <f t="shared" si="18"/>
        <v>0</v>
      </c>
      <c r="H20" s="30">
        <f t="shared" si="18"/>
        <v>1806250</v>
      </c>
      <c r="I20" s="30">
        <f t="shared" si="18"/>
        <v>6162500</v>
      </c>
      <c r="J20" s="30">
        <f t="shared" si="18"/>
        <v>10200000</v>
      </c>
      <c r="K20" s="30">
        <f t="shared" si="18"/>
        <v>16383750</v>
      </c>
      <c r="L20" s="31">
        <f t="shared" si="18"/>
        <v>35700000</v>
      </c>
    </row>
    <row r="21" spans="1:12" x14ac:dyDescent="0.25">
      <c r="A21" s="8" t="s">
        <v>103</v>
      </c>
      <c r="B21" s="143">
        <f t="shared" si="15"/>
        <v>3061902</v>
      </c>
      <c r="C21" s="143">
        <f t="shared" ref="C21:L21" si="19">C197</f>
        <v>286637</v>
      </c>
      <c r="D21" s="143">
        <f t="shared" si="19"/>
        <v>286637</v>
      </c>
      <c r="E21" s="143">
        <f t="shared" si="19"/>
        <v>286637</v>
      </c>
      <c r="F21" s="143">
        <f t="shared" si="19"/>
        <v>0</v>
      </c>
      <c r="G21" s="143">
        <f t="shared" si="19"/>
        <v>125545</v>
      </c>
      <c r="H21" s="143">
        <f t="shared" si="19"/>
        <v>251090</v>
      </c>
      <c r="I21" s="143">
        <f t="shared" si="19"/>
        <v>376635</v>
      </c>
      <c r="J21" s="143">
        <f t="shared" si="19"/>
        <v>502180</v>
      </c>
      <c r="K21" s="143">
        <f t="shared" si="19"/>
        <v>67725</v>
      </c>
      <c r="L21" s="144">
        <f t="shared" si="19"/>
        <v>878816</v>
      </c>
    </row>
    <row r="22" spans="1:12" x14ac:dyDescent="0.25">
      <c r="A22" s="9" t="s">
        <v>11</v>
      </c>
      <c r="B22" s="54">
        <f t="shared" si="15"/>
        <v>3061902</v>
      </c>
      <c r="C22" s="54">
        <f t="shared" ref="C22:L22" si="20">C198</f>
        <v>286637</v>
      </c>
      <c r="D22" s="54">
        <f t="shared" si="20"/>
        <v>286637</v>
      </c>
      <c r="E22" s="54">
        <f t="shared" si="20"/>
        <v>286637</v>
      </c>
      <c r="F22" s="54">
        <f t="shared" si="20"/>
        <v>0</v>
      </c>
      <c r="G22" s="54">
        <f t="shared" si="20"/>
        <v>125545</v>
      </c>
      <c r="H22" s="54">
        <f t="shared" si="20"/>
        <v>251090</v>
      </c>
      <c r="I22" s="54">
        <f t="shared" si="20"/>
        <v>376635</v>
      </c>
      <c r="J22" s="54">
        <f t="shared" si="20"/>
        <v>502180</v>
      </c>
      <c r="K22" s="54">
        <f t="shared" si="20"/>
        <v>67725</v>
      </c>
      <c r="L22" s="17">
        <f t="shared" si="20"/>
        <v>878816</v>
      </c>
    </row>
    <row r="23" spans="1:12" ht="41.25" customHeight="1" thickBot="1" x14ac:dyDescent="0.3">
      <c r="A23" s="10" t="s">
        <v>12</v>
      </c>
      <c r="B23" s="30">
        <f t="shared" si="15"/>
        <v>0</v>
      </c>
      <c r="C23" s="30">
        <f t="shared" ref="C23:L23" si="21">C199</f>
        <v>0</v>
      </c>
      <c r="D23" s="30">
        <f t="shared" si="21"/>
        <v>0</v>
      </c>
      <c r="E23" s="30">
        <f t="shared" si="21"/>
        <v>0</v>
      </c>
      <c r="F23" s="30">
        <f t="shared" si="21"/>
        <v>0</v>
      </c>
      <c r="G23" s="30">
        <f t="shared" si="21"/>
        <v>0</v>
      </c>
      <c r="H23" s="30">
        <f t="shared" si="21"/>
        <v>0</v>
      </c>
      <c r="I23" s="30">
        <f t="shared" si="21"/>
        <v>0</v>
      </c>
      <c r="J23" s="30">
        <f t="shared" si="21"/>
        <v>0</v>
      </c>
      <c r="K23" s="30">
        <f t="shared" si="21"/>
        <v>0</v>
      </c>
      <c r="L23" s="31">
        <f t="shared" si="21"/>
        <v>0</v>
      </c>
    </row>
    <row r="24" spans="1:12" x14ac:dyDescent="0.25">
      <c r="A24" s="8" t="s">
        <v>16</v>
      </c>
      <c r="B24" s="12">
        <f>B25+B26+B27</f>
        <v>12774542393.122284</v>
      </c>
      <c r="C24" s="12">
        <f t="shared" ref="C24:L24" si="22">C25+C26+C27</f>
        <v>3267773044.4400001</v>
      </c>
      <c r="D24" s="12">
        <f t="shared" si="22"/>
        <v>3331682984.3600001</v>
      </c>
      <c r="E24" s="12">
        <f t="shared" si="22"/>
        <v>3443668788.1700001</v>
      </c>
      <c r="F24" s="12">
        <f t="shared" si="22"/>
        <v>0</v>
      </c>
      <c r="G24" s="12">
        <f t="shared" si="22"/>
        <v>245971288.73100001</v>
      </c>
      <c r="H24" s="12">
        <f t="shared" si="22"/>
        <v>384653240.03209013</v>
      </c>
      <c r="I24" s="12">
        <f t="shared" si="22"/>
        <v>449732804.97598225</v>
      </c>
      <c r="J24" s="12">
        <f t="shared" si="22"/>
        <v>462780113.21067339</v>
      </c>
      <c r="K24" s="12">
        <f t="shared" si="22"/>
        <v>528578944.05126947</v>
      </c>
      <c r="L24" s="13">
        <f t="shared" si="22"/>
        <v>659701185.15126944</v>
      </c>
    </row>
    <row r="25" spans="1:12" x14ac:dyDescent="0.25">
      <c r="A25" s="9" t="s">
        <v>11</v>
      </c>
      <c r="B25" s="68">
        <f t="shared" ref="B25:L25" si="23">B50+B201+B494+B710</f>
        <v>2884186170</v>
      </c>
      <c r="C25" s="68">
        <f t="shared" si="23"/>
        <v>549407509</v>
      </c>
      <c r="D25" s="68">
        <f t="shared" si="23"/>
        <v>564247462</v>
      </c>
      <c r="E25" s="68">
        <f t="shared" si="23"/>
        <v>572334835</v>
      </c>
      <c r="F25" s="68">
        <f t="shared" si="23"/>
        <v>0</v>
      </c>
      <c r="G25" s="68">
        <f t="shared" si="23"/>
        <v>184338790</v>
      </c>
      <c r="H25" s="68">
        <f t="shared" si="23"/>
        <v>201177714</v>
      </c>
      <c r="I25" s="68">
        <f t="shared" si="23"/>
        <v>204877045</v>
      </c>
      <c r="J25" s="68">
        <f t="shared" si="23"/>
        <v>201077285</v>
      </c>
      <c r="K25" s="68">
        <f t="shared" si="23"/>
        <v>204072285</v>
      </c>
      <c r="L25" s="69">
        <f t="shared" si="23"/>
        <v>202653245</v>
      </c>
    </row>
    <row r="26" spans="1:12" ht="15.75" customHeight="1" x14ac:dyDescent="0.25">
      <c r="A26" s="140" t="s">
        <v>104</v>
      </c>
      <c r="B26" s="141">
        <f t="shared" ref="B26:L26" si="24">B45+B495+B705</f>
        <v>9223005322.6522846</v>
      </c>
      <c r="C26" s="141">
        <f t="shared" si="24"/>
        <v>2633130078</v>
      </c>
      <c r="D26" s="141">
        <f t="shared" si="24"/>
        <v>2694070817</v>
      </c>
      <c r="E26" s="141">
        <f t="shared" si="24"/>
        <v>2840857000</v>
      </c>
      <c r="F26" s="141">
        <f t="shared" si="24"/>
        <v>0</v>
      </c>
      <c r="G26" s="141">
        <f t="shared" si="24"/>
        <v>41448004.230999999</v>
      </c>
      <c r="H26" s="141">
        <f t="shared" si="24"/>
        <v>83465624.542090103</v>
      </c>
      <c r="I26" s="141">
        <f t="shared" si="24"/>
        <v>133818427.52598229</v>
      </c>
      <c r="J26" s="141">
        <f t="shared" si="24"/>
        <v>181658712.91067338</v>
      </c>
      <c r="K26" s="141">
        <f t="shared" si="24"/>
        <v>257021757.75126943</v>
      </c>
      <c r="L26" s="142">
        <f t="shared" si="24"/>
        <v>357534900.69126946</v>
      </c>
    </row>
    <row r="27" spans="1:12" ht="41.25" customHeight="1" thickBot="1" x14ac:dyDescent="0.3">
      <c r="A27" s="10" t="s">
        <v>12</v>
      </c>
      <c r="B27" s="30">
        <f>B52+B202+B502+B712</f>
        <v>667350900.47000003</v>
      </c>
      <c r="C27" s="30">
        <f t="shared" ref="C27:L27" si="25">C52++C202+C496+C712</f>
        <v>85235457.439999998</v>
      </c>
      <c r="D27" s="30">
        <f t="shared" si="25"/>
        <v>73364705.359999999</v>
      </c>
      <c r="E27" s="30">
        <f t="shared" si="25"/>
        <v>30476953.170000002</v>
      </c>
      <c r="F27" s="30">
        <f t="shared" si="25"/>
        <v>0</v>
      </c>
      <c r="G27" s="30">
        <f t="shared" si="25"/>
        <v>20184494.5</v>
      </c>
      <c r="H27" s="30">
        <f t="shared" si="25"/>
        <v>100009901.48999999</v>
      </c>
      <c r="I27" s="30">
        <f t="shared" si="25"/>
        <v>111037332.45</v>
      </c>
      <c r="J27" s="30">
        <f t="shared" si="25"/>
        <v>80044115.299999997</v>
      </c>
      <c r="K27" s="30">
        <f t="shared" si="25"/>
        <v>67484901.299999997</v>
      </c>
      <c r="L27" s="31">
        <f t="shared" si="25"/>
        <v>99513039.459999993</v>
      </c>
    </row>
    <row r="28" spans="1:12" x14ac:dyDescent="0.25">
      <c r="A28" s="5" t="s">
        <v>17</v>
      </c>
      <c r="B28" s="12">
        <f>B624</f>
        <v>5352725</v>
      </c>
      <c r="C28" s="12">
        <f t="shared" ref="C28:L28" si="26">C624</f>
        <v>0</v>
      </c>
      <c r="D28" s="12">
        <f t="shared" si="26"/>
        <v>0</v>
      </c>
      <c r="E28" s="12">
        <f t="shared" si="26"/>
        <v>0</v>
      </c>
      <c r="F28" s="12">
        <f t="shared" si="26"/>
        <v>0</v>
      </c>
      <c r="G28" s="12">
        <f t="shared" si="26"/>
        <v>0</v>
      </c>
      <c r="H28" s="12">
        <f t="shared" si="26"/>
        <v>1319577</v>
      </c>
      <c r="I28" s="12">
        <f t="shared" si="26"/>
        <v>1301934</v>
      </c>
      <c r="J28" s="12">
        <f t="shared" si="26"/>
        <v>1031214</v>
      </c>
      <c r="K28" s="12">
        <f t="shared" si="26"/>
        <v>850000</v>
      </c>
      <c r="L28" s="13">
        <f t="shared" si="26"/>
        <v>850000</v>
      </c>
    </row>
    <row r="29" spans="1:12" x14ac:dyDescent="0.25">
      <c r="A29" s="6" t="s">
        <v>11</v>
      </c>
      <c r="B29" s="54">
        <f>B626</f>
        <v>4415408</v>
      </c>
      <c r="C29" s="54">
        <f t="shared" ref="C29:L29" si="27">C626</f>
        <v>0</v>
      </c>
      <c r="D29" s="54">
        <f t="shared" si="27"/>
        <v>0</v>
      </c>
      <c r="E29" s="54">
        <f t="shared" si="27"/>
        <v>0</v>
      </c>
      <c r="F29" s="54">
        <f t="shared" si="27"/>
        <v>0</v>
      </c>
      <c r="G29" s="54">
        <f t="shared" si="27"/>
        <v>0</v>
      </c>
      <c r="H29" s="54">
        <f t="shared" si="27"/>
        <v>920436</v>
      </c>
      <c r="I29" s="54">
        <f t="shared" si="27"/>
        <v>917790</v>
      </c>
      <c r="J29" s="54">
        <f t="shared" si="27"/>
        <v>877182</v>
      </c>
      <c r="K29" s="54">
        <f t="shared" si="27"/>
        <v>850000</v>
      </c>
      <c r="L29" s="17">
        <f t="shared" si="27"/>
        <v>850000</v>
      </c>
    </row>
    <row r="30" spans="1:12" ht="39" customHeight="1" thickBot="1" x14ac:dyDescent="0.3">
      <c r="A30" s="7" t="s">
        <v>12</v>
      </c>
      <c r="B30" s="54">
        <f>B627</f>
        <v>937317</v>
      </c>
      <c r="C30" s="54">
        <f t="shared" ref="C30:L30" si="28">C627</f>
        <v>0</v>
      </c>
      <c r="D30" s="54">
        <f t="shared" si="28"/>
        <v>0</v>
      </c>
      <c r="E30" s="54">
        <f t="shared" si="28"/>
        <v>0</v>
      </c>
      <c r="F30" s="54">
        <f t="shared" si="28"/>
        <v>0</v>
      </c>
      <c r="G30" s="54">
        <f t="shared" si="28"/>
        <v>0</v>
      </c>
      <c r="H30" s="54">
        <f t="shared" si="28"/>
        <v>399141</v>
      </c>
      <c r="I30" s="54">
        <f t="shared" si="28"/>
        <v>384144</v>
      </c>
      <c r="J30" s="54">
        <f t="shared" si="28"/>
        <v>154032</v>
      </c>
      <c r="K30" s="54">
        <f t="shared" si="28"/>
        <v>0</v>
      </c>
      <c r="L30" s="17">
        <f t="shared" si="28"/>
        <v>0</v>
      </c>
    </row>
    <row r="31" spans="1:12" ht="27" x14ac:dyDescent="0.25">
      <c r="A31" s="8" t="s">
        <v>18</v>
      </c>
      <c r="B31" s="12">
        <f>B32+B33</f>
        <v>9400000</v>
      </c>
      <c r="C31" s="12">
        <f t="shared" ref="C31:L31" si="29">C32+C33</f>
        <v>0</v>
      </c>
      <c r="D31" s="12">
        <f t="shared" si="29"/>
        <v>0</v>
      </c>
      <c r="E31" s="12">
        <f t="shared" si="29"/>
        <v>0</v>
      </c>
      <c r="F31" s="12">
        <f t="shared" si="29"/>
        <v>0</v>
      </c>
      <c r="G31" s="12">
        <f t="shared" si="29"/>
        <v>0</v>
      </c>
      <c r="H31" s="12">
        <f t="shared" si="29"/>
        <v>1450000</v>
      </c>
      <c r="I31" s="12">
        <f t="shared" si="29"/>
        <v>2450000</v>
      </c>
      <c r="J31" s="12">
        <f t="shared" si="29"/>
        <v>3500000</v>
      </c>
      <c r="K31" s="12">
        <f t="shared" si="29"/>
        <v>2000000</v>
      </c>
      <c r="L31" s="13">
        <f t="shared" si="29"/>
        <v>0</v>
      </c>
    </row>
    <row r="32" spans="1:12" x14ac:dyDescent="0.25">
      <c r="A32" s="9" t="s">
        <v>11</v>
      </c>
      <c r="B32" s="54">
        <f t="shared" ref="B32:L32" si="30">B204+B714</f>
        <v>0</v>
      </c>
      <c r="C32" s="54">
        <f t="shared" si="30"/>
        <v>0</v>
      </c>
      <c r="D32" s="54">
        <f t="shared" si="30"/>
        <v>0</v>
      </c>
      <c r="E32" s="54">
        <f t="shared" si="30"/>
        <v>0</v>
      </c>
      <c r="F32" s="54">
        <f t="shared" si="30"/>
        <v>0</v>
      </c>
      <c r="G32" s="54">
        <f t="shared" si="30"/>
        <v>0</v>
      </c>
      <c r="H32" s="54">
        <f t="shared" si="30"/>
        <v>0</v>
      </c>
      <c r="I32" s="54">
        <f t="shared" si="30"/>
        <v>0</v>
      </c>
      <c r="J32" s="54">
        <f t="shared" si="30"/>
        <v>0</v>
      </c>
      <c r="K32" s="54">
        <f t="shared" si="30"/>
        <v>0</v>
      </c>
      <c r="L32" s="17">
        <f t="shared" si="30"/>
        <v>0</v>
      </c>
    </row>
    <row r="33" spans="1:16" ht="39.75" thickBot="1" x14ac:dyDescent="0.3">
      <c r="A33" s="10" t="s">
        <v>12</v>
      </c>
      <c r="B33" s="112">
        <f t="shared" ref="B33:L33" si="31">B205+B715</f>
        <v>9400000</v>
      </c>
      <c r="C33" s="112">
        <f t="shared" si="31"/>
        <v>0</v>
      </c>
      <c r="D33" s="112">
        <f t="shared" si="31"/>
        <v>0</v>
      </c>
      <c r="E33" s="112">
        <f t="shared" si="31"/>
        <v>0</v>
      </c>
      <c r="F33" s="112">
        <f t="shared" si="31"/>
        <v>0</v>
      </c>
      <c r="G33" s="112">
        <f t="shared" si="31"/>
        <v>0</v>
      </c>
      <c r="H33" s="112">
        <f t="shared" si="31"/>
        <v>1450000</v>
      </c>
      <c r="I33" s="112">
        <f t="shared" si="31"/>
        <v>2450000</v>
      </c>
      <c r="J33" s="112">
        <f t="shared" si="31"/>
        <v>3500000</v>
      </c>
      <c r="K33" s="112">
        <f t="shared" si="31"/>
        <v>2000000</v>
      </c>
      <c r="L33" s="113">
        <f t="shared" si="31"/>
        <v>0</v>
      </c>
    </row>
    <row r="34" spans="1:16" x14ac:dyDescent="0.25">
      <c r="A34" s="214" t="s">
        <v>105</v>
      </c>
      <c r="B34" s="112">
        <f>B35+B36</f>
        <v>4095467</v>
      </c>
      <c r="C34" s="112">
        <f t="shared" ref="C34:F34" si="32">C35+C36</f>
        <v>1582480</v>
      </c>
      <c r="D34" s="112">
        <f t="shared" si="32"/>
        <v>1361437</v>
      </c>
      <c r="E34" s="112">
        <f t="shared" si="32"/>
        <v>1151550</v>
      </c>
      <c r="F34" s="112">
        <f t="shared" si="32"/>
        <v>0</v>
      </c>
      <c r="G34" s="112" t="s">
        <v>101</v>
      </c>
      <c r="H34" s="112" t="s">
        <v>101</v>
      </c>
      <c r="I34" s="112" t="s">
        <v>101</v>
      </c>
      <c r="J34" s="112" t="s">
        <v>101</v>
      </c>
      <c r="K34" s="112" t="s">
        <v>101</v>
      </c>
      <c r="L34" s="113" t="s">
        <v>101</v>
      </c>
    </row>
    <row r="35" spans="1:16" x14ac:dyDescent="0.25">
      <c r="A35" s="9" t="s">
        <v>11</v>
      </c>
      <c r="B35" s="112">
        <f>B54</f>
        <v>4095467</v>
      </c>
      <c r="C35" s="112">
        <f t="shared" ref="C35:F35" si="33">C54</f>
        <v>1582480</v>
      </c>
      <c r="D35" s="112">
        <f t="shared" si="33"/>
        <v>1361437</v>
      </c>
      <c r="E35" s="112">
        <f t="shared" si="33"/>
        <v>1151550</v>
      </c>
      <c r="F35" s="112">
        <f t="shared" si="33"/>
        <v>0</v>
      </c>
      <c r="G35" s="112" t="s">
        <v>101</v>
      </c>
      <c r="H35" s="112" t="s">
        <v>101</v>
      </c>
      <c r="I35" s="112" t="s">
        <v>101</v>
      </c>
      <c r="J35" s="112" t="s">
        <v>101</v>
      </c>
      <c r="K35" s="112" t="s">
        <v>101</v>
      </c>
      <c r="L35" s="113" t="s">
        <v>101</v>
      </c>
    </row>
    <row r="36" spans="1:16" ht="39" customHeight="1" thickBot="1" x14ac:dyDescent="0.3">
      <c r="A36" s="10" t="s">
        <v>12</v>
      </c>
      <c r="B36" s="30">
        <f>B55</f>
        <v>0</v>
      </c>
      <c r="C36" s="30">
        <f t="shared" ref="C36:L36" si="34">C55</f>
        <v>0</v>
      </c>
      <c r="D36" s="30">
        <f t="shared" si="34"/>
        <v>0</v>
      </c>
      <c r="E36" s="30">
        <f t="shared" si="34"/>
        <v>0</v>
      </c>
      <c r="F36" s="30">
        <f t="shared" si="34"/>
        <v>0</v>
      </c>
      <c r="G36" s="30">
        <f t="shared" si="34"/>
        <v>0</v>
      </c>
      <c r="H36" s="30">
        <f t="shared" si="34"/>
        <v>0</v>
      </c>
      <c r="I36" s="30">
        <f t="shared" si="34"/>
        <v>0</v>
      </c>
      <c r="J36" s="30">
        <f t="shared" si="34"/>
        <v>0</v>
      </c>
      <c r="K36" s="30">
        <f t="shared" si="34"/>
        <v>0</v>
      </c>
      <c r="L36" s="31">
        <f t="shared" si="34"/>
        <v>0</v>
      </c>
    </row>
    <row r="37" spans="1:16" ht="15.75" thickBot="1" x14ac:dyDescent="0.3">
      <c r="A37" s="222" t="s">
        <v>90</v>
      </c>
      <c r="B37" s="223"/>
      <c r="C37" s="223"/>
      <c r="D37" s="223"/>
      <c r="E37" s="223"/>
      <c r="F37" s="223"/>
      <c r="G37" s="223"/>
      <c r="H37" s="223"/>
      <c r="I37" s="223"/>
      <c r="J37" s="223"/>
      <c r="K37" s="223"/>
      <c r="L37" s="224"/>
    </row>
    <row r="38" spans="1:16" x14ac:dyDescent="0.25">
      <c r="A38" s="70" t="s">
        <v>5</v>
      </c>
      <c r="B38" s="71">
        <f>B39+B40+B41+B42</f>
        <v>11361905946.652285</v>
      </c>
      <c r="C38" s="71">
        <f t="shared" ref="C38:F38" si="35">C39+C40+C41+C42</f>
        <v>3156239274</v>
      </c>
      <c r="D38" s="71">
        <f t="shared" si="35"/>
        <v>3217495164</v>
      </c>
      <c r="E38" s="71">
        <f t="shared" si="35"/>
        <v>3360203861</v>
      </c>
      <c r="F38" s="71">
        <f t="shared" si="35"/>
        <v>0</v>
      </c>
      <c r="G38" s="121">
        <f>G40+G41+G42</f>
        <v>124099742.23100001</v>
      </c>
      <c r="H38" s="121">
        <f t="shared" ref="H38:L38" si="36">H40+H41+H42</f>
        <v>182708053.54209012</v>
      </c>
      <c r="I38" s="121">
        <f t="shared" si="36"/>
        <v>232643758.52598229</v>
      </c>
      <c r="J38" s="121">
        <f t="shared" si="36"/>
        <v>280042221.91067338</v>
      </c>
      <c r="K38" s="121">
        <f t="shared" si="36"/>
        <v>354986020.75126946</v>
      </c>
      <c r="L38" s="119">
        <f t="shared" si="36"/>
        <v>453487850.69126946</v>
      </c>
    </row>
    <row r="39" spans="1:16" x14ac:dyDescent="0.25">
      <c r="A39" s="59" t="s">
        <v>6</v>
      </c>
      <c r="B39" s="72">
        <f>SUM(C39:F39)</f>
        <v>69276831</v>
      </c>
      <c r="C39" s="72">
        <f>C58</f>
        <v>25041101</v>
      </c>
      <c r="D39" s="72">
        <f t="shared" ref="D39:F39" si="37">D58</f>
        <v>23060234</v>
      </c>
      <c r="E39" s="72">
        <f t="shared" si="37"/>
        <v>21175496</v>
      </c>
      <c r="F39" s="72">
        <f t="shared" si="37"/>
        <v>0</v>
      </c>
      <c r="G39" s="72" t="s">
        <v>101</v>
      </c>
      <c r="H39" s="72" t="s">
        <v>101</v>
      </c>
      <c r="I39" s="72" t="s">
        <v>101</v>
      </c>
      <c r="J39" s="72" t="s">
        <v>101</v>
      </c>
      <c r="K39" s="72" t="s">
        <v>101</v>
      </c>
      <c r="L39" s="73" t="s">
        <v>101</v>
      </c>
    </row>
    <row r="40" spans="1:16" x14ac:dyDescent="0.25">
      <c r="A40" s="59" t="s">
        <v>7</v>
      </c>
      <c r="B40" s="72">
        <f>SUM(C40:L40)</f>
        <v>0</v>
      </c>
      <c r="C40" s="72">
        <v>0</v>
      </c>
      <c r="D40" s="72">
        <v>0</v>
      </c>
      <c r="E40" s="72">
        <v>0</v>
      </c>
      <c r="F40" s="72">
        <v>0</v>
      </c>
      <c r="G40" s="72">
        <v>0</v>
      </c>
      <c r="H40" s="72">
        <v>0</v>
      </c>
      <c r="I40" s="72">
        <v>0</v>
      </c>
      <c r="J40" s="72">
        <v>0</v>
      </c>
      <c r="K40" s="72">
        <v>0</v>
      </c>
      <c r="L40" s="73">
        <v>0</v>
      </c>
    </row>
    <row r="41" spans="1:16" ht="26.25" x14ac:dyDescent="0.25">
      <c r="A41" s="59" t="s">
        <v>8</v>
      </c>
      <c r="B41" s="72">
        <f>SUM(C41:L41)</f>
        <v>0</v>
      </c>
      <c r="C41" s="72">
        <v>0</v>
      </c>
      <c r="D41" s="72">
        <v>0</v>
      </c>
      <c r="E41" s="72">
        <v>0</v>
      </c>
      <c r="F41" s="72">
        <v>0</v>
      </c>
      <c r="G41" s="72">
        <v>0</v>
      </c>
      <c r="H41" s="72">
        <v>0</v>
      </c>
      <c r="I41" s="72">
        <v>0</v>
      </c>
      <c r="J41" s="72">
        <v>0</v>
      </c>
      <c r="K41" s="72">
        <v>0</v>
      </c>
      <c r="L41" s="73">
        <v>0</v>
      </c>
      <c r="O41" s="86"/>
      <c r="P41" s="86"/>
    </row>
    <row r="42" spans="1:16" x14ac:dyDescent="0.25">
      <c r="A42" s="42" t="s">
        <v>9</v>
      </c>
      <c r="B42" s="74">
        <f>B44+B45+B46</f>
        <v>11292629115.652285</v>
      </c>
      <c r="C42" s="74">
        <f t="shared" ref="C42:L42" si="38">C44+C45+C46</f>
        <v>3131198173</v>
      </c>
      <c r="D42" s="74">
        <f t="shared" si="38"/>
        <v>3194434930</v>
      </c>
      <c r="E42" s="74">
        <f t="shared" si="38"/>
        <v>3339028365</v>
      </c>
      <c r="F42" s="74">
        <f t="shared" si="38"/>
        <v>0</v>
      </c>
      <c r="G42" s="161">
        <f t="shared" si="38"/>
        <v>124099742.23100001</v>
      </c>
      <c r="H42" s="161">
        <f t="shared" si="38"/>
        <v>182708053.54209012</v>
      </c>
      <c r="I42" s="161">
        <f t="shared" si="38"/>
        <v>232643758.52598229</v>
      </c>
      <c r="J42" s="161">
        <f t="shared" si="38"/>
        <v>280042221.91067338</v>
      </c>
      <c r="K42" s="161">
        <f t="shared" si="38"/>
        <v>354986020.75126946</v>
      </c>
      <c r="L42" s="162">
        <f t="shared" si="38"/>
        <v>453487850.69126946</v>
      </c>
    </row>
    <row r="43" spans="1:16" x14ac:dyDescent="0.25">
      <c r="A43" s="51" t="s">
        <v>10</v>
      </c>
      <c r="B43" s="72"/>
      <c r="C43" s="72"/>
      <c r="D43" s="72"/>
      <c r="E43" s="72"/>
      <c r="F43" s="72"/>
      <c r="G43" s="72"/>
      <c r="H43" s="72"/>
      <c r="I43" s="72"/>
      <c r="J43" s="72"/>
      <c r="K43" s="72"/>
      <c r="L43" s="73"/>
      <c r="N43" s="86"/>
      <c r="O43" s="86"/>
      <c r="P43" s="86"/>
    </row>
    <row r="44" spans="1:16" x14ac:dyDescent="0.25">
      <c r="A44" s="51" t="s">
        <v>11</v>
      </c>
      <c r="B44" s="53">
        <f>B50+B54</f>
        <v>2061972305</v>
      </c>
      <c r="C44" s="53">
        <f t="shared" ref="C44:F44" si="39">C50+C54</f>
        <v>492764409</v>
      </c>
      <c r="D44" s="53">
        <f t="shared" si="39"/>
        <v>499937819</v>
      </c>
      <c r="E44" s="53">
        <f t="shared" si="39"/>
        <v>505806562</v>
      </c>
      <c r="F44" s="53">
        <f t="shared" si="39"/>
        <v>0</v>
      </c>
      <c r="G44" s="166">
        <f>G50</f>
        <v>84440190</v>
      </c>
      <c r="H44" s="166">
        <f t="shared" ref="H44:L44" si="40">H50</f>
        <v>94660665</v>
      </c>
      <c r="I44" s="166">
        <f t="shared" si="40"/>
        <v>94660665</v>
      </c>
      <c r="J44" s="166">
        <f t="shared" si="40"/>
        <v>94660665</v>
      </c>
      <c r="K44" s="166">
        <f t="shared" si="40"/>
        <v>97660665</v>
      </c>
      <c r="L44" s="167">
        <f t="shared" si="40"/>
        <v>97380665</v>
      </c>
      <c r="N44" s="86"/>
      <c r="O44" s="86"/>
      <c r="P44" s="86"/>
    </row>
    <row r="45" spans="1:16" ht="16.5" customHeight="1" x14ac:dyDescent="0.25">
      <c r="A45" s="89" t="s">
        <v>104</v>
      </c>
      <c r="B45" s="90">
        <f>B51</f>
        <v>9170491687.6522846</v>
      </c>
      <c r="C45" s="90">
        <f t="shared" ref="C45:L45" si="41">C51</f>
        <v>2625108828</v>
      </c>
      <c r="D45" s="90">
        <f t="shared" si="41"/>
        <v>2686106543</v>
      </c>
      <c r="E45" s="90">
        <f t="shared" si="41"/>
        <v>2833052184</v>
      </c>
      <c r="F45" s="90">
        <f t="shared" si="41"/>
        <v>0</v>
      </c>
      <c r="G45" s="114">
        <f t="shared" si="41"/>
        <v>38384552.230999999</v>
      </c>
      <c r="H45" s="114">
        <f t="shared" si="41"/>
        <v>78430569.542090103</v>
      </c>
      <c r="I45" s="114">
        <f t="shared" si="41"/>
        <v>128662230.52598229</v>
      </c>
      <c r="J45" s="114">
        <f t="shared" si="41"/>
        <v>176502515.91067338</v>
      </c>
      <c r="K45" s="114">
        <f t="shared" si="41"/>
        <v>251865560.75126943</v>
      </c>
      <c r="L45" s="171">
        <f t="shared" si="41"/>
        <v>352378703.69126946</v>
      </c>
      <c r="N45" s="86"/>
      <c r="O45" s="86"/>
      <c r="P45" s="86"/>
    </row>
    <row r="46" spans="1:16" ht="39.75" thickBot="1" x14ac:dyDescent="0.3">
      <c r="A46" s="27" t="s">
        <v>12</v>
      </c>
      <c r="B46" s="28">
        <f>B52+B55</f>
        <v>60165123</v>
      </c>
      <c r="C46" s="28">
        <f t="shared" ref="C46:L46" si="42">C52+C55</f>
        <v>13324936</v>
      </c>
      <c r="D46" s="28">
        <f t="shared" si="42"/>
        <v>8390568</v>
      </c>
      <c r="E46" s="28">
        <f t="shared" si="42"/>
        <v>169619</v>
      </c>
      <c r="F46" s="28">
        <f t="shared" si="42"/>
        <v>0</v>
      </c>
      <c r="G46" s="28">
        <f t="shared" si="42"/>
        <v>1275000</v>
      </c>
      <c r="H46" s="28">
        <f t="shared" si="42"/>
        <v>9616819</v>
      </c>
      <c r="I46" s="28">
        <f t="shared" si="42"/>
        <v>9320863</v>
      </c>
      <c r="J46" s="28">
        <f t="shared" si="42"/>
        <v>8879041</v>
      </c>
      <c r="K46" s="28">
        <f t="shared" si="42"/>
        <v>5459795</v>
      </c>
      <c r="L46" s="29">
        <f t="shared" si="42"/>
        <v>3728482</v>
      </c>
      <c r="N46" s="86"/>
      <c r="O46" s="86"/>
      <c r="P46" s="86"/>
    </row>
    <row r="47" spans="1:16" x14ac:dyDescent="0.25">
      <c r="A47" s="5" t="s">
        <v>13</v>
      </c>
      <c r="B47" s="12"/>
      <c r="C47" s="12"/>
      <c r="D47" s="12"/>
      <c r="E47" s="12"/>
      <c r="F47" s="12"/>
      <c r="G47" s="12"/>
      <c r="H47" s="12"/>
      <c r="I47" s="12"/>
      <c r="J47" s="12"/>
      <c r="K47" s="12"/>
      <c r="L47" s="13"/>
    </row>
    <row r="48" spans="1:16" x14ac:dyDescent="0.25">
      <c r="A48" s="6" t="s">
        <v>14</v>
      </c>
      <c r="B48" s="14"/>
      <c r="C48" s="14"/>
      <c r="D48" s="14"/>
      <c r="E48" s="14"/>
      <c r="F48" s="14"/>
      <c r="G48" s="14"/>
      <c r="H48" s="14"/>
      <c r="I48" s="14"/>
      <c r="J48" s="14"/>
      <c r="K48" s="14"/>
      <c r="L48" s="15"/>
    </row>
    <row r="49" spans="1:13" x14ac:dyDescent="0.25">
      <c r="A49" s="16" t="s">
        <v>16</v>
      </c>
      <c r="B49" s="14">
        <f>B50+B51+B52</f>
        <v>11288533648.652285</v>
      </c>
      <c r="C49" s="14">
        <f t="shared" ref="C49:L49" si="43">C50+C51+C52</f>
        <v>3129615693</v>
      </c>
      <c r="D49" s="14">
        <f t="shared" si="43"/>
        <v>3193073493</v>
      </c>
      <c r="E49" s="14">
        <f t="shared" si="43"/>
        <v>3337876815</v>
      </c>
      <c r="F49" s="14">
        <f t="shared" si="43"/>
        <v>0</v>
      </c>
      <c r="G49" s="148">
        <f t="shared" si="43"/>
        <v>124099742.23100001</v>
      </c>
      <c r="H49" s="148">
        <f t="shared" si="43"/>
        <v>182708053.54209012</v>
      </c>
      <c r="I49" s="148">
        <f t="shared" si="43"/>
        <v>232643758.52598229</v>
      </c>
      <c r="J49" s="148">
        <f t="shared" si="43"/>
        <v>280042221.91067338</v>
      </c>
      <c r="K49" s="148">
        <f t="shared" si="43"/>
        <v>354986020.75126946</v>
      </c>
      <c r="L49" s="149">
        <f t="shared" si="43"/>
        <v>453487850.69126946</v>
      </c>
    </row>
    <row r="50" spans="1:13" x14ac:dyDescent="0.25">
      <c r="A50" s="9" t="s">
        <v>11</v>
      </c>
      <c r="B50" s="54">
        <f>SUM(C50:L50)</f>
        <v>2057876838</v>
      </c>
      <c r="C50" s="54">
        <f>C63+C82++C103+C107+C118++C146+C162+C176</f>
        <v>491181929</v>
      </c>
      <c r="D50" s="54">
        <f>D63+D82++D103+D107+D118++D146+D162+D176</f>
        <v>498576382</v>
      </c>
      <c r="E50" s="54">
        <f>E63+E82++E103+E107+E118++E146+E162+E176</f>
        <v>504655012</v>
      </c>
      <c r="F50" s="54">
        <f>F63+F82++F103+F107+F118++F146+F162+F176</f>
        <v>0</v>
      </c>
      <c r="G50" s="111">
        <f t="shared" ref="G50:L50" si="44">G63+G82+G118+G146+G162+G176</f>
        <v>84440190</v>
      </c>
      <c r="H50" s="111">
        <f t="shared" si="44"/>
        <v>94660665</v>
      </c>
      <c r="I50" s="111">
        <f t="shared" si="44"/>
        <v>94660665</v>
      </c>
      <c r="J50" s="111">
        <f t="shared" si="44"/>
        <v>94660665</v>
      </c>
      <c r="K50" s="111">
        <f t="shared" si="44"/>
        <v>97660665</v>
      </c>
      <c r="L50" s="172">
        <f t="shared" si="44"/>
        <v>97380665</v>
      </c>
    </row>
    <row r="51" spans="1:13" ht="16.5" customHeight="1" x14ac:dyDescent="0.25">
      <c r="A51" s="9" t="s">
        <v>104</v>
      </c>
      <c r="B51" s="54">
        <f>SUM(C51:L51)</f>
        <v>9170491687.6522846</v>
      </c>
      <c r="C51" s="54">
        <f>C64+C83+C132+C147</f>
        <v>2625108828</v>
      </c>
      <c r="D51" s="54">
        <f>D64+D83+D132+D147</f>
        <v>2686106543</v>
      </c>
      <c r="E51" s="54">
        <f>E64+E83+E132+E147</f>
        <v>2833052184</v>
      </c>
      <c r="F51" s="54">
        <f>F64+F83+F132+F147</f>
        <v>0</v>
      </c>
      <c r="G51" s="111">
        <f>G83+G132</f>
        <v>38384552.230999999</v>
      </c>
      <c r="H51" s="111">
        <f t="shared" ref="H51:L51" si="45">H83+H132</f>
        <v>78430569.542090103</v>
      </c>
      <c r="I51" s="111">
        <f t="shared" si="45"/>
        <v>128662230.52598229</v>
      </c>
      <c r="J51" s="111">
        <f t="shared" si="45"/>
        <v>176502515.91067338</v>
      </c>
      <c r="K51" s="111">
        <f t="shared" si="45"/>
        <v>251865560.75126943</v>
      </c>
      <c r="L51" s="172">
        <f t="shared" si="45"/>
        <v>352378703.69126946</v>
      </c>
    </row>
    <row r="52" spans="1:13" ht="42" customHeight="1" x14ac:dyDescent="0.25">
      <c r="A52" s="9" t="s">
        <v>12</v>
      </c>
      <c r="B52" s="54">
        <f>SUM(C52:L52)</f>
        <v>60165123</v>
      </c>
      <c r="C52" s="54">
        <f t="shared" ref="C52:L52" si="46">+C65+C84+C119+C133+C148+C163+C177</f>
        <v>13324936</v>
      </c>
      <c r="D52" s="54">
        <f t="shared" si="46"/>
        <v>8390568</v>
      </c>
      <c r="E52" s="54">
        <f t="shared" si="46"/>
        <v>169619</v>
      </c>
      <c r="F52" s="54">
        <f t="shared" si="46"/>
        <v>0</v>
      </c>
      <c r="G52" s="54">
        <f t="shared" si="46"/>
        <v>1275000</v>
      </c>
      <c r="H52" s="54">
        <f t="shared" si="46"/>
        <v>9616819</v>
      </c>
      <c r="I52" s="54">
        <f t="shared" si="46"/>
        <v>9320863</v>
      </c>
      <c r="J52" s="54">
        <f t="shared" si="46"/>
        <v>8879041</v>
      </c>
      <c r="K52" s="54">
        <f t="shared" si="46"/>
        <v>5459795</v>
      </c>
      <c r="L52" s="17">
        <f t="shared" si="46"/>
        <v>3728482</v>
      </c>
    </row>
    <row r="53" spans="1:13" x14ac:dyDescent="0.25">
      <c r="A53" s="145" t="s">
        <v>105</v>
      </c>
      <c r="B53" s="68">
        <f>B54+B55</f>
        <v>4095467</v>
      </c>
      <c r="C53" s="68">
        <f t="shared" ref="C53:F53" si="47">C54+C55</f>
        <v>1582480</v>
      </c>
      <c r="D53" s="68">
        <f t="shared" si="47"/>
        <v>1361437</v>
      </c>
      <c r="E53" s="68">
        <f t="shared" si="47"/>
        <v>1151550</v>
      </c>
      <c r="F53" s="68">
        <f t="shared" si="47"/>
        <v>0</v>
      </c>
      <c r="G53" s="68" t="s">
        <v>101</v>
      </c>
      <c r="H53" s="68" t="s">
        <v>101</v>
      </c>
      <c r="I53" s="68" t="s">
        <v>101</v>
      </c>
      <c r="J53" s="68" t="s">
        <v>101</v>
      </c>
      <c r="K53" s="68" t="s">
        <v>101</v>
      </c>
      <c r="L53" s="69" t="s">
        <v>101</v>
      </c>
    </row>
    <row r="54" spans="1:13" x14ac:dyDescent="0.25">
      <c r="A54" s="9" t="s">
        <v>11</v>
      </c>
      <c r="B54" s="68">
        <f>SUM(C54:F54)</f>
        <v>4095467</v>
      </c>
      <c r="C54" s="68">
        <f>C73</f>
        <v>1582480</v>
      </c>
      <c r="D54" s="68">
        <f t="shared" ref="D54:E54" si="48">D73</f>
        <v>1361437</v>
      </c>
      <c r="E54" s="68">
        <f t="shared" si="48"/>
        <v>1151550</v>
      </c>
      <c r="F54" s="68">
        <v>0</v>
      </c>
      <c r="G54" s="68" t="s">
        <v>101</v>
      </c>
      <c r="H54" s="68" t="s">
        <v>101</v>
      </c>
      <c r="I54" s="68" t="s">
        <v>101</v>
      </c>
      <c r="J54" s="68" t="s">
        <v>101</v>
      </c>
      <c r="K54" s="68" t="s">
        <v>101</v>
      </c>
      <c r="L54" s="69" t="s">
        <v>101</v>
      </c>
    </row>
    <row r="55" spans="1:13" ht="43.5" customHeight="1" thickBot="1" x14ac:dyDescent="0.3">
      <c r="A55" s="9" t="s">
        <v>12</v>
      </c>
      <c r="B55" s="68">
        <f>SUM(C55:L55)</f>
        <v>0</v>
      </c>
      <c r="C55" s="68">
        <v>0</v>
      </c>
      <c r="D55" s="68">
        <v>0</v>
      </c>
      <c r="E55" s="68">
        <v>0</v>
      </c>
      <c r="F55" s="68">
        <v>0</v>
      </c>
      <c r="G55" s="68">
        <v>0</v>
      </c>
      <c r="H55" s="68">
        <v>0</v>
      </c>
      <c r="I55" s="68">
        <v>0</v>
      </c>
      <c r="J55" s="68">
        <v>0</v>
      </c>
      <c r="K55" s="68">
        <v>0</v>
      </c>
      <c r="L55" s="147">
        <v>0</v>
      </c>
    </row>
    <row r="56" spans="1:13" ht="33" customHeight="1" x14ac:dyDescent="0.25">
      <c r="A56" s="219" t="s">
        <v>102</v>
      </c>
      <c r="B56" s="220"/>
      <c r="C56" s="220"/>
      <c r="D56" s="220"/>
      <c r="E56" s="220"/>
      <c r="F56" s="220"/>
      <c r="G56" s="220"/>
      <c r="H56" s="220"/>
      <c r="I56" s="220"/>
      <c r="J56" s="220"/>
      <c r="K56" s="220"/>
      <c r="L56" s="221"/>
      <c r="M56" s="216" t="s">
        <v>117</v>
      </c>
    </row>
    <row r="57" spans="1:13" x14ac:dyDescent="0.25">
      <c r="A57" s="76" t="s">
        <v>5</v>
      </c>
      <c r="B57" s="60">
        <f>B58+B59+B60+B61</f>
        <v>1268955699</v>
      </c>
      <c r="C57" s="60">
        <f t="shared" ref="C57:F57" si="49">C58+C59+C60+C61</f>
        <v>398637488</v>
      </c>
      <c r="D57" s="60">
        <f t="shared" si="49"/>
        <v>400704758</v>
      </c>
      <c r="E57" s="60">
        <f t="shared" si="49"/>
        <v>400178186</v>
      </c>
      <c r="F57" s="60">
        <f t="shared" si="49"/>
        <v>0</v>
      </c>
      <c r="G57" s="161">
        <f>G61+G60+G59</f>
        <v>3055482</v>
      </c>
      <c r="H57" s="161">
        <f t="shared" ref="H57:L57" si="50">H61+H60+H59</f>
        <v>13275957</v>
      </c>
      <c r="I57" s="161">
        <f t="shared" si="50"/>
        <v>13275957</v>
      </c>
      <c r="J57" s="161">
        <f t="shared" si="50"/>
        <v>13275957</v>
      </c>
      <c r="K57" s="161">
        <f t="shared" si="50"/>
        <v>13275957</v>
      </c>
      <c r="L57" s="162">
        <f t="shared" si="50"/>
        <v>13275957</v>
      </c>
      <c r="M57" s="216"/>
    </row>
    <row r="58" spans="1:13" ht="15" customHeight="1" x14ac:dyDescent="0.25">
      <c r="A58" s="39" t="s">
        <v>6</v>
      </c>
      <c r="B58" s="77">
        <f>SUM(C58:E58)</f>
        <v>69276831</v>
      </c>
      <c r="C58" s="77">
        <v>25041101</v>
      </c>
      <c r="D58" s="77">
        <v>23060234</v>
      </c>
      <c r="E58" s="77">
        <v>21175496</v>
      </c>
      <c r="F58" s="77">
        <v>0</v>
      </c>
      <c r="G58" s="77" t="s">
        <v>101</v>
      </c>
      <c r="H58" s="77" t="s">
        <v>101</v>
      </c>
      <c r="I58" s="77" t="s">
        <v>101</v>
      </c>
      <c r="J58" s="77" t="s">
        <v>101</v>
      </c>
      <c r="K58" s="77" t="s">
        <v>101</v>
      </c>
      <c r="L58" s="79" t="s">
        <v>101</v>
      </c>
      <c r="M58" s="216"/>
    </row>
    <row r="59" spans="1:13" ht="15" customHeight="1" x14ac:dyDescent="0.25">
      <c r="A59" s="39" t="s">
        <v>7</v>
      </c>
      <c r="B59" s="77">
        <f>SUM(C59:L59)</f>
        <v>0</v>
      </c>
      <c r="C59" s="77">
        <v>0</v>
      </c>
      <c r="D59" s="77">
        <v>0</v>
      </c>
      <c r="E59" s="77">
        <v>0</v>
      </c>
      <c r="F59" s="77">
        <v>0</v>
      </c>
      <c r="G59" s="77">
        <v>0</v>
      </c>
      <c r="H59" s="77">
        <v>0</v>
      </c>
      <c r="I59" s="77">
        <v>0</v>
      </c>
      <c r="J59" s="77">
        <v>0</v>
      </c>
      <c r="K59" s="77">
        <v>0</v>
      </c>
      <c r="L59" s="79">
        <v>0</v>
      </c>
      <c r="M59" s="216"/>
    </row>
    <row r="60" spans="1:13" ht="26.25" x14ac:dyDescent="0.25">
      <c r="A60" s="39" t="s">
        <v>8</v>
      </c>
      <c r="B60" s="77">
        <f>SUM(C60:L60)</f>
        <v>0</v>
      </c>
      <c r="C60" s="77">
        <v>0</v>
      </c>
      <c r="D60" s="77">
        <v>0</v>
      </c>
      <c r="E60" s="77">
        <v>0</v>
      </c>
      <c r="F60" s="77">
        <v>0</v>
      </c>
      <c r="G60" s="77">
        <v>0</v>
      </c>
      <c r="H60" s="77">
        <v>0</v>
      </c>
      <c r="I60" s="77">
        <v>0</v>
      </c>
      <c r="J60" s="77">
        <v>0</v>
      </c>
      <c r="K60" s="77">
        <v>0</v>
      </c>
      <c r="L60" s="79">
        <v>0</v>
      </c>
      <c r="M60" s="216"/>
    </row>
    <row r="61" spans="1:13" x14ac:dyDescent="0.25">
      <c r="A61" s="38" t="s">
        <v>9</v>
      </c>
      <c r="B61" s="60">
        <f>B63+B64+B65</f>
        <v>1199678868</v>
      </c>
      <c r="C61" s="60">
        <f t="shared" ref="C61:F61" si="51">C63+C64+C65</f>
        <v>373596387</v>
      </c>
      <c r="D61" s="60">
        <f t="shared" si="51"/>
        <v>377644524</v>
      </c>
      <c r="E61" s="60">
        <f t="shared" si="51"/>
        <v>379002690</v>
      </c>
      <c r="F61" s="60">
        <f t="shared" si="51"/>
        <v>0</v>
      </c>
      <c r="G61" s="161">
        <f>G63</f>
        <v>3055482</v>
      </c>
      <c r="H61" s="161">
        <f t="shared" ref="H61:L61" si="52">H63</f>
        <v>13275957</v>
      </c>
      <c r="I61" s="161">
        <f t="shared" si="52"/>
        <v>13275957</v>
      </c>
      <c r="J61" s="161">
        <f t="shared" si="52"/>
        <v>13275957</v>
      </c>
      <c r="K61" s="161">
        <f t="shared" si="52"/>
        <v>13275957</v>
      </c>
      <c r="L61" s="162">
        <f t="shared" si="52"/>
        <v>13275957</v>
      </c>
      <c r="M61" s="216"/>
    </row>
    <row r="62" spans="1:13" x14ac:dyDescent="0.25">
      <c r="A62" s="39" t="s">
        <v>10</v>
      </c>
      <c r="B62" s="77"/>
      <c r="C62" s="77"/>
      <c r="D62" s="77"/>
      <c r="E62" s="77"/>
      <c r="F62" s="77"/>
      <c r="G62" s="77"/>
      <c r="H62" s="77"/>
      <c r="I62" s="77"/>
      <c r="J62" s="77"/>
      <c r="K62" s="77"/>
      <c r="L62" s="79"/>
      <c r="M62" s="216"/>
    </row>
    <row r="63" spans="1:13" x14ac:dyDescent="0.25">
      <c r="A63" s="39" t="s">
        <v>11</v>
      </c>
      <c r="B63" s="40">
        <f>B69+B73</f>
        <v>1025827541</v>
      </c>
      <c r="C63" s="40">
        <f>C69+C73</f>
        <v>315854375</v>
      </c>
      <c r="D63" s="40">
        <f>D69+D73</f>
        <v>319707289</v>
      </c>
      <c r="E63" s="40">
        <f>E69+E73</f>
        <v>320830610</v>
      </c>
      <c r="F63" s="77">
        <f>F69+F73</f>
        <v>0</v>
      </c>
      <c r="G63" s="78">
        <f>G69</f>
        <v>3055482</v>
      </c>
      <c r="H63" s="78">
        <f t="shared" ref="H63:L63" si="53">H69</f>
        <v>13275957</v>
      </c>
      <c r="I63" s="78">
        <f t="shared" si="53"/>
        <v>13275957</v>
      </c>
      <c r="J63" s="78">
        <f t="shared" si="53"/>
        <v>13275957</v>
      </c>
      <c r="K63" s="78">
        <f t="shared" si="53"/>
        <v>13275957</v>
      </c>
      <c r="L63" s="160">
        <f t="shared" si="53"/>
        <v>13275957</v>
      </c>
      <c r="M63" s="216"/>
    </row>
    <row r="64" spans="1:13" ht="15" customHeight="1" x14ac:dyDescent="0.25">
      <c r="A64" s="62" t="s">
        <v>104</v>
      </c>
      <c r="B64" s="63">
        <f>B70</f>
        <v>173851327</v>
      </c>
      <c r="C64" s="63">
        <f t="shared" ref="C64:F64" si="54">C70</f>
        <v>57742012</v>
      </c>
      <c r="D64" s="63">
        <f t="shared" si="54"/>
        <v>57937235</v>
      </c>
      <c r="E64" s="63">
        <f t="shared" si="54"/>
        <v>58172080</v>
      </c>
      <c r="F64" s="152">
        <f t="shared" si="54"/>
        <v>0</v>
      </c>
      <c r="G64" s="152" t="s">
        <v>101</v>
      </c>
      <c r="H64" s="152" t="s">
        <v>101</v>
      </c>
      <c r="I64" s="152" t="s">
        <v>101</v>
      </c>
      <c r="J64" s="152" t="s">
        <v>101</v>
      </c>
      <c r="K64" s="152" t="s">
        <v>101</v>
      </c>
      <c r="L64" s="153" t="s">
        <v>101</v>
      </c>
      <c r="M64" s="216"/>
    </row>
    <row r="65" spans="1:13" ht="39.75" thickBot="1" x14ac:dyDescent="0.3">
      <c r="A65" s="80" t="s">
        <v>12</v>
      </c>
      <c r="B65" s="154">
        <f>SUM(C65:L65)</f>
        <v>0</v>
      </c>
      <c r="C65" s="154">
        <v>0</v>
      </c>
      <c r="D65" s="154">
        <v>0</v>
      </c>
      <c r="E65" s="154">
        <v>0</v>
      </c>
      <c r="F65" s="154">
        <v>0</v>
      </c>
      <c r="G65" s="154">
        <v>0</v>
      </c>
      <c r="H65" s="154">
        <v>0</v>
      </c>
      <c r="I65" s="154">
        <v>0</v>
      </c>
      <c r="J65" s="154">
        <v>0</v>
      </c>
      <c r="K65" s="154">
        <v>0</v>
      </c>
      <c r="L65" s="155">
        <v>0</v>
      </c>
      <c r="M65" s="216"/>
    </row>
    <row r="66" spans="1:13" x14ac:dyDescent="0.25">
      <c r="A66" s="5" t="s">
        <v>13</v>
      </c>
      <c r="B66" s="12"/>
      <c r="C66" s="12"/>
      <c r="D66" s="12"/>
      <c r="E66" s="12"/>
      <c r="F66" s="12"/>
      <c r="G66" s="12"/>
      <c r="H66" s="12"/>
      <c r="I66" s="12"/>
      <c r="J66" s="12"/>
      <c r="K66" s="12"/>
      <c r="L66" s="13"/>
    </row>
    <row r="67" spans="1:13" x14ac:dyDescent="0.25">
      <c r="A67" s="6" t="s">
        <v>14</v>
      </c>
      <c r="B67" s="14"/>
      <c r="C67" s="14"/>
      <c r="D67" s="14"/>
      <c r="E67" s="14"/>
      <c r="F67" s="14"/>
      <c r="G67" s="14"/>
      <c r="H67" s="14"/>
      <c r="I67" s="14"/>
      <c r="J67" s="14"/>
      <c r="K67" s="14"/>
      <c r="L67" s="15"/>
    </row>
    <row r="68" spans="1:13" x14ac:dyDescent="0.25">
      <c r="A68" s="18" t="s">
        <v>16</v>
      </c>
      <c r="B68" s="14">
        <f>B69+B70</f>
        <v>1195583401</v>
      </c>
      <c r="C68" s="14">
        <f>C69+C70</f>
        <v>372013907</v>
      </c>
      <c r="D68" s="14">
        <f>D69+D70</f>
        <v>376283087</v>
      </c>
      <c r="E68" s="14">
        <f>E69+E70</f>
        <v>377851140</v>
      </c>
      <c r="F68" s="14">
        <f>F69+F70</f>
        <v>0</v>
      </c>
      <c r="G68" s="148">
        <f>G69</f>
        <v>3055482</v>
      </c>
      <c r="H68" s="148">
        <f>H69</f>
        <v>13275957</v>
      </c>
      <c r="I68" s="148">
        <f t="shared" ref="I68:L68" si="55">I69</f>
        <v>13275957</v>
      </c>
      <c r="J68" s="148">
        <f t="shared" si="55"/>
        <v>13275957</v>
      </c>
      <c r="K68" s="148">
        <f t="shared" si="55"/>
        <v>13275957</v>
      </c>
      <c r="L68" s="149">
        <f t="shared" si="55"/>
        <v>13275957</v>
      </c>
    </row>
    <row r="69" spans="1:13" ht="17.25" customHeight="1" x14ac:dyDescent="0.25">
      <c r="A69" s="9" t="s">
        <v>11</v>
      </c>
      <c r="B69" s="54">
        <f>SUM(C69:L69)</f>
        <v>1021732074</v>
      </c>
      <c r="C69" s="68">
        <f>69079914-10759076+313693069-C70</f>
        <v>314271895</v>
      </c>
      <c r="D69" s="68">
        <f>69637414-11317309+317962982-D70</f>
        <v>318345852</v>
      </c>
      <c r="E69" s="68">
        <f>69863201-11438024+319425963-E70</f>
        <v>319679060</v>
      </c>
      <c r="F69" s="68">
        <v>0</v>
      </c>
      <c r="G69" s="150">
        <f>171983+370437+810955+1600632+101475</f>
        <v>3055482</v>
      </c>
      <c r="H69" s="150">
        <f>G69+375000+9845475</f>
        <v>13275957</v>
      </c>
      <c r="I69" s="150">
        <v>13275957</v>
      </c>
      <c r="J69" s="150">
        <v>13275957</v>
      </c>
      <c r="K69" s="150">
        <v>13275957</v>
      </c>
      <c r="L69" s="151">
        <v>13275957</v>
      </c>
    </row>
    <row r="70" spans="1:13" ht="13.5" customHeight="1" x14ac:dyDescent="0.25">
      <c r="A70" s="9" t="s">
        <v>104</v>
      </c>
      <c r="B70" s="54">
        <f>SUM(C70:E70)</f>
        <v>173851327</v>
      </c>
      <c r="C70" s="68">
        <v>57742012</v>
      </c>
      <c r="D70" s="68">
        <v>57937235</v>
      </c>
      <c r="E70" s="68">
        <v>58172080</v>
      </c>
      <c r="F70" s="68">
        <v>0</v>
      </c>
      <c r="G70" s="158" t="s">
        <v>101</v>
      </c>
      <c r="H70" s="158" t="s">
        <v>101</v>
      </c>
      <c r="I70" s="158" t="s">
        <v>101</v>
      </c>
      <c r="J70" s="158" t="s">
        <v>101</v>
      </c>
      <c r="K70" s="158" t="s">
        <v>101</v>
      </c>
      <c r="L70" s="159" t="s">
        <v>101</v>
      </c>
    </row>
    <row r="71" spans="1:13" ht="39.75" customHeight="1" x14ac:dyDescent="0.25">
      <c r="A71" s="9" t="s">
        <v>12</v>
      </c>
      <c r="B71" s="68">
        <f>SUM(C71:L71)</f>
        <v>0</v>
      </c>
      <c r="C71" s="14">
        <v>0</v>
      </c>
      <c r="D71" s="14">
        <v>0</v>
      </c>
      <c r="E71" s="14">
        <v>0</v>
      </c>
      <c r="F71" s="14">
        <v>0</v>
      </c>
      <c r="G71" s="14">
        <v>0</v>
      </c>
      <c r="H71" s="14">
        <v>0</v>
      </c>
      <c r="I71" s="14">
        <v>0</v>
      </c>
      <c r="J71" s="14">
        <v>0</v>
      </c>
      <c r="K71" s="14">
        <v>0</v>
      </c>
      <c r="L71" s="15">
        <v>0</v>
      </c>
    </row>
    <row r="72" spans="1:13" x14ac:dyDescent="0.25">
      <c r="A72" s="145" t="s">
        <v>105</v>
      </c>
      <c r="B72" s="14">
        <f>B73+B74</f>
        <v>4095467</v>
      </c>
      <c r="C72" s="146">
        <f t="shared" ref="C72:F72" si="56">C73+C74</f>
        <v>1582480</v>
      </c>
      <c r="D72" s="146">
        <f t="shared" si="56"/>
        <v>1361437</v>
      </c>
      <c r="E72" s="146">
        <f t="shared" si="56"/>
        <v>1151550</v>
      </c>
      <c r="F72" s="14">
        <f t="shared" si="56"/>
        <v>0</v>
      </c>
      <c r="G72" s="156" t="s">
        <v>101</v>
      </c>
      <c r="H72" s="156" t="s">
        <v>101</v>
      </c>
      <c r="I72" s="156" t="s">
        <v>101</v>
      </c>
      <c r="J72" s="156" t="s">
        <v>101</v>
      </c>
      <c r="K72" s="156" t="s">
        <v>101</v>
      </c>
      <c r="L72" s="157" t="s">
        <v>101</v>
      </c>
    </row>
    <row r="73" spans="1:13" x14ac:dyDescent="0.25">
      <c r="A73" s="9" t="s">
        <v>11</v>
      </c>
      <c r="B73" s="68">
        <f>SUM(C73:E73)</f>
        <v>4095467</v>
      </c>
      <c r="C73" s="68">
        <v>1582480</v>
      </c>
      <c r="D73" s="68">
        <v>1361437</v>
      </c>
      <c r="E73" s="68">
        <v>1151550</v>
      </c>
      <c r="F73" s="68">
        <v>0</v>
      </c>
      <c r="G73" s="158" t="s">
        <v>101</v>
      </c>
      <c r="H73" s="158" t="s">
        <v>101</v>
      </c>
      <c r="I73" s="158" t="s">
        <v>101</v>
      </c>
      <c r="J73" s="158" t="s">
        <v>101</v>
      </c>
      <c r="K73" s="158" t="s">
        <v>101</v>
      </c>
      <c r="L73" s="159" t="s">
        <v>101</v>
      </c>
    </row>
    <row r="74" spans="1:13" ht="39.75" customHeight="1" thickBot="1" x14ac:dyDescent="0.3">
      <c r="A74" s="9" t="s">
        <v>12</v>
      </c>
      <c r="B74" s="68">
        <f>SUM(C74:L74)</f>
        <v>0</v>
      </c>
      <c r="C74" s="68">
        <v>0</v>
      </c>
      <c r="D74" s="68">
        <v>0</v>
      </c>
      <c r="E74" s="68">
        <v>0</v>
      </c>
      <c r="F74" s="68">
        <v>0</v>
      </c>
      <c r="G74" s="68">
        <v>0</v>
      </c>
      <c r="H74" s="68">
        <v>0</v>
      </c>
      <c r="I74" s="68">
        <v>0</v>
      </c>
      <c r="J74" s="68">
        <v>0</v>
      </c>
      <c r="K74" s="68">
        <v>0</v>
      </c>
      <c r="L74" s="147">
        <v>0</v>
      </c>
    </row>
    <row r="75" spans="1:13" x14ac:dyDescent="0.25">
      <c r="A75" s="219" t="s">
        <v>89</v>
      </c>
      <c r="B75" s="220"/>
      <c r="C75" s="220"/>
      <c r="D75" s="220"/>
      <c r="E75" s="220"/>
      <c r="F75" s="220"/>
      <c r="G75" s="220"/>
      <c r="H75" s="220"/>
      <c r="I75" s="220"/>
      <c r="J75" s="220"/>
      <c r="K75" s="220"/>
      <c r="L75" s="221"/>
    </row>
    <row r="76" spans="1:13" x14ac:dyDescent="0.25">
      <c r="A76" s="76" t="s">
        <v>5</v>
      </c>
      <c r="B76" s="60">
        <f>B77+B78+B79+B80</f>
        <v>1367073428</v>
      </c>
      <c r="C76" s="60">
        <f t="shared" ref="C76:L76" si="57">C77+C78+C79+C80</f>
        <v>240571361</v>
      </c>
      <c r="D76" s="60">
        <f t="shared" si="57"/>
        <v>246595723</v>
      </c>
      <c r="E76" s="60">
        <f t="shared" si="57"/>
        <v>253206092</v>
      </c>
      <c r="F76" s="60">
        <f t="shared" si="57"/>
        <v>0</v>
      </c>
      <c r="G76" s="161">
        <f t="shared" si="57"/>
        <v>104450042</v>
      </c>
      <c r="H76" s="161">
        <f t="shared" si="57"/>
        <v>104450042</v>
      </c>
      <c r="I76" s="161">
        <f t="shared" si="57"/>
        <v>104450042</v>
      </c>
      <c r="J76" s="161">
        <f t="shared" si="57"/>
        <v>104450042</v>
      </c>
      <c r="K76" s="161">
        <f t="shared" si="57"/>
        <v>104450042</v>
      </c>
      <c r="L76" s="162">
        <f t="shared" si="57"/>
        <v>104450042</v>
      </c>
    </row>
    <row r="77" spans="1:13" x14ac:dyDescent="0.25">
      <c r="A77" s="39" t="s">
        <v>6</v>
      </c>
      <c r="B77" s="77">
        <f>SUM(C77:L77)</f>
        <v>0</v>
      </c>
      <c r="C77" s="77">
        <v>0</v>
      </c>
      <c r="D77" s="77">
        <v>0</v>
      </c>
      <c r="E77" s="77">
        <v>0</v>
      </c>
      <c r="F77" s="77">
        <v>0</v>
      </c>
      <c r="G77" s="77">
        <v>0</v>
      </c>
      <c r="H77" s="77">
        <v>0</v>
      </c>
      <c r="I77" s="77">
        <v>0</v>
      </c>
      <c r="J77" s="77">
        <v>0</v>
      </c>
      <c r="K77" s="77">
        <v>0</v>
      </c>
      <c r="L77" s="79">
        <v>0</v>
      </c>
    </row>
    <row r="78" spans="1:13" x14ac:dyDescent="0.25">
      <c r="A78" s="39" t="s">
        <v>7</v>
      </c>
      <c r="B78" s="77">
        <f>SUM(C78:L78)</f>
        <v>0</v>
      </c>
      <c r="C78" s="77">
        <v>0</v>
      </c>
      <c r="D78" s="77">
        <v>0</v>
      </c>
      <c r="E78" s="77">
        <v>0</v>
      </c>
      <c r="F78" s="77">
        <v>0</v>
      </c>
      <c r="G78" s="77">
        <v>0</v>
      </c>
      <c r="H78" s="77">
        <v>0</v>
      </c>
      <c r="I78" s="77">
        <v>0</v>
      </c>
      <c r="J78" s="77">
        <v>0</v>
      </c>
      <c r="K78" s="77">
        <v>0</v>
      </c>
      <c r="L78" s="79">
        <v>0</v>
      </c>
    </row>
    <row r="79" spans="1:13" ht="26.25" x14ac:dyDescent="0.25">
      <c r="A79" s="39" t="s">
        <v>8</v>
      </c>
      <c r="B79" s="77">
        <f>SUM(C79:L79)</f>
        <v>0</v>
      </c>
      <c r="C79" s="77">
        <v>0</v>
      </c>
      <c r="D79" s="77">
        <v>0</v>
      </c>
      <c r="E79" s="77">
        <v>0</v>
      </c>
      <c r="F79" s="77">
        <v>0</v>
      </c>
      <c r="G79" s="77">
        <v>0</v>
      </c>
      <c r="H79" s="77">
        <v>0</v>
      </c>
      <c r="I79" s="77">
        <v>0</v>
      </c>
      <c r="J79" s="77">
        <v>0</v>
      </c>
      <c r="K79" s="77">
        <v>0</v>
      </c>
      <c r="L79" s="79">
        <v>0</v>
      </c>
    </row>
    <row r="80" spans="1:13" x14ac:dyDescent="0.25">
      <c r="A80" s="38" t="s">
        <v>9</v>
      </c>
      <c r="B80" s="60">
        <f>B82+B83+B84</f>
        <v>1367073428</v>
      </c>
      <c r="C80" s="60">
        <f t="shared" ref="C80:L80" si="58">C82+C83+C84</f>
        <v>240571361</v>
      </c>
      <c r="D80" s="60">
        <f t="shared" si="58"/>
        <v>246595723</v>
      </c>
      <c r="E80" s="60">
        <f t="shared" si="58"/>
        <v>253206092</v>
      </c>
      <c r="F80" s="60">
        <f t="shared" si="58"/>
        <v>0</v>
      </c>
      <c r="G80" s="161">
        <f t="shared" si="58"/>
        <v>104450042</v>
      </c>
      <c r="H80" s="161">
        <f t="shared" si="58"/>
        <v>104450042</v>
      </c>
      <c r="I80" s="161">
        <f t="shared" si="58"/>
        <v>104450042</v>
      </c>
      <c r="J80" s="161">
        <f t="shared" si="58"/>
        <v>104450042</v>
      </c>
      <c r="K80" s="161">
        <f t="shared" si="58"/>
        <v>104450042</v>
      </c>
      <c r="L80" s="162">
        <f t="shared" si="58"/>
        <v>104450042</v>
      </c>
    </row>
    <row r="81" spans="1:13" x14ac:dyDescent="0.25">
      <c r="A81" s="39" t="s">
        <v>10</v>
      </c>
      <c r="B81" s="77"/>
      <c r="C81" s="77"/>
      <c r="D81" s="77"/>
      <c r="E81" s="77"/>
      <c r="F81" s="77"/>
      <c r="G81" s="77"/>
      <c r="H81" s="77"/>
      <c r="I81" s="77"/>
      <c r="J81" s="77"/>
      <c r="K81" s="77"/>
      <c r="L81" s="79"/>
    </row>
    <row r="82" spans="1:13" x14ac:dyDescent="0.25">
      <c r="A82" s="39" t="s">
        <v>11</v>
      </c>
      <c r="B82" s="77">
        <f>B88</f>
        <v>840090447</v>
      </c>
      <c r="C82" s="77">
        <f t="shared" ref="C82:L82" si="59">C88</f>
        <v>117001215</v>
      </c>
      <c r="D82" s="77">
        <f t="shared" si="59"/>
        <v>117390492</v>
      </c>
      <c r="E82" s="77">
        <f t="shared" si="59"/>
        <v>117390492</v>
      </c>
      <c r="F82" s="77">
        <f t="shared" si="59"/>
        <v>0</v>
      </c>
      <c r="G82" s="77">
        <f t="shared" si="59"/>
        <v>81384708</v>
      </c>
      <c r="H82" s="77">
        <f t="shared" si="59"/>
        <v>81384708</v>
      </c>
      <c r="I82" s="77">
        <f t="shared" si="59"/>
        <v>81384708</v>
      </c>
      <c r="J82" s="77">
        <f t="shared" si="59"/>
        <v>81384708</v>
      </c>
      <c r="K82" s="77">
        <f t="shared" si="59"/>
        <v>81384708</v>
      </c>
      <c r="L82" s="79">
        <f t="shared" si="59"/>
        <v>81384708</v>
      </c>
    </row>
    <row r="83" spans="1:13" ht="15.75" customHeight="1" x14ac:dyDescent="0.25">
      <c r="A83" s="62" t="s">
        <v>104</v>
      </c>
      <c r="B83" s="152">
        <f>B89</f>
        <v>526982981</v>
      </c>
      <c r="C83" s="152">
        <f t="shared" ref="C83:L83" si="60">C89</f>
        <v>123570146</v>
      </c>
      <c r="D83" s="152">
        <f t="shared" si="60"/>
        <v>129205231</v>
      </c>
      <c r="E83" s="152">
        <f t="shared" si="60"/>
        <v>135815600</v>
      </c>
      <c r="F83" s="152">
        <f t="shared" si="60"/>
        <v>0</v>
      </c>
      <c r="G83" s="173">
        <f t="shared" si="60"/>
        <v>23065334</v>
      </c>
      <c r="H83" s="173">
        <f t="shared" si="60"/>
        <v>23065334</v>
      </c>
      <c r="I83" s="173">
        <f t="shared" si="60"/>
        <v>23065334</v>
      </c>
      <c r="J83" s="173">
        <f t="shared" si="60"/>
        <v>23065334</v>
      </c>
      <c r="K83" s="173">
        <f t="shared" si="60"/>
        <v>23065334</v>
      </c>
      <c r="L83" s="174">
        <f t="shared" si="60"/>
        <v>23065334</v>
      </c>
    </row>
    <row r="84" spans="1:13" ht="39.75" thickBot="1" x14ac:dyDescent="0.3">
      <c r="A84" s="80" t="s">
        <v>12</v>
      </c>
      <c r="B84" s="154">
        <f>B90</f>
        <v>0</v>
      </c>
      <c r="C84" s="154">
        <f t="shared" ref="C84:L84" si="61">C90</f>
        <v>0</v>
      </c>
      <c r="D84" s="154">
        <f t="shared" si="61"/>
        <v>0</v>
      </c>
      <c r="E84" s="154">
        <f t="shared" si="61"/>
        <v>0</v>
      </c>
      <c r="F84" s="154">
        <f t="shared" si="61"/>
        <v>0</v>
      </c>
      <c r="G84" s="154">
        <f t="shared" si="61"/>
        <v>0</v>
      </c>
      <c r="H84" s="154">
        <f t="shared" si="61"/>
        <v>0</v>
      </c>
      <c r="I84" s="154">
        <f t="shared" si="61"/>
        <v>0</v>
      </c>
      <c r="J84" s="154">
        <f t="shared" si="61"/>
        <v>0</v>
      </c>
      <c r="K84" s="154">
        <f t="shared" si="61"/>
        <v>0</v>
      </c>
      <c r="L84" s="155">
        <f t="shared" si="61"/>
        <v>0</v>
      </c>
    </row>
    <row r="85" spans="1:13" x14ac:dyDescent="0.25">
      <c r="A85" s="5" t="s">
        <v>13</v>
      </c>
      <c r="B85" s="12"/>
      <c r="C85" s="12"/>
      <c r="D85" s="12"/>
      <c r="E85" s="12"/>
      <c r="F85" s="12"/>
      <c r="G85" s="12"/>
      <c r="H85" s="12"/>
      <c r="I85" s="12"/>
      <c r="J85" s="12"/>
      <c r="K85" s="12"/>
      <c r="L85" s="13"/>
    </row>
    <row r="86" spans="1:13" x14ac:dyDescent="0.25">
      <c r="A86" s="6" t="s">
        <v>14</v>
      </c>
      <c r="B86" s="14"/>
      <c r="C86" s="14"/>
      <c r="D86" s="14"/>
      <c r="E86" s="14"/>
      <c r="F86" s="14"/>
      <c r="G86" s="14"/>
      <c r="H86" s="14"/>
      <c r="I86" s="14"/>
      <c r="J86" s="14"/>
      <c r="K86" s="14"/>
      <c r="L86" s="15"/>
    </row>
    <row r="87" spans="1:13" x14ac:dyDescent="0.25">
      <c r="A87" s="16" t="s">
        <v>16</v>
      </c>
      <c r="B87" s="14">
        <f>B88+B89+B90</f>
        <v>1367073428</v>
      </c>
      <c r="C87" s="14">
        <f t="shared" ref="C87:L87" si="62">C88+C89+C90</f>
        <v>240571361</v>
      </c>
      <c r="D87" s="14">
        <f t="shared" si="62"/>
        <v>246595723</v>
      </c>
      <c r="E87" s="14">
        <f t="shared" si="62"/>
        <v>253206092</v>
      </c>
      <c r="F87" s="14">
        <f t="shared" si="62"/>
        <v>0</v>
      </c>
      <c r="G87" s="14">
        <f t="shared" si="62"/>
        <v>104450042</v>
      </c>
      <c r="H87" s="14">
        <f t="shared" si="62"/>
        <v>104450042</v>
      </c>
      <c r="I87" s="14">
        <f t="shared" si="62"/>
        <v>104450042</v>
      </c>
      <c r="J87" s="14">
        <f t="shared" si="62"/>
        <v>104450042</v>
      </c>
      <c r="K87" s="14">
        <f t="shared" si="62"/>
        <v>104450042</v>
      </c>
      <c r="L87" s="15">
        <f t="shared" si="62"/>
        <v>104450042</v>
      </c>
    </row>
    <row r="88" spans="1:13" x14ac:dyDescent="0.25">
      <c r="A88" s="9" t="s">
        <v>11</v>
      </c>
      <c r="B88" s="68">
        <f>SUM(C88:L88)</f>
        <v>840090447</v>
      </c>
      <c r="C88" s="68">
        <f>C91+C99+C103+C107</f>
        <v>117001215</v>
      </c>
      <c r="D88" s="68">
        <f t="shared" ref="D88:F88" si="63">D91+D99+D103+D107</f>
        <v>117390492</v>
      </c>
      <c r="E88" s="68">
        <f t="shared" si="63"/>
        <v>117390492</v>
      </c>
      <c r="F88" s="68">
        <f t="shared" si="63"/>
        <v>0</v>
      </c>
      <c r="G88" s="68">
        <f>G91</f>
        <v>81384708</v>
      </c>
      <c r="H88" s="68">
        <f t="shared" ref="H88:L88" si="64">H91</f>
        <v>81384708</v>
      </c>
      <c r="I88" s="68">
        <f t="shared" si="64"/>
        <v>81384708</v>
      </c>
      <c r="J88" s="68">
        <f t="shared" si="64"/>
        <v>81384708</v>
      </c>
      <c r="K88" s="68">
        <f t="shared" si="64"/>
        <v>81384708</v>
      </c>
      <c r="L88" s="69">
        <f t="shared" si="64"/>
        <v>81384708</v>
      </c>
    </row>
    <row r="89" spans="1:13" ht="17.25" customHeight="1" x14ac:dyDescent="0.25">
      <c r="A89" s="9" t="s">
        <v>104</v>
      </c>
      <c r="B89" s="68">
        <f>SUM(C89:L89)</f>
        <v>526982981</v>
      </c>
      <c r="C89" s="68">
        <f>C95</f>
        <v>123570146</v>
      </c>
      <c r="D89" s="68">
        <f t="shared" ref="D89:F89" si="65">D95</f>
        <v>129205231</v>
      </c>
      <c r="E89" s="68">
        <f t="shared" si="65"/>
        <v>135815600</v>
      </c>
      <c r="F89" s="68">
        <f t="shared" si="65"/>
        <v>0</v>
      </c>
      <c r="G89" s="150">
        <f>G95</f>
        <v>23065334</v>
      </c>
      <c r="H89" s="150">
        <f t="shared" ref="H89:L89" si="66">H95</f>
        <v>23065334</v>
      </c>
      <c r="I89" s="150">
        <f t="shared" si="66"/>
        <v>23065334</v>
      </c>
      <c r="J89" s="150">
        <f t="shared" si="66"/>
        <v>23065334</v>
      </c>
      <c r="K89" s="150">
        <f t="shared" si="66"/>
        <v>23065334</v>
      </c>
      <c r="L89" s="151">
        <f t="shared" si="66"/>
        <v>23065334</v>
      </c>
    </row>
    <row r="90" spans="1:13" ht="41.25" customHeight="1" x14ac:dyDescent="0.25">
      <c r="A90" s="9" t="s">
        <v>12</v>
      </c>
      <c r="B90" s="68">
        <f>SUM(C90:L90)</f>
        <v>0</v>
      </c>
      <c r="C90" s="68">
        <f>C94+C98+C102+C106+C110</f>
        <v>0</v>
      </c>
      <c r="D90" s="68">
        <f t="shared" ref="D90:L90" si="67">D94+D98+D102+D106+D110</f>
        <v>0</v>
      </c>
      <c r="E90" s="68">
        <f t="shared" si="67"/>
        <v>0</v>
      </c>
      <c r="F90" s="68">
        <f t="shared" si="67"/>
        <v>0</v>
      </c>
      <c r="G90" s="68">
        <f t="shared" si="67"/>
        <v>0</v>
      </c>
      <c r="H90" s="68">
        <f t="shared" si="67"/>
        <v>0</v>
      </c>
      <c r="I90" s="68">
        <f t="shared" si="67"/>
        <v>0</v>
      </c>
      <c r="J90" s="68">
        <f t="shared" si="67"/>
        <v>0</v>
      </c>
      <c r="K90" s="68">
        <f t="shared" si="67"/>
        <v>0</v>
      </c>
      <c r="L90" s="69">
        <f t="shared" si="67"/>
        <v>0</v>
      </c>
    </row>
    <row r="91" spans="1:13" ht="90" x14ac:dyDescent="0.25">
      <c r="A91" s="83" t="s">
        <v>20</v>
      </c>
      <c r="B91" s="84">
        <f>B92</f>
        <v>840090447</v>
      </c>
      <c r="C91" s="84">
        <f t="shared" ref="C91:L91" si="68">C92</f>
        <v>117001215</v>
      </c>
      <c r="D91" s="84">
        <f t="shared" si="68"/>
        <v>117390492</v>
      </c>
      <c r="E91" s="84">
        <f t="shared" si="68"/>
        <v>117390492</v>
      </c>
      <c r="F91" s="84">
        <f t="shared" si="68"/>
        <v>0</v>
      </c>
      <c r="G91" s="84">
        <f t="shared" si="68"/>
        <v>81384708</v>
      </c>
      <c r="H91" s="84">
        <f t="shared" si="68"/>
        <v>81384708</v>
      </c>
      <c r="I91" s="84">
        <f t="shared" si="68"/>
        <v>81384708</v>
      </c>
      <c r="J91" s="84">
        <f t="shared" si="68"/>
        <v>81384708</v>
      </c>
      <c r="K91" s="84">
        <f t="shared" si="68"/>
        <v>81384708</v>
      </c>
      <c r="L91" s="85">
        <f t="shared" si="68"/>
        <v>81384708</v>
      </c>
      <c r="M91" s="1" t="s">
        <v>109</v>
      </c>
    </row>
    <row r="92" spans="1:13" x14ac:dyDescent="0.25">
      <c r="A92" s="26" t="s">
        <v>16</v>
      </c>
      <c r="B92" s="20">
        <f>B93+B94</f>
        <v>840090447</v>
      </c>
      <c r="C92" s="20">
        <f t="shared" ref="C92:F92" si="69">C93+C94</f>
        <v>117001215</v>
      </c>
      <c r="D92" s="20">
        <f t="shared" si="69"/>
        <v>117390492</v>
      </c>
      <c r="E92" s="20">
        <f t="shared" si="69"/>
        <v>117390492</v>
      </c>
      <c r="F92" s="20">
        <f t="shared" si="69"/>
        <v>0</v>
      </c>
      <c r="G92" s="20">
        <f t="shared" ref="G92" si="70">G93+G94</f>
        <v>81384708</v>
      </c>
      <c r="H92" s="20">
        <f t="shared" ref="H92" si="71">H93+H94</f>
        <v>81384708</v>
      </c>
      <c r="I92" s="20">
        <f t="shared" ref="I92" si="72">I93+I94</f>
        <v>81384708</v>
      </c>
      <c r="J92" s="20">
        <f t="shared" ref="J92" si="73">J93+J94</f>
        <v>81384708</v>
      </c>
      <c r="K92" s="20">
        <f t="shared" ref="K92" si="74">K93+K94</f>
        <v>81384708</v>
      </c>
      <c r="L92" s="21">
        <f>L93+L94</f>
        <v>81384708</v>
      </c>
    </row>
    <row r="93" spans="1:13" ht="17.25" customHeight="1" x14ac:dyDescent="0.25">
      <c r="A93" s="51" t="s">
        <v>11</v>
      </c>
      <c r="B93" s="53">
        <f>SUM(C93:L93)</f>
        <v>840090447</v>
      </c>
      <c r="C93" s="53">
        <v>117001215</v>
      </c>
      <c r="D93" s="53">
        <v>117390492</v>
      </c>
      <c r="E93" s="53">
        <v>117390492</v>
      </c>
      <c r="F93" s="53">
        <v>0</v>
      </c>
      <c r="G93" s="53">
        <v>81384708</v>
      </c>
      <c r="H93" s="53">
        <f>G93</f>
        <v>81384708</v>
      </c>
      <c r="I93" s="53">
        <f>H93</f>
        <v>81384708</v>
      </c>
      <c r="J93" s="53">
        <f>I93</f>
        <v>81384708</v>
      </c>
      <c r="K93" s="53">
        <v>81384708</v>
      </c>
      <c r="L93" s="52">
        <v>81384708</v>
      </c>
    </row>
    <row r="94" spans="1:13" ht="39" x14ac:dyDescent="0.25">
      <c r="A94" s="51" t="s">
        <v>12</v>
      </c>
      <c r="B94" s="53">
        <f>SUM(C94:L94)</f>
        <v>0</v>
      </c>
      <c r="C94" s="53">
        <v>0</v>
      </c>
      <c r="D94" s="53">
        <v>0</v>
      </c>
      <c r="E94" s="53">
        <v>0</v>
      </c>
      <c r="F94" s="53">
        <v>0</v>
      </c>
      <c r="G94" s="53">
        <v>0</v>
      </c>
      <c r="H94" s="53">
        <v>0</v>
      </c>
      <c r="I94" s="53">
        <v>0</v>
      </c>
      <c r="J94" s="53">
        <v>0</v>
      </c>
      <c r="K94" s="53">
        <v>0</v>
      </c>
      <c r="L94" s="52">
        <v>0</v>
      </c>
    </row>
    <row r="95" spans="1:13" ht="77.25" x14ac:dyDescent="0.25">
      <c r="A95" s="25" t="s">
        <v>21</v>
      </c>
      <c r="B95" s="23">
        <f>B96</f>
        <v>526982981</v>
      </c>
      <c r="C95" s="23">
        <f t="shared" ref="C95:L95" si="75">C96</f>
        <v>123570146</v>
      </c>
      <c r="D95" s="23">
        <f t="shared" si="75"/>
        <v>129205231</v>
      </c>
      <c r="E95" s="23">
        <f t="shared" si="75"/>
        <v>135815600</v>
      </c>
      <c r="F95" s="23">
        <f t="shared" si="75"/>
        <v>0</v>
      </c>
      <c r="G95" s="23">
        <f t="shared" si="75"/>
        <v>23065334</v>
      </c>
      <c r="H95" s="23">
        <f t="shared" si="75"/>
        <v>23065334</v>
      </c>
      <c r="I95" s="23">
        <f t="shared" si="75"/>
        <v>23065334</v>
      </c>
      <c r="J95" s="23">
        <f t="shared" si="75"/>
        <v>23065334</v>
      </c>
      <c r="K95" s="23">
        <f t="shared" si="75"/>
        <v>23065334</v>
      </c>
      <c r="L95" s="24">
        <f t="shared" si="75"/>
        <v>23065334</v>
      </c>
      <c r="M95" s="86"/>
    </row>
    <row r="96" spans="1:13" x14ac:dyDescent="0.25">
      <c r="A96" s="26" t="s">
        <v>22</v>
      </c>
      <c r="B96" s="20">
        <f>B97+B98</f>
        <v>526982981</v>
      </c>
      <c r="C96" s="20">
        <f t="shared" ref="C96:L96" si="76">C97+C98</f>
        <v>123570146</v>
      </c>
      <c r="D96" s="20">
        <f t="shared" si="76"/>
        <v>129205231</v>
      </c>
      <c r="E96" s="20">
        <f t="shared" si="76"/>
        <v>135815600</v>
      </c>
      <c r="F96" s="20">
        <f t="shared" si="76"/>
        <v>0</v>
      </c>
      <c r="G96" s="20">
        <f t="shared" si="76"/>
        <v>23065334</v>
      </c>
      <c r="H96" s="20">
        <f t="shared" si="76"/>
        <v>23065334</v>
      </c>
      <c r="I96" s="20">
        <f t="shared" si="76"/>
        <v>23065334</v>
      </c>
      <c r="J96" s="20">
        <f t="shared" si="76"/>
        <v>23065334</v>
      </c>
      <c r="K96" s="20">
        <f t="shared" si="76"/>
        <v>23065334</v>
      </c>
      <c r="L96" s="21">
        <f t="shared" si="76"/>
        <v>23065334</v>
      </c>
    </row>
    <row r="97" spans="1:13" ht="16.5" customHeight="1" x14ac:dyDescent="0.25">
      <c r="A97" s="163" t="s">
        <v>104</v>
      </c>
      <c r="B97" s="53">
        <f>SUM(C97:L97)</f>
        <v>526982981</v>
      </c>
      <c r="C97" s="72">
        <v>123570146</v>
      </c>
      <c r="D97" s="72">
        <v>129205231</v>
      </c>
      <c r="E97" s="72">
        <v>135815600</v>
      </c>
      <c r="F97" s="72">
        <v>0</v>
      </c>
      <c r="G97" s="78">
        <v>23065334</v>
      </c>
      <c r="H97" s="78">
        <v>23065334</v>
      </c>
      <c r="I97" s="78">
        <v>23065334</v>
      </c>
      <c r="J97" s="78">
        <v>23065334</v>
      </c>
      <c r="K97" s="78">
        <v>23065334</v>
      </c>
      <c r="L97" s="160">
        <v>23065334</v>
      </c>
    </row>
    <row r="98" spans="1:13" ht="39" x14ac:dyDescent="0.25">
      <c r="A98" s="51" t="s">
        <v>12</v>
      </c>
      <c r="B98" s="53">
        <f>SUM(C98:L98)</f>
        <v>0</v>
      </c>
      <c r="C98" s="72">
        <v>0</v>
      </c>
      <c r="D98" s="72">
        <v>0</v>
      </c>
      <c r="E98" s="72">
        <v>0</v>
      </c>
      <c r="F98" s="72">
        <v>0</v>
      </c>
      <c r="G98" s="72">
        <v>0</v>
      </c>
      <c r="H98" s="72">
        <v>0</v>
      </c>
      <c r="I98" s="72">
        <v>0</v>
      </c>
      <c r="J98" s="72">
        <v>0</v>
      </c>
      <c r="K98" s="72">
        <v>0</v>
      </c>
      <c r="L98" s="73">
        <v>0</v>
      </c>
    </row>
    <row r="99" spans="1:13" ht="54.75" customHeight="1" x14ac:dyDescent="0.25">
      <c r="A99" s="25" t="s">
        <v>23</v>
      </c>
      <c r="B99" s="23">
        <f>B100</f>
        <v>0</v>
      </c>
      <c r="C99" s="23">
        <f t="shared" ref="C99:G99" si="77">C100</f>
        <v>0</v>
      </c>
      <c r="D99" s="23">
        <f t="shared" si="77"/>
        <v>0</v>
      </c>
      <c r="E99" s="23">
        <f t="shared" si="77"/>
        <v>0</v>
      </c>
      <c r="F99" s="23">
        <f t="shared" si="77"/>
        <v>0</v>
      </c>
      <c r="G99" s="23">
        <f t="shared" si="77"/>
        <v>0</v>
      </c>
      <c r="H99" s="23" t="s">
        <v>101</v>
      </c>
      <c r="I99" s="23" t="s">
        <v>101</v>
      </c>
      <c r="J99" s="23" t="s">
        <v>101</v>
      </c>
      <c r="K99" s="23" t="s">
        <v>101</v>
      </c>
      <c r="L99" s="24" t="s">
        <v>101</v>
      </c>
    </row>
    <row r="100" spans="1:13" x14ac:dyDescent="0.25">
      <c r="A100" s="26" t="s">
        <v>16</v>
      </c>
      <c r="B100" s="20">
        <f>B101+B102</f>
        <v>0</v>
      </c>
      <c r="C100" s="20">
        <f t="shared" ref="C100:E100" si="78">C101+C102</f>
        <v>0</v>
      </c>
      <c r="D100" s="20">
        <f t="shared" si="78"/>
        <v>0</v>
      </c>
      <c r="E100" s="20">
        <f t="shared" si="78"/>
        <v>0</v>
      </c>
      <c r="F100" s="20">
        <v>0</v>
      </c>
      <c r="G100" s="20">
        <v>0</v>
      </c>
      <c r="H100" s="20" t="s">
        <v>101</v>
      </c>
      <c r="I100" s="20" t="s">
        <v>101</v>
      </c>
      <c r="J100" s="20" t="s">
        <v>101</v>
      </c>
      <c r="K100" s="20" t="s">
        <v>101</v>
      </c>
      <c r="L100" s="21" t="s">
        <v>101</v>
      </c>
    </row>
    <row r="101" spans="1:13" x14ac:dyDescent="0.25">
      <c r="A101" s="51" t="s">
        <v>11</v>
      </c>
      <c r="B101" s="72">
        <f>SUM(C101:L101)</f>
        <v>0</v>
      </c>
      <c r="C101" s="72">
        <v>0</v>
      </c>
      <c r="D101" s="72">
        <v>0</v>
      </c>
      <c r="E101" s="72">
        <v>0</v>
      </c>
      <c r="F101" s="72">
        <v>0</v>
      </c>
      <c r="G101" s="72">
        <v>0</v>
      </c>
      <c r="H101" s="72" t="s">
        <v>101</v>
      </c>
      <c r="I101" s="72" t="s">
        <v>101</v>
      </c>
      <c r="J101" s="72" t="s">
        <v>101</v>
      </c>
      <c r="K101" s="72" t="s">
        <v>101</v>
      </c>
      <c r="L101" s="73" t="s">
        <v>101</v>
      </c>
    </row>
    <row r="102" spans="1:13" ht="39" x14ac:dyDescent="0.25">
      <c r="A102" s="51" t="s">
        <v>12</v>
      </c>
      <c r="B102" s="72">
        <f>SUM(C102:L102)</f>
        <v>0</v>
      </c>
      <c r="C102" s="72">
        <v>0</v>
      </c>
      <c r="D102" s="72">
        <v>0</v>
      </c>
      <c r="E102" s="72">
        <v>0</v>
      </c>
      <c r="F102" s="72">
        <v>0</v>
      </c>
      <c r="G102" s="72">
        <v>0</v>
      </c>
      <c r="H102" s="72">
        <v>0</v>
      </c>
      <c r="I102" s="72">
        <v>0</v>
      </c>
      <c r="J102" s="72">
        <v>0</v>
      </c>
      <c r="K102" s="72">
        <v>0</v>
      </c>
      <c r="L102" s="73">
        <v>0</v>
      </c>
    </row>
    <row r="103" spans="1:13" ht="102.75" customHeight="1" x14ac:dyDescent="0.25">
      <c r="A103" s="25" t="s">
        <v>88</v>
      </c>
      <c r="B103" s="23">
        <f>B104</f>
        <v>0</v>
      </c>
      <c r="C103" s="23">
        <f t="shared" ref="C103:L103" si="79">C104</f>
        <v>0</v>
      </c>
      <c r="D103" s="23">
        <f t="shared" si="79"/>
        <v>0</v>
      </c>
      <c r="E103" s="23">
        <f t="shared" si="79"/>
        <v>0</v>
      </c>
      <c r="F103" s="23">
        <f t="shared" si="79"/>
        <v>0</v>
      </c>
      <c r="G103" s="23">
        <f t="shared" si="79"/>
        <v>0</v>
      </c>
      <c r="H103" s="23">
        <f t="shared" si="79"/>
        <v>0</v>
      </c>
      <c r="I103" s="23">
        <f t="shared" si="79"/>
        <v>0</v>
      </c>
      <c r="J103" s="23">
        <f t="shared" si="79"/>
        <v>0</v>
      </c>
      <c r="K103" s="23">
        <f t="shared" si="79"/>
        <v>0</v>
      </c>
      <c r="L103" s="24">
        <f t="shared" si="79"/>
        <v>0</v>
      </c>
      <c r="M103" s="1" t="s">
        <v>110</v>
      </c>
    </row>
    <row r="104" spans="1:13" x14ac:dyDescent="0.25">
      <c r="A104" s="26" t="s">
        <v>16</v>
      </c>
      <c r="B104" s="20">
        <f>B105+B106</f>
        <v>0</v>
      </c>
      <c r="C104" s="20">
        <f t="shared" ref="C104:L104" si="80">C105+C106</f>
        <v>0</v>
      </c>
      <c r="D104" s="20">
        <f t="shared" si="80"/>
        <v>0</v>
      </c>
      <c r="E104" s="20">
        <f t="shared" si="80"/>
        <v>0</v>
      </c>
      <c r="F104" s="20">
        <f t="shared" si="80"/>
        <v>0</v>
      </c>
      <c r="G104" s="20">
        <f t="shared" si="80"/>
        <v>0</v>
      </c>
      <c r="H104" s="20">
        <f t="shared" si="80"/>
        <v>0</v>
      </c>
      <c r="I104" s="20">
        <f t="shared" si="80"/>
        <v>0</v>
      </c>
      <c r="J104" s="20">
        <f t="shared" si="80"/>
        <v>0</v>
      </c>
      <c r="K104" s="20">
        <f t="shared" si="80"/>
        <v>0</v>
      </c>
      <c r="L104" s="21">
        <f t="shared" si="80"/>
        <v>0</v>
      </c>
    </row>
    <row r="105" spans="1:13" x14ac:dyDescent="0.25">
      <c r="A105" s="51" t="s">
        <v>11</v>
      </c>
      <c r="B105" s="72">
        <f>SUM(C105:L105)</f>
        <v>0</v>
      </c>
      <c r="C105" s="72">
        <v>0</v>
      </c>
      <c r="D105" s="72">
        <v>0</v>
      </c>
      <c r="E105" s="72">
        <v>0</v>
      </c>
      <c r="F105" s="72">
        <v>0</v>
      </c>
      <c r="G105" s="72">
        <v>0</v>
      </c>
      <c r="H105" s="72">
        <v>0</v>
      </c>
      <c r="I105" s="72">
        <v>0</v>
      </c>
      <c r="J105" s="72">
        <v>0</v>
      </c>
      <c r="K105" s="72">
        <v>0</v>
      </c>
      <c r="L105" s="73">
        <v>0</v>
      </c>
    </row>
    <row r="106" spans="1:13" ht="39.75" thickBot="1" x14ac:dyDescent="0.3">
      <c r="A106" s="27" t="s">
        <v>12</v>
      </c>
      <c r="B106" s="164">
        <v>0</v>
      </c>
      <c r="C106" s="164">
        <v>0</v>
      </c>
      <c r="D106" s="164">
        <v>0</v>
      </c>
      <c r="E106" s="164">
        <v>0</v>
      </c>
      <c r="F106" s="164">
        <v>0</v>
      </c>
      <c r="G106" s="164">
        <v>0</v>
      </c>
      <c r="H106" s="164">
        <v>0</v>
      </c>
      <c r="I106" s="164">
        <v>0</v>
      </c>
      <c r="J106" s="164">
        <v>0</v>
      </c>
      <c r="K106" s="164">
        <v>0</v>
      </c>
      <c r="L106" s="165">
        <v>0</v>
      </c>
    </row>
    <row r="107" spans="1:13" ht="102.75" x14ac:dyDescent="0.25">
      <c r="A107" s="25" t="s">
        <v>87</v>
      </c>
      <c r="B107" s="23">
        <f>B108</f>
        <v>0</v>
      </c>
      <c r="C107" s="23">
        <f t="shared" ref="C107:L107" si="81">C108</f>
        <v>0</v>
      </c>
      <c r="D107" s="23">
        <f t="shared" si="81"/>
        <v>0</v>
      </c>
      <c r="E107" s="23">
        <f t="shared" si="81"/>
        <v>0</v>
      </c>
      <c r="F107" s="23">
        <f t="shared" si="81"/>
        <v>0</v>
      </c>
      <c r="G107" s="23">
        <f t="shared" si="81"/>
        <v>0</v>
      </c>
      <c r="H107" s="23">
        <f t="shared" si="81"/>
        <v>0</v>
      </c>
      <c r="I107" s="23">
        <f t="shared" si="81"/>
        <v>0</v>
      </c>
      <c r="J107" s="23">
        <f t="shared" si="81"/>
        <v>0</v>
      </c>
      <c r="K107" s="23">
        <f t="shared" si="81"/>
        <v>0</v>
      </c>
      <c r="L107" s="24">
        <f t="shared" si="81"/>
        <v>0</v>
      </c>
      <c r="M107" s="1" t="s">
        <v>111</v>
      </c>
    </row>
    <row r="108" spans="1:13" x14ac:dyDescent="0.25">
      <c r="A108" s="26" t="s">
        <v>16</v>
      </c>
      <c r="B108" s="20">
        <f>B109+B110</f>
        <v>0</v>
      </c>
      <c r="C108" s="20">
        <f t="shared" ref="C108:L108" si="82">C109+C110</f>
        <v>0</v>
      </c>
      <c r="D108" s="20">
        <f t="shared" si="82"/>
        <v>0</v>
      </c>
      <c r="E108" s="20">
        <f t="shared" si="82"/>
        <v>0</v>
      </c>
      <c r="F108" s="20">
        <f t="shared" si="82"/>
        <v>0</v>
      </c>
      <c r="G108" s="20">
        <f t="shared" si="82"/>
        <v>0</v>
      </c>
      <c r="H108" s="20">
        <f t="shared" si="82"/>
        <v>0</v>
      </c>
      <c r="I108" s="20">
        <f t="shared" si="82"/>
        <v>0</v>
      </c>
      <c r="J108" s="20">
        <f t="shared" si="82"/>
        <v>0</v>
      </c>
      <c r="K108" s="20">
        <f t="shared" si="82"/>
        <v>0</v>
      </c>
      <c r="L108" s="21">
        <f t="shared" si="82"/>
        <v>0</v>
      </c>
    </row>
    <row r="109" spans="1:13" x14ac:dyDescent="0.25">
      <c r="A109" s="51" t="s">
        <v>11</v>
      </c>
      <c r="B109" s="72">
        <f>SUM(C109:L109)</f>
        <v>0</v>
      </c>
      <c r="C109" s="72">
        <v>0</v>
      </c>
      <c r="D109" s="72">
        <v>0</v>
      </c>
      <c r="E109" s="72">
        <v>0</v>
      </c>
      <c r="F109" s="72">
        <v>0</v>
      </c>
      <c r="G109" s="72">
        <v>0</v>
      </c>
      <c r="H109" s="72">
        <v>0</v>
      </c>
      <c r="I109" s="72">
        <v>0</v>
      </c>
      <c r="J109" s="72">
        <v>0</v>
      </c>
      <c r="K109" s="72">
        <v>0</v>
      </c>
      <c r="L109" s="73">
        <v>0</v>
      </c>
    </row>
    <row r="110" spans="1:13" ht="39.75" thickBot="1" x14ac:dyDescent="0.3">
      <c r="A110" s="27" t="s">
        <v>12</v>
      </c>
      <c r="B110" s="164">
        <f>SUM(C110:L110)</f>
        <v>0</v>
      </c>
      <c r="C110" s="164">
        <v>0</v>
      </c>
      <c r="D110" s="164">
        <v>0</v>
      </c>
      <c r="E110" s="164">
        <v>0</v>
      </c>
      <c r="F110" s="164">
        <v>0</v>
      </c>
      <c r="G110" s="164">
        <v>0</v>
      </c>
      <c r="H110" s="164">
        <v>0</v>
      </c>
      <c r="I110" s="164">
        <v>0</v>
      </c>
      <c r="J110" s="164">
        <v>0</v>
      </c>
      <c r="K110" s="164">
        <v>0</v>
      </c>
      <c r="L110" s="165">
        <v>0</v>
      </c>
    </row>
    <row r="111" spans="1:13" ht="30.75" customHeight="1" x14ac:dyDescent="0.25">
      <c r="A111" s="219" t="s">
        <v>86</v>
      </c>
      <c r="B111" s="220"/>
      <c r="C111" s="220"/>
      <c r="D111" s="220"/>
      <c r="E111" s="220"/>
      <c r="F111" s="220"/>
      <c r="G111" s="220"/>
      <c r="H111" s="220"/>
      <c r="I111" s="220"/>
      <c r="J111" s="220"/>
      <c r="K111" s="220"/>
      <c r="L111" s="221"/>
      <c r="M111" s="216" t="s">
        <v>112</v>
      </c>
    </row>
    <row r="112" spans="1:13" x14ac:dyDescent="0.25">
      <c r="A112" s="76" t="s">
        <v>5</v>
      </c>
      <c r="B112" s="60">
        <f>B113+B114+B115+B116</f>
        <v>0</v>
      </c>
      <c r="C112" s="60"/>
      <c r="D112" s="60"/>
      <c r="E112" s="60"/>
      <c r="F112" s="60"/>
      <c r="G112" s="60"/>
      <c r="H112" s="60"/>
      <c r="I112" s="60"/>
      <c r="J112" s="60"/>
      <c r="K112" s="60"/>
      <c r="L112" s="61"/>
      <c r="M112" s="216"/>
    </row>
    <row r="113" spans="1:13" x14ac:dyDescent="0.25">
      <c r="A113" s="39" t="s">
        <v>6</v>
      </c>
      <c r="B113" s="77">
        <f>SUM(C113:L113)</f>
        <v>0</v>
      </c>
      <c r="C113" s="77">
        <v>0</v>
      </c>
      <c r="D113" s="77">
        <v>0</v>
      </c>
      <c r="E113" s="77">
        <v>0</v>
      </c>
      <c r="F113" s="77">
        <v>0</v>
      </c>
      <c r="G113" s="77">
        <v>0</v>
      </c>
      <c r="H113" s="77">
        <v>0</v>
      </c>
      <c r="I113" s="77">
        <v>0</v>
      </c>
      <c r="J113" s="77">
        <v>0</v>
      </c>
      <c r="K113" s="77">
        <v>0</v>
      </c>
      <c r="L113" s="79">
        <v>0</v>
      </c>
      <c r="M113" s="216"/>
    </row>
    <row r="114" spans="1:13" x14ac:dyDescent="0.25">
      <c r="A114" s="39" t="s">
        <v>7</v>
      </c>
      <c r="B114" s="77">
        <f t="shared" ref="B114:B115" si="83">SUM(C114:L114)</f>
        <v>0</v>
      </c>
      <c r="C114" s="77">
        <v>0</v>
      </c>
      <c r="D114" s="77">
        <v>0</v>
      </c>
      <c r="E114" s="77">
        <v>0</v>
      </c>
      <c r="F114" s="77">
        <v>0</v>
      </c>
      <c r="G114" s="77">
        <v>0</v>
      </c>
      <c r="H114" s="77">
        <v>0</v>
      </c>
      <c r="I114" s="77">
        <v>0</v>
      </c>
      <c r="J114" s="77">
        <v>0</v>
      </c>
      <c r="K114" s="77">
        <v>0</v>
      </c>
      <c r="L114" s="79">
        <v>0</v>
      </c>
      <c r="M114" s="216"/>
    </row>
    <row r="115" spans="1:13" ht="26.25" x14ac:dyDescent="0.25">
      <c r="A115" s="39" t="s">
        <v>8</v>
      </c>
      <c r="B115" s="77">
        <f t="shared" si="83"/>
        <v>0</v>
      </c>
      <c r="C115" s="77">
        <v>0</v>
      </c>
      <c r="D115" s="77">
        <v>0</v>
      </c>
      <c r="E115" s="77">
        <v>0</v>
      </c>
      <c r="F115" s="77">
        <v>0</v>
      </c>
      <c r="G115" s="77">
        <v>0</v>
      </c>
      <c r="H115" s="77">
        <v>0</v>
      </c>
      <c r="I115" s="77">
        <v>0</v>
      </c>
      <c r="J115" s="77">
        <v>0</v>
      </c>
      <c r="K115" s="77">
        <v>0</v>
      </c>
      <c r="L115" s="79">
        <v>0</v>
      </c>
      <c r="M115" s="216"/>
    </row>
    <row r="116" spans="1:13" x14ac:dyDescent="0.25">
      <c r="A116" s="38" t="s">
        <v>9</v>
      </c>
      <c r="B116" s="60">
        <f>B122</f>
        <v>0</v>
      </c>
      <c r="C116" s="60">
        <f t="shared" ref="C116:L116" si="84">C122</f>
        <v>0</v>
      </c>
      <c r="D116" s="60">
        <f t="shared" si="84"/>
        <v>0</v>
      </c>
      <c r="E116" s="60">
        <f t="shared" si="84"/>
        <v>0</v>
      </c>
      <c r="F116" s="60">
        <f t="shared" si="84"/>
        <v>0</v>
      </c>
      <c r="G116" s="60">
        <f t="shared" si="84"/>
        <v>0</v>
      </c>
      <c r="H116" s="60">
        <f t="shared" si="84"/>
        <v>0</v>
      </c>
      <c r="I116" s="60">
        <f t="shared" si="84"/>
        <v>0</v>
      </c>
      <c r="J116" s="60">
        <f t="shared" si="84"/>
        <v>0</v>
      </c>
      <c r="K116" s="60">
        <f t="shared" si="84"/>
        <v>0</v>
      </c>
      <c r="L116" s="61">
        <f t="shared" si="84"/>
        <v>0</v>
      </c>
      <c r="M116" s="216"/>
    </row>
    <row r="117" spans="1:13" x14ac:dyDescent="0.25">
      <c r="A117" s="39" t="s">
        <v>10</v>
      </c>
      <c r="B117" s="77"/>
      <c r="C117" s="77"/>
      <c r="D117" s="77"/>
      <c r="E117" s="77"/>
      <c r="F117" s="77"/>
      <c r="G117" s="77"/>
      <c r="H117" s="77"/>
      <c r="I117" s="77"/>
      <c r="J117" s="77"/>
      <c r="K117" s="77"/>
      <c r="L117" s="79"/>
      <c r="M117" s="216"/>
    </row>
    <row r="118" spans="1:13" x14ac:dyDescent="0.25">
      <c r="A118" s="39" t="s">
        <v>11</v>
      </c>
      <c r="B118" s="40">
        <f>B123</f>
        <v>0</v>
      </c>
      <c r="C118" s="40">
        <f t="shared" ref="C118:L118" si="85">C123</f>
        <v>0</v>
      </c>
      <c r="D118" s="40">
        <f t="shared" si="85"/>
        <v>0</v>
      </c>
      <c r="E118" s="40">
        <f t="shared" si="85"/>
        <v>0</v>
      </c>
      <c r="F118" s="40">
        <f t="shared" si="85"/>
        <v>0</v>
      </c>
      <c r="G118" s="40">
        <f t="shared" si="85"/>
        <v>0</v>
      </c>
      <c r="H118" s="40">
        <f t="shared" si="85"/>
        <v>0</v>
      </c>
      <c r="I118" s="40">
        <f t="shared" si="85"/>
        <v>0</v>
      </c>
      <c r="J118" s="40">
        <f t="shared" si="85"/>
        <v>0</v>
      </c>
      <c r="K118" s="40">
        <f t="shared" si="85"/>
        <v>0</v>
      </c>
      <c r="L118" s="41">
        <f t="shared" si="85"/>
        <v>0</v>
      </c>
      <c r="M118" s="216"/>
    </row>
    <row r="119" spans="1:13" ht="39.75" thickBot="1" x14ac:dyDescent="0.3">
      <c r="A119" s="80" t="s">
        <v>12</v>
      </c>
      <c r="B119" s="81">
        <f>B124</f>
        <v>0</v>
      </c>
      <c r="C119" s="81">
        <f t="shared" ref="C119:L119" si="86">C124</f>
        <v>0</v>
      </c>
      <c r="D119" s="81">
        <f t="shared" si="86"/>
        <v>0</v>
      </c>
      <c r="E119" s="81">
        <f t="shared" si="86"/>
        <v>0</v>
      </c>
      <c r="F119" s="81">
        <f t="shared" si="86"/>
        <v>0</v>
      </c>
      <c r="G119" s="81">
        <f t="shared" si="86"/>
        <v>0</v>
      </c>
      <c r="H119" s="81">
        <f t="shared" si="86"/>
        <v>0</v>
      </c>
      <c r="I119" s="81">
        <f t="shared" si="86"/>
        <v>0</v>
      </c>
      <c r="J119" s="81">
        <f t="shared" si="86"/>
        <v>0</v>
      </c>
      <c r="K119" s="81">
        <f t="shared" si="86"/>
        <v>0</v>
      </c>
      <c r="L119" s="82">
        <f t="shared" si="86"/>
        <v>0</v>
      </c>
      <c r="M119" s="216"/>
    </row>
    <row r="120" spans="1:13" x14ac:dyDescent="0.25">
      <c r="A120" s="5" t="s">
        <v>13</v>
      </c>
      <c r="B120" s="12"/>
      <c r="C120" s="12"/>
      <c r="D120" s="12"/>
      <c r="E120" s="12"/>
      <c r="F120" s="12"/>
      <c r="G120" s="12"/>
      <c r="H120" s="12"/>
      <c r="I120" s="12"/>
      <c r="J120" s="12"/>
      <c r="K120" s="12"/>
      <c r="L120" s="13"/>
    </row>
    <row r="121" spans="1:13" x14ac:dyDescent="0.25">
      <c r="A121" s="6" t="s">
        <v>14</v>
      </c>
      <c r="B121" s="14"/>
      <c r="C121" s="14"/>
      <c r="D121" s="14"/>
      <c r="E121" s="14"/>
      <c r="F121" s="14"/>
      <c r="G121" s="14"/>
      <c r="H121" s="14"/>
      <c r="I121" s="14"/>
      <c r="J121" s="14"/>
      <c r="K121" s="14"/>
      <c r="L121" s="15"/>
    </row>
    <row r="122" spans="1:13" x14ac:dyDescent="0.25">
      <c r="A122" s="16" t="s">
        <v>16</v>
      </c>
      <c r="B122" s="14">
        <f>B123+B124</f>
        <v>0</v>
      </c>
      <c r="C122" s="14">
        <f t="shared" ref="C122:L122" si="87">C123+C124</f>
        <v>0</v>
      </c>
      <c r="D122" s="14">
        <f t="shared" si="87"/>
        <v>0</v>
      </c>
      <c r="E122" s="14">
        <f t="shared" si="87"/>
        <v>0</v>
      </c>
      <c r="F122" s="14">
        <f t="shared" si="87"/>
        <v>0</v>
      </c>
      <c r="G122" s="14">
        <f t="shared" si="87"/>
        <v>0</v>
      </c>
      <c r="H122" s="14">
        <f t="shared" si="87"/>
        <v>0</v>
      </c>
      <c r="I122" s="14">
        <f t="shared" si="87"/>
        <v>0</v>
      </c>
      <c r="J122" s="14">
        <f t="shared" si="87"/>
        <v>0</v>
      </c>
      <c r="K122" s="14">
        <f t="shared" si="87"/>
        <v>0</v>
      </c>
      <c r="L122" s="15">
        <f t="shared" si="87"/>
        <v>0</v>
      </c>
    </row>
    <row r="123" spans="1:13" x14ac:dyDescent="0.25">
      <c r="A123" s="9" t="s">
        <v>11</v>
      </c>
      <c r="B123" s="54">
        <f>SUM(C123:L123)</f>
        <v>0</v>
      </c>
      <c r="C123" s="54">
        <v>0</v>
      </c>
      <c r="D123" s="54">
        <v>0</v>
      </c>
      <c r="E123" s="54">
        <v>0</v>
      </c>
      <c r="F123" s="54">
        <v>0</v>
      </c>
      <c r="G123" s="54">
        <v>0</v>
      </c>
      <c r="H123" s="54">
        <v>0</v>
      </c>
      <c r="I123" s="54">
        <v>0</v>
      </c>
      <c r="J123" s="54">
        <v>0</v>
      </c>
      <c r="K123" s="54">
        <v>0</v>
      </c>
      <c r="L123" s="17">
        <v>0</v>
      </c>
    </row>
    <row r="124" spans="1:13" ht="40.5" customHeight="1" thickBot="1" x14ac:dyDescent="0.3">
      <c r="A124" s="10" t="s">
        <v>12</v>
      </c>
      <c r="B124" s="30">
        <f>SUM(C124:L124)</f>
        <v>0</v>
      </c>
      <c r="C124" s="30">
        <v>0</v>
      </c>
      <c r="D124" s="30">
        <v>0</v>
      </c>
      <c r="E124" s="30">
        <v>0</v>
      </c>
      <c r="F124" s="30">
        <v>0</v>
      </c>
      <c r="G124" s="30">
        <v>0</v>
      </c>
      <c r="H124" s="30">
        <v>0</v>
      </c>
      <c r="I124" s="30">
        <v>0</v>
      </c>
      <c r="J124" s="30">
        <v>0</v>
      </c>
      <c r="K124" s="30">
        <v>0</v>
      </c>
      <c r="L124" s="31">
        <v>0</v>
      </c>
    </row>
    <row r="125" spans="1:13" ht="32.25" customHeight="1" x14ac:dyDescent="0.25">
      <c r="A125" s="219" t="s">
        <v>84</v>
      </c>
      <c r="B125" s="220"/>
      <c r="C125" s="220"/>
      <c r="D125" s="220"/>
      <c r="E125" s="220"/>
      <c r="F125" s="220"/>
      <c r="G125" s="220"/>
      <c r="H125" s="220"/>
      <c r="I125" s="220"/>
      <c r="J125" s="220"/>
      <c r="K125" s="220"/>
      <c r="L125" s="221"/>
      <c r="M125" s="228" t="s">
        <v>113</v>
      </c>
    </row>
    <row r="126" spans="1:13" x14ac:dyDescent="0.25">
      <c r="A126" s="38" t="s">
        <v>5</v>
      </c>
      <c r="B126" s="60">
        <f>B127+B128+B129+B130</f>
        <v>8436688580.6522846</v>
      </c>
      <c r="C126" s="60">
        <f t="shared" ref="C126:L126" si="88">C127+C128+C129+C130</f>
        <v>2431935330</v>
      </c>
      <c r="D126" s="60">
        <f t="shared" si="88"/>
        <v>2488348802</v>
      </c>
      <c r="E126" s="60">
        <f t="shared" si="88"/>
        <v>2628572320</v>
      </c>
      <c r="F126" s="60">
        <f t="shared" si="88"/>
        <v>0</v>
      </c>
      <c r="G126" s="161">
        <f t="shared" si="88"/>
        <v>15319218.230999997</v>
      </c>
      <c r="H126" s="161">
        <f t="shared" si="88"/>
        <v>55365235.542090103</v>
      </c>
      <c r="I126" s="161">
        <f t="shared" si="88"/>
        <v>105596896.52598229</v>
      </c>
      <c r="J126" s="161">
        <f t="shared" si="88"/>
        <v>153437181.91067338</v>
      </c>
      <c r="K126" s="161">
        <f t="shared" si="88"/>
        <v>228800226.75126943</v>
      </c>
      <c r="L126" s="162">
        <f t="shared" si="88"/>
        <v>329313369.69126946</v>
      </c>
      <c r="M126" s="228"/>
    </row>
    <row r="127" spans="1:13" x14ac:dyDescent="0.25">
      <c r="A127" s="39" t="s">
        <v>6</v>
      </c>
      <c r="B127" s="77">
        <f>SUM(C127:L127)</f>
        <v>0</v>
      </c>
      <c r="C127" s="77">
        <v>0</v>
      </c>
      <c r="D127" s="77">
        <v>0</v>
      </c>
      <c r="E127" s="77">
        <v>0</v>
      </c>
      <c r="F127" s="77">
        <v>0</v>
      </c>
      <c r="G127" s="77">
        <v>0</v>
      </c>
      <c r="H127" s="77">
        <v>0</v>
      </c>
      <c r="I127" s="77">
        <v>0</v>
      </c>
      <c r="J127" s="77">
        <v>0</v>
      </c>
      <c r="K127" s="77">
        <v>0</v>
      </c>
      <c r="L127" s="79">
        <v>0</v>
      </c>
      <c r="M127" s="228"/>
    </row>
    <row r="128" spans="1:13" x14ac:dyDescent="0.25">
      <c r="A128" s="39" t="s">
        <v>7</v>
      </c>
      <c r="B128" s="77">
        <f>SUM(C128:L128)</f>
        <v>0</v>
      </c>
      <c r="C128" s="77">
        <v>0</v>
      </c>
      <c r="D128" s="77">
        <v>0</v>
      </c>
      <c r="E128" s="77">
        <v>0</v>
      </c>
      <c r="F128" s="77">
        <v>0</v>
      </c>
      <c r="G128" s="77">
        <v>0</v>
      </c>
      <c r="H128" s="77">
        <v>0</v>
      </c>
      <c r="I128" s="77">
        <v>0</v>
      </c>
      <c r="J128" s="77">
        <v>0</v>
      </c>
      <c r="K128" s="77">
        <v>0</v>
      </c>
      <c r="L128" s="79">
        <v>0</v>
      </c>
      <c r="M128" s="228"/>
    </row>
    <row r="129" spans="1:13" ht="26.25" x14ac:dyDescent="0.25">
      <c r="A129" s="39" t="s">
        <v>8</v>
      </c>
      <c r="B129" s="77">
        <f>SUM(C129:L129)</f>
        <v>0</v>
      </c>
      <c r="C129" s="77">
        <v>0</v>
      </c>
      <c r="D129" s="77">
        <v>0</v>
      </c>
      <c r="E129" s="77">
        <v>0</v>
      </c>
      <c r="F129" s="77">
        <v>0</v>
      </c>
      <c r="G129" s="77">
        <v>0</v>
      </c>
      <c r="H129" s="77">
        <v>0</v>
      </c>
      <c r="I129" s="77">
        <v>0</v>
      </c>
      <c r="J129" s="77">
        <v>0</v>
      </c>
      <c r="K129" s="77">
        <v>0</v>
      </c>
      <c r="L129" s="79">
        <v>0</v>
      </c>
      <c r="M129" s="228"/>
    </row>
    <row r="130" spans="1:13" x14ac:dyDescent="0.25">
      <c r="A130" s="38" t="s">
        <v>9</v>
      </c>
      <c r="B130" s="60">
        <f>B132+B133</f>
        <v>8436688580.6522846</v>
      </c>
      <c r="C130" s="60">
        <f t="shared" ref="C130:L130" si="89">C132+C133</f>
        <v>2431935330</v>
      </c>
      <c r="D130" s="60">
        <f t="shared" si="89"/>
        <v>2488348802</v>
      </c>
      <c r="E130" s="60">
        <f t="shared" si="89"/>
        <v>2628572320</v>
      </c>
      <c r="F130" s="60">
        <f t="shared" si="89"/>
        <v>0</v>
      </c>
      <c r="G130" s="161">
        <f t="shared" si="89"/>
        <v>15319218.230999997</v>
      </c>
      <c r="H130" s="161">
        <f t="shared" si="89"/>
        <v>55365235.542090103</v>
      </c>
      <c r="I130" s="161">
        <f t="shared" si="89"/>
        <v>105596896.52598229</v>
      </c>
      <c r="J130" s="161">
        <f t="shared" si="89"/>
        <v>153437181.91067338</v>
      </c>
      <c r="K130" s="161">
        <f t="shared" si="89"/>
        <v>228800226.75126943</v>
      </c>
      <c r="L130" s="162">
        <f t="shared" si="89"/>
        <v>329313369.69126946</v>
      </c>
      <c r="M130" s="228"/>
    </row>
    <row r="131" spans="1:13" x14ac:dyDescent="0.25">
      <c r="A131" s="39" t="s">
        <v>10</v>
      </c>
      <c r="B131" s="77"/>
      <c r="C131" s="77"/>
      <c r="D131" s="77"/>
      <c r="E131" s="77"/>
      <c r="F131" s="77"/>
      <c r="G131" s="77"/>
      <c r="H131" s="77"/>
      <c r="I131" s="77"/>
      <c r="J131" s="77"/>
      <c r="K131" s="77"/>
      <c r="L131" s="79"/>
      <c r="M131" s="228"/>
    </row>
    <row r="132" spans="1:13" ht="15.75" customHeight="1" x14ac:dyDescent="0.25">
      <c r="A132" s="39" t="s">
        <v>104</v>
      </c>
      <c r="B132" s="40">
        <f>B137</f>
        <v>8436688580.6522846</v>
      </c>
      <c r="C132" s="40">
        <f t="shared" ref="C132:L132" si="90">C137</f>
        <v>2431935330</v>
      </c>
      <c r="D132" s="40">
        <f t="shared" si="90"/>
        <v>2488348802</v>
      </c>
      <c r="E132" s="40">
        <f t="shared" si="90"/>
        <v>2628572320</v>
      </c>
      <c r="F132" s="40">
        <f t="shared" si="90"/>
        <v>0</v>
      </c>
      <c r="G132" s="166">
        <f t="shared" si="90"/>
        <v>15319218.230999997</v>
      </c>
      <c r="H132" s="166">
        <f t="shared" si="90"/>
        <v>55365235.542090103</v>
      </c>
      <c r="I132" s="166">
        <f t="shared" si="90"/>
        <v>105596896.52598229</v>
      </c>
      <c r="J132" s="166">
        <f t="shared" si="90"/>
        <v>153437181.91067338</v>
      </c>
      <c r="K132" s="166">
        <f t="shared" si="90"/>
        <v>228800226.75126943</v>
      </c>
      <c r="L132" s="167">
        <f t="shared" si="90"/>
        <v>329313369.69126946</v>
      </c>
      <c r="M132" s="228"/>
    </row>
    <row r="133" spans="1:13" ht="39.75" thickBot="1" x14ac:dyDescent="0.3">
      <c r="A133" s="80" t="s">
        <v>12</v>
      </c>
      <c r="B133" s="81">
        <f>B138</f>
        <v>0</v>
      </c>
      <c r="C133" s="81">
        <f t="shared" ref="C133:L133" si="91">C138</f>
        <v>0</v>
      </c>
      <c r="D133" s="81">
        <f t="shared" si="91"/>
        <v>0</v>
      </c>
      <c r="E133" s="81">
        <f t="shared" si="91"/>
        <v>0</v>
      </c>
      <c r="F133" s="81">
        <f t="shared" si="91"/>
        <v>0</v>
      </c>
      <c r="G133" s="81">
        <f t="shared" si="91"/>
        <v>0</v>
      </c>
      <c r="H133" s="81">
        <f t="shared" si="91"/>
        <v>0</v>
      </c>
      <c r="I133" s="81">
        <f t="shared" si="91"/>
        <v>0</v>
      </c>
      <c r="J133" s="81">
        <f t="shared" si="91"/>
        <v>0</v>
      </c>
      <c r="K133" s="81">
        <f t="shared" si="91"/>
        <v>0</v>
      </c>
      <c r="L133" s="82">
        <f t="shared" si="91"/>
        <v>0</v>
      </c>
      <c r="M133" s="228"/>
    </row>
    <row r="134" spans="1:13" x14ac:dyDescent="0.25">
      <c r="A134" s="5" t="s">
        <v>13</v>
      </c>
      <c r="B134" s="12"/>
      <c r="C134" s="12"/>
      <c r="D134" s="12"/>
      <c r="E134" s="12"/>
      <c r="F134" s="12"/>
      <c r="G134" s="12"/>
      <c r="H134" s="12"/>
      <c r="I134" s="12"/>
      <c r="J134" s="12"/>
      <c r="K134" s="12"/>
      <c r="L134" s="13"/>
    </row>
    <row r="135" spans="1:13" x14ac:dyDescent="0.25">
      <c r="A135" s="6" t="s">
        <v>14</v>
      </c>
      <c r="B135" s="14"/>
      <c r="C135" s="14"/>
      <c r="D135" s="14"/>
      <c r="E135" s="14"/>
      <c r="F135" s="14"/>
      <c r="G135" s="14"/>
      <c r="H135" s="14"/>
      <c r="I135" s="14"/>
      <c r="J135" s="14"/>
      <c r="K135" s="14"/>
      <c r="L135" s="15"/>
    </row>
    <row r="136" spans="1:13" x14ac:dyDescent="0.25">
      <c r="A136" s="16" t="s">
        <v>85</v>
      </c>
      <c r="B136" s="14">
        <f>B137+B138</f>
        <v>8436688580.6522846</v>
      </c>
      <c r="C136" s="14">
        <f t="shared" ref="C136:L136" si="92">C137+C138</f>
        <v>2431935330</v>
      </c>
      <c r="D136" s="14">
        <f t="shared" si="92"/>
        <v>2488348802</v>
      </c>
      <c r="E136" s="14">
        <f t="shared" si="92"/>
        <v>2628572320</v>
      </c>
      <c r="F136" s="14">
        <f t="shared" si="92"/>
        <v>0</v>
      </c>
      <c r="G136" s="148">
        <f t="shared" si="92"/>
        <v>15319218.230999997</v>
      </c>
      <c r="H136" s="148">
        <f t="shared" si="92"/>
        <v>55365235.542090103</v>
      </c>
      <c r="I136" s="148">
        <f t="shared" si="92"/>
        <v>105596896.52598229</v>
      </c>
      <c r="J136" s="148">
        <f t="shared" si="92"/>
        <v>153437181.91067338</v>
      </c>
      <c r="K136" s="148">
        <f t="shared" si="92"/>
        <v>228800226.75126943</v>
      </c>
      <c r="L136" s="149">
        <f t="shared" si="92"/>
        <v>329313369.69126946</v>
      </c>
    </row>
    <row r="137" spans="1:13" ht="17.25" customHeight="1" x14ac:dyDescent="0.25">
      <c r="A137" s="163" t="s">
        <v>104</v>
      </c>
      <c r="B137" s="54">
        <f>SUM(C137:L137)</f>
        <v>8436688580.6522846</v>
      </c>
      <c r="C137" s="54">
        <v>2431935330</v>
      </c>
      <c r="D137" s="54">
        <v>2488348802</v>
      </c>
      <c r="E137" s="54">
        <v>2628572320</v>
      </c>
      <c r="F137" s="54">
        <v>0</v>
      </c>
      <c r="G137" s="166">
        <v>15319218.230999997</v>
      </c>
      <c r="H137" s="166">
        <v>55365235.542090103</v>
      </c>
      <c r="I137" s="166">
        <v>105596896.52598229</v>
      </c>
      <c r="J137" s="166">
        <v>153437181.91067338</v>
      </c>
      <c r="K137" s="166">
        <v>228800226.75126943</v>
      </c>
      <c r="L137" s="167">
        <v>329313369.69126946</v>
      </c>
    </row>
    <row r="138" spans="1:13" ht="39" customHeight="1" thickBot="1" x14ac:dyDescent="0.3">
      <c r="A138" s="10" t="s">
        <v>12</v>
      </c>
      <c r="B138" s="30">
        <f>SUM(C138:L138)</f>
        <v>0</v>
      </c>
      <c r="C138" s="30">
        <v>0</v>
      </c>
      <c r="D138" s="30">
        <v>0</v>
      </c>
      <c r="E138" s="30">
        <v>0</v>
      </c>
      <c r="F138" s="30">
        <v>0</v>
      </c>
      <c r="G138" s="30">
        <v>0</v>
      </c>
      <c r="H138" s="30">
        <v>0</v>
      </c>
      <c r="I138" s="30">
        <v>0</v>
      </c>
      <c r="J138" s="30">
        <v>0</v>
      </c>
      <c r="K138" s="30">
        <v>0</v>
      </c>
      <c r="L138" s="31">
        <v>0</v>
      </c>
    </row>
    <row r="139" spans="1:13" ht="92.25" customHeight="1" x14ac:dyDescent="0.25">
      <c r="A139" s="219" t="s">
        <v>83</v>
      </c>
      <c r="B139" s="220"/>
      <c r="C139" s="220"/>
      <c r="D139" s="220"/>
      <c r="E139" s="220"/>
      <c r="F139" s="220"/>
      <c r="G139" s="220"/>
      <c r="H139" s="220"/>
      <c r="I139" s="220"/>
      <c r="J139" s="220"/>
      <c r="K139" s="220"/>
      <c r="L139" s="221"/>
      <c r="M139" s="180" t="s">
        <v>114</v>
      </c>
    </row>
    <row r="140" spans="1:13" x14ac:dyDescent="0.25">
      <c r="A140" s="38" t="s">
        <v>5</v>
      </c>
      <c r="B140" s="60">
        <f>B141+B142+B143+B144</f>
        <v>219207649</v>
      </c>
      <c r="C140" s="60">
        <f t="shared" ref="C140:L140" si="93">C141+C142+C143+C144</f>
        <v>70187679</v>
      </c>
      <c r="D140" s="60">
        <f t="shared" si="93"/>
        <v>72093876</v>
      </c>
      <c r="E140" s="60">
        <f t="shared" si="93"/>
        <v>76926094</v>
      </c>
      <c r="F140" s="60">
        <f t="shared" si="93"/>
        <v>0</v>
      </c>
      <c r="G140" s="60">
        <f t="shared" si="93"/>
        <v>0</v>
      </c>
      <c r="H140" s="60">
        <f t="shared" si="93"/>
        <v>0</v>
      </c>
      <c r="I140" s="60">
        <f t="shared" si="93"/>
        <v>0</v>
      </c>
      <c r="J140" s="60">
        <f t="shared" si="93"/>
        <v>0</v>
      </c>
      <c r="K140" s="60">
        <f t="shared" si="93"/>
        <v>0</v>
      </c>
      <c r="L140" s="61">
        <f t="shared" si="93"/>
        <v>0</v>
      </c>
    </row>
    <row r="141" spans="1:13" x14ac:dyDescent="0.25">
      <c r="A141" s="39" t="s">
        <v>6</v>
      </c>
      <c r="B141" s="77">
        <f>SUM(C141:L141)</f>
        <v>0</v>
      </c>
      <c r="C141" s="77">
        <v>0</v>
      </c>
      <c r="D141" s="77">
        <v>0</v>
      </c>
      <c r="E141" s="77">
        <v>0</v>
      </c>
      <c r="F141" s="77">
        <v>0</v>
      </c>
      <c r="G141" s="77">
        <v>0</v>
      </c>
      <c r="H141" s="77">
        <v>0</v>
      </c>
      <c r="I141" s="77">
        <v>0</v>
      </c>
      <c r="J141" s="77">
        <v>0</v>
      </c>
      <c r="K141" s="77">
        <v>0</v>
      </c>
      <c r="L141" s="79">
        <v>0</v>
      </c>
    </row>
    <row r="142" spans="1:13" x14ac:dyDescent="0.25">
      <c r="A142" s="39" t="s">
        <v>7</v>
      </c>
      <c r="B142" s="77">
        <f>SUM(C142:L142)</f>
        <v>0</v>
      </c>
      <c r="C142" s="77">
        <v>0</v>
      </c>
      <c r="D142" s="77">
        <v>0</v>
      </c>
      <c r="E142" s="77">
        <v>0</v>
      </c>
      <c r="F142" s="77">
        <v>0</v>
      </c>
      <c r="G142" s="77">
        <v>0</v>
      </c>
      <c r="H142" s="77">
        <v>0</v>
      </c>
      <c r="I142" s="77">
        <v>0</v>
      </c>
      <c r="J142" s="77">
        <v>0</v>
      </c>
      <c r="K142" s="77">
        <v>0</v>
      </c>
      <c r="L142" s="79">
        <v>0</v>
      </c>
    </row>
    <row r="143" spans="1:13" ht="26.25" x14ac:dyDescent="0.25">
      <c r="A143" s="39" t="s">
        <v>8</v>
      </c>
      <c r="B143" s="77">
        <f>SUM(C143:L143)</f>
        <v>0</v>
      </c>
      <c r="C143" s="77">
        <v>0</v>
      </c>
      <c r="D143" s="77">
        <v>0</v>
      </c>
      <c r="E143" s="77">
        <v>0</v>
      </c>
      <c r="F143" s="77">
        <v>0</v>
      </c>
      <c r="G143" s="77">
        <v>0</v>
      </c>
      <c r="H143" s="77">
        <v>0</v>
      </c>
      <c r="I143" s="77">
        <v>0</v>
      </c>
      <c r="J143" s="77">
        <v>0</v>
      </c>
      <c r="K143" s="77">
        <v>0</v>
      </c>
      <c r="L143" s="79">
        <v>0</v>
      </c>
    </row>
    <row r="144" spans="1:13" x14ac:dyDescent="0.25">
      <c r="A144" s="38" t="s">
        <v>9</v>
      </c>
      <c r="B144" s="60">
        <f>B151</f>
        <v>219207649</v>
      </c>
      <c r="C144" s="60">
        <f t="shared" ref="C144:L144" si="94">C151</f>
        <v>70187679</v>
      </c>
      <c r="D144" s="60">
        <f t="shared" si="94"/>
        <v>72093876</v>
      </c>
      <c r="E144" s="60">
        <f t="shared" si="94"/>
        <v>76926094</v>
      </c>
      <c r="F144" s="60">
        <f t="shared" si="94"/>
        <v>0</v>
      </c>
      <c r="G144" s="60">
        <f t="shared" si="94"/>
        <v>0</v>
      </c>
      <c r="H144" s="60">
        <f t="shared" si="94"/>
        <v>0</v>
      </c>
      <c r="I144" s="60">
        <f t="shared" si="94"/>
        <v>0</v>
      </c>
      <c r="J144" s="60">
        <f t="shared" si="94"/>
        <v>0</v>
      </c>
      <c r="K144" s="60">
        <f t="shared" si="94"/>
        <v>0</v>
      </c>
      <c r="L144" s="61">
        <f t="shared" si="94"/>
        <v>0</v>
      </c>
    </row>
    <row r="145" spans="1:13" x14ac:dyDescent="0.25">
      <c r="A145" s="39" t="s">
        <v>10</v>
      </c>
      <c r="B145" s="77"/>
      <c r="C145" s="77"/>
      <c r="D145" s="77"/>
      <c r="E145" s="77"/>
      <c r="F145" s="77"/>
      <c r="G145" s="77"/>
      <c r="H145" s="77"/>
      <c r="I145" s="77"/>
      <c r="J145" s="77"/>
      <c r="K145" s="77"/>
      <c r="L145" s="79"/>
    </row>
    <row r="146" spans="1:13" x14ac:dyDescent="0.25">
      <c r="A146" s="39" t="s">
        <v>11</v>
      </c>
      <c r="B146" s="77">
        <f>B152</f>
        <v>186238850</v>
      </c>
      <c r="C146" s="77">
        <f t="shared" ref="C146:L146" si="95">C152</f>
        <v>58326339</v>
      </c>
      <c r="D146" s="77">
        <f t="shared" si="95"/>
        <v>61478601</v>
      </c>
      <c r="E146" s="77">
        <f t="shared" si="95"/>
        <v>66433910</v>
      </c>
      <c r="F146" s="77">
        <f t="shared" si="95"/>
        <v>0</v>
      </c>
      <c r="G146" s="77">
        <f t="shared" si="95"/>
        <v>0</v>
      </c>
      <c r="H146" s="77">
        <f t="shared" si="95"/>
        <v>0</v>
      </c>
      <c r="I146" s="77">
        <f t="shared" si="95"/>
        <v>0</v>
      </c>
      <c r="J146" s="77">
        <f t="shared" si="95"/>
        <v>0</v>
      </c>
      <c r="K146" s="77">
        <f t="shared" si="95"/>
        <v>0</v>
      </c>
      <c r="L146" s="79">
        <f t="shared" si="95"/>
        <v>0</v>
      </c>
    </row>
    <row r="147" spans="1:13" ht="15.75" customHeight="1" x14ac:dyDescent="0.25">
      <c r="A147" s="62" t="s">
        <v>104</v>
      </c>
      <c r="B147" s="152">
        <f>B153</f>
        <v>32968799</v>
      </c>
      <c r="C147" s="152">
        <f t="shared" ref="C147:L147" si="96">C153</f>
        <v>11861340</v>
      </c>
      <c r="D147" s="152">
        <f t="shared" si="96"/>
        <v>10615275</v>
      </c>
      <c r="E147" s="152">
        <f t="shared" si="96"/>
        <v>10492184</v>
      </c>
      <c r="F147" s="152">
        <f t="shared" si="96"/>
        <v>0</v>
      </c>
      <c r="G147" s="152">
        <f t="shared" si="96"/>
        <v>0</v>
      </c>
      <c r="H147" s="152">
        <f t="shared" si="96"/>
        <v>0</v>
      </c>
      <c r="I147" s="152">
        <f t="shared" si="96"/>
        <v>0</v>
      </c>
      <c r="J147" s="152">
        <f t="shared" si="96"/>
        <v>0</v>
      </c>
      <c r="K147" s="152">
        <f t="shared" si="96"/>
        <v>0</v>
      </c>
      <c r="L147" s="153">
        <f t="shared" si="96"/>
        <v>0</v>
      </c>
    </row>
    <row r="148" spans="1:13" ht="39.75" thickBot="1" x14ac:dyDescent="0.3">
      <c r="A148" s="80" t="s">
        <v>12</v>
      </c>
      <c r="B148" s="154">
        <f>B154</f>
        <v>0</v>
      </c>
      <c r="C148" s="154">
        <f t="shared" ref="C148:L148" si="97">C154</f>
        <v>0</v>
      </c>
      <c r="D148" s="154">
        <f t="shared" si="97"/>
        <v>0</v>
      </c>
      <c r="E148" s="154">
        <f t="shared" si="97"/>
        <v>0</v>
      </c>
      <c r="F148" s="154">
        <f t="shared" si="97"/>
        <v>0</v>
      </c>
      <c r="G148" s="154">
        <f t="shared" si="97"/>
        <v>0</v>
      </c>
      <c r="H148" s="154">
        <f t="shared" si="97"/>
        <v>0</v>
      </c>
      <c r="I148" s="154">
        <f t="shared" si="97"/>
        <v>0</v>
      </c>
      <c r="J148" s="154">
        <f t="shared" si="97"/>
        <v>0</v>
      </c>
      <c r="K148" s="154">
        <f t="shared" si="97"/>
        <v>0</v>
      </c>
      <c r="L148" s="155">
        <f t="shared" si="97"/>
        <v>0</v>
      </c>
    </row>
    <row r="149" spans="1:13" x14ac:dyDescent="0.25">
      <c r="A149" s="5" t="s">
        <v>13</v>
      </c>
      <c r="B149" s="12"/>
      <c r="C149" s="12"/>
      <c r="D149" s="12"/>
      <c r="E149" s="12"/>
      <c r="F149" s="12"/>
      <c r="G149" s="12"/>
      <c r="H149" s="12"/>
      <c r="I149" s="12"/>
      <c r="J149" s="12"/>
      <c r="K149" s="12"/>
      <c r="L149" s="13"/>
    </row>
    <row r="150" spans="1:13" x14ac:dyDescent="0.25">
      <c r="A150" s="6" t="s">
        <v>14</v>
      </c>
      <c r="B150" s="14"/>
      <c r="C150" s="14"/>
      <c r="D150" s="14"/>
      <c r="E150" s="14"/>
      <c r="F150" s="14"/>
      <c r="G150" s="14"/>
      <c r="H150" s="14"/>
      <c r="I150" s="14"/>
      <c r="J150" s="14"/>
      <c r="K150" s="14"/>
      <c r="L150" s="15"/>
    </row>
    <row r="151" spans="1:13" x14ac:dyDescent="0.25">
      <c r="A151" s="16" t="s">
        <v>16</v>
      </c>
      <c r="B151" s="14">
        <f>B152+B153+B154</f>
        <v>219207649</v>
      </c>
      <c r="C151" s="14">
        <f t="shared" ref="C151:L151" si="98">C152+C153+C154</f>
        <v>70187679</v>
      </c>
      <c r="D151" s="14">
        <f t="shared" si="98"/>
        <v>72093876</v>
      </c>
      <c r="E151" s="14">
        <f t="shared" si="98"/>
        <v>76926094</v>
      </c>
      <c r="F151" s="14">
        <f t="shared" si="98"/>
        <v>0</v>
      </c>
      <c r="G151" s="14">
        <f t="shared" si="98"/>
        <v>0</v>
      </c>
      <c r="H151" s="14">
        <f t="shared" si="98"/>
        <v>0</v>
      </c>
      <c r="I151" s="14">
        <f t="shared" si="98"/>
        <v>0</v>
      </c>
      <c r="J151" s="14">
        <f t="shared" si="98"/>
        <v>0</v>
      </c>
      <c r="K151" s="14">
        <f t="shared" si="98"/>
        <v>0</v>
      </c>
      <c r="L151" s="15">
        <f t="shared" si="98"/>
        <v>0</v>
      </c>
    </row>
    <row r="152" spans="1:13" ht="15.75" customHeight="1" x14ac:dyDescent="0.25">
      <c r="A152" s="9" t="s">
        <v>11</v>
      </c>
      <c r="B152" s="54">
        <f>SUM(C152:L152)</f>
        <v>186238850</v>
      </c>
      <c r="C152" s="54">
        <v>58326339</v>
      </c>
      <c r="D152" s="54">
        <v>61478601</v>
      </c>
      <c r="E152" s="54">
        <v>66433910</v>
      </c>
      <c r="F152" s="68">
        <v>0</v>
      </c>
      <c r="G152" s="68">
        <v>0</v>
      </c>
      <c r="H152" s="68">
        <v>0</v>
      </c>
      <c r="I152" s="68">
        <v>0</v>
      </c>
      <c r="J152" s="68">
        <v>0</v>
      </c>
      <c r="K152" s="68">
        <v>0</v>
      </c>
      <c r="L152" s="69">
        <v>0</v>
      </c>
    </row>
    <row r="153" spans="1:13" ht="15.75" customHeight="1" x14ac:dyDescent="0.25">
      <c r="A153" s="9" t="s">
        <v>104</v>
      </c>
      <c r="B153" s="112">
        <f>SUM(C153:L153)</f>
        <v>32968799</v>
      </c>
      <c r="C153" s="112">
        <v>11861340</v>
      </c>
      <c r="D153" s="112">
        <v>10615275</v>
      </c>
      <c r="E153" s="112">
        <v>10492184</v>
      </c>
      <c r="F153" s="141">
        <v>0</v>
      </c>
      <c r="G153" s="141">
        <v>0</v>
      </c>
      <c r="H153" s="141">
        <v>0</v>
      </c>
      <c r="I153" s="141">
        <v>0</v>
      </c>
      <c r="J153" s="141">
        <v>0</v>
      </c>
      <c r="K153" s="141">
        <v>0</v>
      </c>
      <c r="L153" s="142">
        <v>0</v>
      </c>
    </row>
    <row r="154" spans="1:13" ht="39.75" customHeight="1" thickBot="1" x14ac:dyDescent="0.3">
      <c r="A154" s="10" t="s">
        <v>12</v>
      </c>
      <c r="B154" s="168">
        <f>SUM(C154:L154)</f>
        <v>0</v>
      </c>
      <c r="C154" s="168">
        <v>0</v>
      </c>
      <c r="D154" s="168">
        <v>0</v>
      </c>
      <c r="E154" s="168">
        <v>0</v>
      </c>
      <c r="F154" s="168">
        <v>0</v>
      </c>
      <c r="G154" s="168">
        <v>0</v>
      </c>
      <c r="H154" s="168">
        <v>0</v>
      </c>
      <c r="I154" s="168">
        <v>0</v>
      </c>
      <c r="J154" s="168">
        <v>0</v>
      </c>
      <c r="K154" s="168">
        <v>0</v>
      </c>
      <c r="L154" s="147">
        <v>0</v>
      </c>
    </row>
    <row r="155" spans="1:13" ht="32.25" customHeight="1" x14ac:dyDescent="0.25">
      <c r="A155" s="219" t="s">
        <v>82</v>
      </c>
      <c r="B155" s="220"/>
      <c r="C155" s="220"/>
      <c r="D155" s="220"/>
      <c r="E155" s="220"/>
      <c r="F155" s="220"/>
      <c r="G155" s="220"/>
      <c r="H155" s="220"/>
      <c r="I155" s="220"/>
      <c r="J155" s="220"/>
      <c r="K155" s="220"/>
      <c r="L155" s="221"/>
      <c r="M155" s="218" t="s">
        <v>115</v>
      </c>
    </row>
    <row r="156" spans="1:13" ht="17.25" customHeight="1" x14ac:dyDescent="0.25">
      <c r="A156" s="38" t="s">
        <v>5</v>
      </c>
      <c r="B156" s="60">
        <f>B157+B158+B159+B160</f>
        <v>0</v>
      </c>
      <c r="C156" s="60">
        <f t="shared" ref="C156:L156" si="99">C157+C158+C159+C160</f>
        <v>0</v>
      </c>
      <c r="D156" s="60">
        <f t="shared" si="99"/>
        <v>0</v>
      </c>
      <c r="E156" s="60">
        <f t="shared" si="99"/>
        <v>0</v>
      </c>
      <c r="F156" s="60">
        <f t="shared" si="99"/>
        <v>0</v>
      </c>
      <c r="G156" s="60">
        <f t="shared" si="99"/>
        <v>0</v>
      </c>
      <c r="H156" s="60">
        <f t="shared" si="99"/>
        <v>0</v>
      </c>
      <c r="I156" s="60">
        <f t="shared" si="99"/>
        <v>0</v>
      </c>
      <c r="J156" s="60">
        <f t="shared" si="99"/>
        <v>0</v>
      </c>
      <c r="K156" s="60">
        <f t="shared" si="99"/>
        <v>0</v>
      </c>
      <c r="L156" s="61">
        <f t="shared" si="99"/>
        <v>0</v>
      </c>
      <c r="M156" s="218"/>
    </row>
    <row r="157" spans="1:13" x14ac:dyDescent="0.25">
      <c r="A157" s="39" t="s">
        <v>6</v>
      </c>
      <c r="B157" s="77">
        <f>SUM(C157:L157)</f>
        <v>0</v>
      </c>
      <c r="C157" s="77">
        <v>0</v>
      </c>
      <c r="D157" s="77">
        <v>0</v>
      </c>
      <c r="E157" s="77">
        <v>0</v>
      </c>
      <c r="F157" s="77">
        <v>0</v>
      </c>
      <c r="G157" s="77">
        <v>0</v>
      </c>
      <c r="H157" s="77">
        <v>0</v>
      </c>
      <c r="I157" s="77">
        <v>0</v>
      </c>
      <c r="J157" s="77">
        <v>0</v>
      </c>
      <c r="K157" s="77">
        <v>0</v>
      </c>
      <c r="L157" s="79">
        <v>0</v>
      </c>
      <c r="M157" s="218"/>
    </row>
    <row r="158" spans="1:13" x14ac:dyDescent="0.25">
      <c r="A158" s="39" t="s">
        <v>7</v>
      </c>
      <c r="B158" s="77">
        <f>SUM(C158:L158)</f>
        <v>0</v>
      </c>
      <c r="C158" s="77">
        <v>0</v>
      </c>
      <c r="D158" s="77">
        <v>0</v>
      </c>
      <c r="E158" s="77">
        <v>0</v>
      </c>
      <c r="F158" s="77">
        <v>0</v>
      </c>
      <c r="G158" s="77">
        <v>0</v>
      </c>
      <c r="H158" s="77">
        <v>0</v>
      </c>
      <c r="I158" s="77">
        <v>0</v>
      </c>
      <c r="J158" s="77">
        <v>0</v>
      </c>
      <c r="K158" s="77">
        <v>0</v>
      </c>
      <c r="L158" s="79">
        <v>0</v>
      </c>
      <c r="M158" s="218"/>
    </row>
    <row r="159" spans="1:13" ht="26.25" x14ac:dyDescent="0.25">
      <c r="A159" s="39" t="s">
        <v>8</v>
      </c>
      <c r="B159" s="77">
        <f>SUM(C159:L159)</f>
        <v>0</v>
      </c>
      <c r="C159" s="77">
        <v>0</v>
      </c>
      <c r="D159" s="77">
        <v>0</v>
      </c>
      <c r="E159" s="77">
        <v>0</v>
      </c>
      <c r="F159" s="77">
        <v>0</v>
      </c>
      <c r="G159" s="77">
        <v>0</v>
      </c>
      <c r="H159" s="77">
        <v>0</v>
      </c>
      <c r="I159" s="77">
        <v>0</v>
      </c>
      <c r="J159" s="77">
        <v>0</v>
      </c>
      <c r="K159" s="77">
        <v>0</v>
      </c>
      <c r="L159" s="79">
        <v>0</v>
      </c>
      <c r="M159" s="218"/>
    </row>
    <row r="160" spans="1:13" x14ac:dyDescent="0.25">
      <c r="A160" s="38" t="s">
        <v>9</v>
      </c>
      <c r="B160" s="60">
        <f>B166</f>
        <v>0</v>
      </c>
      <c r="C160" s="60">
        <f t="shared" ref="C160:L160" si="100">C166</f>
        <v>0</v>
      </c>
      <c r="D160" s="60">
        <f t="shared" si="100"/>
        <v>0</v>
      </c>
      <c r="E160" s="60">
        <f t="shared" si="100"/>
        <v>0</v>
      </c>
      <c r="F160" s="60">
        <f t="shared" si="100"/>
        <v>0</v>
      </c>
      <c r="G160" s="60">
        <f t="shared" si="100"/>
        <v>0</v>
      </c>
      <c r="H160" s="60">
        <f t="shared" si="100"/>
        <v>0</v>
      </c>
      <c r="I160" s="60">
        <f t="shared" si="100"/>
        <v>0</v>
      </c>
      <c r="J160" s="60">
        <f t="shared" si="100"/>
        <v>0</v>
      </c>
      <c r="K160" s="60">
        <f t="shared" si="100"/>
        <v>0</v>
      </c>
      <c r="L160" s="61">
        <f t="shared" si="100"/>
        <v>0</v>
      </c>
      <c r="M160" s="218"/>
    </row>
    <row r="161" spans="1:13" x14ac:dyDescent="0.25">
      <c r="A161" s="39" t="s">
        <v>10</v>
      </c>
      <c r="B161" s="77"/>
      <c r="C161" s="77"/>
      <c r="D161" s="77"/>
      <c r="E161" s="77"/>
      <c r="F161" s="77"/>
      <c r="G161" s="77"/>
      <c r="H161" s="77"/>
      <c r="I161" s="77"/>
      <c r="J161" s="77"/>
      <c r="K161" s="77"/>
      <c r="L161" s="79"/>
      <c r="M161" s="218"/>
    </row>
    <row r="162" spans="1:13" x14ac:dyDescent="0.25">
      <c r="A162" s="39" t="s">
        <v>11</v>
      </c>
      <c r="B162" s="40">
        <f>B167</f>
        <v>0</v>
      </c>
      <c r="C162" s="40">
        <f t="shared" ref="C162:L162" si="101">C167</f>
        <v>0</v>
      </c>
      <c r="D162" s="40">
        <f t="shared" si="101"/>
        <v>0</v>
      </c>
      <c r="E162" s="40">
        <f t="shared" si="101"/>
        <v>0</v>
      </c>
      <c r="F162" s="40">
        <f t="shared" si="101"/>
        <v>0</v>
      </c>
      <c r="G162" s="40">
        <f t="shared" si="101"/>
        <v>0</v>
      </c>
      <c r="H162" s="40">
        <f t="shared" si="101"/>
        <v>0</v>
      </c>
      <c r="I162" s="40">
        <f t="shared" si="101"/>
        <v>0</v>
      </c>
      <c r="J162" s="40">
        <f t="shared" si="101"/>
        <v>0</v>
      </c>
      <c r="K162" s="40">
        <f t="shared" si="101"/>
        <v>0</v>
      </c>
      <c r="L162" s="41">
        <f t="shared" si="101"/>
        <v>0</v>
      </c>
      <c r="M162" s="218"/>
    </row>
    <row r="163" spans="1:13" ht="39.75" thickBot="1" x14ac:dyDescent="0.3">
      <c r="A163" s="80" t="s">
        <v>12</v>
      </c>
      <c r="B163" s="81">
        <f>B168</f>
        <v>0</v>
      </c>
      <c r="C163" s="81">
        <f t="shared" ref="C163:L163" si="102">C168</f>
        <v>0</v>
      </c>
      <c r="D163" s="81">
        <f t="shared" si="102"/>
        <v>0</v>
      </c>
      <c r="E163" s="81">
        <f t="shared" si="102"/>
        <v>0</v>
      </c>
      <c r="F163" s="81">
        <f t="shared" si="102"/>
        <v>0</v>
      </c>
      <c r="G163" s="81">
        <f t="shared" si="102"/>
        <v>0</v>
      </c>
      <c r="H163" s="81">
        <f t="shared" si="102"/>
        <v>0</v>
      </c>
      <c r="I163" s="81">
        <f t="shared" si="102"/>
        <v>0</v>
      </c>
      <c r="J163" s="81">
        <f t="shared" si="102"/>
        <v>0</v>
      </c>
      <c r="K163" s="81">
        <f t="shared" si="102"/>
        <v>0</v>
      </c>
      <c r="L163" s="82">
        <f t="shared" si="102"/>
        <v>0</v>
      </c>
      <c r="M163" s="218"/>
    </row>
    <row r="164" spans="1:13" x14ac:dyDescent="0.25">
      <c r="A164" s="5" t="s">
        <v>13</v>
      </c>
      <c r="B164" s="12"/>
      <c r="C164" s="12"/>
      <c r="D164" s="12"/>
      <c r="E164" s="12"/>
      <c r="F164" s="12"/>
      <c r="G164" s="12"/>
      <c r="H164" s="12"/>
      <c r="I164" s="12"/>
      <c r="J164" s="12"/>
      <c r="K164" s="12"/>
      <c r="L164" s="13"/>
    </row>
    <row r="165" spans="1:13" x14ac:dyDescent="0.25">
      <c r="A165" s="6" t="s">
        <v>14</v>
      </c>
      <c r="B165" s="14"/>
      <c r="C165" s="14"/>
      <c r="D165" s="14"/>
      <c r="E165" s="14"/>
      <c r="F165" s="14"/>
      <c r="G165" s="14"/>
      <c r="H165" s="14"/>
      <c r="I165" s="14"/>
      <c r="J165" s="14"/>
      <c r="K165" s="14"/>
      <c r="L165" s="15"/>
    </row>
    <row r="166" spans="1:13" x14ac:dyDescent="0.25">
      <c r="A166" s="16" t="s">
        <v>16</v>
      </c>
      <c r="B166" s="14">
        <f>B167+B168</f>
        <v>0</v>
      </c>
      <c r="C166" s="14">
        <f t="shared" ref="C166:L166" si="103">C167+C168</f>
        <v>0</v>
      </c>
      <c r="D166" s="14">
        <f t="shared" si="103"/>
        <v>0</v>
      </c>
      <c r="E166" s="14">
        <f t="shared" si="103"/>
        <v>0</v>
      </c>
      <c r="F166" s="14">
        <f t="shared" si="103"/>
        <v>0</v>
      </c>
      <c r="G166" s="14">
        <f t="shared" si="103"/>
        <v>0</v>
      </c>
      <c r="H166" s="14">
        <f t="shared" si="103"/>
        <v>0</v>
      </c>
      <c r="I166" s="14">
        <f t="shared" si="103"/>
        <v>0</v>
      </c>
      <c r="J166" s="14">
        <f t="shared" si="103"/>
        <v>0</v>
      </c>
      <c r="K166" s="14">
        <f t="shared" si="103"/>
        <v>0</v>
      </c>
      <c r="L166" s="15">
        <f t="shared" si="103"/>
        <v>0</v>
      </c>
    </row>
    <row r="167" spans="1:13" x14ac:dyDescent="0.25">
      <c r="A167" s="9" t="s">
        <v>11</v>
      </c>
      <c r="B167" s="54">
        <f>SUM(C167:L167)</f>
        <v>0</v>
      </c>
      <c r="C167" s="54">
        <v>0</v>
      </c>
      <c r="D167" s="54">
        <v>0</v>
      </c>
      <c r="E167" s="54">
        <v>0</v>
      </c>
      <c r="F167" s="54">
        <v>0</v>
      </c>
      <c r="G167" s="54">
        <v>0</v>
      </c>
      <c r="H167" s="54">
        <v>0</v>
      </c>
      <c r="I167" s="54">
        <v>0</v>
      </c>
      <c r="J167" s="54">
        <v>0</v>
      </c>
      <c r="K167" s="54">
        <v>0</v>
      </c>
      <c r="L167" s="17">
        <v>0</v>
      </c>
    </row>
    <row r="168" spans="1:13" ht="37.5" customHeight="1" thickBot="1" x14ac:dyDescent="0.3">
      <c r="A168" s="10" t="s">
        <v>12</v>
      </c>
      <c r="B168" s="30">
        <f>SUM(C168:L168)</f>
        <v>0</v>
      </c>
      <c r="C168" s="30">
        <v>0</v>
      </c>
      <c r="D168" s="30">
        <v>0</v>
      </c>
      <c r="E168" s="30">
        <v>0</v>
      </c>
      <c r="F168" s="30">
        <v>0</v>
      </c>
      <c r="G168" s="30">
        <v>0</v>
      </c>
      <c r="H168" s="30">
        <v>0</v>
      </c>
      <c r="I168" s="30">
        <v>0</v>
      </c>
      <c r="J168" s="30">
        <v>0</v>
      </c>
      <c r="K168" s="30">
        <v>0</v>
      </c>
      <c r="L168" s="31">
        <v>0</v>
      </c>
    </row>
    <row r="169" spans="1:13" x14ac:dyDescent="0.25">
      <c r="A169" s="219" t="s">
        <v>81</v>
      </c>
      <c r="B169" s="220"/>
      <c r="C169" s="220"/>
      <c r="D169" s="220"/>
      <c r="E169" s="220"/>
      <c r="F169" s="220"/>
      <c r="G169" s="220"/>
      <c r="H169" s="220"/>
      <c r="I169" s="220"/>
      <c r="J169" s="220"/>
      <c r="K169" s="220"/>
      <c r="L169" s="221"/>
      <c r="M169" s="229" t="s">
        <v>116</v>
      </c>
    </row>
    <row r="170" spans="1:13" x14ac:dyDescent="0.25">
      <c r="A170" s="38" t="s">
        <v>5</v>
      </c>
      <c r="B170" s="60">
        <f>(C170+D170+E170)+SUM(F170:L170)</f>
        <v>65885123</v>
      </c>
      <c r="C170" s="60">
        <v>13324936</v>
      </c>
      <c r="D170" s="60">
        <v>8390568</v>
      </c>
      <c r="E170" s="60">
        <v>169619</v>
      </c>
      <c r="F170" s="60">
        <v>0</v>
      </c>
      <c r="G170" s="60">
        <v>1275000</v>
      </c>
      <c r="H170" s="60">
        <v>9616819</v>
      </c>
      <c r="I170" s="60">
        <v>9320863</v>
      </c>
      <c r="J170" s="60">
        <v>8879041</v>
      </c>
      <c r="K170" s="60">
        <v>8459795</v>
      </c>
      <c r="L170" s="61">
        <v>6448482</v>
      </c>
      <c r="M170" s="229"/>
    </row>
    <row r="171" spans="1:13" x14ac:dyDescent="0.25">
      <c r="A171" s="39" t="s">
        <v>6</v>
      </c>
      <c r="B171" s="77">
        <f>SUM(C171:L171)</f>
        <v>0</v>
      </c>
      <c r="C171" s="77">
        <v>0</v>
      </c>
      <c r="D171" s="77">
        <v>0</v>
      </c>
      <c r="E171" s="77">
        <v>0</v>
      </c>
      <c r="F171" s="77">
        <v>0</v>
      </c>
      <c r="G171" s="77">
        <v>0</v>
      </c>
      <c r="H171" s="77">
        <v>0</v>
      </c>
      <c r="I171" s="77">
        <v>0</v>
      </c>
      <c r="J171" s="77">
        <v>0</v>
      </c>
      <c r="K171" s="77">
        <v>0</v>
      </c>
      <c r="L171" s="79">
        <v>0</v>
      </c>
      <c r="M171" s="229"/>
    </row>
    <row r="172" spans="1:13" x14ac:dyDescent="0.25">
      <c r="A172" s="39" t="s">
        <v>7</v>
      </c>
      <c r="B172" s="77">
        <f>SUM(C172:L172)</f>
        <v>0</v>
      </c>
      <c r="C172" s="77">
        <v>0</v>
      </c>
      <c r="D172" s="77">
        <v>0</v>
      </c>
      <c r="E172" s="77">
        <v>0</v>
      </c>
      <c r="F172" s="77">
        <v>0</v>
      </c>
      <c r="G172" s="77">
        <v>0</v>
      </c>
      <c r="H172" s="77">
        <v>0</v>
      </c>
      <c r="I172" s="77">
        <v>0</v>
      </c>
      <c r="J172" s="77">
        <v>0</v>
      </c>
      <c r="K172" s="77">
        <v>0</v>
      </c>
      <c r="L172" s="79">
        <v>0</v>
      </c>
      <c r="M172" s="229"/>
    </row>
    <row r="173" spans="1:13" ht="26.25" x14ac:dyDescent="0.25">
      <c r="A173" s="39" t="s">
        <v>8</v>
      </c>
      <c r="B173" s="77">
        <f>SUM(C173:L173)</f>
        <v>0</v>
      </c>
      <c r="C173" s="77">
        <v>0</v>
      </c>
      <c r="D173" s="77">
        <v>0</v>
      </c>
      <c r="E173" s="77">
        <v>0</v>
      </c>
      <c r="F173" s="77">
        <v>0</v>
      </c>
      <c r="G173" s="77">
        <v>0</v>
      </c>
      <c r="H173" s="77">
        <v>0</v>
      </c>
      <c r="I173" s="77">
        <v>0</v>
      </c>
      <c r="J173" s="77">
        <v>0</v>
      </c>
      <c r="K173" s="77">
        <v>0</v>
      </c>
      <c r="L173" s="79">
        <v>0</v>
      </c>
      <c r="M173" s="229"/>
    </row>
    <row r="174" spans="1:13" x14ac:dyDescent="0.25">
      <c r="A174" s="38" t="s">
        <v>9</v>
      </c>
      <c r="B174" s="60">
        <f>(C174+D174+E174)+SUM(F174:L174)</f>
        <v>65885123</v>
      </c>
      <c r="C174" s="60">
        <v>13324936</v>
      </c>
      <c r="D174" s="60">
        <v>8390568</v>
      </c>
      <c r="E174" s="60">
        <v>169619</v>
      </c>
      <c r="F174" s="60">
        <v>0</v>
      </c>
      <c r="G174" s="60">
        <v>1275000</v>
      </c>
      <c r="H174" s="60">
        <v>9616819</v>
      </c>
      <c r="I174" s="60">
        <v>9320863</v>
      </c>
      <c r="J174" s="60">
        <v>8879041</v>
      </c>
      <c r="K174" s="60">
        <f>K176+K177</f>
        <v>8459795</v>
      </c>
      <c r="L174" s="61">
        <f>L176+L177</f>
        <v>6448482</v>
      </c>
      <c r="M174" s="229"/>
    </row>
    <row r="175" spans="1:13" x14ac:dyDescent="0.25">
      <c r="A175" s="39" t="s">
        <v>10</v>
      </c>
      <c r="B175" s="77"/>
      <c r="C175" s="77"/>
      <c r="D175" s="77"/>
      <c r="E175" s="77"/>
      <c r="F175" s="77"/>
      <c r="G175" s="77"/>
      <c r="H175" s="77"/>
      <c r="I175" s="77"/>
      <c r="J175" s="77"/>
      <c r="K175" s="77"/>
      <c r="L175" s="79"/>
      <c r="M175" s="229"/>
    </row>
    <row r="176" spans="1:13" x14ac:dyDescent="0.25">
      <c r="A176" s="39" t="s">
        <v>11</v>
      </c>
      <c r="B176" s="40">
        <f>B181</f>
        <v>5720000</v>
      </c>
      <c r="C176" s="40">
        <f t="shared" ref="C176:L176" si="104">C181</f>
        <v>0</v>
      </c>
      <c r="D176" s="40">
        <f t="shared" si="104"/>
        <v>0</v>
      </c>
      <c r="E176" s="40">
        <f t="shared" si="104"/>
        <v>0</v>
      </c>
      <c r="F176" s="40">
        <f t="shared" si="104"/>
        <v>0</v>
      </c>
      <c r="G176" s="40">
        <f t="shared" si="104"/>
        <v>0</v>
      </c>
      <c r="H176" s="40">
        <f t="shared" si="104"/>
        <v>0</v>
      </c>
      <c r="I176" s="40">
        <f t="shared" si="104"/>
        <v>0</v>
      </c>
      <c r="J176" s="40">
        <f t="shared" si="104"/>
        <v>0</v>
      </c>
      <c r="K176" s="40">
        <f t="shared" si="104"/>
        <v>3000000</v>
      </c>
      <c r="L176" s="41">
        <f t="shared" si="104"/>
        <v>2720000</v>
      </c>
      <c r="M176" s="229"/>
    </row>
    <row r="177" spans="1:17" ht="39.75" thickBot="1" x14ac:dyDescent="0.3">
      <c r="A177" s="80" t="s">
        <v>12</v>
      </c>
      <c r="B177" s="77">
        <f>(C177+D177+E177)+SUM(F177:L177)</f>
        <v>60165123</v>
      </c>
      <c r="C177" s="77">
        <v>13324936</v>
      </c>
      <c r="D177" s="77">
        <v>8390568</v>
      </c>
      <c r="E177" s="77">
        <v>169619</v>
      </c>
      <c r="F177" s="77">
        <v>0</v>
      </c>
      <c r="G177" s="77">
        <v>1275000</v>
      </c>
      <c r="H177" s="77">
        <v>9616819</v>
      </c>
      <c r="I177" s="77">
        <v>9320863</v>
      </c>
      <c r="J177" s="77">
        <v>8879041</v>
      </c>
      <c r="K177" s="77">
        <v>5459795</v>
      </c>
      <c r="L177" s="79">
        <v>3728482</v>
      </c>
      <c r="M177" s="229"/>
    </row>
    <row r="178" spans="1:17" x14ac:dyDescent="0.25">
      <c r="A178" s="5" t="s">
        <v>13</v>
      </c>
      <c r="B178" s="12"/>
      <c r="C178" s="12"/>
      <c r="D178" s="12"/>
      <c r="E178" s="12"/>
      <c r="F178" s="12"/>
      <c r="G178" s="12"/>
      <c r="H178" s="12"/>
      <c r="I178" s="12"/>
      <c r="J178" s="12"/>
      <c r="K178" s="12"/>
      <c r="L178" s="13"/>
    </row>
    <row r="179" spans="1:17" x14ac:dyDescent="0.25">
      <c r="A179" s="6" t="s">
        <v>14</v>
      </c>
      <c r="B179" s="14"/>
      <c r="C179" s="14"/>
      <c r="D179" s="14"/>
      <c r="E179" s="14"/>
      <c r="F179" s="14"/>
      <c r="G179" s="14"/>
      <c r="H179" s="14"/>
      <c r="I179" s="14"/>
      <c r="J179" s="14"/>
      <c r="K179" s="14"/>
      <c r="L179" s="15"/>
    </row>
    <row r="180" spans="1:17" ht="17.25" customHeight="1" x14ac:dyDescent="0.25">
      <c r="A180" s="18" t="s">
        <v>16</v>
      </c>
      <c r="B180" s="14">
        <f>B181+B182</f>
        <v>65885123</v>
      </c>
      <c r="C180" s="14">
        <f t="shared" ref="C180:L180" si="105">C181+C182</f>
        <v>13324936</v>
      </c>
      <c r="D180" s="14">
        <f t="shared" si="105"/>
        <v>8390568</v>
      </c>
      <c r="E180" s="14">
        <f t="shared" si="105"/>
        <v>169619</v>
      </c>
      <c r="F180" s="14">
        <f t="shared" si="105"/>
        <v>0</v>
      </c>
      <c r="G180" s="14">
        <f t="shared" si="105"/>
        <v>1275000</v>
      </c>
      <c r="H180" s="14">
        <f t="shared" si="105"/>
        <v>9616819</v>
      </c>
      <c r="I180" s="14">
        <f t="shared" si="105"/>
        <v>9320863</v>
      </c>
      <c r="J180" s="14">
        <f t="shared" si="105"/>
        <v>8879041</v>
      </c>
      <c r="K180" s="14">
        <f t="shared" si="105"/>
        <v>8459795</v>
      </c>
      <c r="L180" s="15">
        <f t="shared" si="105"/>
        <v>6448482</v>
      </c>
      <c r="M180" s="87"/>
    </row>
    <row r="181" spans="1:17" x14ac:dyDescent="0.25">
      <c r="A181" s="9" t="s">
        <v>11</v>
      </c>
      <c r="B181" s="68">
        <f>SUM(C181:L181)</f>
        <v>5720000</v>
      </c>
      <c r="C181" s="68">
        <v>0</v>
      </c>
      <c r="D181" s="68">
        <v>0</v>
      </c>
      <c r="E181" s="68">
        <v>0</v>
      </c>
      <c r="F181" s="68">
        <v>0</v>
      </c>
      <c r="G181" s="68">
        <v>0</v>
      </c>
      <c r="H181" s="68">
        <v>0</v>
      </c>
      <c r="I181" s="68">
        <v>0</v>
      </c>
      <c r="J181" s="68">
        <v>0</v>
      </c>
      <c r="K181" s="72">
        <v>3000000</v>
      </c>
      <c r="L181" s="73">
        <v>2720000</v>
      </c>
    </row>
    <row r="182" spans="1:17" ht="40.5" customHeight="1" thickBot="1" x14ac:dyDescent="0.3">
      <c r="A182" s="10" t="s">
        <v>12</v>
      </c>
      <c r="B182" s="169">
        <f>(C182+D182+E182)+SUM(F182:L182)</f>
        <v>60165123</v>
      </c>
      <c r="C182" s="169">
        <v>13324936</v>
      </c>
      <c r="D182" s="169">
        <v>8390568</v>
      </c>
      <c r="E182" s="169">
        <v>169619</v>
      </c>
      <c r="F182" s="169">
        <v>0</v>
      </c>
      <c r="G182" s="169">
        <v>1275000</v>
      </c>
      <c r="H182" s="169">
        <v>9616819</v>
      </c>
      <c r="I182" s="169">
        <v>9320863</v>
      </c>
      <c r="J182" s="169">
        <v>8879041</v>
      </c>
      <c r="K182" s="169">
        <v>5459795</v>
      </c>
      <c r="L182" s="170">
        <v>3728482</v>
      </c>
    </row>
    <row r="183" spans="1:17" ht="15.75" thickBot="1" x14ac:dyDescent="0.3">
      <c r="A183" s="222" t="s">
        <v>53</v>
      </c>
      <c r="B183" s="223"/>
      <c r="C183" s="223"/>
      <c r="D183" s="223"/>
      <c r="E183" s="223"/>
      <c r="F183" s="223"/>
      <c r="G183" s="223"/>
      <c r="H183" s="223"/>
      <c r="I183" s="223"/>
      <c r="J183" s="223"/>
      <c r="K183" s="223"/>
      <c r="L183" s="224"/>
    </row>
    <row r="184" spans="1:17" x14ac:dyDescent="0.25">
      <c r="A184" s="88" t="s">
        <v>5</v>
      </c>
      <c r="B184" s="71">
        <f>B185+B186+B187+B188</f>
        <v>1183703049.97</v>
      </c>
      <c r="C184" s="71">
        <f t="shared" ref="C184:L184" si="106">C185+C186+C187+C188</f>
        <v>108575313.44</v>
      </c>
      <c r="D184" s="71">
        <f t="shared" si="106"/>
        <v>97072215.359999999</v>
      </c>
      <c r="E184" s="71">
        <f t="shared" si="106"/>
        <v>82392408.170000002</v>
      </c>
      <c r="F184" s="71">
        <f t="shared" si="106"/>
        <v>0</v>
      </c>
      <c r="G184" s="71">
        <f t="shared" si="106"/>
        <v>98862663</v>
      </c>
      <c r="H184" s="71">
        <f t="shared" si="106"/>
        <v>167875350</v>
      </c>
      <c r="I184" s="71">
        <f t="shared" si="106"/>
        <v>183045782</v>
      </c>
      <c r="J184" s="71">
        <f t="shared" si="106"/>
        <v>153208704</v>
      </c>
      <c r="K184" s="71">
        <f t="shared" si="106"/>
        <v>149445714</v>
      </c>
      <c r="L184" s="71">
        <f t="shared" si="106"/>
        <v>143224900</v>
      </c>
    </row>
    <row r="185" spans="1:17" x14ac:dyDescent="0.25">
      <c r="A185" s="59" t="s">
        <v>6</v>
      </c>
      <c r="B185" s="72">
        <f>SUM(C185:L185)</f>
        <v>39621204</v>
      </c>
      <c r="C185" s="72">
        <v>0</v>
      </c>
      <c r="D185" s="72">
        <v>0</v>
      </c>
      <c r="E185" s="72">
        <v>0</v>
      </c>
      <c r="F185" s="72">
        <v>0</v>
      </c>
      <c r="G185" s="78">
        <f>G434</f>
        <v>0</v>
      </c>
      <c r="H185" s="78">
        <f t="shared" ref="H185:L185" si="107">H434</f>
        <v>0</v>
      </c>
      <c r="I185" s="78">
        <f t="shared" si="107"/>
        <v>6280488</v>
      </c>
      <c r="J185" s="78">
        <f t="shared" si="107"/>
        <v>11113572</v>
      </c>
      <c r="K185" s="78">
        <f t="shared" si="107"/>
        <v>11113572</v>
      </c>
      <c r="L185" s="160">
        <f t="shared" si="107"/>
        <v>11113572</v>
      </c>
    </row>
    <row r="186" spans="1:17" x14ac:dyDescent="0.25">
      <c r="A186" s="59" t="s">
        <v>7</v>
      </c>
      <c r="B186" s="72">
        <f>SUM(C186:L186)</f>
        <v>0</v>
      </c>
      <c r="C186" s="72">
        <v>0</v>
      </c>
      <c r="D186" s="72">
        <v>0</v>
      </c>
      <c r="E186" s="72">
        <v>0</v>
      </c>
      <c r="F186" s="72">
        <v>0</v>
      </c>
      <c r="G186" s="72">
        <v>0</v>
      </c>
      <c r="H186" s="72">
        <v>0</v>
      </c>
      <c r="I186" s="72">
        <v>0</v>
      </c>
      <c r="J186" s="72">
        <v>0</v>
      </c>
      <c r="K186" s="72">
        <v>0</v>
      </c>
      <c r="L186" s="73">
        <v>0</v>
      </c>
    </row>
    <row r="187" spans="1:17" ht="26.25" x14ac:dyDescent="0.25">
      <c r="A187" s="59" t="s">
        <v>8</v>
      </c>
      <c r="B187" s="72">
        <f>SUM(C187:L187)</f>
        <v>0</v>
      </c>
      <c r="C187" s="72">
        <v>0</v>
      </c>
      <c r="D187" s="72">
        <v>0</v>
      </c>
      <c r="E187" s="72">
        <v>0</v>
      </c>
      <c r="F187" s="72">
        <v>0</v>
      </c>
      <c r="G187" s="72">
        <v>0</v>
      </c>
      <c r="H187" s="72">
        <v>0</v>
      </c>
      <c r="I187" s="72">
        <v>0</v>
      </c>
      <c r="J187" s="72">
        <v>0</v>
      </c>
      <c r="K187" s="72">
        <v>0</v>
      </c>
      <c r="L187" s="73">
        <v>0</v>
      </c>
    </row>
    <row r="188" spans="1:17" x14ac:dyDescent="0.25">
      <c r="A188" s="42" t="s">
        <v>9</v>
      </c>
      <c r="B188" s="74">
        <f>B190+B191</f>
        <v>1144081845.97</v>
      </c>
      <c r="C188" s="74">
        <f t="shared" ref="C188:L188" si="108">C190+C191</f>
        <v>108575313.44</v>
      </c>
      <c r="D188" s="74">
        <f t="shared" si="108"/>
        <v>97072215.359999999</v>
      </c>
      <c r="E188" s="74">
        <f t="shared" si="108"/>
        <v>82392408.170000002</v>
      </c>
      <c r="F188" s="74">
        <f t="shared" si="108"/>
        <v>0</v>
      </c>
      <c r="G188" s="74">
        <f t="shared" si="108"/>
        <v>98862663</v>
      </c>
      <c r="H188" s="74">
        <f t="shared" si="108"/>
        <v>167875350</v>
      </c>
      <c r="I188" s="74">
        <f t="shared" si="108"/>
        <v>176765294</v>
      </c>
      <c r="J188" s="74">
        <f t="shared" si="108"/>
        <v>142095132</v>
      </c>
      <c r="K188" s="74">
        <f t="shared" si="108"/>
        <v>138332142</v>
      </c>
      <c r="L188" s="75">
        <f t="shared" si="108"/>
        <v>132111328</v>
      </c>
    </row>
    <row r="189" spans="1:17" x14ac:dyDescent="0.25">
      <c r="A189" s="51" t="s">
        <v>10</v>
      </c>
      <c r="B189" s="72"/>
      <c r="C189" s="72"/>
      <c r="D189" s="72"/>
      <c r="E189" s="72"/>
      <c r="F189" s="72"/>
      <c r="G189" s="72"/>
      <c r="H189" s="72"/>
      <c r="I189" s="72"/>
      <c r="J189" s="72"/>
      <c r="K189" s="72"/>
      <c r="L189" s="73"/>
    </row>
    <row r="190" spans="1:17" x14ac:dyDescent="0.25">
      <c r="A190" s="51" t="s">
        <v>11</v>
      </c>
      <c r="B190" s="53">
        <f>SUM(C190:L190)</f>
        <v>729766618</v>
      </c>
      <c r="C190" s="53">
        <f>C195+C198+C201+C204</f>
        <v>55173568</v>
      </c>
      <c r="D190" s="53">
        <f t="shared" ref="D190:L190" si="109">D195+D198+D201+D204</f>
        <v>64995372</v>
      </c>
      <c r="E190" s="53">
        <f t="shared" si="109"/>
        <v>67004115</v>
      </c>
      <c r="F190" s="53">
        <f t="shared" si="109"/>
        <v>0</v>
      </c>
      <c r="G190" s="53">
        <f t="shared" si="109"/>
        <v>82859476</v>
      </c>
      <c r="H190" s="53">
        <f t="shared" si="109"/>
        <v>87519803</v>
      </c>
      <c r="I190" s="53">
        <f t="shared" si="109"/>
        <v>94115947</v>
      </c>
      <c r="J190" s="53">
        <f t="shared" si="109"/>
        <v>93101732</v>
      </c>
      <c r="K190" s="53">
        <f t="shared" si="109"/>
        <v>92662277</v>
      </c>
      <c r="L190" s="52">
        <f t="shared" si="109"/>
        <v>92334328</v>
      </c>
      <c r="N190" s="86"/>
      <c r="O190" s="86"/>
      <c r="P190" s="86"/>
      <c r="Q190" s="86"/>
    </row>
    <row r="191" spans="1:17" ht="39.75" thickBot="1" x14ac:dyDescent="0.3">
      <c r="A191" s="89" t="s">
        <v>12</v>
      </c>
      <c r="B191" s="90">
        <f>SUM(C191:L191)</f>
        <v>414315227.97000003</v>
      </c>
      <c r="C191" s="90">
        <f>C196+C199+C202+C205</f>
        <v>53401745.439999998</v>
      </c>
      <c r="D191" s="90">
        <f t="shared" ref="D191:L191" si="110">D196+D199+D202+D205</f>
        <v>32076843.359999999</v>
      </c>
      <c r="E191" s="90">
        <f t="shared" si="110"/>
        <v>15388293.17</v>
      </c>
      <c r="F191" s="90">
        <f t="shared" si="110"/>
        <v>0</v>
      </c>
      <c r="G191" s="90">
        <f t="shared" si="110"/>
        <v>16003187</v>
      </c>
      <c r="H191" s="90">
        <f t="shared" si="110"/>
        <v>80355547</v>
      </c>
      <c r="I191" s="90">
        <f t="shared" si="110"/>
        <v>82649347</v>
      </c>
      <c r="J191" s="90">
        <f t="shared" si="110"/>
        <v>48993400</v>
      </c>
      <c r="K191" s="90">
        <f t="shared" si="110"/>
        <v>45669865</v>
      </c>
      <c r="L191" s="91">
        <f t="shared" si="110"/>
        <v>39777000</v>
      </c>
      <c r="N191" s="86"/>
      <c r="O191" s="86"/>
      <c r="P191" s="86"/>
    </row>
    <row r="192" spans="1:17" x14ac:dyDescent="0.25">
      <c r="A192" s="92" t="s">
        <v>13</v>
      </c>
      <c r="B192" s="93"/>
      <c r="C192" s="93"/>
      <c r="D192" s="93"/>
      <c r="E192" s="93"/>
      <c r="F192" s="93"/>
      <c r="G192" s="93"/>
      <c r="H192" s="93"/>
      <c r="I192" s="93"/>
      <c r="J192" s="93"/>
      <c r="K192" s="93"/>
      <c r="L192" s="94"/>
    </row>
    <row r="193" spans="1:12" x14ac:dyDescent="0.25">
      <c r="A193" s="51" t="s">
        <v>14</v>
      </c>
      <c r="B193" s="74"/>
      <c r="C193" s="74"/>
      <c r="D193" s="74"/>
      <c r="E193" s="74"/>
      <c r="F193" s="74"/>
      <c r="G193" s="74"/>
      <c r="H193" s="74"/>
      <c r="I193" s="74"/>
      <c r="J193" s="74"/>
      <c r="K193" s="74"/>
      <c r="L193" s="75"/>
    </row>
    <row r="194" spans="1:12" x14ac:dyDescent="0.25">
      <c r="A194" s="16" t="s">
        <v>15</v>
      </c>
      <c r="B194" s="14">
        <f>B195+B196</f>
        <v>70252500</v>
      </c>
      <c r="C194" s="14">
        <f t="shared" ref="C194:L194" si="111">C195+C196</f>
        <v>0</v>
      </c>
      <c r="D194" s="14">
        <f t="shared" si="111"/>
        <v>0</v>
      </c>
      <c r="E194" s="14">
        <f t="shared" si="111"/>
        <v>0</v>
      </c>
      <c r="F194" s="14">
        <f t="shared" si="111"/>
        <v>0</v>
      </c>
      <c r="G194" s="14">
        <f t="shared" si="111"/>
        <v>0</v>
      </c>
      <c r="H194" s="14">
        <f t="shared" si="111"/>
        <v>1806250</v>
      </c>
      <c r="I194" s="14">
        <f t="shared" si="111"/>
        <v>6162500</v>
      </c>
      <c r="J194" s="14">
        <f t="shared" si="111"/>
        <v>10200000</v>
      </c>
      <c r="K194" s="14">
        <f t="shared" si="111"/>
        <v>16383750</v>
      </c>
      <c r="L194" s="15">
        <f t="shared" si="111"/>
        <v>35700000</v>
      </c>
    </row>
    <row r="195" spans="1:12" x14ac:dyDescent="0.25">
      <c r="A195" s="9" t="s">
        <v>11</v>
      </c>
      <c r="B195" s="54">
        <f>SUM(C195:L195)</f>
        <v>0</v>
      </c>
      <c r="C195" s="54">
        <f>C468+C482</f>
        <v>0</v>
      </c>
      <c r="D195" s="54">
        <f t="shared" ref="D195:L195" si="112">D468+D482</f>
        <v>0</v>
      </c>
      <c r="E195" s="54">
        <f t="shared" si="112"/>
        <v>0</v>
      </c>
      <c r="F195" s="54">
        <f t="shared" si="112"/>
        <v>0</v>
      </c>
      <c r="G195" s="54">
        <f t="shared" si="112"/>
        <v>0</v>
      </c>
      <c r="H195" s="54">
        <f t="shared" si="112"/>
        <v>0</v>
      </c>
      <c r="I195" s="54">
        <f t="shared" si="112"/>
        <v>0</v>
      </c>
      <c r="J195" s="54">
        <f t="shared" si="112"/>
        <v>0</v>
      </c>
      <c r="K195" s="54">
        <f t="shared" si="112"/>
        <v>0</v>
      </c>
      <c r="L195" s="17">
        <f t="shared" si="112"/>
        <v>0</v>
      </c>
    </row>
    <row r="196" spans="1:12" ht="39" customHeight="1" x14ac:dyDescent="0.25">
      <c r="A196" s="9" t="s">
        <v>12</v>
      </c>
      <c r="B196" s="54">
        <f>SUM(C196:L196)</f>
        <v>70252500</v>
      </c>
      <c r="C196" s="54">
        <f>C469+C483</f>
        <v>0</v>
      </c>
      <c r="D196" s="54">
        <f t="shared" ref="D196:L196" si="113">D469+D483</f>
        <v>0</v>
      </c>
      <c r="E196" s="54">
        <f t="shared" si="113"/>
        <v>0</v>
      </c>
      <c r="F196" s="54">
        <f t="shared" si="113"/>
        <v>0</v>
      </c>
      <c r="G196" s="54">
        <f t="shared" si="113"/>
        <v>0</v>
      </c>
      <c r="H196" s="54">
        <f t="shared" si="113"/>
        <v>1806250</v>
      </c>
      <c r="I196" s="54">
        <f t="shared" si="113"/>
        <v>6162500</v>
      </c>
      <c r="J196" s="54">
        <f t="shared" si="113"/>
        <v>10200000</v>
      </c>
      <c r="K196" s="54">
        <f t="shared" si="113"/>
        <v>16383750</v>
      </c>
      <c r="L196" s="17">
        <f t="shared" si="113"/>
        <v>35700000</v>
      </c>
    </row>
    <row r="197" spans="1:12" ht="18.75" customHeight="1" x14ac:dyDescent="0.25">
      <c r="A197" s="16" t="s">
        <v>147</v>
      </c>
      <c r="B197" s="54">
        <f>B198+B199</f>
        <v>3061902</v>
      </c>
      <c r="C197" s="54">
        <f t="shared" ref="C197:L197" si="114">C198+C199</f>
        <v>286637</v>
      </c>
      <c r="D197" s="54">
        <f t="shared" si="114"/>
        <v>286637</v>
      </c>
      <c r="E197" s="54">
        <f t="shared" si="114"/>
        <v>286637</v>
      </c>
      <c r="F197" s="54">
        <f t="shared" si="114"/>
        <v>0</v>
      </c>
      <c r="G197" s="54">
        <f t="shared" si="114"/>
        <v>125545</v>
      </c>
      <c r="H197" s="54">
        <f t="shared" si="114"/>
        <v>251090</v>
      </c>
      <c r="I197" s="54">
        <f t="shared" si="114"/>
        <v>376635</v>
      </c>
      <c r="J197" s="54">
        <f t="shared" si="114"/>
        <v>502180</v>
      </c>
      <c r="K197" s="54">
        <f t="shared" si="114"/>
        <v>67725</v>
      </c>
      <c r="L197" s="17">
        <f t="shared" si="114"/>
        <v>878816</v>
      </c>
    </row>
    <row r="198" spans="1:12" ht="19.5" customHeight="1" x14ac:dyDescent="0.25">
      <c r="A198" s="9" t="s">
        <v>11</v>
      </c>
      <c r="B198" s="54">
        <f>SUM(C198:L198)</f>
        <v>3061902</v>
      </c>
      <c r="C198" s="54">
        <f>C385</f>
        <v>286637</v>
      </c>
      <c r="D198" s="54">
        <f t="shared" ref="D198:L198" si="115">D385</f>
        <v>286637</v>
      </c>
      <c r="E198" s="54">
        <f t="shared" si="115"/>
        <v>286637</v>
      </c>
      <c r="F198" s="54">
        <f t="shared" si="115"/>
        <v>0</v>
      </c>
      <c r="G198" s="54">
        <f t="shared" si="115"/>
        <v>125545</v>
      </c>
      <c r="H198" s="54">
        <f t="shared" si="115"/>
        <v>251090</v>
      </c>
      <c r="I198" s="54">
        <f t="shared" si="115"/>
        <v>376635</v>
      </c>
      <c r="J198" s="54">
        <f t="shared" si="115"/>
        <v>502180</v>
      </c>
      <c r="K198" s="54">
        <f t="shared" si="115"/>
        <v>67725</v>
      </c>
      <c r="L198" s="17">
        <f t="shared" si="115"/>
        <v>878816</v>
      </c>
    </row>
    <row r="199" spans="1:12" ht="39" customHeight="1" x14ac:dyDescent="0.25">
      <c r="A199" s="9" t="s">
        <v>12</v>
      </c>
      <c r="B199" s="54">
        <f>SUM(C199:L199)</f>
        <v>0</v>
      </c>
      <c r="C199" s="54">
        <f>C386</f>
        <v>0</v>
      </c>
      <c r="D199" s="54">
        <f t="shared" ref="D199:L199" si="116">D386</f>
        <v>0</v>
      </c>
      <c r="E199" s="54">
        <f t="shared" si="116"/>
        <v>0</v>
      </c>
      <c r="F199" s="54">
        <f t="shared" si="116"/>
        <v>0</v>
      </c>
      <c r="G199" s="54">
        <f t="shared" si="116"/>
        <v>0</v>
      </c>
      <c r="H199" s="54">
        <f t="shared" si="116"/>
        <v>0</v>
      </c>
      <c r="I199" s="54">
        <f t="shared" si="116"/>
        <v>0</v>
      </c>
      <c r="J199" s="54">
        <f t="shared" si="116"/>
        <v>0</v>
      </c>
      <c r="K199" s="54">
        <f t="shared" si="116"/>
        <v>0</v>
      </c>
      <c r="L199" s="17">
        <f t="shared" si="116"/>
        <v>0</v>
      </c>
    </row>
    <row r="200" spans="1:12" x14ac:dyDescent="0.25">
      <c r="A200" s="35" t="s">
        <v>16</v>
      </c>
      <c r="B200" s="14">
        <f>B201+B202</f>
        <v>1067567443.97</v>
      </c>
      <c r="C200" s="14">
        <f t="shared" ref="C200:L200" si="117">C201+C202</f>
        <v>108288676.44</v>
      </c>
      <c r="D200" s="14">
        <f t="shared" si="117"/>
        <v>96785578.359999999</v>
      </c>
      <c r="E200" s="14">
        <f t="shared" si="117"/>
        <v>82105771.170000002</v>
      </c>
      <c r="F200" s="14">
        <f t="shared" si="117"/>
        <v>0</v>
      </c>
      <c r="G200" s="14">
        <f t="shared" si="117"/>
        <v>98737118</v>
      </c>
      <c r="H200" s="14">
        <f t="shared" si="117"/>
        <v>164818010</v>
      </c>
      <c r="I200" s="14">
        <f t="shared" si="117"/>
        <v>169526159</v>
      </c>
      <c r="J200" s="14">
        <f t="shared" si="117"/>
        <v>130392952</v>
      </c>
      <c r="K200" s="14">
        <f t="shared" si="117"/>
        <v>121380667</v>
      </c>
      <c r="L200" s="15">
        <f t="shared" si="117"/>
        <v>95532512</v>
      </c>
    </row>
    <row r="201" spans="1:12" x14ac:dyDescent="0.25">
      <c r="A201" s="6" t="s">
        <v>11</v>
      </c>
      <c r="B201" s="68">
        <f>SUM(C201:L201)</f>
        <v>726704716</v>
      </c>
      <c r="C201" s="68">
        <f>C213+C248+C279+C293+C347+C382+C418+C449+C485</f>
        <v>54886931</v>
      </c>
      <c r="D201" s="68">
        <f>D213+D248+D279+D293+D347+D382+D418+D449+D485</f>
        <v>64708735</v>
      </c>
      <c r="E201" s="68">
        <f>E213+E248+E279+E293+E347+E382+E418+E449+E485</f>
        <v>66717478</v>
      </c>
      <c r="F201" s="68">
        <f>F213+F248+F279+F293+F347+F382+F418+F449+F485</f>
        <v>0</v>
      </c>
      <c r="G201" s="68">
        <f t="shared" ref="G201:L201" si="118">G213+G248+G293+G347+G382+G418+G449+G485</f>
        <v>82733931</v>
      </c>
      <c r="H201" s="68">
        <f t="shared" si="118"/>
        <v>87268713</v>
      </c>
      <c r="I201" s="68">
        <f t="shared" si="118"/>
        <v>93739312</v>
      </c>
      <c r="J201" s="68">
        <f t="shared" si="118"/>
        <v>92599552</v>
      </c>
      <c r="K201" s="68">
        <f t="shared" si="118"/>
        <v>92594552</v>
      </c>
      <c r="L201" s="69">
        <f t="shared" si="118"/>
        <v>91455512</v>
      </c>
    </row>
    <row r="202" spans="1:12" ht="39.75" customHeight="1" x14ac:dyDescent="0.25">
      <c r="A202" s="6" t="s">
        <v>12</v>
      </c>
      <c r="B202" s="112">
        <f>SUM(C202:L202)</f>
        <v>340862727.97000003</v>
      </c>
      <c r="C202" s="112">
        <f>C219+C249+C280+C299+C348+C383+C424+C450+C486</f>
        <v>53401745.439999998</v>
      </c>
      <c r="D202" s="112">
        <f>D219+D249+D280+D299+D348+D383+D424+D450+D486</f>
        <v>32076843.359999999</v>
      </c>
      <c r="E202" s="112">
        <f>E219+E249+E280+E299+E348+E383+E424+E450+E486</f>
        <v>15388293.17</v>
      </c>
      <c r="F202" s="112">
        <f>F219+F249+F280+F299+F348+F383+F424+F450+F486</f>
        <v>0</v>
      </c>
      <c r="G202" s="128">
        <f>1020000/85*100+G214+G249+G280+G294+G450</f>
        <v>16003187</v>
      </c>
      <c r="H202" s="128">
        <f>1632000/85*100+H214+H249+H285+H294+H455+H486</f>
        <v>77549297</v>
      </c>
      <c r="I202" s="128">
        <f>1632000/85*100+I214+I249+I285+I294+I450+I486</f>
        <v>75786847</v>
      </c>
      <c r="J202" s="128">
        <f>1632000/85*100+J214+J249+J280+J294+J450+J486</f>
        <v>37793400</v>
      </c>
      <c r="K202" s="128">
        <f>1632000/85*100+K214+K249+K285+K299+K455+K486</f>
        <v>28786115</v>
      </c>
      <c r="L202" s="196">
        <f>1632000/85*100+1200000+L214+L249+L285+L294++L450+L486</f>
        <v>4077000</v>
      </c>
    </row>
    <row r="203" spans="1:12" ht="27" customHeight="1" x14ac:dyDescent="0.25">
      <c r="A203" s="16" t="s">
        <v>126</v>
      </c>
      <c r="B203" s="54">
        <f>B204+B205</f>
        <v>3200000</v>
      </c>
      <c r="C203" s="54">
        <f t="shared" ref="C203:L203" si="119">C204+C205</f>
        <v>0</v>
      </c>
      <c r="D203" s="54">
        <f t="shared" si="119"/>
        <v>0</v>
      </c>
      <c r="E203" s="54">
        <f t="shared" si="119"/>
        <v>0</v>
      </c>
      <c r="F203" s="54">
        <f t="shared" si="119"/>
        <v>0</v>
      </c>
      <c r="G203" s="54">
        <f t="shared" si="119"/>
        <v>0</v>
      </c>
      <c r="H203" s="54">
        <f t="shared" si="119"/>
        <v>1000000</v>
      </c>
      <c r="I203" s="54">
        <f t="shared" si="119"/>
        <v>700000</v>
      </c>
      <c r="J203" s="54">
        <f t="shared" si="119"/>
        <v>1000000</v>
      </c>
      <c r="K203" s="54">
        <f t="shared" si="119"/>
        <v>500000</v>
      </c>
      <c r="L203" s="17">
        <f t="shared" si="119"/>
        <v>0</v>
      </c>
    </row>
    <row r="204" spans="1:12" ht="15" customHeight="1" x14ac:dyDescent="0.25">
      <c r="A204" s="9" t="s">
        <v>11</v>
      </c>
      <c r="B204" s="54">
        <f>SUM(C204:L204)</f>
        <v>0</v>
      </c>
      <c r="C204" s="54">
        <f>C251</f>
        <v>0</v>
      </c>
      <c r="D204" s="54">
        <f t="shared" ref="D204:L204" si="120">D251</f>
        <v>0</v>
      </c>
      <c r="E204" s="54">
        <f t="shared" si="120"/>
        <v>0</v>
      </c>
      <c r="F204" s="54">
        <f t="shared" si="120"/>
        <v>0</v>
      </c>
      <c r="G204" s="54">
        <f t="shared" si="120"/>
        <v>0</v>
      </c>
      <c r="H204" s="54">
        <f t="shared" si="120"/>
        <v>0</v>
      </c>
      <c r="I204" s="54">
        <f t="shared" si="120"/>
        <v>0</v>
      </c>
      <c r="J204" s="54">
        <f t="shared" si="120"/>
        <v>0</v>
      </c>
      <c r="K204" s="54">
        <f t="shared" si="120"/>
        <v>0</v>
      </c>
      <c r="L204" s="17">
        <f t="shared" si="120"/>
        <v>0</v>
      </c>
    </row>
    <row r="205" spans="1:12" ht="39.75" customHeight="1" thickBot="1" x14ac:dyDescent="0.3">
      <c r="A205" s="9" t="s">
        <v>12</v>
      </c>
      <c r="B205" s="30">
        <f>SUM(C205:L205)</f>
        <v>3200000</v>
      </c>
      <c r="C205" s="30">
        <f>C252</f>
        <v>0</v>
      </c>
      <c r="D205" s="30">
        <f t="shared" ref="D205:L205" si="121">D252</f>
        <v>0</v>
      </c>
      <c r="E205" s="30">
        <f t="shared" si="121"/>
        <v>0</v>
      </c>
      <c r="F205" s="30">
        <f t="shared" si="121"/>
        <v>0</v>
      </c>
      <c r="G205" s="30">
        <f t="shared" si="121"/>
        <v>0</v>
      </c>
      <c r="H205" s="30">
        <f t="shared" si="121"/>
        <v>1000000</v>
      </c>
      <c r="I205" s="30">
        <f t="shared" si="121"/>
        <v>700000</v>
      </c>
      <c r="J205" s="30">
        <f t="shared" si="121"/>
        <v>1000000</v>
      </c>
      <c r="K205" s="30">
        <f t="shared" si="121"/>
        <v>500000</v>
      </c>
      <c r="L205" s="31">
        <f t="shared" si="121"/>
        <v>0</v>
      </c>
    </row>
    <row r="206" spans="1:12" x14ac:dyDescent="0.25">
      <c r="A206" s="219" t="s">
        <v>54</v>
      </c>
      <c r="B206" s="220"/>
      <c r="C206" s="220"/>
      <c r="D206" s="220"/>
      <c r="E206" s="220"/>
      <c r="F206" s="220"/>
      <c r="G206" s="220"/>
      <c r="H206" s="220"/>
      <c r="I206" s="220"/>
      <c r="J206" s="220"/>
      <c r="K206" s="220"/>
      <c r="L206" s="221"/>
    </row>
    <row r="207" spans="1:12" x14ac:dyDescent="0.25">
      <c r="A207" s="38" t="s">
        <v>5</v>
      </c>
      <c r="B207" s="60">
        <f>B208+B209+B210+B211</f>
        <v>344899921.30000001</v>
      </c>
      <c r="C207" s="60">
        <f t="shared" ref="C207:L207" si="122">C208+C209+C210+C211</f>
        <v>50884673.089999996</v>
      </c>
      <c r="D207" s="60">
        <f t="shared" si="122"/>
        <v>32231013.84</v>
      </c>
      <c r="E207" s="60">
        <f t="shared" si="122"/>
        <v>18048503.369999997</v>
      </c>
      <c r="F207" s="60">
        <f t="shared" si="122"/>
        <v>0</v>
      </c>
      <c r="G207" s="161">
        <f t="shared" si="122"/>
        <v>26955200</v>
      </c>
      <c r="H207" s="161">
        <f t="shared" si="122"/>
        <v>32097518</v>
      </c>
      <c r="I207" s="161">
        <f t="shared" si="122"/>
        <v>50017297</v>
      </c>
      <c r="J207" s="161">
        <f t="shared" si="122"/>
        <v>55749257</v>
      </c>
      <c r="K207" s="161">
        <f t="shared" si="122"/>
        <v>49787787</v>
      </c>
      <c r="L207" s="162">
        <f t="shared" si="122"/>
        <v>29128672</v>
      </c>
    </row>
    <row r="208" spans="1:12" x14ac:dyDescent="0.25">
      <c r="A208" s="39" t="s">
        <v>6</v>
      </c>
      <c r="B208" s="77">
        <f>SUM(C208:L208)</f>
        <v>0</v>
      </c>
      <c r="C208" s="77">
        <v>0</v>
      </c>
      <c r="D208" s="77">
        <v>0</v>
      </c>
      <c r="E208" s="77">
        <v>0</v>
      </c>
      <c r="F208" s="77">
        <v>0</v>
      </c>
      <c r="G208" s="77">
        <v>0</v>
      </c>
      <c r="H208" s="77">
        <v>0</v>
      </c>
      <c r="I208" s="77">
        <v>0</v>
      </c>
      <c r="J208" s="77">
        <v>0</v>
      </c>
      <c r="K208" s="77">
        <v>0</v>
      </c>
      <c r="L208" s="79">
        <v>0</v>
      </c>
    </row>
    <row r="209" spans="1:13" x14ac:dyDescent="0.25">
      <c r="A209" s="39" t="s">
        <v>7</v>
      </c>
      <c r="B209" s="77">
        <f>SUM(C209:L209)</f>
        <v>0</v>
      </c>
      <c r="C209" s="77">
        <v>0</v>
      </c>
      <c r="D209" s="77">
        <v>0</v>
      </c>
      <c r="E209" s="77">
        <v>0</v>
      </c>
      <c r="F209" s="77">
        <v>0</v>
      </c>
      <c r="G209" s="77">
        <v>0</v>
      </c>
      <c r="H209" s="77">
        <v>0</v>
      </c>
      <c r="I209" s="77">
        <v>0</v>
      </c>
      <c r="J209" s="77">
        <v>0</v>
      </c>
      <c r="K209" s="77">
        <v>0</v>
      </c>
      <c r="L209" s="79">
        <v>0</v>
      </c>
    </row>
    <row r="210" spans="1:13" ht="26.25" x14ac:dyDescent="0.25">
      <c r="A210" s="39" t="s">
        <v>8</v>
      </c>
      <c r="B210" s="77">
        <f>SUM(C210:L210)</f>
        <v>0</v>
      </c>
      <c r="C210" s="77">
        <v>0</v>
      </c>
      <c r="D210" s="77">
        <v>0</v>
      </c>
      <c r="E210" s="77">
        <v>0</v>
      </c>
      <c r="F210" s="77">
        <v>0</v>
      </c>
      <c r="G210" s="77">
        <v>0</v>
      </c>
      <c r="H210" s="77">
        <v>0</v>
      </c>
      <c r="I210" s="77">
        <v>0</v>
      </c>
      <c r="J210" s="77">
        <v>0</v>
      </c>
      <c r="K210" s="77">
        <v>0</v>
      </c>
      <c r="L210" s="79">
        <v>0</v>
      </c>
    </row>
    <row r="211" spans="1:13" x14ac:dyDescent="0.25">
      <c r="A211" s="38" t="s">
        <v>9</v>
      </c>
      <c r="B211" s="60">
        <f>B213+B214</f>
        <v>344899921.30000001</v>
      </c>
      <c r="C211" s="60">
        <f t="shared" ref="C211:L211" si="123">C213+C214</f>
        <v>50884673.089999996</v>
      </c>
      <c r="D211" s="60">
        <f t="shared" si="123"/>
        <v>32231013.84</v>
      </c>
      <c r="E211" s="60">
        <f t="shared" si="123"/>
        <v>18048503.369999997</v>
      </c>
      <c r="F211" s="60">
        <f t="shared" si="123"/>
        <v>0</v>
      </c>
      <c r="G211" s="161">
        <f t="shared" si="123"/>
        <v>26955200</v>
      </c>
      <c r="H211" s="161">
        <f t="shared" si="123"/>
        <v>32097518</v>
      </c>
      <c r="I211" s="161">
        <f t="shared" si="123"/>
        <v>50017297</v>
      </c>
      <c r="J211" s="161">
        <f t="shared" si="123"/>
        <v>55749257</v>
      </c>
      <c r="K211" s="161">
        <f t="shared" si="123"/>
        <v>49787787</v>
      </c>
      <c r="L211" s="162">
        <f t="shared" si="123"/>
        <v>29128672</v>
      </c>
    </row>
    <row r="212" spans="1:13" x14ac:dyDescent="0.25">
      <c r="A212" s="39" t="s">
        <v>10</v>
      </c>
      <c r="B212" s="77"/>
      <c r="C212" s="77"/>
      <c r="D212" s="77"/>
      <c r="E212" s="77"/>
      <c r="F212" s="77"/>
      <c r="G212" s="77"/>
      <c r="H212" s="77"/>
      <c r="I212" s="77"/>
      <c r="J212" s="77"/>
      <c r="K212" s="77"/>
      <c r="L212" s="79"/>
    </row>
    <row r="213" spans="1:13" x14ac:dyDescent="0.25">
      <c r="A213" s="39" t="s">
        <v>11</v>
      </c>
      <c r="B213" s="77">
        <f>B218</f>
        <v>167148762</v>
      </c>
      <c r="C213" s="77">
        <f t="shared" ref="C213:L213" si="124">C218</f>
        <v>3729177</v>
      </c>
      <c r="D213" s="77">
        <f t="shared" si="124"/>
        <v>3529177</v>
      </c>
      <c r="E213" s="77">
        <f t="shared" si="124"/>
        <v>3529177</v>
      </c>
      <c r="F213" s="77">
        <f t="shared" si="124"/>
        <v>0</v>
      </c>
      <c r="G213" s="78">
        <f t="shared" si="124"/>
        <v>19738240</v>
      </c>
      <c r="H213" s="78">
        <f t="shared" si="124"/>
        <v>23936303</v>
      </c>
      <c r="I213" s="78">
        <f t="shared" si="124"/>
        <v>28171672</v>
      </c>
      <c r="J213" s="78">
        <f t="shared" si="124"/>
        <v>28171672</v>
      </c>
      <c r="K213" s="78">
        <f t="shared" si="124"/>
        <v>28171672</v>
      </c>
      <c r="L213" s="160">
        <f t="shared" si="124"/>
        <v>28171672</v>
      </c>
    </row>
    <row r="214" spans="1:13" ht="39" x14ac:dyDescent="0.25">
      <c r="A214" s="39" t="s">
        <v>12</v>
      </c>
      <c r="B214" s="77">
        <f>SUM(C214:L214)</f>
        <v>177751159.30000001</v>
      </c>
      <c r="C214" s="77">
        <f t="shared" ref="C214:L214" si="125">C223+C227+C231+C235</f>
        <v>47155496.089999996</v>
      </c>
      <c r="D214" s="77">
        <f t="shared" si="125"/>
        <v>28701836.84</v>
      </c>
      <c r="E214" s="77">
        <f t="shared" si="125"/>
        <v>14519326.369999999</v>
      </c>
      <c r="F214" s="77">
        <f t="shared" si="125"/>
        <v>0</v>
      </c>
      <c r="G214" s="77">
        <f t="shared" si="125"/>
        <v>7216960</v>
      </c>
      <c r="H214" s="77">
        <f t="shared" si="125"/>
        <v>8161215</v>
      </c>
      <c r="I214" s="77">
        <f t="shared" si="125"/>
        <v>21845625</v>
      </c>
      <c r="J214" s="77">
        <f t="shared" si="125"/>
        <v>27577585</v>
      </c>
      <c r="K214" s="77">
        <f t="shared" si="125"/>
        <v>21616115</v>
      </c>
      <c r="L214" s="79">
        <f t="shared" si="125"/>
        <v>957000</v>
      </c>
    </row>
    <row r="215" spans="1:13" x14ac:dyDescent="0.25">
      <c r="A215" s="35" t="s">
        <v>13</v>
      </c>
      <c r="B215" s="14"/>
      <c r="C215" s="14"/>
      <c r="D215" s="14"/>
      <c r="E215" s="14"/>
      <c r="F215" s="14"/>
      <c r="G215" s="14"/>
      <c r="H215" s="14"/>
      <c r="I215" s="14"/>
      <c r="J215" s="14"/>
      <c r="K215" s="14"/>
      <c r="L215" s="15"/>
    </row>
    <row r="216" spans="1:13" x14ac:dyDescent="0.25">
      <c r="A216" s="6" t="s">
        <v>14</v>
      </c>
      <c r="B216" s="14"/>
      <c r="C216" s="14"/>
      <c r="D216" s="14"/>
      <c r="E216" s="14"/>
      <c r="F216" s="14"/>
      <c r="G216" s="14"/>
      <c r="H216" s="14"/>
      <c r="I216" s="14"/>
      <c r="J216" s="14"/>
      <c r="K216" s="14"/>
      <c r="L216" s="15"/>
    </row>
    <row r="217" spans="1:13" x14ac:dyDescent="0.25">
      <c r="A217" s="35" t="s">
        <v>27</v>
      </c>
      <c r="B217" s="14">
        <f>B218+B219</f>
        <v>344899921.30000001</v>
      </c>
      <c r="C217" s="14">
        <f t="shared" ref="C217:L217" si="126">C218+C219</f>
        <v>50884673.089999996</v>
      </c>
      <c r="D217" s="14">
        <f t="shared" si="126"/>
        <v>32231013.84</v>
      </c>
      <c r="E217" s="14">
        <f t="shared" si="126"/>
        <v>18048503.369999997</v>
      </c>
      <c r="F217" s="14">
        <f t="shared" si="126"/>
        <v>0</v>
      </c>
      <c r="G217" s="14">
        <f t="shared" si="126"/>
        <v>26955200</v>
      </c>
      <c r="H217" s="14">
        <f t="shared" si="126"/>
        <v>32097518</v>
      </c>
      <c r="I217" s="14">
        <f t="shared" si="126"/>
        <v>50017297</v>
      </c>
      <c r="J217" s="14">
        <f t="shared" si="126"/>
        <v>55749257</v>
      </c>
      <c r="K217" s="14">
        <f t="shared" si="126"/>
        <v>49787787</v>
      </c>
      <c r="L217" s="15">
        <f t="shared" si="126"/>
        <v>29128672</v>
      </c>
    </row>
    <row r="218" spans="1:13" x14ac:dyDescent="0.25">
      <c r="A218" s="6" t="s">
        <v>11</v>
      </c>
      <c r="B218" s="68">
        <f>SUM(C218:L218)</f>
        <v>167148762</v>
      </c>
      <c r="C218" s="68">
        <f t="shared" ref="C218:L218" si="127">C222+C226+C230+C234</f>
        <v>3729177</v>
      </c>
      <c r="D218" s="68">
        <f t="shared" si="127"/>
        <v>3529177</v>
      </c>
      <c r="E218" s="68">
        <f t="shared" si="127"/>
        <v>3529177</v>
      </c>
      <c r="F218" s="68">
        <f t="shared" si="127"/>
        <v>0</v>
      </c>
      <c r="G218" s="68">
        <f t="shared" si="127"/>
        <v>19738240</v>
      </c>
      <c r="H218" s="68">
        <f t="shared" si="127"/>
        <v>23936303</v>
      </c>
      <c r="I218" s="68">
        <f t="shared" si="127"/>
        <v>28171672</v>
      </c>
      <c r="J218" s="68">
        <f t="shared" si="127"/>
        <v>28171672</v>
      </c>
      <c r="K218" s="68">
        <f t="shared" si="127"/>
        <v>28171672</v>
      </c>
      <c r="L218" s="69">
        <f t="shared" si="127"/>
        <v>28171672</v>
      </c>
    </row>
    <row r="219" spans="1:13" ht="39" customHeight="1" thickBot="1" x14ac:dyDescent="0.3">
      <c r="A219" s="7" t="s">
        <v>12</v>
      </c>
      <c r="B219" s="164">
        <f>SUM(C219:L219)</f>
        <v>177751159.30000001</v>
      </c>
      <c r="C219" s="168">
        <f t="shared" ref="C219:L219" si="128">C223+C227+C231+C235</f>
        <v>47155496.089999996</v>
      </c>
      <c r="D219" s="168">
        <f t="shared" si="128"/>
        <v>28701836.84</v>
      </c>
      <c r="E219" s="168">
        <f t="shared" si="128"/>
        <v>14519326.369999999</v>
      </c>
      <c r="F219" s="168">
        <f t="shared" si="128"/>
        <v>0</v>
      </c>
      <c r="G219" s="168">
        <f t="shared" si="128"/>
        <v>7216960</v>
      </c>
      <c r="H219" s="168">
        <f t="shared" si="128"/>
        <v>8161215</v>
      </c>
      <c r="I219" s="168">
        <f t="shared" si="128"/>
        <v>21845625</v>
      </c>
      <c r="J219" s="168">
        <f t="shared" si="128"/>
        <v>27577585</v>
      </c>
      <c r="K219" s="168">
        <f t="shared" si="128"/>
        <v>21616115</v>
      </c>
      <c r="L219" s="147">
        <f t="shared" si="128"/>
        <v>957000</v>
      </c>
    </row>
    <row r="220" spans="1:13" ht="126.75" customHeight="1" x14ac:dyDescent="0.25">
      <c r="A220" s="25" t="s">
        <v>55</v>
      </c>
      <c r="B220" s="23">
        <f>B221</f>
        <v>241864875.30000001</v>
      </c>
      <c r="C220" s="23">
        <f t="shared" ref="C220:L220" si="129">C221</f>
        <v>47511868.089999996</v>
      </c>
      <c r="D220" s="23">
        <f t="shared" si="129"/>
        <v>29058208.84</v>
      </c>
      <c r="E220" s="23">
        <f t="shared" si="129"/>
        <v>14875698.369999999</v>
      </c>
      <c r="F220" s="23">
        <f t="shared" si="129"/>
        <v>0</v>
      </c>
      <c r="G220" s="161">
        <f t="shared" si="129"/>
        <v>13167160</v>
      </c>
      <c r="H220" s="161">
        <f t="shared" si="129"/>
        <v>15949515</v>
      </c>
      <c r="I220" s="161">
        <f t="shared" si="129"/>
        <v>33176525</v>
      </c>
      <c r="J220" s="161">
        <f t="shared" si="129"/>
        <v>39258485</v>
      </c>
      <c r="K220" s="161">
        <f t="shared" si="129"/>
        <v>34697015</v>
      </c>
      <c r="L220" s="162">
        <f t="shared" si="129"/>
        <v>14170400</v>
      </c>
      <c r="M220" s="175" t="s">
        <v>118</v>
      </c>
    </row>
    <row r="221" spans="1:13" x14ac:dyDescent="0.25">
      <c r="A221" s="26" t="s">
        <v>25</v>
      </c>
      <c r="B221" s="20">
        <f>B222+B223</f>
        <v>241864875.30000001</v>
      </c>
      <c r="C221" s="20">
        <f t="shared" ref="C221:L221" si="130">C222+C223</f>
        <v>47511868.089999996</v>
      </c>
      <c r="D221" s="20">
        <f t="shared" si="130"/>
        <v>29058208.84</v>
      </c>
      <c r="E221" s="20">
        <f t="shared" si="130"/>
        <v>14875698.369999999</v>
      </c>
      <c r="F221" s="20">
        <f t="shared" si="130"/>
        <v>0</v>
      </c>
      <c r="G221" s="20">
        <f t="shared" si="130"/>
        <v>13167160</v>
      </c>
      <c r="H221" s="20">
        <f t="shared" si="130"/>
        <v>15949515</v>
      </c>
      <c r="I221" s="20">
        <f t="shared" si="130"/>
        <v>33176525</v>
      </c>
      <c r="J221" s="20">
        <f t="shared" si="130"/>
        <v>39258485</v>
      </c>
      <c r="K221" s="20">
        <f t="shared" si="130"/>
        <v>34697015</v>
      </c>
      <c r="L221" s="21">
        <f t="shared" si="130"/>
        <v>14170400</v>
      </c>
    </row>
    <row r="222" spans="1:13" x14ac:dyDescent="0.25">
      <c r="A222" s="51" t="s">
        <v>11</v>
      </c>
      <c r="B222" s="72">
        <f>SUM(C222:L222)</f>
        <v>75463716</v>
      </c>
      <c r="C222" s="72">
        <f>103420+217526+35426</f>
        <v>356372</v>
      </c>
      <c r="D222" s="72">
        <f>103420+217526+35426</f>
        <v>356372</v>
      </c>
      <c r="E222" s="72">
        <f>103420+217526+35426</f>
        <v>356372</v>
      </c>
      <c r="F222" s="72">
        <v>0</v>
      </c>
      <c r="G222" s="78">
        <f>7085.2*1000</f>
        <v>7085200</v>
      </c>
      <c r="H222" s="78">
        <f>7085.2*1500</f>
        <v>10627800</v>
      </c>
      <c r="I222" s="78">
        <f>7085.2*2000</f>
        <v>14170400</v>
      </c>
      <c r="J222" s="78">
        <f>I222</f>
        <v>14170400</v>
      </c>
      <c r="K222" s="78">
        <f>J222</f>
        <v>14170400</v>
      </c>
      <c r="L222" s="160">
        <f>K222</f>
        <v>14170400</v>
      </c>
    </row>
    <row r="223" spans="1:13" ht="39" x14ac:dyDescent="0.25">
      <c r="A223" s="89" t="s">
        <v>12</v>
      </c>
      <c r="B223" s="176">
        <f>SUM(C223:L223)</f>
        <v>166401159.30000001</v>
      </c>
      <c r="C223" s="176">
        <f>9581309.01+700129.57+2312192.93+34561864.58</f>
        <v>47155496.089999996</v>
      </c>
      <c r="D223" s="176">
        <f>14585709.89+212708.23+153098.52+13750320.2</f>
        <v>28701836.84</v>
      </c>
      <c r="E223" s="176">
        <v>14519326.369999999</v>
      </c>
      <c r="F223" s="176">
        <v>0</v>
      </c>
      <c r="G223" s="177">
        <v>6081960</v>
      </c>
      <c r="H223" s="178">
        <v>5321715</v>
      </c>
      <c r="I223" s="178">
        <v>19006125</v>
      </c>
      <c r="J223" s="177">
        <v>25088085</v>
      </c>
      <c r="K223" s="177">
        <v>20526615</v>
      </c>
      <c r="L223" s="179">
        <v>0</v>
      </c>
    </row>
    <row r="224" spans="1:13" ht="64.5" x14ac:dyDescent="0.25">
      <c r="A224" s="83" t="s">
        <v>56</v>
      </c>
      <c r="B224" s="84">
        <f>B225</f>
        <v>87451306</v>
      </c>
      <c r="C224" s="84">
        <f t="shared" ref="C224:L224" si="131">C225</f>
        <v>523067</v>
      </c>
      <c r="D224" s="84">
        <f t="shared" si="131"/>
        <v>523067</v>
      </c>
      <c r="E224" s="84">
        <f t="shared" si="131"/>
        <v>523067</v>
      </c>
      <c r="F224" s="84">
        <f t="shared" si="131"/>
        <v>0</v>
      </c>
      <c r="G224" s="84">
        <f t="shared" si="131"/>
        <v>12955384</v>
      </c>
      <c r="H224" s="84">
        <f t="shared" si="131"/>
        <v>14871129</v>
      </c>
      <c r="I224" s="84">
        <f t="shared" si="131"/>
        <v>15563898</v>
      </c>
      <c r="J224" s="84">
        <f t="shared" si="131"/>
        <v>15213898</v>
      </c>
      <c r="K224" s="84">
        <f t="shared" si="131"/>
        <v>13813898</v>
      </c>
      <c r="L224" s="85">
        <f t="shared" si="131"/>
        <v>13463898</v>
      </c>
      <c r="M224" s="175" t="s">
        <v>119</v>
      </c>
    </row>
    <row r="225" spans="1:13" x14ac:dyDescent="0.25">
      <c r="A225" s="26" t="s">
        <v>25</v>
      </c>
      <c r="B225" s="20">
        <f>B226+B227</f>
        <v>87451306</v>
      </c>
      <c r="C225" s="20">
        <f t="shared" ref="C225:L225" si="132">C226+C227</f>
        <v>523067</v>
      </c>
      <c r="D225" s="20">
        <f t="shared" si="132"/>
        <v>523067</v>
      </c>
      <c r="E225" s="20">
        <f t="shared" si="132"/>
        <v>523067</v>
      </c>
      <c r="F225" s="20">
        <f t="shared" si="132"/>
        <v>0</v>
      </c>
      <c r="G225" s="20">
        <f t="shared" si="132"/>
        <v>12955384</v>
      </c>
      <c r="H225" s="20">
        <f t="shared" si="132"/>
        <v>14871129</v>
      </c>
      <c r="I225" s="20">
        <f t="shared" si="132"/>
        <v>15563898</v>
      </c>
      <c r="J225" s="20">
        <f t="shared" si="132"/>
        <v>15213898</v>
      </c>
      <c r="K225" s="20">
        <f t="shared" si="132"/>
        <v>13813898</v>
      </c>
      <c r="L225" s="21">
        <f t="shared" si="132"/>
        <v>13463898</v>
      </c>
    </row>
    <row r="226" spans="1:13" x14ac:dyDescent="0.25">
      <c r="A226" s="51" t="s">
        <v>11</v>
      </c>
      <c r="B226" s="72">
        <f>SUM(C226:L226)</f>
        <v>80451306</v>
      </c>
      <c r="C226" s="72">
        <v>523067</v>
      </c>
      <c r="D226" s="72">
        <v>523067</v>
      </c>
      <c r="E226" s="72">
        <v>523067</v>
      </c>
      <c r="F226" s="72">
        <v>0</v>
      </c>
      <c r="G226" s="72">
        <v>12255384</v>
      </c>
      <c r="H226" s="72">
        <v>12771129</v>
      </c>
      <c r="I226" s="72">
        <v>13463898</v>
      </c>
      <c r="J226" s="72">
        <v>13463898</v>
      </c>
      <c r="K226" s="72">
        <v>13463898</v>
      </c>
      <c r="L226" s="73">
        <v>13463898</v>
      </c>
    </row>
    <row r="227" spans="1:13" ht="39" x14ac:dyDescent="0.25">
      <c r="A227" s="89" t="s">
        <v>12</v>
      </c>
      <c r="B227" s="176">
        <f>SUM(C227:K227)</f>
        <v>7000000</v>
      </c>
      <c r="C227" s="176">
        <v>0</v>
      </c>
      <c r="D227" s="176">
        <v>0</v>
      </c>
      <c r="E227" s="176">
        <v>0</v>
      </c>
      <c r="F227" s="176">
        <v>0</v>
      </c>
      <c r="G227" s="177">
        <f>595000/85*100</f>
        <v>700000</v>
      </c>
      <c r="H227" s="177">
        <f>1785000/85*100</f>
        <v>2100000</v>
      </c>
      <c r="I227" s="177">
        <f>1785000/85*100</f>
        <v>2100000</v>
      </c>
      <c r="J227" s="177">
        <f>1487500/85*100</f>
        <v>1750000</v>
      </c>
      <c r="K227" s="177">
        <f>297500/85*100</f>
        <v>350000</v>
      </c>
      <c r="L227" s="179">
        <v>0</v>
      </c>
    </row>
    <row r="228" spans="1:13" ht="51.75" x14ac:dyDescent="0.25">
      <c r="A228" s="138" t="s">
        <v>57</v>
      </c>
      <c r="B228" s="23">
        <f>B229</f>
        <v>5054395</v>
      </c>
      <c r="C228" s="23">
        <f t="shared" ref="C228:L228" si="133">C229</f>
        <v>1935</v>
      </c>
      <c r="D228" s="23">
        <f t="shared" si="133"/>
        <v>1935</v>
      </c>
      <c r="E228" s="23">
        <f t="shared" si="133"/>
        <v>1935</v>
      </c>
      <c r="F228" s="23">
        <f t="shared" si="133"/>
        <v>0</v>
      </c>
      <c r="G228" s="23">
        <f t="shared" si="133"/>
        <v>435000</v>
      </c>
      <c r="H228" s="23">
        <f t="shared" si="133"/>
        <v>879218</v>
      </c>
      <c r="I228" s="23">
        <f t="shared" si="133"/>
        <v>879218</v>
      </c>
      <c r="J228" s="23">
        <f t="shared" si="133"/>
        <v>879218</v>
      </c>
      <c r="K228" s="23">
        <f t="shared" si="133"/>
        <v>879218</v>
      </c>
      <c r="L228" s="24">
        <f t="shared" si="133"/>
        <v>1096718</v>
      </c>
      <c r="M228" s="180" t="s">
        <v>120</v>
      </c>
    </row>
    <row r="229" spans="1:13" x14ac:dyDescent="0.25">
      <c r="A229" s="26" t="s">
        <v>25</v>
      </c>
      <c r="B229" s="20">
        <f>B230+B231</f>
        <v>5054395</v>
      </c>
      <c r="C229" s="20">
        <f t="shared" ref="C229:L229" si="134">C230+C231</f>
        <v>1935</v>
      </c>
      <c r="D229" s="20">
        <f t="shared" si="134"/>
        <v>1935</v>
      </c>
      <c r="E229" s="20">
        <f t="shared" si="134"/>
        <v>1935</v>
      </c>
      <c r="F229" s="20">
        <f t="shared" si="134"/>
        <v>0</v>
      </c>
      <c r="G229" s="20">
        <f t="shared" si="134"/>
        <v>435000</v>
      </c>
      <c r="H229" s="20">
        <f t="shared" si="134"/>
        <v>879218</v>
      </c>
      <c r="I229" s="20">
        <f t="shared" si="134"/>
        <v>879218</v>
      </c>
      <c r="J229" s="20">
        <f t="shared" si="134"/>
        <v>879218</v>
      </c>
      <c r="K229" s="20">
        <f t="shared" si="134"/>
        <v>879218</v>
      </c>
      <c r="L229" s="21">
        <f t="shared" si="134"/>
        <v>1096718</v>
      </c>
    </row>
    <row r="230" spans="1:13" x14ac:dyDescent="0.25">
      <c r="A230" s="51" t="s">
        <v>11</v>
      </c>
      <c r="B230" s="72">
        <f>SUM(C230:L230)</f>
        <v>704395</v>
      </c>
      <c r="C230" s="72">
        <v>1935</v>
      </c>
      <c r="D230" s="72">
        <v>1935</v>
      </c>
      <c r="E230" s="72">
        <v>1935</v>
      </c>
      <c r="F230" s="72">
        <v>0</v>
      </c>
      <c r="G230" s="72">
        <v>0</v>
      </c>
      <c r="H230" s="72">
        <v>139718</v>
      </c>
      <c r="I230" s="72">
        <f t="shared" ref="I230:L230" si="135">H230</f>
        <v>139718</v>
      </c>
      <c r="J230" s="72">
        <f t="shared" si="135"/>
        <v>139718</v>
      </c>
      <c r="K230" s="72">
        <f t="shared" si="135"/>
        <v>139718</v>
      </c>
      <c r="L230" s="73">
        <f t="shared" si="135"/>
        <v>139718</v>
      </c>
      <c r="M230" s="95"/>
    </row>
    <row r="231" spans="1:13" ht="39.75" thickBot="1" x14ac:dyDescent="0.3">
      <c r="A231" s="27" t="s">
        <v>12</v>
      </c>
      <c r="B231" s="164">
        <f>SUM(C231:L231)</f>
        <v>4350000</v>
      </c>
      <c r="C231" s="164">
        <v>0</v>
      </c>
      <c r="D231" s="164">
        <v>0</v>
      </c>
      <c r="E231" s="164">
        <v>0</v>
      </c>
      <c r="F231" s="164">
        <v>0</v>
      </c>
      <c r="G231" s="164">
        <f>369750/85*100</f>
        <v>435000</v>
      </c>
      <c r="H231" s="164">
        <f>628575/85*100</f>
        <v>739500</v>
      </c>
      <c r="I231" s="164">
        <f>628575/85*100</f>
        <v>739500</v>
      </c>
      <c r="J231" s="164">
        <f>628575/85*100</f>
        <v>739500</v>
      </c>
      <c r="K231" s="164">
        <f>628575/85*100</f>
        <v>739500</v>
      </c>
      <c r="L231" s="165">
        <f>628575/85*100+217500</f>
        <v>957000</v>
      </c>
      <c r="M231" s="116"/>
    </row>
    <row r="232" spans="1:13" ht="102" x14ac:dyDescent="0.25">
      <c r="A232" s="83" t="s">
        <v>91</v>
      </c>
      <c r="B232" s="84">
        <f>B233</f>
        <v>10529345</v>
      </c>
      <c r="C232" s="84">
        <f t="shared" ref="C232:L232" si="136">C233</f>
        <v>2847803</v>
      </c>
      <c r="D232" s="84">
        <f t="shared" si="136"/>
        <v>2647803</v>
      </c>
      <c r="E232" s="84">
        <f t="shared" si="136"/>
        <v>2647803</v>
      </c>
      <c r="F232" s="84">
        <f t="shared" si="136"/>
        <v>0</v>
      </c>
      <c r="G232" s="84">
        <f t="shared" si="136"/>
        <v>397656</v>
      </c>
      <c r="H232" s="84">
        <f t="shared" si="136"/>
        <v>397656</v>
      </c>
      <c r="I232" s="84">
        <f t="shared" si="136"/>
        <v>397656</v>
      </c>
      <c r="J232" s="84">
        <f t="shared" si="136"/>
        <v>397656</v>
      </c>
      <c r="K232" s="84">
        <f t="shared" si="136"/>
        <v>397656</v>
      </c>
      <c r="L232" s="34">
        <f t="shared" si="136"/>
        <v>397656</v>
      </c>
      <c r="M232" s="180" t="s">
        <v>121</v>
      </c>
    </row>
    <row r="233" spans="1:13" x14ac:dyDescent="0.25">
      <c r="A233" s="26" t="s">
        <v>25</v>
      </c>
      <c r="B233" s="20">
        <f>B234+B235</f>
        <v>10529345</v>
      </c>
      <c r="C233" s="20">
        <f t="shared" ref="C233:L233" si="137">C234+C235</f>
        <v>2847803</v>
      </c>
      <c r="D233" s="20">
        <f t="shared" si="137"/>
        <v>2647803</v>
      </c>
      <c r="E233" s="20">
        <f t="shared" si="137"/>
        <v>2647803</v>
      </c>
      <c r="F233" s="20">
        <f t="shared" si="137"/>
        <v>0</v>
      </c>
      <c r="G233" s="20">
        <f t="shared" si="137"/>
        <v>397656</v>
      </c>
      <c r="H233" s="20">
        <f t="shared" si="137"/>
        <v>397656</v>
      </c>
      <c r="I233" s="20">
        <f t="shared" si="137"/>
        <v>397656</v>
      </c>
      <c r="J233" s="20">
        <f t="shared" si="137"/>
        <v>397656</v>
      </c>
      <c r="K233" s="20">
        <f t="shared" si="137"/>
        <v>397656</v>
      </c>
      <c r="L233" s="21">
        <f t="shared" si="137"/>
        <v>397656</v>
      </c>
    </row>
    <row r="234" spans="1:13" x14ac:dyDescent="0.25">
      <c r="A234" s="51" t="s">
        <v>11</v>
      </c>
      <c r="B234" s="72">
        <f>SUM(C234:L234)</f>
        <v>10529345</v>
      </c>
      <c r="C234" s="72">
        <f>884776+1963027</f>
        <v>2847803</v>
      </c>
      <c r="D234" s="72">
        <f>884776+1963027-200000</f>
        <v>2647803</v>
      </c>
      <c r="E234" s="72">
        <f>884776+1963027-200000</f>
        <v>2647803</v>
      </c>
      <c r="F234" s="72">
        <v>0</v>
      </c>
      <c r="G234" s="72">
        <f t="shared" ref="G234:L234" si="138">397656</f>
        <v>397656</v>
      </c>
      <c r="H234" s="72">
        <f>397656</f>
        <v>397656</v>
      </c>
      <c r="I234" s="72">
        <f t="shared" si="138"/>
        <v>397656</v>
      </c>
      <c r="J234" s="72">
        <f t="shared" si="138"/>
        <v>397656</v>
      </c>
      <c r="K234" s="72">
        <f t="shared" si="138"/>
        <v>397656</v>
      </c>
      <c r="L234" s="73">
        <f t="shared" si="138"/>
        <v>397656</v>
      </c>
    </row>
    <row r="235" spans="1:13" ht="39.75" thickBot="1" x14ac:dyDescent="0.3">
      <c r="A235" s="27" t="s">
        <v>12</v>
      </c>
      <c r="B235" s="164">
        <f>SUM(C235:L235)</f>
        <v>0</v>
      </c>
      <c r="C235" s="164">
        <v>0</v>
      </c>
      <c r="D235" s="164">
        <v>0</v>
      </c>
      <c r="E235" s="164">
        <v>0</v>
      </c>
      <c r="F235" s="181">
        <v>0</v>
      </c>
      <c r="G235" s="181">
        <v>0</v>
      </c>
      <c r="H235" s="164">
        <v>0</v>
      </c>
      <c r="I235" s="164">
        <v>0</v>
      </c>
      <c r="J235" s="164">
        <v>0</v>
      </c>
      <c r="K235" s="164">
        <v>0</v>
      </c>
      <c r="L235" s="165">
        <v>0</v>
      </c>
    </row>
    <row r="236" spans="1:13" x14ac:dyDescent="0.25">
      <c r="A236" s="219" t="s">
        <v>58</v>
      </c>
      <c r="B236" s="220"/>
      <c r="C236" s="220"/>
      <c r="D236" s="220"/>
      <c r="E236" s="220"/>
      <c r="F236" s="220"/>
      <c r="G236" s="220"/>
      <c r="H236" s="220"/>
      <c r="I236" s="220"/>
      <c r="J236" s="220"/>
      <c r="K236" s="220"/>
      <c r="L236" s="221"/>
    </row>
    <row r="237" spans="1:13" x14ac:dyDescent="0.25">
      <c r="A237" s="38" t="s">
        <v>5</v>
      </c>
      <c r="B237" s="60">
        <f>B239+B240+B241</f>
        <v>120825992.17</v>
      </c>
      <c r="C237" s="60">
        <f>C238+C239+C240+C241</f>
        <v>4716337.3499999996</v>
      </c>
      <c r="D237" s="60">
        <f t="shared" ref="D237:F237" si="139">D238+D239+D240+D241</f>
        <v>723308.82000000007</v>
      </c>
      <c r="E237" s="60">
        <f t="shared" si="139"/>
        <v>150000</v>
      </c>
      <c r="F237" s="60">
        <f t="shared" si="139"/>
        <v>0</v>
      </c>
      <c r="G237" s="60">
        <f>G239+G240+G241</f>
        <v>9791346</v>
      </c>
      <c r="H237" s="60">
        <f>H239+H240+H241</f>
        <v>53590000</v>
      </c>
      <c r="I237" s="60">
        <f t="shared" ref="I237:L237" si="140">I239+I240+I241</f>
        <v>41350000</v>
      </c>
      <c r="J237" s="60">
        <f t="shared" si="140"/>
        <v>4005000</v>
      </c>
      <c r="K237" s="60">
        <f t="shared" si="140"/>
        <v>3500000</v>
      </c>
      <c r="L237" s="61">
        <f t="shared" si="140"/>
        <v>3000000</v>
      </c>
    </row>
    <row r="238" spans="1:13" x14ac:dyDescent="0.25">
      <c r="A238" s="39" t="s">
        <v>6</v>
      </c>
      <c r="B238" s="77" t="s">
        <v>101</v>
      </c>
      <c r="C238" s="77">
        <v>0</v>
      </c>
      <c r="D238" s="77">
        <v>0</v>
      </c>
      <c r="E238" s="77">
        <v>0</v>
      </c>
      <c r="F238" s="77">
        <v>0</v>
      </c>
      <c r="G238" s="77" t="s">
        <v>101</v>
      </c>
      <c r="H238" s="77" t="s">
        <v>101</v>
      </c>
      <c r="I238" s="77" t="s">
        <v>101</v>
      </c>
      <c r="J238" s="77" t="s">
        <v>101</v>
      </c>
      <c r="K238" s="77" t="s">
        <v>101</v>
      </c>
      <c r="L238" s="79" t="s">
        <v>101</v>
      </c>
    </row>
    <row r="239" spans="1:13" x14ac:dyDescent="0.25">
      <c r="A239" s="39" t="s">
        <v>7</v>
      </c>
      <c r="B239" s="77">
        <f>SUM(C239:L239)</f>
        <v>0</v>
      </c>
      <c r="C239" s="77">
        <v>0</v>
      </c>
      <c r="D239" s="77">
        <v>0</v>
      </c>
      <c r="E239" s="77">
        <v>0</v>
      </c>
      <c r="F239" s="77">
        <v>0</v>
      </c>
      <c r="G239" s="77">
        <v>0</v>
      </c>
      <c r="H239" s="77">
        <v>0</v>
      </c>
      <c r="I239" s="77">
        <v>0</v>
      </c>
      <c r="J239" s="77">
        <v>0</v>
      </c>
      <c r="K239" s="77">
        <v>0</v>
      </c>
      <c r="L239" s="79">
        <v>0</v>
      </c>
    </row>
    <row r="240" spans="1:13" ht="26.25" x14ac:dyDescent="0.25">
      <c r="A240" s="39" t="s">
        <v>8</v>
      </c>
      <c r="B240" s="77">
        <f>SUM(C240:L240)</f>
        <v>0</v>
      </c>
      <c r="C240" s="77">
        <v>0</v>
      </c>
      <c r="D240" s="77">
        <v>0</v>
      </c>
      <c r="E240" s="77">
        <v>0</v>
      </c>
      <c r="F240" s="77">
        <v>0</v>
      </c>
      <c r="G240" s="77">
        <v>0</v>
      </c>
      <c r="H240" s="77">
        <v>0</v>
      </c>
      <c r="I240" s="77">
        <v>0</v>
      </c>
      <c r="J240" s="77">
        <v>0</v>
      </c>
      <c r="K240" s="77">
        <v>0</v>
      </c>
      <c r="L240" s="79">
        <v>0</v>
      </c>
    </row>
    <row r="241" spans="1:13" x14ac:dyDescent="0.25">
      <c r="A241" s="38" t="s">
        <v>9</v>
      </c>
      <c r="B241" s="60">
        <f>SUM(C241:L241)</f>
        <v>120825992.17</v>
      </c>
      <c r="C241" s="60">
        <f>C243+C244</f>
        <v>4716337.3499999996</v>
      </c>
      <c r="D241" s="60">
        <f t="shared" ref="D241:L241" si="141">D243+D244</f>
        <v>723308.82000000007</v>
      </c>
      <c r="E241" s="60">
        <f t="shared" si="141"/>
        <v>150000</v>
      </c>
      <c r="F241" s="60">
        <f t="shared" si="141"/>
        <v>0</v>
      </c>
      <c r="G241" s="60">
        <f t="shared" si="141"/>
        <v>9791346</v>
      </c>
      <c r="H241" s="60">
        <f t="shared" si="141"/>
        <v>53590000</v>
      </c>
      <c r="I241" s="60">
        <f t="shared" si="141"/>
        <v>41350000</v>
      </c>
      <c r="J241" s="60">
        <f t="shared" si="141"/>
        <v>4005000</v>
      </c>
      <c r="K241" s="60">
        <f t="shared" si="141"/>
        <v>3500000</v>
      </c>
      <c r="L241" s="61">
        <f t="shared" si="141"/>
        <v>3000000</v>
      </c>
    </row>
    <row r="242" spans="1:13" x14ac:dyDescent="0.25">
      <c r="A242" s="39" t="s">
        <v>10</v>
      </c>
      <c r="B242" s="77"/>
      <c r="C242" s="77"/>
      <c r="D242" s="77"/>
      <c r="E242" s="77"/>
      <c r="F242" s="77"/>
      <c r="G242" s="77"/>
      <c r="H242" s="77"/>
      <c r="I242" s="77"/>
      <c r="J242" s="77"/>
      <c r="K242" s="77"/>
      <c r="L242" s="79"/>
    </row>
    <row r="243" spans="1:13" x14ac:dyDescent="0.25">
      <c r="A243" s="39" t="s">
        <v>11</v>
      </c>
      <c r="B243" s="40">
        <f>SUM(C243:L243)</f>
        <v>23457900</v>
      </c>
      <c r="C243" s="40">
        <f>C248+C251</f>
        <v>2142900</v>
      </c>
      <c r="D243" s="40">
        <f t="shared" ref="D243:L243" si="142">D248+D251</f>
        <v>150000</v>
      </c>
      <c r="E243" s="40">
        <f t="shared" si="142"/>
        <v>150000</v>
      </c>
      <c r="F243" s="40">
        <f t="shared" si="142"/>
        <v>0</v>
      </c>
      <c r="G243" s="40">
        <f t="shared" si="142"/>
        <v>4500000</v>
      </c>
      <c r="H243" s="40">
        <f t="shared" si="142"/>
        <v>4505000</v>
      </c>
      <c r="I243" s="40">
        <f t="shared" si="142"/>
        <v>3005000</v>
      </c>
      <c r="J243" s="40">
        <f t="shared" si="142"/>
        <v>3005000</v>
      </c>
      <c r="K243" s="40">
        <f t="shared" si="142"/>
        <v>3000000</v>
      </c>
      <c r="L243" s="41">
        <f t="shared" si="142"/>
        <v>3000000</v>
      </c>
    </row>
    <row r="244" spans="1:13" ht="39.75" thickBot="1" x14ac:dyDescent="0.3">
      <c r="A244" s="80" t="s">
        <v>12</v>
      </c>
      <c r="B244" s="81">
        <f>SUM(C244:L244)</f>
        <v>97368092.170000002</v>
      </c>
      <c r="C244" s="81">
        <f>C249+C252</f>
        <v>2573437.3499999996</v>
      </c>
      <c r="D244" s="81">
        <f t="shared" ref="D244:L244" si="143">D249+D252</f>
        <v>573308.82000000007</v>
      </c>
      <c r="E244" s="81">
        <f t="shared" si="143"/>
        <v>0</v>
      </c>
      <c r="F244" s="81">
        <f t="shared" si="143"/>
        <v>0</v>
      </c>
      <c r="G244" s="81">
        <f t="shared" si="143"/>
        <v>5291346</v>
      </c>
      <c r="H244" s="81">
        <f t="shared" si="143"/>
        <v>49085000</v>
      </c>
      <c r="I244" s="81">
        <f t="shared" si="143"/>
        <v>38345000</v>
      </c>
      <c r="J244" s="81">
        <f t="shared" si="143"/>
        <v>1000000</v>
      </c>
      <c r="K244" s="81">
        <f t="shared" si="143"/>
        <v>500000</v>
      </c>
      <c r="L244" s="82">
        <f t="shared" si="143"/>
        <v>0</v>
      </c>
    </row>
    <row r="245" spans="1:13" x14ac:dyDescent="0.25">
      <c r="A245" s="5" t="s">
        <v>13</v>
      </c>
      <c r="B245" s="12"/>
      <c r="C245" s="12"/>
      <c r="D245" s="12"/>
      <c r="E245" s="12"/>
      <c r="F245" s="12"/>
      <c r="G245" s="12"/>
      <c r="H245" s="12"/>
      <c r="I245" s="12"/>
      <c r="J245" s="12"/>
      <c r="K245" s="12"/>
      <c r="L245" s="13"/>
    </row>
    <row r="246" spans="1:13" x14ac:dyDescent="0.25">
      <c r="A246" s="6" t="s">
        <v>14</v>
      </c>
      <c r="B246" s="14"/>
      <c r="C246" s="14"/>
      <c r="D246" s="14"/>
      <c r="E246" s="14"/>
      <c r="F246" s="14"/>
      <c r="G246" s="14"/>
      <c r="H246" s="14"/>
      <c r="I246" s="14"/>
      <c r="J246" s="14"/>
      <c r="K246" s="14"/>
      <c r="L246" s="15"/>
    </row>
    <row r="247" spans="1:13" x14ac:dyDescent="0.25">
      <c r="A247" s="16" t="s">
        <v>25</v>
      </c>
      <c r="B247" s="14">
        <f>B248+B249</f>
        <v>117625992.17</v>
      </c>
      <c r="C247" s="14">
        <f t="shared" ref="C247:L247" si="144">C248+C249</f>
        <v>4716337.3499999996</v>
      </c>
      <c r="D247" s="14">
        <f t="shared" si="144"/>
        <v>723308.82000000007</v>
      </c>
      <c r="E247" s="14">
        <f t="shared" si="144"/>
        <v>150000</v>
      </c>
      <c r="F247" s="14">
        <f t="shared" si="144"/>
        <v>0</v>
      </c>
      <c r="G247" s="14">
        <f t="shared" si="144"/>
        <v>9791346</v>
      </c>
      <c r="H247" s="14">
        <f t="shared" si="144"/>
        <v>52590000</v>
      </c>
      <c r="I247" s="14">
        <f t="shared" si="144"/>
        <v>40650000</v>
      </c>
      <c r="J247" s="14">
        <f t="shared" si="144"/>
        <v>3005000</v>
      </c>
      <c r="K247" s="14">
        <f t="shared" si="144"/>
        <v>3000000</v>
      </c>
      <c r="L247" s="15">
        <f t="shared" si="144"/>
        <v>3000000</v>
      </c>
    </row>
    <row r="248" spans="1:13" x14ac:dyDescent="0.25">
      <c r="A248" s="6" t="s">
        <v>11</v>
      </c>
      <c r="B248" s="14">
        <f>SUM(C248:L248)</f>
        <v>23457900</v>
      </c>
      <c r="C248" s="14">
        <f t="shared" ref="C248:G249" si="145">C255+C259+C263+C270</f>
        <v>2142900</v>
      </c>
      <c r="D248" s="14">
        <f t="shared" si="145"/>
        <v>150000</v>
      </c>
      <c r="E248" s="14">
        <f t="shared" si="145"/>
        <v>150000</v>
      </c>
      <c r="F248" s="14">
        <f t="shared" si="145"/>
        <v>0</v>
      </c>
      <c r="G248" s="14">
        <f t="shared" si="145"/>
        <v>4500000</v>
      </c>
      <c r="H248" s="14">
        <f>H255+H263+H270</f>
        <v>4505000</v>
      </c>
      <c r="I248" s="14">
        <f>I255+I263+I270</f>
        <v>3005000</v>
      </c>
      <c r="J248" s="14">
        <f>J255+J263+J270</f>
        <v>3005000</v>
      </c>
      <c r="K248" s="14">
        <f>K255+K263+K270</f>
        <v>3000000</v>
      </c>
      <c r="L248" s="15">
        <f>L255+L263+L270</f>
        <v>3000000</v>
      </c>
    </row>
    <row r="249" spans="1:13" ht="39" customHeight="1" x14ac:dyDescent="0.25">
      <c r="A249" s="65" t="s">
        <v>12</v>
      </c>
      <c r="B249" s="14">
        <f>SUM(C249:L249)</f>
        <v>94168092.170000002</v>
      </c>
      <c r="C249" s="14">
        <f t="shared" si="145"/>
        <v>2573437.3499999996</v>
      </c>
      <c r="D249" s="14">
        <f t="shared" si="145"/>
        <v>573308.82000000007</v>
      </c>
      <c r="E249" s="14">
        <f t="shared" si="145"/>
        <v>0</v>
      </c>
      <c r="F249" s="14">
        <f t="shared" si="145"/>
        <v>0</v>
      </c>
      <c r="G249" s="14">
        <f t="shared" si="145"/>
        <v>5291346</v>
      </c>
      <c r="H249" s="14">
        <f>H256+H260+H264+H271</f>
        <v>48085000</v>
      </c>
      <c r="I249" s="14">
        <f>I256+I260+I264+I271</f>
        <v>37645000</v>
      </c>
      <c r="J249" s="14">
        <f>J256+J260+J264+J271</f>
        <v>0</v>
      </c>
      <c r="K249" s="14">
        <f>K256+K260+K264+K271</f>
        <v>0</v>
      </c>
      <c r="L249" s="15">
        <f>L256+L260+L264+L271</f>
        <v>0</v>
      </c>
    </row>
    <row r="250" spans="1:13" ht="27" x14ac:dyDescent="0.25">
      <c r="A250" s="16" t="s">
        <v>123</v>
      </c>
      <c r="B250" s="36">
        <f>B251+B252</f>
        <v>3200000</v>
      </c>
      <c r="C250" s="36">
        <f t="shared" ref="C250:L250" si="146">C251+C252</f>
        <v>0</v>
      </c>
      <c r="D250" s="36">
        <f t="shared" si="146"/>
        <v>0</v>
      </c>
      <c r="E250" s="36">
        <f t="shared" si="146"/>
        <v>0</v>
      </c>
      <c r="F250" s="36">
        <f t="shared" si="146"/>
        <v>0</v>
      </c>
      <c r="G250" s="36">
        <f t="shared" si="146"/>
        <v>0</v>
      </c>
      <c r="H250" s="36">
        <f t="shared" si="146"/>
        <v>1000000</v>
      </c>
      <c r="I250" s="36">
        <f t="shared" si="146"/>
        <v>700000</v>
      </c>
      <c r="J250" s="36">
        <f t="shared" si="146"/>
        <v>1000000</v>
      </c>
      <c r="K250" s="36">
        <f t="shared" si="146"/>
        <v>500000</v>
      </c>
      <c r="L250" s="37">
        <f t="shared" si="146"/>
        <v>0</v>
      </c>
    </row>
    <row r="251" spans="1:13" ht="16.5" customHeight="1" x14ac:dyDescent="0.25">
      <c r="A251" s="6" t="s">
        <v>11</v>
      </c>
      <c r="B251" s="54">
        <f>SUM(C251:L251)</f>
        <v>0</v>
      </c>
      <c r="C251" s="54">
        <f>C266</f>
        <v>0</v>
      </c>
      <c r="D251" s="54">
        <f t="shared" ref="D251:L251" si="147">D266</f>
        <v>0</v>
      </c>
      <c r="E251" s="54">
        <f t="shared" si="147"/>
        <v>0</v>
      </c>
      <c r="F251" s="54">
        <f t="shared" si="147"/>
        <v>0</v>
      </c>
      <c r="G251" s="54">
        <f t="shared" si="147"/>
        <v>0</v>
      </c>
      <c r="H251" s="54">
        <f t="shared" si="147"/>
        <v>0</v>
      </c>
      <c r="I251" s="54">
        <f t="shared" si="147"/>
        <v>0</v>
      </c>
      <c r="J251" s="54">
        <f t="shared" si="147"/>
        <v>0</v>
      </c>
      <c r="K251" s="54">
        <f t="shared" si="147"/>
        <v>0</v>
      </c>
      <c r="L251" s="17">
        <f t="shared" si="147"/>
        <v>0</v>
      </c>
    </row>
    <row r="252" spans="1:13" ht="37.5" customHeight="1" thickBot="1" x14ac:dyDescent="0.3">
      <c r="A252" s="7" t="s">
        <v>12</v>
      </c>
      <c r="B252" s="30">
        <f>SUM(C252:L252)</f>
        <v>3200000</v>
      </c>
      <c r="C252" s="54">
        <f>C267</f>
        <v>0</v>
      </c>
      <c r="D252" s="54">
        <f t="shared" ref="D252:L252" si="148">D267</f>
        <v>0</v>
      </c>
      <c r="E252" s="54">
        <f t="shared" si="148"/>
        <v>0</v>
      </c>
      <c r="F252" s="54">
        <f t="shared" si="148"/>
        <v>0</v>
      </c>
      <c r="G252" s="54">
        <f t="shared" si="148"/>
        <v>0</v>
      </c>
      <c r="H252" s="54">
        <f t="shared" si="148"/>
        <v>1000000</v>
      </c>
      <c r="I252" s="54">
        <f t="shared" si="148"/>
        <v>700000</v>
      </c>
      <c r="J252" s="54">
        <f t="shared" si="148"/>
        <v>1000000</v>
      </c>
      <c r="K252" s="54">
        <f t="shared" si="148"/>
        <v>500000</v>
      </c>
      <c r="L252" s="31">
        <f t="shared" si="148"/>
        <v>0</v>
      </c>
    </row>
    <row r="253" spans="1:13" ht="39" x14ac:dyDescent="0.25">
      <c r="A253" s="32" t="s">
        <v>59</v>
      </c>
      <c r="B253" s="33">
        <f>B254</f>
        <v>26407900</v>
      </c>
      <c r="C253" s="33">
        <f t="shared" ref="C253:L253" si="149">C254</f>
        <v>92900</v>
      </c>
      <c r="D253" s="33">
        <f t="shared" si="149"/>
        <v>100000</v>
      </c>
      <c r="E253" s="33">
        <f t="shared" si="149"/>
        <v>100000</v>
      </c>
      <c r="F253" s="33">
        <f t="shared" si="149"/>
        <v>0</v>
      </c>
      <c r="G253" s="33">
        <f t="shared" si="149"/>
        <v>5220000</v>
      </c>
      <c r="H253" s="33">
        <f t="shared" si="149"/>
        <v>15665000</v>
      </c>
      <c r="I253" s="33">
        <f t="shared" si="149"/>
        <v>5225000</v>
      </c>
      <c r="J253" s="33">
        <f t="shared" si="149"/>
        <v>5000</v>
      </c>
      <c r="K253" s="33">
        <f t="shared" si="149"/>
        <v>0</v>
      </c>
      <c r="L253" s="34">
        <f t="shared" si="149"/>
        <v>0</v>
      </c>
      <c r="M253" s="180" t="s">
        <v>124</v>
      </c>
    </row>
    <row r="254" spans="1:13" x14ac:dyDescent="0.25">
      <c r="A254" s="26" t="s">
        <v>27</v>
      </c>
      <c r="B254" s="20">
        <f>B255+B256</f>
        <v>26407900</v>
      </c>
      <c r="C254" s="20">
        <f t="shared" ref="C254:L254" si="150">C255+C256</f>
        <v>92900</v>
      </c>
      <c r="D254" s="20">
        <f t="shared" si="150"/>
        <v>100000</v>
      </c>
      <c r="E254" s="20">
        <f t="shared" si="150"/>
        <v>100000</v>
      </c>
      <c r="F254" s="20">
        <f t="shared" si="150"/>
        <v>0</v>
      </c>
      <c r="G254" s="20">
        <f t="shared" si="150"/>
        <v>5220000</v>
      </c>
      <c r="H254" s="20">
        <f t="shared" si="150"/>
        <v>15665000</v>
      </c>
      <c r="I254" s="20">
        <f t="shared" si="150"/>
        <v>5225000</v>
      </c>
      <c r="J254" s="20">
        <f t="shared" si="150"/>
        <v>5000</v>
      </c>
      <c r="K254" s="20">
        <f t="shared" si="150"/>
        <v>0</v>
      </c>
      <c r="L254" s="21">
        <f t="shared" si="150"/>
        <v>0</v>
      </c>
    </row>
    <row r="255" spans="1:13" ht="18.75" customHeight="1" x14ac:dyDescent="0.25">
      <c r="A255" s="51" t="s">
        <v>11</v>
      </c>
      <c r="B255" s="72">
        <f>SUM(C255:L255)</f>
        <v>307900</v>
      </c>
      <c r="C255" s="72">
        <v>92900</v>
      </c>
      <c r="D255" s="72">
        <v>100000</v>
      </c>
      <c r="E255" s="72">
        <v>100000</v>
      </c>
      <c r="F255" s="72">
        <v>0</v>
      </c>
      <c r="G255" s="176">
        <v>0</v>
      </c>
      <c r="H255" s="176">
        <v>5000</v>
      </c>
      <c r="I255" s="176">
        <v>5000</v>
      </c>
      <c r="J255" s="72">
        <v>5000</v>
      </c>
      <c r="K255" s="72">
        <v>0</v>
      </c>
      <c r="L255" s="73">
        <v>0</v>
      </c>
    </row>
    <row r="256" spans="1:13" ht="39.75" thickBot="1" x14ac:dyDescent="0.3">
      <c r="A256" s="27" t="s">
        <v>12</v>
      </c>
      <c r="B256" s="164">
        <f>SUM(C256:L256)</f>
        <v>26100000</v>
      </c>
      <c r="C256" s="164">
        <v>0</v>
      </c>
      <c r="D256" s="164">
        <v>0</v>
      </c>
      <c r="E256" s="164">
        <v>0</v>
      </c>
      <c r="F256" s="164">
        <v>0</v>
      </c>
      <c r="G256" s="182">
        <f>4437000/85*100</f>
        <v>5220000</v>
      </c>
      <c r="H256" s="182">
        <f>13311000/85*100</f>
        <v>15660000</v>
      </c>
      <c r="I256" s="182">
        <f>4437000/85*100</f>
        <v>5220000</v>
      </c>
      <c r="J256" s="164">
        <v>0</v>
      </c>
      <c r="K256" s="164">
        <v>0</v>
      </c>
      <c r="L256" s="165">
        <v>0</v>
      </c>
      <c r="M256" s="215"/>
    </row>
    <row r="257" spans="1:13" ht="51.75" x14ac:dyDescent="0.25">
      <c r="A257" s="83" t="s">
        <v>60</v>
      </c>
      <c r="B257" s="84">
        <f>B258</f>
        <v>64921346</v>
      </c>
      <c r="C257" s="84">
        <f t="shared" ref="C257:L257" si="151">C258</f>
        <v>0</v>
      </c>
      <c r="D257" s="84">
        <f t="shared" si="151"/>
        <v>0</v>
      </c>
      <c r="E257" s="84">
        <f t="shared" si="151"/>
        <v>0</v>
      </c>
      <c r="F257" s="84">
        <f t="shared" si="151"/>
        <v>0</v>
      </c>
      <c r="G257" s="84">
        <f t="shared" si="151"/>
        <v>71346</v>
      </c>
      <c r="H257" s="84">
        <f t="shared" si="151"/>
        <v>32425000</v>
      </c>
      <c r="I257" s="84">
        <f t="shared" si="151"/>
        <v>32425000</v>
      </c>
      <c r="J257" s="84">
        <f t="shared" si="151"/>
        <v>0</v>
      </c>
      <c r="K257" s="84">
        <f t="shared" si="151"/>
        <v>0</v>
      </c>
      <c r="L257" s="85">
        <f t="shared" si="151"/>
        <v>0</v>
      </c>
      <c r="M257" s="183" t="s">
        <v>125</v>
      </c>
    </row>
    <row r="258" spans="1:13" x14ac:dyDescent="0.25">
      <c r="A258" s="26" t="s">
        <v>27</v>
      </c>
      <c r="B258" s="20">
        <f>B259+B260</f>
        <v>64921346</v>
      </c>
      <c r="C258" s="20">
        <f t="shared" ref="C258:G258" si="152">C259+C260</f>
        <v>0</v>
      </c>
      <c r="D258" s="20">
        <f t="shared" si="152"/>
        <v>0</v>
      </c>
      <c r="E258" s="20">
        <f t="shared" si="152"/>
        <v>0</v>
      </c>
      <c r="F258" s="20">
        <f t="shared" si="152"/>
        <v>0</v>
      </c>
      <c r="G258" s="20">
        <f t="shared" si="152"/>
        <v>71346</v>
      </c>
      <c r="H258" s="20">
        <f>H260</f>
        <v>32425000</v>
      </c>
      <c r="I258" s="20">
        <f t="shared" ref="I258:L258" si="153">I260</f>
        <v>32425000</v>
      </c>
      <c r="J258" s="20">
        <f t="shared" si="153"/>
        <v>0</v>
      </c>
      <c r="K258" s="20">
        <f t="shared" si="153"/>
        <v>0</v>
      </c>
      <c r="L258" s="21">
        <f t="shared" si="153"/>
        <v>0</v>
      </c>
    </row>
    <row r="259" spans="1:13" x14ac:dyDescent="0.25">
      <c r="A259" s="51" t="s">
        <v>11</v>
      </c>
      <c r="B259" s="72">
        <f>SUM(C259:L259)</f>
        <v>0</v>
      </c>
      <c r="C259" s="72">
        <v>0</v>
      </c>
      <c r="D259" s="72">
        <v>0</v>
      </c>
      <c r="E259" s="72">
        <v>0</v>
      </c>
      <c r="F259" s="72">
        <v>0</v>
      </c>
      <c r="G259" s="72">
        <v>0</v>
      </c>
      <c r="H259" s="72" t="s">
        <v>101</v>
      </c>
      <c r="I259" s="72" t="s">
        <v>101</v>
      </c>
      <c r="J259" s="72" t="s">
        <v>101</v>
      </c>
      <c r="K259" s="72" t="s">
        <v>101</v>
      </c>
      <c r="L259" s="73" t="s">
        <v>101</v>
      </c>
    </row>
    <row r="260" spans="1:13" ht="39" x14ac:dyDescent="0.25">
      <c r="A260" s="123" t="s">
        <v>12</v>
      </c>
      <c r="B260" s="184">
        <v>64921346</v>
      </c>
      <c r="C260" s="72">
        <v>0</v>
      </c>
      <c r="D260" s="72">
        <v>0</v>
      </c>
      <c r="E260" s="72">
        <v>0</v>
      </c>
      <c r="F260" s="184">
        <v>0</v>
      </c>
      <c r="G260" s="184">
        <v>71346</v>
      </c>
      <c r="H260" s="184">
        <v>32425000</v>
      </c>
      <c r="I260" s="72">
        <v>32425000</v>
      </c>
      <c r="J260" s="72">
        <v>0</v>
      </c>
      <c r="K260" s="72">
        <v>0</v>
      </c>
      <c r="L260" s="73">
        <v>0</v>
      </c>
    </row>
    <row r="261" spans="1:13" ht="90" x14ac:dyDescent="0.25">
      <c r="A261" s="83" t="s">
        <v>122</v>
      </c>
      <c r="B261" s="84">
        <f t="shared" ref="B261:L261" si="154">B262+B265</f>
        <v>29346746.170000002</v>
      </c>
      <c r="C261" s="84">
        <f t="shared" si="154"/>
        <v>4573437.3499999996</v>
      </c>
      <c r="D261" s="84">
        <f t="shared" si="154"/>
        <v>573308.82000000007</v>
      </c>
      <c r="E261" s="84">
        <f t="shared" si="154"/>
        <v>0</v>
      </c>
      <c r="F261" s="84">
        <f t="shared" si="154"/>
        <v>0</v>
      </c>
      <c r="G261" s="84">
        <f t="shared" si="154"/>
        <v>4500000</v>
      </c>
      <c r="H261" s="84">
        <f t="shared" si="154"/>
        <v>5500000</v>
      </c>
      <c r="I261" s="84">
        <f t="shared" si="154"/>
        <v>3700000</v>
      </c>
      <c r="J261" s="84">
        <f t="shared" si="154"/>
        <v>4000000</v>
      </c>
      <c r="K261" s="84">
        <f t="shared" si="154"/>
        <v>3500000</v>
      </c>
      <c r="L261" s="85">
        <f t="shared" si="154"/>
        <v>3000000</v>
      </c>
    </row>
    <row r="262" spans="1:13" x14ac:dyDescent="0.25">
      <c r="A262" s="26" t="s">
        <v>27</v>
      </c>
      <c r="B262" s="20">
        <f>B263+B264</f>
        <v>26146746.170000002</v>
      </c>
      <c r="C262" s="20">
        <f t="shared" ref="C262:L262" si="155">C263+C264</f>
        <v>4573437.3499999996</v>
      </c>
      <c r="D262" s="20">
        <f t="shared" si="155"/>
        <v>573308.82000000007</v>
      </c>
      <c r="E262" s="20">
        <f t="shared" si="155"/>
        <v>0</v>
      </c>
      <c r="F262" s="20">
        <f t="shared" si="155"/>
        <v>0</v>
      </c>
      <c r="G262" s="20">
        <f t="shared" si="155"/>
        <v>4500000</v>
      </c>
      <c r="H262" s="20">
        <f t="shared" si="155"/>
        <v>4500000</v>
      </c>
      <c r="I262" s="20">
        <f t="shared" si="155"/>
        <v>3000000</v>
      </c>
      <c r="J262" s="20">
        <f t="shared" si="155"/>
        <v>3000000</v>
      </c>
      <c r="K262" s="20">
        <f t="shared" si="155"/>
        <v>3000000</v>
      </c>
      <c r="L262" s="21">
        <f t="shared" si="155"/>
        <v>3000000</v>
      </c>
    </row>
    <row r="263" spans="1:13" x14ac:dyDescent="0.25">
      <c r="A263" s="51" t="s">
        <v>11</v>
      </c>
      <c r="B263" s="53">
        <f>SUM(C263:L263)</f>
        <v>23000000</v>
      </c>
      <c r="C263" s="53">
        <v>2000000</v>
      </c>
      <c r="D263" s="53">
        <v>0</v>
      </c>
      <c r="E263" s="53">
        <v>0</v>
      </c>
      <c r="F263" s="53">
        <v>0</v>
      </c>
      <c r="G263" s="53">
        <v>4500000</v>
      </c>
      <c r="H263" s="53">
        <v>4500000</v>
      </c>
      <c r="I263" s="53">
        <v>3000000</v>
      </c>
      <c r="J263" s="53">
        <v>3000000</v>
      </c>
      <c r="K263" s="53">
        <v>3000000</v>
      </c>
      <c r="L263" s="52">
        <v>3000000</v>
      </c>
    </row>
    <row r="264" spans="1:13" ht="39.75" thickBot="1" x14ac:dyDescent="0.3">
      <c r="A264" s="27" t="s">
        <v>12</v>
      </c>
      <c r="B264" s="139">
        <f>SUM(C264:L264)</f>
        <v>3146746.17</v>
      </c>
      <c r="C264" s="139">
        <f>360109.41+1603890.38+609437.56</f>
        <v>2573437.3499999996</v>
      </c>
      <c r="D264" s="139">
        <f>117647.06+455661.76</f>
        <v>573308.82000000007</v>
      </c>
      <c r="E264" s="139">
        <v>0</v>
      </c>
      <c r="F264" s="28">
        <v>0</v>
      </c>
      <c r="G264" s="28">
        <v>0</v>
      </c>
      <c r="H264" s="28">
        <v>0</v>
      </c>
      <c r="I264" s="28">
        <v>0</v>
      </c>
      <c r="J264" s="28">
        <v>0</v>
      </c>
      <c r="K264" s="28">
        <v>0</v>
      </c>
      <c r="L264" s="29">
        <v>0</v>
      </c>
    </row>
    <row r="265" spans="1:13" ht="26.25" x14ac:dyDescent="0.25">
      <c r="A265" s="26" t="s">
        <v>126</v>
      </c>
      <c r="B265" s="186">
        <f>B266+B267</f>
        <v>3200000</v>
      </c>
      <c r="C265" s="186">
        <f t="shared" ref="C265:L265" si="156">C266+C267</f>
        <v>0</v>
      </c>
      <c r="D265" s="186">
        <f t="shared" si="156"/>
        <v>0</v>
      </c>
      <c r="E265" s="186">
        <f t="shared" si="156"/>
        <v>0</v>
      </c>
      <c r="F265" s="186">
        <f t="shared" si="156"/>
        <v>0</v>
      </c>
      <c r="G265" s="186">
        <f t="shared" si="156"/>
        <v>0</v>
      </c>
      <c r="H265" s="186">
        <f t="shared" si="156"/>
        <v>1000000</v>
      </c>
      <c r="I265" s="186">
        <f t="shared" si="156"/>
        <v>700000</v>
      </c>
      <c r="J265" s="186">
        <f t="shared" si="156"/>
        <v>1000000</v>
      </c>
      <c r="K265" s="186">
        <f t="shared" si="156"/>
        <v>500000</v>
      </c>
      <c r="L265" s="187">
        <f t="shared" si="156"/>
        <v>0</v>
      </c>
    </row>
    <row r="266" spans="1:13" x14ac:dyDescent="0.25">
      <c r="A266" s="51" t="s">
        <v>11</v>
      </c>
      <c r="B266" s="177">
        <f>SUM(C266:L266)</f>
        <v>0</v>
      </c>
      <c r="C266" s="177">
        <v>0</v>
      </c>
      <c r="D266" s="177">
        <v>0</v>
      </c>
      <c r="E266" s="177">
        <v>0</v>
      </c>
      <c r="F266" s="176">
        <v>0</v>
      </c>
      <c r="G266" s="176">
        <v>0</v>
      </c>
      <c r="H266" s="176">
        <v>0</v>
      </c>
      <c r="I266" s="176">
        <v>0</v>
      </c>
      <c r="J266" s="176">
        <v>0</v>
      </c>
      <c r="K266" s="176">
        <v>0</v>
      </c>
      <c r="L266" s="179">
        <v>0</v>
      </c>
    </row>
    <row r="267" spans="1:13" ht="39.75" thickBot="1" x14ac:dyDescent="0.3">
      <c r="A267" s="27" t="s">
        <v>12</v>
      </c>
      <c r="B267" s="177">
        <f>SUM(C267:L267)</f>
        <v>3200000</v>
      </c>
      <c r="C267" s="177">
        <v>0</v>
      </c>
      <c r="D267" s="177">
        <v>0</v>
      </c>
      <c r="E267" s="177">
        <v>0</v>
      </c>
      <c r="F267" s="176">
        <v>0</v>
      </c>
      <c r="G267" s="176">
        <v>0</v>
      </c>
      <c r="H267" s="176">
        <v>1000000</v>
      </c>
      <c r="I267" s="176">
        <v>700000</v>
      </c>
      <c r="J267" s="176">
        <v>1000000</v>
      </c>
      <c r="K267" s="176">
        <v>500000</v>
      </c>
      <c r="L267" s="73">
        <v>0</v>
      </c>
    </row>
    <row r="268" spans="1:13" ht="64.5" x14ac:dyDescent="0.25">
      <c r="A268" s="25" t="s">
        <v>61</v>
      </c>
      <c r="B268" s="23">
        <f>B269</f>
        <v>150000</v>
      </c>
      <c r="C268" s="23">
        <f t="shared" ref="C268:L268" si="157">C269</f>
        <v>50000</v>
      </c>
      <c r="D268" s="23">
        <f t="shared" si="157"/>
        <v>50000</v>
      </c>
      <c r="E268" s="23">
        <f t="shared" si="157"/>
        <v>50000</v>
      </c>
      <c r="F268" s="23">
        <f t="shared" si="157"/>
        <v>0</v>
      </c>
      <c r="G268" s="23">
        <f t="shared" si="157"/>
        <v>0</v>
      </c>
      <c r="H268" s="23">
        <f t="shared" si="157"/>
        <v>0</v>
      </c>
      <c r="I268" s="23">
        <f t="shared" si="157"/>
        <v>0</v>
      </c>
      <c r="J268" s="23">
        <f t="shared" si="157"/>
        <v>0</v>
      </c>
      <c r="K268" s="23">
        <f t="shared" si="157"/>
        <v>0</v>
      </c>
      <c r="L268" s="24">
        <f t="shared" si="157"/>
        <v>0</v>
      </c>
      <c r="M268" s="1" t="s">
        <v>127</v>
      </c>
    </row>
    <row r="269" spans="1:13" x14ac:dyDescent="0.25">
      <c r="A269" s="26" t="s">
        <v>27</v>
      </c>
      <c r="B269" s="20">
        <f>B270+B271</f>
        <v>150000</v>
      </c>
      <c r="C269" s="20">
        <f t="shared" ref="C269:L269" si="158">C270+C271</f>
        <v>50000</v>
      </c>
      <c r="D269" s="20">
        <f t="shared" si="158"/>
        <v>50000</v>
      </c>
      <c r="E269" s="20">
        <f t="shared" si="158"/>
        <v>50000</v>
      </c>
      <c r="F269" s="20">
        <f t="shared" si="158"/>
        <v>0</v>
      </c>
      <c r="G269" s="20">
        <f t="shared" si="158"/>
        <v>0</v>
      </c>
      <c r="H269" s="20">
        <f t="shared" si="158"/>
        <v>0</v>
      </c>
      <c r="I269" s="20">
        <f t="shared" si="158"/>
        <v>0</v>
      </c>
      <c r="J269" s="20">
        <f t="shared" si="158"/>
        <v>0</v>
      </c>
      <c r="K269" s="20">
        <f t="shared" si="158"/>
        <v>0</v>
      </c>
      <c r="L269" s="21">
        <f t="shared" si="158"/>
        <v>0</v>
      </c>
    </row>
    <row r="270" spans="1:13" x14ac:dyDescent="0.25">
      <c r="A270" s="51" t="s">
        <v>11</v>
      </c>
      <c r="B270" s="72">
        <f>SUM(C270:L270)</f>
        <v>150000</v>
      </c>
      <c r="C270" s="72">
        <v>50000</v>
      </c>
      <c r="D270" s="72">
        <v>50000</v>
      </c>
      <c r="E270" s="72">
        <v>50000</v>
      </c>
      <c r="F270" s="72">
        <v>0</v>
      </c>
      <c r="G270" s="72">
        <v>0</v>
      </c>
      <c r="H270" s="72">
        <v>0</v>
      </c>
      <c r="I270" s="72">
        <v>0</v>
      </c>
      <c r="J270" s="72">
        <v>0</v>
      </c>
      <c r="K270" s="72">
        <v>0</v>
      </c>
      <c r="L270" s="73">
        <v>0</v>
      </c>
    </row>
    <row r="271" spans="1:13" ht="39.75" customHeight="1" thickBot="1" x14ac:dyDescent="0.3">
      <c r="A271" s="27" t="s">
        <v>12</v>
      </c>
      <c r="B271" s="164">
        <f>SUM(C271:L271)</f>
        <v>0</v>
      </c>
      <c r="C271" s="181">
        <v>0</v>
      </c>
      <c r="D271" s="164">
        <v>0</v>
      </c>
      <c r="E271" s="164">
        <v>0</v>
      </c>
      <c r="F271" s="164">
        <v>0</v>
      </c>
      <c r="G271" s="164">
        <v>0</v>
      </c>
      <c r="H271" s="164">
        <v>0</v>
      </c>
      <c r="I271" s="164">
        <v>0</v>
      </c>
      <c r="J271" s="164">
        <v>0</v>
      </c>
      <c r="K271" s="164">
        <v>0</v>
      </c>
      <c r="L271" s="165">
        <v>0</v>
      </c>
    </row>
    <row r="272" spans="1:13" ht="27.75" customHeight="1" x14ac:dyDescent="0.25">
      <c r="A272" s="219" t="s">
        <v>62</v>
      </c>
      <c r="B272" s="220"/>
      <c r="C272" s="220"/>
      <c r="D272" s="220"/>
      <c r="E272" s="220"/>
      <c r="F272" s="220"/>
      <c r="G272" s="220"/>
      <c r="H272" s="220"/>
      <c r="I272" s="220"/>
      <c r="J272" s="220"/>
      <c r="K272" s="220"/>
      <c r="L272" s="221"/>
    </row>
    <row r="273" spans="1:12" x14ac:dyDescent="0.25">
      <c r="A273" s="38" t="s">
        <v>5</v>
      </c>
      <c r="B273" s="77" t="s">
        <v>101</v>
      </c>
      <c r="C273" s="77">
        <v>0</v>
      </c>
      <c r="D273" s="77">
        <v>0</v>
      </c>
      <c r="E273" s="77">
        <v>0</v>
      </c>
      <c r="F273" s="77">
        <v>0</v>
      </c>
      <c r="G273" s="77" t="s">
        <v>101</v>
      </c>
      <c r="H273" s="77" t="s">
        <v>101</v>
      </c>
      <c r="I273" s="77" t="s">
        <v>101</v>
      </c>
      <c r="J273" s="77" t="s">
        <v>101</v>
      </c>
      <c r="K273" s="77" t="s">
        <v>101</v>
      </c>
      <c r="L273" s="79" t="s">
        <v>101</v>
      </c>
    </row>
    <row r="274" spans="1:12" x14ac:dyDescent="0.25">
      <c r="A274" s="39" t="s">
        <v>6</v>
      </c>
      <c r="B274" s="77" t="s">
        <v>101</v>
      </c>
      <c r="C274" s="77">
        <v>0</v>
      </c>
      <c r="D274" s="77">
        <v>0</v>
      </c>
      <c r="E274" s="77">
        <v>0</v>
      </c>
      <c r="F274" s="77">
        <v>0</v>
      </c>
      <c r="G274" s="77" t="s">
        <v>101</v>
      </c>
      <c r="H274" s="77" t="s">
        <v>101</v>
      </c>
      <c r="I274" s="77" t="s">
        <v>101</v>
      </c>
      <c r="J274" s="77" t="s">
        <v>101</v>
      </c>
      <c r="K274" s="77" t="s">
        <v>101</v>
      </c>
      <c r="L274" s="79" t="s">
        <v>101</v>
      </c>
    </row>
    <row r="275" spans="1:12" x14ac:dyDescent="0.25">
      <c r="A275" s="39" t="s">
        <v>7</v>
      </c>
      <c r="B275" s="77">
        <f>SUM(C275:L275)</f>
        <v>0</v>
      </c>
      <c r="C275" s="77">
        <v>0</v>
      </c>
      <c r="D275" s="77">
        <v>0</v>
      </c>
      <c r="E275" s="77">
        <v>0</v>
      </c>
      <c r="F275" s="77">
        <v>0</v>
      </c>
      <c r="G275" s="77">
        <v>0</v>
      </c>
      <c r="H275" s="77">
        <v>0</v>
      </c>
      <c r="I275" s="77">
        <v>0</v>
      </c>
      <c r="J275" s="77">
        <v>0</v>
      </c>
      <c r="K275" s="77">
        <v>0</v>
      </c>
      <c r="L275" s="79">
        <v>0</v>
      </c>
    </row>
    <row r="276" spans="1:12" ht="26.25" x14ac:dyDescent="0.25">
      <c r="A276" s="39" t="s">
        <v>8</v>
      </c>
      <c r="B276" s="77">
        <f>SUM(C276:L276)</f>
        <v>0</v>
      </c>
      <c r="C276" s="77">
        <v>0</v>
      </c>
      <c r="D276" s="77">
        <v>0</v>
      </c>
      <c r="E276" s="77">
        <v>0</v>
      </c>
      <c r="F276" s="77">
        <v>0</v>
      </c>
      <c r="G276" s="77">
        <v>0</v>
      </c>
      <c r="H276" s="77">
        <v>0</v>
      </c>
      <c r="I276" s="77">
        <v>0</v>
      </c>
      <c r="J276" s="77">
        <v>0</v>
      </c>
      <c r="K276" s="77">
        <v>0</v>
      </c>
      <c r="L276" s="79">
        <v>0</v>
      </c>
    </row>
    <row r="277" spans="1:12" x14ac:dyDescent="0.25">
      <c r="A277" s="38" t="s">
        <v>9</v>
      </c>
      <c r="B277" s="77" t="s">
        <v>101</v>
      </c>
      <c r="C277" s="77">
        <v>0</v>
      </c>
      <c r="D277" s="77">
        <v>0</v>
      </c>
      <c r="E277" s="77">
        <v>0</v>
      </c>
      <c r="F277" s="77">
        <v>0</v>
      </c>
      <c r="G277" s="77" t="s">
        <v>101</v>
      </c>
      <c r="H277" s="77" t="s">
        <v>101</v>
      </c>
      <c r="I277" s="77" t="s">
        <v>101</v>
      </c>
      <c r="J277" s="77" t="s">
        <v>101</v>
      </c>
      <c r="K277" s="77" t="s">
        <v>101</v>
      </c>
      <c r="L277" s="79" t="s">
        <v>101</v>
      </c>
    </row>
    <row r="278" spans="1:12" x14ac:dyDescent="0.25">
      <c r="A278" s="39" t="s">
        <v>10</v>
      </c>
      <c r="B278" s="77"/>
      <c r="C278" s="77"/>
      <c r="D278" s="77"/>
      <c r="E278" s="77"/>
      <c r="F278" s="77"/>
      <c r="G278" s="77"/>
      <c r="H278" s="77"/>
      <c r="I278" s="77"/>
      <c r="J278" s="77"/>
      <c r="K278" s="77"/>
      <c r="L278" s="79"/>
    </row>
    <row r="279" spans="1:12" x14ac:dyDescent="0.25">
      <c r="A279" s="39" t="s">
        <v>11</v>
      </c>
      <c r="B279" s="77" t="s">
        <v>101</v>
      </c>
      <c r="C279" s="77">
        <v>0</v>
      </c>
      <c r="D279" s="77">
        <v>0</v>
      </c>
      <c r="E279" s="77">
        <v>0</v>
      </c>
      <c r="F279" s="77">
        <v>0</v>
      </c>
      <c r="G279" s="77" t="s">
        <v>101</v>
      </c>
      <c r="H279" s="77" t="s">
        <v>101</v>
      </c>
      <c r="I279" s="77" t="s">
        <v>101</v>
      </c>
      <c r="J279" s="77" t="s">
        <v>101</v>
      </c>
      <c r="K279" s="77" t="s">
        <v>101</v>
      </c>
      <c r="L279" s="79" t="s">
        <v>101</v>
      </c>
    </row>
    <row r="280" spans="1:12" ht="39.75" thickBot="1" x14ac:dyDescent="0.3">
      <c r="A280" s="80" t="s">
        <v>12</v>
      </c>
      <c r="B280" s="154">
        <f>SUM(C280:L280)</f>
        <v>0</v>
      </c>
      <c r="C280" s="154">
        <v>0</v>
      </c>
      <c r="D280" s="154">
        <v>0</v>
      </c>
      <c r="E280" s="154">
        <v>0</v>
      </c>
      <c r="F280" s="154">
        <v>0</v>
      </c>
      <c r="G280" s="154">
        <v>0</v>
      </c>
      <c r="H280" s="154">
        <v>0</v>
      </c>
      <c r="I280" s="154">
        <v>0</v>
      </c>
      <c r="J280" s="154">
        <v>0</v>
      </c>
      <c r="K280" s="154">
        <v>0</v>
      </c>
      <c r="L280" s="155">
        <v>0</v>
      </c>
    </row>
    <row r="281" spans="1:12" x14ac:dyDescent="0.25">
      <c r="A281" s="5" t="s">
        <v>13</v>
      </c>
      <c r="B281" s="12"/>
      <c r="C281" s="12"/>
      <c r="D281" s="12"/>
      <c r="E281" s="12"/>
      <c r="F281" s="12"/>
      <c r="G281" s="12"/>
      <c r="H281" s="12"/>
      <c r="I281" s="12"/>
      <c r="J281" s="12"/>
      <c r="K281" s="12"/>
      <c r="L281" s="13"/>
    </row>
    <row r="282" spans="1:12" x14ac:dyDescent="0.25">
      <c r="A282" s="6" t="s">
        <v>14</v>
      </c>
      <c r="B282" s="14"/>
      <c r="C282" s="14"/>
      <c r="D282" s="14"/>
      <c r="E282" s="14"/>
      <c r="F282" s="14"/>
      <c r="G282" s="14"/>
      <c r="H282" s="14"/>
      <c r="I282" s="14"/>
      <c r="J282" s="14"/>
      <c r="K282" s="14"/>
      <c r="L282" s="15"/>
    </row>
    <row r="283" spans="1:12" x14ac:dyDescent="0.25">
      <c r="A283" s="16" t="s">
        <v>27</v>
      </c>
      <c r="B283" s="68" t="s">
        <v>101</v>
      </c>
      <c r="C283" s="68">
        <v>0</v>
      </c>
      <c r="D283" s="68">
        <v>0</v>
      </c>
      <c r="E283" s="68">
        <v>0</v>
      </c>
      <c r="F283" s="68">
        <v>0</v>
      </c>
      <c r="G283" s="68" t="s">
        <v>101</v>
      </c>
      <c r="H283" s="68" t="s">
        <v>101</v>
      </c>
      <c r="I283" s="68" t="s">
        <v>101</v>
      </c>
      <c r="J283" s="68" t="s">
        <v>101</v>
      </c>
      <c r="K283" s="68" t="s">
        <v>101</v>
      </c>
      <c r="L283" s="69" t="s">
        <v>101</v>
      </c>
    </row>
    <row r="284" spans="1:12" x14ac:dyDescent="0.25">
      <c r="A284" s="6" t="s">
        <v>11</v>
      </c>
      <c r="B284" s="68" t="s">
        <v>101</v>
      </c>
      <c r="C284" s="68">
        <v>0</v>
      </c>
      <c r="D284" s="68">
        <v>0</v>
      </c>
      <c r="E284" s="68">
        <v>0</v>
      </c>
      <c r="F284" s="68">
        <v>0</v>
      </c>
      <c r="G284" s="68" t="s">
        <v>101</v>
      </c>
      <c r="H284" s="68" t="s">
        <v>101</v>
      </c>
      <c r="I284" s="68" t="s">
        <v>101</v>
      </c>
      <c r="J284" s="68" t="s">
        <v>101</v>
      </c>
      <c r="K284" s="68" t="s">
        <v>101</v>
      </c>
      <c r="L284" s="69" t="s">
        <v>101</v>
      </c>
    </row>
    <row r="285" spans="1:12" ht="43.5" customHeight="1" thickBot="1" x14ac:dyDescent="0.3">
      <c r="A285" s="7" t="s">
        <v>12</v>
      </c>
      <c r="B285" s="168">
        <f>SUM(C285:L285)</f>
        <v>0</v>
      </c>
      <c r="C285" s="168">
        <v>0</v>
      </c>
      <c r="D285" s="168">
        <v>0</v>
      </c>
      <c r="E285" s="168">
        <v>0</v>
      </c>
      <c r="F285" s="168">
        <v>0</v>
      </c>
      <c r="G285" s="168">
        <v>0</v>
      </c>
      <c r="H285" s="168">
        <v>0</v>
      </c>
      <c r="I285" s="168">
        <v>0</v>
      </c>
      <c r="J285" s="168">
        <v>0</v>
      </c>
      <c r="K285" s="168">
        <v>0</v>
      </c>
      <c r="L285" s="147">
        <v>0</v>
      </c>
    </row>
    <row r="286" spans="1:12" x14ac:dyDescent="0.25">
      <c r="A286" s="219" t="s">
        <v>63</v>
      </c>
      <c r="B286" s="220"/>
      <c r="C286" s="220"/>
      <c r="D286" s="220"/>
      <c r="E286" s="220"/>
      <c r="F286" s="220"/>
      <c r="G286" s="220"/>
      <c r="H286" s="220"/>
      <c r="I286" s="220"/>
      <c r="J286" s="220"/>
      <c r="K286" s="220"/>
      <c r="L286" s="221"/>
    </row>
    <row r="287" spans="1:12" x14ac:dyDescent="0.25">
      <c r="A287" s="38" t="s">
        <v>5</v>
      </c>
      <c r="B287" s="60">
        <f>B288+B289+B290+B291</f>
        <v>260044504.69999999</v>
      </c>
      <c r="C287" s="60">
        <f t="shared" ref="C287:L287" si="159">C288+C289+C290+C291</f>
        <v>51467931</v>
      </c>
      <c r="D287" s="60">
        <f t="shared" si="159"/>
        <v>61975477.700000003</v>
      </c>
      <c r="E287" s="60">
        <f t="shared" si="159"/>
        <v>63005517</v>
      </c>
      <c r="F287" s="60">
        <f t="shared" si="159"/>
        <v>0</v>
      </c>
      <c r="G287" s="161">
        <f t="shared" si="159"/>
        <v>10111389</v>
      </c>
      <c r="H287" s="161">
        <f t="shared" si="159"/>
        <v>21410381</v>
      </c>
      <c r="I287" s="161">
        <f t="shared" si="159"/>
        <v>16314165</v>
      </c>
      <c r="J287" s="161">
        <f t="shared" si="159"/>
        <v>15533758</v>
      </c>
      <c r="K287" s="161">
        <f t="shared" si="159"/>
        <v>12737943</v>
      </c>
      <c r="L287" s="162">
        <f t="shared" si="159"/>
        <v>7487943</v>
      </c>
    </row>
    <row r="288" spans="1:12" x14ac:dyDescent="0.25">
      <c r="A288" s="39" t="s">
        <v>6</v>
      </c>
      <c r="B288" s="77">
        <f>SUM(C288:L288)</f>
        <v>0</v>
      </c>
      <c r="C288" s="77">
        <v>0</v>
      </c>
      <c r="D288" s="77">
        <v>0</v>
      </c>
      <c r="E288" s="77">
        <v>0</v>
      </c>
      <c r="F288" s="77">
        <v>0</v>
      </c>
      <c r="G288" s="77">
        <v>0</v>
      </c>
      <c r="H288" s="77">
        <v>0</v>
      </c>
      <c r="I288" s="77">
        <v>0</v>
      </c>
      <c r="J288" s="77">
        <v>0</v>
      </c>
      <c r="K288" s="77">
        <v>0</v>
      </c>
      <c r="L288" s="79">
        <v>0</v>
      </c>
    </row>
    <row r="289" spans="1:13" x14ac:dyDescent="0.25">
      <c r="A289" s="39" t="s">
        <v>7</v>
      </c>
      <c r="B289" s="77">
        <f>SUM(C289:L289)</f>
        <v>0</v>
      </c>
      <c r="C289" s="77">
        <v>0</v>
      </c>
      <c r="D289" s="77">
        <v>0</v>
      </c>
      <c r="E289" s="77">
        <v>0</v>
      </c>
      <c r="F289" s="77">
        <v>0</v>
      </c>
      <c r="G289" s="77">
        <v>0</v>
      </c>
      <c r="H289" s="77">
        <v>0</v>
      </c>
      <c r="I289" s="77">
        <v>0</v>
      </c>
      <c r="J289" s="77">
        <v>0</v>
      </c>
      <c r="K289" s="77">
        <v>0</v>
      </c>
      <c r="L289" s="79">
        <v>0</v>
      </c>
    </row>
    <row r="290" spans="1:13" ht="26.25" x14ac:dyDescent="0.25">
      <c r="A290" s="39" t="s">
        <v>8</v>
      </c>
      <c r="B290" s="77">
        <f>SUM(C290:L290)</f>
        <v>0</v>
      </c>
      <c r="C290" s="77">
        <v>0</v>
      </c>
      <c r="D290" s="77">
        <v>0</v>
      </c>
      <c r="E290" s="77">
        <v>0</v>
      </c>
      <c r="F290" s="77">
        <v>0</v>
      </c>
      <c r="G290" s="77">
        <v>0</v>
      </c>
      <c r="H290" s="77">
        <v>0</v>
      </c>
      <c r="I290" s="77">
        <v>0</v>
      </c>
      <c r="J290" s="77">
        <v>0</v>
      </c>
      <c r="K290" s="77">
        <v>0</v>
      </c>
      <c r="L290" s="79">
        <v>0</v>
      </c>
    </row>
    <row r="291" spans="1:13" x14ac:dyDescent="0.25">
      <c r="A291" s="38" t="s">
        <v>9</v>
      </c>
      <c r="B291" s="60">
        <f>B293+B294</f>
        <v>260044504.69999999</v>
      </c>
      <c r="C291" s="60">
        <f t="shared" ref="C291:L291" si="160">C293+C294</f>
        <v>51467931</v>
      </c>
      <c r="D291" s="60">
        <f t="shared" si="160"/>
        <v>61975477.700000003</v>
      </c>
      <c r="E291" s="60">
        <f t="shared" si="160"/>
        <v>63005517</v>
      </c>
      <c r="F291" s="60">
        <f t="shared" si="160"/>
        <v>0</v>
      </c>
      <c r="G291" s="161">
        <f t="shared" si="160"/>
        <v>10111389</v>
      </c>
      <c r="H291" s="161">
        <f t="shared" si="160"/>
        <v>21410381</v>
      </c>
      <c r="I291" s="161">
        <f t="shared" si="160"/>
        <v>16314165</v>
      </c>
      <c r="J291" s="161">
        <f t="shared" si="160"/>
        <v>15533758</v>
      </c>
      <c r="K291" s="161">
        <f t="shared" si="160"/>
        <v>12737943</v>
      </c>
      <c r="L291" s="162">
        <f t="shared" si="160"/>
        <v>7487943</v>
      </c>
    </row>
    <row r="292" spans="1:13" x14ac:dyDescent="0.25">
      <c r="A292" s="39" t="s">
        <v>10</v>
      </c>
      <c r="B292" s="77"/>
      <c r="C292" s="77"/>
      <c r="D292" s="77"/>
      <c r="E292" s="77"/>
      <c r="F292" s="77"/>
      <c r="G292" s="77"/>
      <c r="H292" s="77"/>
      <c r="I292" s="77"/>
      <c r="J292" s="77"/>
      <c r="K292" s="77"/>
      <c r="L292" s="79"/>
    </row>
    <row r="293" spans="1:13" x14ac:dyDescent="0.25">
      <c r="A293" s="39" t="s">
        <v>11</v>
      </c>
      <c r="B293" s="40">
        <f>B298</f>
        <v>218379940</v>
      </c>
      <c r="C293" s="40">
        <f t="shared" ref="C293:L293" si="161">C298</f>
        <v>48982070</v>
      </c>
      <c r="D293" s="40">
        <f t="shared" si="161"/>
        <v>60996774</v>
      </c>
      <c r="E293" s="40">
        <f t="shared" si="161"/>
        <v>63005517</v>
      </c>
      <c r="F293" s="40">
        <f t="shared" si="161"/>
        <v>0</v>
      </c>
      <c r="G293" s="166">
        <f t="shared" si="161"/>
        <v>7866508</v>
      </c>
      <c r="H293" s="166">
        <f t="shared" si="161"/>
        <v>7577299</v>
      </c>
      <c r="I293" s="166">
        <f t="shared" si="161"/>
        <v>7487943</v>
      </c>
      <c r="J293" s="166">
        <f t="shared" si="161"/>
        <v>7487943</v>
      </c>
      <c r="K293" s="166">
        <f t="shared" si="161"/>
        <v>7487943</v>
      </c>
      <c r="L293" s="167">
        <f t="shared" si="161"/>
        <v>7487943</v>
      </c>
    </row>
    <row r="294" spans="1:13" ht="39.75" thickBot="1" x14ac:dyDescent="0.3">
      <c r="A294" s="80" t="s">
        <v>12</v>
      </c>
      <c r="B294" s="81">
        <f>B299</f>
        <v>41664564.700000003</v>
      </c>
      <c r="C294" s="81">
        <f t="shared" ref="C294:L294" si="162">C299</f>
        <v>2485861</v>
      </c>
      <c r="D294" s="81">
        <f t="shared" si="162"/>
        <v>978703.7</v>
      </c>
      <c r="E294" s="81">
        <f t="shared" si="162"/>
        <v>0</v>
      </c>
      <c r="F294" s="81">
        <f t="shared" si="162"/>
        <v>0</v>
      </c>
      <c r="G294" s="81">
        <f t="shared" si="162"/>
        <v>2244881</v>
      </c>
      <c r="H294" s="81">
        <f t="shared" si="162"/>
        <v>13833082</v>
      </c>
      <c r="I294" s="81">
        <f t="shared" si="162"/>
        <v>8826222</v>
      </c>
      <c r="J294" s="81">
        <f t="shared" si="162"/>
        <v>8045815</v>
      </c>
      <c r="K294" s="81">
        <f t="shared" si="162"/>
        <v>5250000</v>
      </c>
      <c r="L294" s="82">
        <f t="shared" si="162"/>
        <v>0</v>
      </c>
    </row>
    <row r="295" spans="1:13" x14ac:dyDescent="0.25">
      <c r="A295" s="5" t="s">
        <v>13</v>
      </c>
      <c r="B295" s="12"/>
      <c r="C295" s="12"/>
      <c r="D295" s="12"/>
      <c r="E295" s="12"/>
      <c r="F295" s="12"/>
      <c r="G295" s="12"/>
      <c r="H295" s="12"/>
      <c r="I295" s="12"/>
      <c r="J295" s="12"/>
      <c r="K295" s="12"/>
      <c r="L295" s="13"/>
    </row>
    <row r="296" spans="1:13" x14ac:dyDescent="0.25">
      <c r="A296" s="6" t="s">
        <v>14</v>
      </c>
      <c r="B296" s="14"/>
      <c r="C296" s="14"/>
      <c r="D296" s="14"/>
      <c r="E296" s="14"/>
      <c r="F296" s="14"/>
      <c r="G296" s="14"/>
      <c r="H296" s="14"/>
      <c r="I296" s="14"/>
      <c r="J296" s="14"/>
      <c r="K296" s="14"/>
      <c r="L296" s="15"/>
    </row>
    <row r="297" spans="1:13" x14ac:dyDescent="0.25">
      <c r="A297" s="42" t="s">
        <v>27</v>
      </c>
      <c r="B297" s="14">
        <f>B298+B299</f>
        <v>260044504.69999999</v>
      </c>
      <c r="C297" s="14">
        <f t="shared" ref="C297:L297" si="163">C298+C299</f>
        <v>51467931</v>
      </c>
      <c r="D297" s="14">
        <f t="shared" si="163"/>
        <v>61975477.700000003</v>
      </c>
      <c r="E297" s="14">
        <f t="shared" si="163"/>
        <v>63005517</v>
      </c>
      <c r="F297" s="14">
        <f t="shared" si="163"/>
        <v>0</v>
      </c>
      <c r="G297" s="14">
        <f t="shared" si="163"/>
        <v>10111389</v>
      </c>
      <c r="H297" s="14">
        <f t="shared" si="163"/>
        <v>21410381</v>
      </c>
      <c r="I297" s="14">
        <f t="shared" si="163"/>
        <v>16314165</v>
      </c>
      <c r="J297" s="14">
        <f t="shared" si="163"/>
        <v>15533758</v>
      </c>
      <c r="K297" s="14">
        <f t="shared" si="163"/>
        <v>12737943</v>
      </c>
      <c r="L297" s="15">
        <f t="shared" si="163"/>
        <v>7487943</v>
      </c>
    </row>
    <row r="298" spans="1:13" x14ac:dyDescent="0.25">
      <c r="A298" s="51" t="s">
        <v>11</v>
      </c>
      <c r="B298" s="54">
        <f>SUM(C298:L298)</f>
        <v>218379940</v>
      </c>
      <c r="C298" s="54">
        <f>C302+C306+C310+C314+C318+C322+C326+C330+C334+C338</f>
        <v>48982070</v>
      </c>
      <c r="D298" s="54">
        <f t="shared" ref="D298:L298" si="164">D302+D306+D310+D314+D318+D322+D326+D330+D334+D338</f>
        <v>60996774</v>
      </c>
      <c r="E298" s="54">
        <f t="shared" si="164"/>
        <v>63005517</v>
      </c>
      <c r="F298" s="54">
        <f t="shared" si="164"/>
        <v>0</v>
      </c>
      <c r="G298" s="54">
        <f t="shared" si="164"/>
        <v>7866508</v>
      </c>
      <c r="H298" s="54">
        <f t="shared" si="164"/>
        <v>7577299</v>
      </c>
      <c r="I298" s="54">
        <f t="shared" si="164"/>
        <v>7487943</v>
      </c>
      <c r="J298" s="54">
        <f t="shared" si="164"/>
        <v>7487943</v>
      </c>
      <c r="K298" s="54">
        <f t="shared" si="164"/>
        <v>7487943</v>
      </c>
      <c r="L298" s="17">
        <f t="shared" si="164"/>
        <v>7487943</v>
      </c>
    </row>
    <row r="299" spans="1:13" ht="39.75" thickBot="1" x14ac:dyDescent="0.3">
      <c r="A299" s="27" t="s">
        <v>12</v>
      </c>
      <c r="B299" s="30">
        <f>SUM(C299:L299)</f>
        <v>41664564.700000003</v>
      </c>
      <c r="C299" s="30">
        <f>C303+C307+C311+C315+C319+C323+C327+C331+C335+C339</f>
        <v>2485861</v>
      </c>
      <c r="D299" s="30">
        <f t="shared" ref="D299:L299" si="165">D303+D307+D311+D315+D319+D323+D327+D331+D335+D339</f>
        <v>978703.7</v>
      </c>
      <c r="E299" s="30">
        <f t="shared" si="165"/>
        <v>0</v>
      </c>
      <c r="F299" s="30">
        <f t="shared" si="165"/>
        <v>0</v>
      </c>
      <c r="G299" s="30">
        <f t="shared" si="165"/>
        <v>2244881</v>
      </c>
      <c r="H299" s="30">
        <f t="shared" si="165"/>
        <v>13833082</v>
      </c>
      <c r="I299" s="30">
        <f t="shared" si="165"/>
        <v>8826222</v>
      </c>
      <c r="J299" s="30">
        <f t="shared" si="165"/>
        <v>8045815</v>
      </c>
      <c r="K299" s="30">
        <f t="shared" si="165"/>
        <v>5250000</v>
      </c>
      <c r="L299" s="31">
        <f t="shared" si="165"/>
        <v>0</v>
      </c>
    </row>
    <row r="300" spans="1:13" ht="99.75" customHeight="1" x14ac:dyDescent="0.25">
      <c r="A300" s="43" t="s">
        <v>128</v>
      </c>
      <c r="B300" s="33">
        <f>B301</f>
        <v>0</v>
      </c>
      <c r="C300" s="33">
        <f t="shared" ref="C300:L300" si="166">C301</f>
        <v>0</v>
      </c>
      <c r="D300" s="33">
        <f t="shared" si="166"/>
        <v>0</v>
      </c>
      <c r="E300" s="33">
        <f t="shared" si="166"/>
        <v>0</v>
      </c>
      <c r="F300" s="33">
        <f t="shared" si="166"/>
        <v>0</v>
      </c>
      <c r="G300" s="33">
        <f t="shared" si="166"/>
        <v>0</v>
      </c>
      <c r="H300" s="33">
        <f t="shared" si="166"/>
        <v>0</v>
      </c>
      <c r="I300" s="33">
        <f t="shared" si="166"/>
        <v>0</v>
      </c>
      <c r="J300" s="33">
        <f t="shared" si="166"/>
        <v>0</v>
      </c>
      <c r="K300" s="33">
        <f t="shared" si="166"/>
        <v>0</v>
      </c>
      <c r="L300" s="34">
        <f t="shared" si="166"/>
        <v>0</v>
      </c>
      <c r="M300" s="180" t="s">
        <v>134</v>
      </c>
    </row>
    <row r="301" spans="1:13" x14ac:dyDescent="0.25">
      <c r="A301" s="19" t="s">
        <v>27</v>
      </c>
      <c r="B301" s="20">
        <f>B302+B303</f>
        <v>0</v>
      </c>
      <c r="C301" s="20">
        <f t="shared" ref="C301:L301" si="167">C302+C303</f>
        <v>0</v>
      </c>
      <c r="D301" s="20">
        <f t="shared" si="167"/>
        <v>0</v>
      </c>
      <c r="E301" s="20">
        <f t="shared" si="167"/>
        <v>0</v>
      </c>
      <c r="F301" s="20">
        <f t="shared" si="167"/>
        <v>0</v>
      </c>
      <c r="G301" s="20">
        <f t="shared" si="167"/>
        <v>0</v>
      </c>
      <c r="H301" s="20">
        <f t="shared" si="167"/>
        <v>0</v>
      </c>
      <c r="I301" s="20">
        <f t="shared" si="167"/>
        <v>0</v>
      </c>
      <c r="J301" s="20">
        <f t="shared" si="167"/>
        <v>0</v>
      </c>
      <c r="K301" s="20">
        <f t="shared" si="167"/>
        <v>0</v>
      </c>
      <c r="L301" s="21">
        <f t="shared" si="167"/>
        <v>0</v>
      </c>
    </row>
    <row r="302" spans="1:13" x14ac:dyDescent="0.25">
      <c r="A302" s="51" t="s">
        <v>11</v>
      </c>
      <c r="B302" s="53">
        <f>SUM(C302:L302)</f>
        <v>0</v>
      </c>
      <c r="C302" s="53">
        <v>0</v>
      </c>
      <c r="D302" s="53">
        <v>0</v>
      </c>
      <c r="E302" s="53">
        <v>0</v>
      </c>
      <c r="F302" s="53">
        <v>0</v>
      </c>
      <c r="G302" s="53">
        <v>0</v>
      </c>
      <c r="H302" s="53">
        <v>0</v>
      </c>
      <c r="I302" s="53">
        <v>0</v>
      </c>
      <c r="J302" s="53">
        <v>0</v>
      </c>
      <c r="K302" s="53">
        <v>0</v>
      </c>
      <c r="L302" s="52">
        <v>0</v>
      </c>
    </row>
    <row r="303" spans="1:13" ht="39.75" thickBot="1" x14ac:dyDescent="0.3">
      <c r="A303" s="27" t="s">
        <v>12</v>
      </c>
      <c r="B303" s="28">
        <f>SUM(C303:L303)</f>
        <v>0</v>
      </c>
      <c r="C303" s="28">
        <v>0</v>
      </c>
      <c r="D303" s="28">
        <v>0</v>
      </c>
      <c r="E303" s="28">
        <v>0</v>
      </c>
      <c r="F303" s="28">
        <v>0</v>
      </c>
      <c r="G303" s="28">
        <v>0</v>
      </c>
      <c r="H303" s="28">
        <v>0</v>
      </c>
      <c r="I303" s="28">
        <v>0</v>
      </c>
      <c r="J303" s="28">
        <v>0</v>
      </c>
      <c r="K303" s="28">
        <v>0</v>
      </c>
      <c r="L303" s="29">
        <v>0</v>
      </c>
    </row>
    <row r="304" spans="1:13" ht="128.25" customHeight="1" x14ac:dyDescent="0.25">
      <c r="A304" s="32" t="s">
        <v>129</v>
      </c>
      <c r="B304" s="33">
        <f>B305</f>
        <v>150843740</v>
      </c>
      <c r="C304" s="33">
        <f t="shared" ref="C304:L304" si="168">C305</f>
        <v>36699807</v>
      </c>
      <c r="D304" s="33">
        <f t="shared" si="168"/>
        <v>48714511</v>
      </c>
      <c r="E304" s="33">
        <f t="shared" si="168"/>
        <v>50723254</v>
      </c>
      <c r="F304" s="33">
        <f t="shared" si="168"/>
        <v>0</v>
      </c>
      <c r="G304" s="118">
        <f t="shared" si="168"/>
        <v>2451028</v>
      </c>
      <c r="H304" s="118">
        <f t="shared" si="168"/>
        <v>2451028</v>
      </c>
      <c r="I304" s="118">
        <f t="shared" si="168"/>
        <v>2451028</v>
      </c>
      <c r="J304" s="118">
        <f t="shared" si="168"/>
        <v>2451028</v>
      </c>
      <c r="K304" s="118">
        <f t="shared" si="168"/>
        <v>2451028</v>
      </c>
      <c r="L304" s="119">
        <f t="shared" si="168"/>
        <v>2451028</v>
      </c>
      <c r="M304" s="180" t="s">
        <v>141</v>
      </c>
    </row>
    <row r="305" spans="1:13" x14ac:dyDescent="0.25">
      <c r="A305" s="19" t="s">
        <v>27</v>
      </c>
      <c r="B305" s="20">
        <f>B306+B307</f>
        <v>150843740</v>
      </c>
      <c r="C305" s="20">
        <f t="shared" ref="C305:L305" si="169">C306+C307</f>
        <v>36699807</v>
      </c>
      <c r="D305" s="20">
        <f t="shared" si="169"/>
        <v>48714511</v>
      </c>
      <c r="E305" s="20">
        <f t="shared" si="169"/>
        <v>50723254</v>
      </c>
      <c r="F305" s="20">
        <f t="shared" si="169"/>
        <v>0</v>
      </c>
      <c r="G305" s="161">
        <f t="shared" si="169"/>
        <v>2451028</v>
      </c>
      <c r="H305" s="161">
        <f t="shared" si="169"/>
        <v>2451028</v>
      </c>
      <c r="I305" s="161">
        <f t="shared" si="169"/>
        <v>2451028</v>
      </c>
      <c r="J305" s="161">
        <f t="shared" si="169"/>
        <v>2451028</v>
      </c>
      <c r="K305" s="161">
        <f t="shared" si="169"/>
        <v>2451028</v>
      </c>
      <c r="L305" s="162">
        <f t="shared" si="169"/>
        <v>2451028</v>
      </c>
    </row>
    <row r="306" spans="1:13" x14ac:dyDescent="0.25">
      <c r="A306" s="51" t="s">
        <v>11</v>
      </c>
      <c r="B306" s="53">
        <f>SUM(C306:L306)</f>
        <v>150843740</v>
      </c>
      <c r="C306" s="53">
        <f>199998+135110+28160159+6017543+445993+49948+410199+395141+103420+217526+328087+226454+310548+1320+19307+35426-103420-217526-35426</f>
        <v>36699807</v>
      </c>
      <c r="D306" s="53">
        <f>199998+135110+28160159+6017543+445993+49948+410199+395141+103420+217526+328087+226454+310548+1320+19307+35426+12014704-103420-217526-35426</f>
        <v>48714511</v>
      </c>
      <c r="E306" s="53">
        <f>199998+135110+28160159+6017543+445993+49948+410199+395141+103420+217526+328087+226454+310548+1320+19307+35426+14023447-103420-217526-35426</f>
        <v>50723254</v>
      </c>
      <c r="F306" s="53">
        <v>0</v>
      </c>
      <c r="G306" s="166">
        <f>453290+246014+182628+716084+818954+34058</f>
        <v>2451028</v>
      </c>
      <c r="H306" s="166">
        <f t="shared" ref="H306:L306" si="170">453290+246014+182628+716084+818954+34058</f>
        <v>2451028</v>
      </c>
      <c r="I306" s="166">
        <f t="shared" si="170"/>
        <v>2451028</v>
      </c>
      <c r="J306" s="166">
        <f t="shared" si="170"/>
        <v>2451028</v>
      </c>
      <c r="K306" s="166">
        <f t="shared" si="170"/>
        <v>2451028</v>
      </c>
      <c r="L306" s="167">
        <f t="shared" si="170"/>
        <v>2451028</v>
      </c>
    </row>
    <row r="307" spans="1:13" ht="39.75" thickBot="1" x14ac:dyDescent="0.3">
      <c r="A307" s="27" t="s">
        <v>12</v>
      </c>
      <c r="B307" s="28">
        <f>SUM(C307:L307)</f>
        <v>0</v>
      </c>
      <c r="C307" s="28">
        <v>0</v>
      </c>
      <c r="D307" s="28">
        <v>0</v>
      </c>
      <c r="E307" s="28">
        <v>0</v>
      </c>
      <c r="F307" s="28">
        <v>0</v>
      </c>
      <c r="G307" s="28">
        <v>0</v>
      </c>
      <c r="H307" s="28">
        <v>0</v>
      </c>
      <c r="I307" s="28">
        <v>0</v>
      </c>
      <c r="J307" s="28">
        <v>0</v>
      </c>
      <c r="K307" s="28">
        <v>0</v>
      </c>
      <c r="L307" s="29">
        <v>0</v>
      </c>
    </row>
    <row r="308" spans="1:13" ht="38.25" x14ac:dyDescent="0.25">
      <c r="A308" s="126" t="s">
        <v>64</v>
      </c>
      <c r="B308" s="84">
        <f>B309</f>
        <v>8819991</v>
      </c>
      <c r="C308" s="84">
        <f t="shared" ref="C308:L308" si="171">C309</f>
        <v>283513</v>
      </c>
      <c r="D308" s="84">
        <f t="shared" si="171"/>
        <v>283513</v>
      </c>
      <c r="E308" s="84">
        <f t="shared" si="171"/>
        <v>283513</v>
      </c>
      <c r="F308" s="84">
        <f t="shared" si="171"/>
        <v>0</v>
      </c>
      <c r="G308" s="84">
        <f t="shared" si="171"/>
        <v>860207</v>
      </c>
      <c r="H308" s="84">
        <f t="shared" si="171"/>
        <v>2285849</v>
      </c>
      <c r="I308" s="84">
        <f t="shared" si="171"/>
        <v>2285849</v>
      </c>
      <c r="J308" s="84">
        <f t="shared" si="171"/>
        <v>2285849</v>
      </c>
      <c r="K308" s="84">
        <f t="shared" si="171"/>
        <v>125849</v>
      </c>
      <c r="L308" s="34">
        <f t="shared" si="171"/>
        <v>125849</v>
      </c>
    </row>
    <row r="309" spans="1:13" x14ac:dyDescent="0.25">
      <c r="A309" s="19" t="s">
        <v>27</v>
      </c>
      <c r="B309" s="20">
        <f>B310+B311</f>
        <v>8819991</v>
      </c>
      <c r="C309" s="20">
        <f t="shared" ref="C309:L309" si="172">C310+C311</f>
        <v>283513</v>
      </c>
      <c r="D309" s="20">
        <f t="shared" si="172"/>
        <v>283513</v>
      </c>
      <c r="E309" s="20">
        <f t="shared" si="172"/>
        <v>283513</v>
      </c>
      <c r="F309" s="20">
        <f t="shared" si="172"/>
        <v>0</v>
      </c>
      <c r="G309" s="20">
        <f t="shared" si="172"/>
        <v>860207</v>
      </c>
      <c r="H309" s="20">
        <f t="shared" si="172"/>
        <v>2285849</v>
      </c>
      <c r="I309" s="20">
        <f t="shared" si="172"/>
        <v>2285849</v>
      </c>
      <c r="J309" s="20">
        <f t="shared" si="172"/>
        <v>2285849</v>
      </c>
      <c r="K309" s="20">
        <f t="shared" si="172"/>
        <v>125849</v>
      </c>
      <c r="L309" s="21">
        <f t="shared" si="172"/>
        <v>125849</v>
      </c>
    </row>
    <row r="310" spans="1:13" ht="15.75" thickBot="1" x14ac:dyDescent="0.3">
      <c r="A310" s="51" t="s">
        <v>11</v>
      </c>
      <c r="B310" s="188">
        <f>SUM(C310:L310)</f>
        <v>1619991</v>
      </c>
      <c r="C310" s="72">
        <f>271033+12480</f>
        <v>283513</v>
      </c>
      <c r="D310" s="72">
        <f>271033+12480</f>
        <v>283513</v>
      </c>
      <c r="E310" s="72">
        <f>271033+12480</f>
        <v>283513</v>
      </c>
      <c r="F310" s="72"/>
      <c r="G310" s="72">
        <f>113369+12480+14358</f>
        <v>140207</v>
      </c>
      <c r="H310" s="72">
        <f>113369+12480</f>
        <v>125849</v>
      </c>
      <c r="I310" s="72">
        <f t="shared" ref="I310:L310" si="173">113369+12480</f>
        <v>125849</v>
      </c>
      <c r="J310" s="72">
        <f t="shared" si="173"/>
        <v>125849</v>
      </c>
      <c r="K310" s="72">
        <f t="shared" si="173"/>
        <v>125849</v>
      </c>
      <c r="L310" s="73">
        <f t="shared" si="173"/>
        <v>125849</v>
      </c>
    </row>
    <row r="311" spans="1:13" ht="39.75" thickBot="1" x14ac:dyDescent="0.3">
      <c r="A311" s="125" t="s">
        <v>12</v>
      </c>
      <c r="B311" s="189">
        <f>SUM(C311:L311)</f>
        <v>7200000</v>
      </c>
      <c r="C311" s="189">
        <v>0</v>
      </c>
      <c r="D311" s="189">
        <v>0</v>
      </c>
      <c r="E311" s="189">
        <v>0</v>
      </c>
      <c r="F311" s="189">
        <v>0</v>
      </c>
      <c r="G311" s="177">
        <f>612000/85*100</f>
        <v>720000</v>
      </c>
      <c r="H311" s="177">
        <f>1836000/85*100</f>
        <v>2160000</v>
      </c>
      <c r="I311" s="177">
        <f>1836000/85*100</f>
        <v>2160000</v>
      </c>
      <c r="J311" s="177">
        <f>1836000/85*100</f>
        <v>2160000</v>
      </c>
      <c r="K311" s="189">
        <v>0</v>
      </c>
      <c r="L311" s="190">
        <v>0</v>
      </c>
    </row>
    <row r="312" spans="1:13" ht="84" customHeight="1" x14ac:dyDescent="0.25">
      <c r="A312" s="43" t="s">
        <v>65</v>
      </c>
      <c r="B312" s="33">
        <f>B313</f>
        <v>752771.66999999993</v>
      </c>
      <c r="C312" s="33">
        <f t="shared" ref="C312:L312" si="174">C313</f>
        <v>452262.91</v>
      </c>
      <c r="D312" s="33">
        <f t="shared" si="174"/>
        <v>300508.76</v>
      </c>
      <c r="E312" s="33">
        <f t="shared" si="174"/>
        <v>0</v>
      </c>
      <c r="F312" s="33">
        <f t="shared" si="174"/>
        <v>0</v>
      </c>
      <c r="G312" s="33">
        <f t="shared" si="174"/>
        <v>0</v>
      </c>
      <c r="H312" s="33">
        <f t="shared" si="174"/>
        <v>0</v>
      </c>
      <c r="I312" s="33">
        <f t="shared" si="174"/>
        <v>0</v>
      </c>
      <c r="J312" s="33">
        <f t="shared" si="174"/>
        <v>0</v>
      </c>
      <c r="K312" s="33">
        <f t="shared" si="174"/>
        <v>0</v>
      </c>
      <c r="L312" s="34">
        <f t="shared" si="174"/>
        <v>0</v>
      </c>
      <c r="M312" s="180" t="s">
        <v>135</v>
      </c>
    </row>
    <row r="313" spans="1:13" x14ac:dyDescent="0.25">
      <c r="A313" s="19" t="s">
        <v>27</v>
      </c>
      <c r="B313" s="20">
        <f>B314+B315</f>
        <v>752771.66999999993</v>
      </c>
      <c r="C313" s="20">
        <f t="shared" ref="C313:L313" si="175">C314+C315</f>
        <v>452262.91</v>
      </c>
      <c r="D313" s="20">
        <f t="shared" si="175"/>
        <v>300508.76</v>
      </c>
      <c r="E313" s="20">
        <f t="shared" si="175"/>
        <v>0</v>
      </c>
      <c r="F313" s="20">
        <f t="shared" si="175"/>
        <v>0</v>
      </c>
      <c r="G313" s="20">
        <f t="shared" si="175"/>
        <v>0</v>
      </c>
      <c r="H313" s="20">
        <f t="shared" si="175"/>
        <v>0</v>
      </c>
      <c r="I313" s="20">
        <f t="shared" si="175"/>
        <v>0</v>
      </c>
      <c r="J313" s="20">
        <f t="shared" si="175"/>
        <v>0</v>
      </c>
      <c r="K313" s="20">
        <f t="shared" si="175"/>
        <v>0</v>
      </c>
      <c r="L313" s="21">
        <f t="shared" si="175"/>
        <v>0</v>
      </c>
    </row>
    <row r="314" spans="1:13" x14ac:dyDescent="0.25">
      <c r="A314" s="51" t="s">
        <v>11</v>
      </c>
      <c r="B314" s="72">
        <f>SUM(C314:L314)</f>
        <v>0</v>
      </c>
      <c r="C314" s="72">
        <v>0</v>
      </c>
      <c r="D314" s="72">
        <v>0</v>
      </c>
      <c r="E314" s="72">
        <v>0</v>
      </c>
      <c r="F314" s="72">
        <v>0</v>
      </c>
      <c r="G314" s="191">
        <v>0</v>
      </c>
      <c r="H314" s="191">
        <v>0</v>
      </c>
      <c r="I314" s="191">
        <v>0</v>
      </c>
      <c r="J314" s="191">
        <v>0</v>
      </c>
      <c r="K314" s="191">
        <v>0</v>
      </c>
      <c r="L314" s="192">
        <v>0</v>
      </c>
    </row>
    <row r="315" spans="1:13" ht="39.75" thickBot="1" x14ac:dyDescent="0.3">
      <c r="A315" s="96" t="s">
        <v>12</v>
      </c>
      <c r="B315" s="188">
        <f>SUM(C315:L315)</f>
        <v>752771.66999999993</v>
      </c>
      <c r="C315" s="188">
        <f>472262.91- 20000</f>
        <v>452262.91</v>
      </c>
      <c r="D315" s="188">
        <v>300508.76</v>
      </c>
      <c r="E315" s="188">
        <v>0</v>
      </c>
      <c r="F315" s="188">
        <v>0</v>
      </c>
      <c r="G315" s="188">
        <v>0</v>
      </c>
      <c r="H315" s="188">
        <v>0</v>
      </c>
      <c r="I315" s="188">
        <v>0</v>
      </c>
      <c r="J315" s="188">
        <v>0</v>
      </c>
      <c r="K315" s="188">
        <v>0</v>
      </c>
      <c r="L315" s="190">
        <v>0</v>
      </c>
    </row>
    <row r="316" spans="1:13" ht="71.25" customHeight="1" x14ac:dyDescent="0.25">
      <c r="A316" s="22" t="s">
        <v>130</v>
      </c>
      <c r="B316" s="23">
        <f>B317</f>
        <v>21000000</v>
      </c>
      <c r="C316" s="23">
        <f t="shared" ref="C316:L316" si="176">C317</f>
        <v>0</v>
      </c>
      <c r="D316" s="23">
        <f t="shared" si="176"/>
        <v>0</v>
      </c>
      <c r="E316" s="23">
        <f t="shared" si="176"/>
        <v>0</v>
      </c>
      <c r="F316" s="23">
        <f t="shared" si="176"/>
        <v>0</v>
      </c>
      <c r="G316" s="23">
        <f t="shared" si="176"/>
        <v>0</v>
      </c>
      <c r="H316" s="161">
        <f t="shared" si="176"/>
        <v>5250000</v>
      </c>
      <c r="I316" s="161">
        <f t="shared" si="176"/>
        <v>5250000</v>
      </c>
      <c r="J316" s="161">
        <f t="shared" si="176"/>
        <v>5250000</v>
      </c>
      <c r="K316" s="161">
        <f t="shared" si="176"/>
        <v>5250000</v>
      </c>
      <c r="L316" s="119">
        <f t="shared" si="176"/>
        <v>0</v>
      </c>
    </row>
    <row r="317" spans="1:13" x14ac:dyDescent="0.25">
      <c r="A317" s="19" t="s">
        <v>27</v>
      </c>
      <c r="B317" s="20">
        <f>B318+B319</f>
        <v>21000000</v>
      </c>
      <c r="C317" s="20">
        <f t="shared" ref="C317:L317" si="177">C318+C319</f>
        <v>0</v>
      </c>
      <c r="D317" s="20">
        <f t="shared" si="177"/>
        <v>0</v>
      </c>
      <c r="E317" s="20">
        <f t="shared" si="177"/>
        <v>0</v>
      </c>
      <c r="F317" s="20">
        <f t="shared" si="177"/>
        <v>0</v>
      </c>
      <c r="G317" s="20">
        <f t="shared" si="177"/>
        <v>0</v>
      </c>
      <c r="H317" s="20">
        <f t="shared" si="177"/>
        <v>5250000</v>
      </c>
      <c r="I317" s="20">
        <f t="shared" si="177"/>
        <v>5250000</v>
      </c>
      <c r="J317" s="20">
        <f t="shared" si="177"/>
        <v>5250000</v>
      </c>
      <c r="K317" s="20">
        <f t="shared" si="177"/>
        <v>5250000</v>
      </c>
      <c r="L317" s="21">
        <f t="shared" si="177"/>
        <v>0</v>
      </c>
    </row>
    <row r="318" spans="1:13" x14ac:dyDescent="0.25">
      <c r="A318" s="51" t="s">
        <v>11</v>
      </c>
      <c r="B318" s="72">
        <f>SUM(C318:L318)</f>
        <v>0</v>
      </c>
      <c r="C318" s="72">
        <v>0</v>
      </c>
      <c r="D318" s="72">
        <v>0</v>
      </c>
      <c r="E318" s="72">
        <v>0</v>
      </c>
      <c r="F318" s="72">
        <v>0</v>
      </c>
      <c r="G318" s="72">
        <v>0</v>
      </c>
      <c r="H318" s="78">
        <v>0</v>
      </c>
      <c r="I318" s="78">
        <v>0</v>
      </c>
      <c r="J318" s="78">
        <v>0</v>
      </c>
      <c r="K318" s="78">
        <v>0</v>
      </c>
      <c r="L318" s="160">
        <v>0</v>
      </c>
    </row>
    <row r="319" spans="1:13" ht="39.75" thickBot="1" x14ac:dyDescent="0.3">
      <c r="A319" s="125" t="s">
        <v>12</v>
      </c>
      <c r="B319" s="189">
        <f>SUM(C319:L319)</f>
        <v>21000000</v>
      </c>
      <c r="C319" s="189">
        <v>0</v>
      </c>
      <c r="D319" s="189">
        <v>0</v>
      </c>
      <c r="E319" s="189">
        <v>0</v>
      </c>
      <c r="F319" s="189">
        <v>0</v>
      </c>
      <c r="G319" s="189">
        <v>0</v>
      </c>
      <c r="H319" s="176">
        <f>4462500/85*100</f>
        <v>5250000</v>
      </c>
      <c r="I319" s="176">
        <f>4462500/85*100</f>
        <v>5250000</v>
      </c>
      <c r="J319" s="176">
        <f>4462500/85*100</f>
        <v>5250000</v>
      </c>
      <c r="K319" s="176">
        <f>4462500/85*100</f>
        <v>5250000</v>
      </c>
      <c r="L319" s="190">
        <v>0</v>
      </c>
    </row>
    <row r="320" spans="1:13" ht="38.25" x14ac:dyDescent="0.25">
      <c r="A320" s="43" t="s">
        <v>66</v>
      </c>
      <c r="B320" s="33">
        <f>B321</f>
        <v>44384769.030000001</v>
      </c>
      <c r="C320" s="33">
        <f t="shared" ref="C320:L320" si="178">C321</f>
        <v>8304515.0899999999</v>
      </c>
      <c r="D320" s="33">
        <f t="shared" si="178"/>
        <v>7229778.9399999995</v>
      </c>
      <c r="E320" s="33">
        <f t="shared" si="178"/>
        <v>6551584</v>
      </c>
      <c r="F320" s="33">
        <f t="shared" si="178"/>
        <v>0</v>
      </c>
      <c r="G320" s="33">
        <f t="shared" si="178"/>
        <v>4005095</v>
      </c>
      <c r="H320" s="33">
        <f t="shared" si="178"/>
        <v>3730244</v>
      </c>
      <c r="I320" s="33">
        <f t="shared" si="178"/>
        <v>3640888</v>
      </c>
      <c r="J320" s="33">
        <f t="shared" si="178"/>
        <v>3640888</v>
      </c>
      <c r="K320" s="33">
        <f t="shared" si="178"/>
        <v>3640888</v>
      </c>
      <c r="L320" s="34">
        <f t="shared" si="178"/>
        <v>3640888</v>
      </c>
      <c r="M320" s="180" t="s">
        <v>136</v>
      </c>
    </row>
    <row r="321" spans="1:13" x14ac:dyDescent="0.25">
      <c r="A321" s="19" t="s">
        <v>27</v>
      </c>
      <c r="B321" s="20">
        <f>B322+B323</f>
        <v>44384769.030000001</v>
      </c>
      <c r="C321" s="20">
        <f t="shared" ref="C321:L321" si="179">C322+C323</f>
        <v>8304515.0899999999</v>
      </c>
      <c r="D321" s="20">
        <f t="shared" si="179"/>
        <v>7229778.9399999995</v>
      </c>
      <c r="E321" s="20">
        <f t="shared" si="179"/>
        <v>6551584</v>
      </c>
      <c r="F321" s="20">
        <f t="shared" si="179"/>
        <v>0</v>
      </c>
      <c r="G321" s="20">
        <f t="shared" si="179"/>
        <v>4005095</v>
      </c>
      <c r="H321" s="20">
        <f t="shared" si="179"/>
        <v>3730244</v>
      </c>
      <c r="I321" s="20">
        <f t="shared" si="179"/>
        <v>3640888</v>
      </c>
      <c r="J321" s="20">
        <f t="shared" si="179"/>
        <v>3640888</v>
      </c>
      <c r="K321" s="20">
        <f t="shared" si="179"/>
        <v>3640888</v>
      </c>
      <c r="L321" s="21">
        <f t="shared" si="179"/>
        <v>3640888</v>
      </c>
    </row>
    <row r="322" spans="1:13" x14ac:dyDescent="0.25">
      <c r="A322" s="51" t="s">
        <v>11</v>
      </c>
      <c r="B322" s="72">
        <f>SUM(C322:L322)</f>
        <v>41953643</v>
      </c>
      <c r="C322" s="72">
        <v>6551584</v>
      </c>
      <c r="D322" s="72">
        <v>6551584</v>
      </c>
      <c r="E322" s="72">
        <v>6551584</v>
      </c>
      <c r="F322" s="72">
        <v>0</v>
      </c>
      <c r="G322" s="72">
        <v>4005095</v>
      </c>
      <c r="H322" s="72">
        <v>3730244</v>
      </c>
      <c r="I322" s="72">
        <v>3640888</v>
      </c>
      <c r="J322" s="72">
        <v>3640888</v>
      </c>
      <c r="K322" s="72">
        <v>3640888</v>
      </c>
      <c r="L322" s="73">
        <v>3640888</v>
      </c>
    </row>
    <row r="323" spans="1:13" ht="39.75" thickBot="1" x14ac:dyDescent="0.3">
      <c r="A323" s="96" t="s">
        <v>12</v>
      </c>
      <c r="B323" s="188">
        <f>SUM(C323:L323)</f>
        <v>2431126.0300000003</v>
      </c>
      <c r="C323" s="188">
        <v>1752931.09</v>
      </c>
      <c r="D323" s="188">
        <v>678194.94</v>
      </c>
      <c r="E323" s="188">
        <v>0</v>
      </c>
      <c r="F323" s="188">
        <v>0</v>
      </c>
      <c r="G323" s="188">
        <v>0</v>
      </c>
      <c r="H323" s="188">
        <v>0</v>
      </c>
      <c r="I323" s="188">
        <v>0</v>
      </c>
      <c r="J323" s="188">
        <v>0</v>
      </c>
      <c r="K323" s="188">
        <v>0</v>
      </c>
      <c r="L323" s="165">
        <v>0</v>
      </c>
    </row>
    <row r="324" spans="1:13" ht="38.25" x14ac:dyDescent="0.25">
      <c r="A324" s="43" t="s">
        <v>67</v>
      </c>
      <c r="B324" s="33">
        <f>B325</f>
        <v>5220000</v>
      </c>
      <c r="C324" s="33">
        <f t="shared" ref="C324:L324" si="180">C325</f>
        <v>20000</v>
      </c>
      <c r="D324" s="33">
        <f t="shared" si="180"/>
        <v>0</v>
      </c>
      <c r="E324" s="33">
        <f t="shared" si="180"/>
        <v>0</v>
      </c>
      <c r="F324" s="33">
        <f t="shared" si="180"/>
        <v>0</v>
      </c>
      <c r="G324" s="118">
        <f t="shared" si="180"/>
        <v>1400000</v>
      </c>
      <c r="H324" s="118">
        <f t="shared" si="180"/>
        <v>1800000</v>
      </c>
      <c r="I324" s="118">
        <f t="shared" si="180"/>
        <v>800000</v>
      </c>
      <c r="J324" s="118">
        <f t="shared" si="180"/>
        <v>800000</v>
      </c>
      <c r="K324" s="118">
        <f t="shared" si="180"/>
        <v>200000</v>
      </c>
      <c r="L324" s="119">
        <f t="shared" si="180"/>
        <v>200000</v>
      </c>
    </row>
    <row r="325" spans="1:13" x14ac:dyDescent="0.25">
      <c r="A325" s="19" t="s">
        <v>27</v>
      </c>
      <c r="B325" s="20">
        <f>B326+B327</f>
        <v>5220000</v>
      </c>
      <c r="C325" s="20">
        <f t="shared" ref="C325:L325" si="181">C326+C327</f>
        <v>20000</v>
      </c>
      <c r="D325" s="20">
        <f t="shared" si="181"/>
        <v>0</v>
      </c>
      <c r="E325" s="20">
        <f t="shared" si="181"/>
        <v>0</v>
      </c>
      <c r="F325" s="20">
        <f t="shared" si="181"/>
        <v>0</v>
      </c>
      <c r="G325" s="20">
        <f t="shared" si="181"/>
        <v>1400000</v>
      </c>
      <c r="H325" s="20">
        <f t="shared" si="181"/>
        <v>1800000</v>
      </c>
      <c r="I325" s="20">
        <f t="shared" si="181"/>
        <v>800000</v>
      </c>
      <c r="J325" s="20">
        <f t="shared" si="181"/>
        <v>800000</v>
      </c>
      <c r="K325" s="20">
        <f t="shared" si="181"/>
        <v>200000</v>
      </c>
      <c r="L325" s="21">
        <f t="shared" si="181"/>
        <v>200000</v>
      </c>
    </row>
    <row r="326" spans="1:13" x14ac:dyDescent="0.25">
      <c r="A326" s="51" t="s">
        <v>11</v>
      </c>
      <c r="B326" s="72">
        <f>SUM(C326:L326)</f>
        <v>1200000</v>
      </c>
      <c r="C326" s="72">
        <v>0</v>
      </c>
      <c r="D326" s="72">
        <v>0</v>
      </c>
      <c r="E326" s="72">
        <v>0</v>
      </c>
      <c r="F326" s="72">
        <v>0</v>
      </c>
      <c r="G326" s="78">
        <v>200000</v>
      </c>
      <c r="H326" s="78">
        <v>200000</v>
      </c>
      <c r="I326" s="78">
        <v>200000</v>
      </c>
      <c r="J326" s="78">
        <v>200000</v>
      </c>
      <c r="K326" s="78">
        <v>200000</v>
      </c>
      <c r="L326" s="160">
        <v>200000</v>
      </c>
    </row>
    <row r="327" spans="1:13" ht="39.75" thickBot="1" x14ac:dyDescent="0.3">
      <c r="A327" s="96" t="s">
        <v>12</v>
      </c>
      <c r="B327" s="188">
        <f>SUM(C327:L327)</f>
        <v>4020000</v>
      </c>
      <c r="C327" s="188">
        <v>20000</v>
      </c>
      <c r="D327" s="188">
        <v>0</v>
      </c>
      <c r="E327" s="188">
        <v>0</v>
      </c>
      <c r="F327" s="188">
        <v>0</v>
      </c>
      <c r="G327" s="169">
        <f>1020000/85*100</f>
        <v>1200000</v>
      </c>
      <c r="H327" s="169">
        <f>1360000/85*100</f>
        <v>1600000</v>
      </c>
      <c r="I327" s="169">
        <f>510000/85*100</f>
        <v>600000</v>
      </c>
      <c r="J327" s="169">
        <f>510000/85*100</f>
        <v>600000</v>
      </c>
      <c r="K327" s="188">
        <v>0</v>
      </c>
      <c r="L327" s="190">
        <v>0</v>
      </c>
    </row>
    <row r="328" spans="1:13" ht="146.25" customHeight="1" x14ac:dyDescent="0.25">
      <c r="A328" s="126" t="s">
        <v>131</v>
      </c>
      <c r="B328" s="84">
        <f>B329</f>
        <v>29023233</v>
      </c>
      <c r="C328" s="84">
        <f t="shared" ref="C328:L328" si="182">C329</f>
        <v>5707833</v>
      </c>
      <c r="D328" s="84">
        <f t="shared" si="182"/>
        <v>5447166</v>
      </c>
      <c r="E328" s="84">
        <f t="shared" si="182"/>
        <v>5447166</v>
      </c>
      <c r="F328" s="84">
        <f t="shared" si="182"/>
        <v>0</v>
      </c>
      <c r="G328" s="84">
        <f t="shared" si="182"/>
        <v>1395059</v>
      </c>
      <c r="H328" s="84">
        <f t="shared" si="182"/>
        <v>5893260</v>
      </c>
      <c r="I328" s="84">
        <f t="shared" si="182"/>
        <v>1886400</v>
      </c>
      <c r="J328" s="84">
        <f t="shared" si="182"/>
        <v>1105993</v>
      </c>
      <c r="K328" s="84">
        <f t="shared" si="182"/>
        <v>1070178</v>
      </c>
      <c r="L328" s="34">
        <f t="shared" si="182"/>
        <v>1070178</v>
      </c>
    </row>
    <row r="329" spans="1:13" x14ac:dyDescent="0.25">
      <c r="A329" s="19" t="s">
        <v>27</v>
      </c>
      <c r="B329" s="20">
        <f>B330+B331</f>
        <v>29023233</v>
      </c>
      <c r="C329" s="20">
        <f t="shared" ref="C329:L329" si="183">C330+C331</f>
        <v>5707833</v>
      </c>
      <c r="D329" s="20">
        <f t="shared" si="183"/>
        <v>5447166</v>
      </c>
      <c r="E329" s="20">
        <f t="shared" si="183"/>
        <v>5447166</v>
      </c>
      <c r="F329" s="20">
        <f t="shared" si="183"/>
        <v>0</v>
      </c>
      <c r="G329" s="20">
        <f t="shared" si="183"/>
        <v>1395059</v>
      </c>
      <c r="H329" s="20">
        <f t="shared" si="183"/>
        <v>5893260</v>
      </c>
      <c r="I329" s="20">
        <f t="shared" si="183"/>
        <v>1886400</v>
      </c>
      <c r="J329" s="20">
        <f t="shared" si="183"/>
        <v>1105993</v>
      </c>
      <c r="K329" s="20">
        <f t="shared" si="183"/>
        <v>1070178</v>
      </c>
      <c r="L329" s="21">
        <f t="shared" si="183"/>
        <v>1070178</v>
      </c>
    </row>
    <row r="330" spans="1:13" ht="17.25" customHeight="1" x14ac:dyDescent="0.25">
      <c r="A330" s="51" t="s">
        <v>11</v>
      </c>
      <c r="B330" s="53">
        <f>SUM(C330:L330)</f>
        <v>22762566</v>
      </c>
      <c r="C330" s="53">
        <v>5447166</v>
      </c>
      <c r="D330" s="53">
        <v>5447166</v>
      </c>
      <c r="E330" s="53">
        <v>5447166</v>
      </c>
      <c r="F330" s="53"/>
      <c r="G330" s="53">
        <v>1070178</v>
      </c>
      <c r="H330" s="53">
        <f>G330</f>
        <v>1070178</v>
      </c>
      <c r="I330" s="53">
        <f t="shared" ref="I330:L330" si="184">H330</f>
        <v>1070178</v>
      </c>
      <c r="J330" s="53">
        <f t="shared" si="184"/>
        <v>1070178</v>
      </c>
      <c r="K330" s="53">
        <f t="shared" si="184"/>
        <v>1070178</v>
      </c>
      <c r="L330" s="52">
        <f t="shared" si="184"/>
        <v>1070178</v>
      </c>
    </row>
    <row r="331" spans="1:13" ht="39.75" thickBot="1" x14ac:dyDescent="0.3">
      <c r="A331" s="96" t="s">
        <v>12</v>
      </c>
      <c r="B331" s="97">
        <f>SUM(C331:L331)</f>
        <v>6260667</v>
      </c>
      <c r="C331" s="97">
        <v>260667</v>
      </c>
      <c r="D331" s="97">
        <v>0</v>
      </c>
      <c r="E331" s="97">
        <v>0</v>
      </c>
      <c r="F331" s="97">
        <v>0</v>
      </c>
      <c r="G331" s="129">
        <v>324881</v>
      </c>
      <c r="H331" s="129">
        <v>4823082</v>
      </c>
      <c r="I331" s="129">
        <v>816222</v>
      </c>
      <c r="J331" s="97">
        <v>35815</v>
      </c>
      <c r="K331" s="97">
        <v>0</v>
      </c>
      <c r="L331" s="98">
        <v>0</v>
      </c>
      <c r="M331" s="127"/>
    </row>
    <row r="332" spans="1:13" ht="84.75" customHeight="1" x14ac:dyDescent="0.25">
      <c r="A332" s="43" t="s">
        <v>132</v>
      </c>
      <c r="B332" s="33">
        <f>B333</f>
        <v>0</v>
      </c>
      <c r="C332" s="33">
        <f t="shared" ref="C332:L332" si="185">C333</f>
        <v>0</v>
      </c>
      <c r="D332" s="33">
        <f t="shared" si="185"/>
        <v>0</v>
      </c>
      <c r="E332" s="33">
        <f t="shared" si="185"/>
        <v>0</v>
      </c>
      <c r="F332" s="33">
        <f t="shared" si="185"/>
        <v>0</v>
      </c>
      <c r="G332" s="33">
        <f t="shared" si="185"/>
        <v>0</v>
      </c>
      <c r="H332" s="33">
        <f t="shared" si="185"/>
        <v>0</v>
      </c>
      <c r="I332" s="33">
        <f t="shared" si="185"/>
        <v>0</v>
      </c>
      <c r="J332" s="33">
        <f t="shared" si="185"/>
        <v>0</v>
      </c>
      <c r="K332" s="33">
        <f t="shared" si="185"/>
        <v>0</v>
      </c>
      <c r="L332" s="34">
        <f t="shared" si="185"/>
        <v>0</v>
      </c>
      <c r="M332" s="180" t="s">
        <v>135</v>
      </c>
    </row>
    <row r="333" spans="1:13" x14ac:dyDescent="0.25">
      <c r="A333" s="19" t="s">
        <v>27</v>
      </c>
      <c r="B333" s="20">
        <f>B334+B335</f>
        <v>0</v>
      </c>
      <c r="C333" s="20">
        <f t="shared" ref="C333:L333" si="186">C334+C335</f>
        <v>0</v>
      </c>
      <c r="D333" s="20">
        <f t="shared" si="186"/>
        <v>0</v>
      </c>
      <c r="E333" s="20">
        <f t="shared" si="186"/>
        <v>0</v>
      </c>
      <c r="F333" s="20">
        <f t="shared" si="186"/>
        <v>0</v>
      </c>
      <c r="G333" s="20">
        <f t="shared" si="186"/>
        <v>0</v>
      </c>
      <c r="H333" s="20">
        <f t="shared" si="186"/>
        <v>0</v>
      </c>
      <c r="I333" s="20">
        <f t="shared" si="186"/>
        <v>0</v>
      </c>
      <c r="J333" s="20">
        <f t="shared" si="186"/>
        <v>0</v>
      </c>
      <c r="K333" s="20">
        <f t="shared" si="186"/>
        <v>0</v>
      </c>
      <c r="L333" s="21">
        <f t="shared" si="186"/>
        <v>0</v>
      </c>
      <c r="M333" s="127"/>
    </row>
    <row r="334" spans="1:13" x14ac:dyDescent="0.25">
      <c r="A334" s="51" t="s">
        <v>11</v>
      </c>
      <c r="B334" s="72">
        <f>SUM(C334:L334)</f>
        <v>0</v>
      </c>
      <c r="C334" s="72">
        <v>0</v>
      </c>
      <c r="D334" s="72">
        <v>0</v>
      </c>
      <c r="E334" s="72">
        <v>0</v>
      </c>
      <c r="F334" s="72">
        <v>0</v>
      </c>
      <c r="G334" s="72">
        <v>0</v>
      </c>
      <c r="H334" s="72">
        <v>0</v>
      </c>
      <c r="I334" s="72">
        <v>0</v>
      </c>
      <c r="J334" s="72">
        <v>0</v>
      </c>
      <c r="K334" s="72">
        <v>0</v>
      </c>
      <c r="L334" s="73">
        <v>0</v>
      </c>
      <c r="M334" s="127"/>
    </row>
    <row r="335" spans="1:13" ht="39.75" thickBot="1" x14ac:dyDescent="0.3">
      <c r="A335" s="96" t="s">
        <v>12</v>
      </c>
      <c r="B335" s="188">
        <f>SUM(C335:L335)</f>
        <v>0</v>
      </c>
      <c r="C335" s="188">
        <v>0</v>
      </c>
      <c r="D335" s="188">
        <v>0</v>
      </c>
      <c r="E335" s="188">
        <v>0</v>
      </c>
      <c r="F335" s="188">
        <v>0</v>
      </c>
      <c r="G335" s="169">
        <v>0</v>
      </c>
      <c r="H335" s="169">
        <v>0</v>
      </c>
      <c r="I335" s="169">
        <v>0</v>
      </c>
      <c r="J335" s="169">
        <v>0</v>
      </c>
      <c r="K335" s="188">
        <v>0</v>
      </c>
      <c r="L335" s="165">
        <v>0</v>
      </c>
      <c r="M335" s="127"/>
    </row>
    <row r="336" spans="1:13" ht="38.25" x14ac:dyDescent="0.25">
      <c r="A336" s="43" t="s">
        <v>133</v>
      </c>
      <c r="B336" s="33">
        <f>B337</f>
        <v>0</v>
      </c>
      <c r="C336" s="33">
        <f t="shared" ref="C336:L336" si="187">C337</f>
        <v>0</v>
      </c>
      <c r="D336" s="33">
        <f t="shared" si="187"/>
        <v>0</v>
      </c>
      <c r="E336" s="33">
        <f t="shared" si="187"/>
        <v>0</v>
      </c>
      <c r="F336" s="33">
        <f t="shared" si="187"/>
        <v>0</v>
      </c>
      <c r="G336" s="33">
        <f t="shared" si="187"/>
        <v>0</v>
      </c>
      <c r="H336" s="33">
        <f t="shared" si="187"/>
        <v>0</v>
      </c>
      <c r="I336" s="33">
        <f t="shared" si="187"/>
        <v>0</v>
      </c>
      <c r="J336" s="33">
        <f t="shared" si="187"/>
        <v>0</v>
      </c>
      <c r="K336" s="33">
        <f t="shared" si="187"/>
        <v>0</v>
      </c>
      <c r="L336" s="34">
        <f t="shared" si="187"/>
        <v>0</v>
      </c>
      <c r="M336" s="127"/>
    </row>
    <row r="337" spans="1:13" x14ac:dyDescent="0.25">
      <c r="A337" s="19" t="s">
        <v>27</v>
      </c>
      <c r="B337" s="20">
        <f>B338+B339</f>
        <v>0</v>
      </c>
      <c r="C337" s="20">
        <f t="shared" ref="C337:L337" si="188">C338+C339</f>
        <v>0</v>
      </c>
      <c r="D337" s="20">
        <f t="shared" si="188"/>
        <v>0</v>
      </c>
      <c r="E337" s="20">
        <f t="shared" si="188"/>
        <v>0</v>
      </c>
      <c r="F337" s="20">
        <f t="shared" si="188"/>
        <v>0</v>
      </c>
      <c r="G337" s="20">
        <f t="shared" si="188"/>
        <v>0</v>
      </c>
      <c r="H337" s="20">
        <f t="shared" si="188"/>
        <v>0</v>
      </c>
      <c r="I337" s="20">
        <f t="shared" si="188"/>
        <v>0</v>
      </c>
      <c r="J337" s="20">
        <f t="shared" si="188"/>
        <v>0</v>
      </c>
      <c r="K337" s="20">
        <f t="shared" si="188"/>
        <v>0</v>
      </c>
      <c r="L337" s="21">
        <f t="shared" si="188"/>
        <v>0</v>
      </c>
      <c r="M337" s="127"/>
    </row>
    <row r="338" spans="1:13" x14ac:dyDescent="0.25">
      <c r="A338" s="51" t="s">
        <v>11</v>
      </c>
      <c r="B338" s="72">
        <f>SUM(C338:L338)</f>
        <v>0</v>
      </c>
      <c r="C338" s="72">
        <v>0</v>
      </c>
      <c r="D338" s="72">
        <v>0</v>
      </c>
      <c r="E338" s="72">
        <v>0</v>
      </c>
      <c r="F338" s="72">
        <v>0</v>
      </c>
      <c r="G338" s="72">
        <v>0</v>
      </c>
      <c r="H338" s="72">
        <v>0</v>
      </c>
      <c r="I338" s="72">
        <v>0</v>
      </c>
      <c r="J338" s="72">
        <v>0</v>
      </c>
      <c r="K338" s="72">
        <v>0</v>
      </c>
      <c r="L338" s="73">
        <v>0</v>
      </c>
    </row>
    <row r="339" spans="1:13" ht="39.75" thickBot="1" x14ac:dyDescent="0.3">
      <c r="A339" s="96" t="s">
        <v>12</v>
      </c>
      <c r="B339" s="188">
        <f>SUM(C339:L339)</f>
        <v>0</v>
      </c>
      <c r="C339" s="188">
        <v>0</v>
      </c>
      <c r="D339" s="188">
        <v>0</v>
      </c>
      <c r="E339" s="188">
        <v>0</v>
      </c>
      <c r="F339" s="188">
        <v>0</v>
      </c>
      <c r="G339" s="169">
        <v>0</v>
      </c>
      <c r="H339" s="169">
        <v>0</v>
      </c>
      <c r="I339" s="169">
        <v>0</v>
      </c>
      <c r="J339" s="169">
        <v>0</v>
      </c>
      <c r="K339" s="188">
        <v>0</v>
      </c>
      <c r="L339" s="190">
        <v>0</v>
      </c>
    </row>
    <row r="340" spans="1:13" x14ac:dyDescent="0.25">
      <c r="A340" s="219" t="s">
        <v>68</v>
      </c>
      <c r="B340" s="220"/>
      <c r="C340" s="220"/>
      <c r="D340" s="220"/>
      <c r="E340" s="220"/>
      <c r="F340" s="220"/>
      <c r="G340" s="220"/>
      <c r="H340" s="220"/>
      <c r="I340" s="220"/>
      <c r="J340" s="220"/>
      <c r="K340" s="220"/>
      <c r="L340" s="221"/>
    </row>
    <row r="341" spans="1:13" x14ac:dyDescent="0.25">
      <c r="A341" s="38" t="s">
        <v>5</v>
      </c>
      <c r="B341" s="60">
        <f>B345</f>
        <v>1258847</v>
      </c>
      <c r="C341" s="60">
        <f t="shared" ref="C341:L341" si="189">C345</f>
        <v>93766</v>
      </c>
      <c r="D341" s="60">
        <f t="shared" si="189"/>
        <v>93766</v>
      </c>
      <c r="E341" s="60">
        <f t="shared" si="189"/>
        <v>8500</v>
      </c>
      <c r="F341" s="60">
        <f t="shared" si="189"/>
        <v>0</v>
      </c>
      <c r="G341" s="60">
        <f t="shared" si="189"/>
        <v>68815</v>
      </c>
      <c r="H341" s="60">
        <f t="shared" si="189"/>
        <v>126000</v>
      </c>
      <c r="I341" s="60">
        <f t="shared" si="189"/>
        <v>184000</v>
      </c>
      <c r="J341" s="60">
        <f t="shared" si="189"/>
        <v>250000</v>
      </c>
      <c r="K341" s="60">
        <f t="shared" si="189"/>
        <v>184000</v>
      </c>
      <c r="L341" s="61">
        <f t="shared" si="189"/>
        <v>250000</v>
      </c>
    </row>
    <row r="342" spans="1:13" x14ac:dyDescent="0.25">
      <c r="A342" s="39" t="s">
        <v>6</v>
      </c>
      <c r="B342" s="77" t="s">
        <v>101</v>
      </c>
      <c r="C342" s="77">
        <v>0</v>
      </c>
      <c r="D342" s="77">
        <v>0</v>
      </c>
      <c r="E342" s="77">
        <v>0</v>
      </c>
      <c r="F342" s="77">
        <v>0</v>
      </c>
      <c r="G342" s="77" t="s">
        <v>101</v>
      </c>
      <c r="H342" s="77" t="s">
        <v>101</v>
      </c>
      <c r="I342" s="77" t="s">
        <v>101</v>
      </c>
      <c r="J342" s="77" t="s">
        <v>101</v>
      </c>
      <c r="K342" s="77" t="s">
        <v>101</v>
      </c>
      <c r="L342" s="79" t="s">
        <v>101</v>
      </c>
    </row>
    <row r="343" spans="1:13" x14ac:dyDescent="0.25">
      <c r="A343" s="39" t="s">
        <v>7</v>
      </c>
      <c r="B343" s="77">
        <f>SUM(C343:L343)</f>
        <v>0</v>
      </c>
      <c r="C343" s="77">
        <v>0</v>
      </c>
      <c r="D343" s="77">
        <v>0</v>
      </c>
      <c r="E343" s="77">
        <v>0</v>
      </c>
      <c r="F343" s="77">
        <v>0</v>
      </c>
      <c r="G343" s="77">
        <v>0</v>
      </c>
      <c r="H343" s="77">
        <v>0</v>
      </c>
      <c r="I343" s="77">
        <v>0</v>
      </c>
      <c r="J343" s="77">
        <v>0</v>
      </c>
      <c r="K343" s="77">
        <v>0</v>
      </c>
      <c r="L343" s="79">
        <v>0</v>
      </c>
    </row>
    <row r="344" spans="1:13" ht="26.25" x14ac:dyDescent="0.25">
      <c r="A344" s="39" t="s">
        <v>8</v>
      </c>
      <c r="B344" s="77">
        <v>0</v>
      </c>
      <c r="C344" s="77">
        <v>0</v>
      </c>
      <c r="D344" s="77">
        <v>0</v>
      </c>
      <c r="E344" s="77">
        <v>0</v>
      </c>
      <c r="F344" s="77">
        <v>0</v>
      </c>
      <c r="G344" s="77">
        <v>0</v>
      </c>
      <c r="H344" s="77">
        <v>0</v>
      </c>
      <c r="I344" s="77">
        <v>0</v>
      </c>
      <c r="J344" s="77">
        <v>0</v>
      </c>
      <c r="K344" s="77">
        <v>0</v>
      </c>
      <c r="L344" s="79">
        <v>0</v>
      </c>
    </row>
    <row r="345" spans="1:13" x14ac:dyDescent="0.25">
      <c r="A345" s="38" t="s">
        <v>9</v>
      </c>
      <c r="B345" s="60">
        <f>B347+B348</f>
        <v>1258847</v>
      </c>
      <c r="C345" s="60">
        <f t="shared" ref="C345:L345" si="190">C347+C348</f>
        <v>93766</v>
      </c>
      <c r="D345" s="60">
        <f t="shared" si="190"/>
        <v>93766</v>
      </c>
      <c r="E345" s="60">
        <f t="shared" si="190"/>
        <v>8500</v>
      </c>
      <c r="F345" s="60">
        <f t="shared" si="190"/>
        <v>0</v>
      </c>
      <c r="G345" s="60">
        <f t="shared" si="190"/>
        <v>68815</v>
      </c>
      <c r="H345" s="60">
        <f t="shared" si="190"/>
        <v>126000</v>
      </c>
      <c r="I345" s="60">
        <f t="shared" si="190"/>
        <v>184000</v>
      </c>
      <c r="J345" s="60">
        <f t="shared" si="190"/>
        <v>250000</v>
      </c>
      <c r="K345" s="60">
        <f t="shared" si="190"/>
        <v>184000</v>
      </c>
      <c r="L345" s="61">
        <f t="shared" si="190"/>
        <v>250000</v>
      </c>
    </row>
    <row r="346" spans="1:13" x14ac:dyDescent="0.25">
      <c r="A346" s="39" t="s">
        <v>10</v>
      </c>
      <c r="B346" s="77"/>
      <c r="C346" s="77"/>
      <c r="D346" s="77"/>
      <c r="E346" s="77"/>
      <c r="F346" s="77"/>
      <c r="G346" s="77"/>
      <c r="H346" s="77"/>
      <c r="I346" s="77"/>
      <c r="J346" s="77"/>
      <c r="K346" s="77"/>
      <c r="L346" s="79"/>
    </row>
    <row r="347" spans="1:13" x14ac:dyDescent="0.25">
      <c r="A347" s="39" t="s">
        <v>11</v>
      </c>
      <c r="B347" s="40">
        <f>SUM(C347:L347)</f>
        <v>419500</v>
      </c>
      <c r="C347" s="40">
        <f>C352</f>
        <v>8500</v>
      </c>
      <c r="D347" s="40">
        <f t="shared" ref="D347:L347" si="191">D352</f>
        <v>8500</v>
      </c>
      <c r="E347" s="40">
        <f t="shared" si="191"/>
        <v>8500</v>
      </c>
      <c r="F347" s="40">
        <f t="shared" si="191"/>
        <v>0</v>
      </c>
      <c r="G347" s="40">
        <f t="shared" si="191"/>
        <v>60000</v>
      </c>
      <c r="H347" s="40">
        <f t="shared" si="191"/>
        <v>60000</v>
      </c>
      <c r="I347" s="40">
        <f t="shared" si="191"/>
        <v>68500</v>
      </c>
      <c r="J347" s="40">
        <f t="shared" si="191"/>
        <v>68500</v>
      </c>
      <c r="K347" s="40">
        <f t="shared" si="191"/>
        <v>68500</v>
      </c>
      <c r="L347" s="41">
        <f t="shared" si="191"/>
        <v>68500</v>
      </c>
    </row>
    <row r="348" spans="1:13" ht="39.75" thickBot="1" x14ac:dyDescent="0.3">
      <c r="A348" s="80" t="s">
        <v>12</v>
      </c>
      <c r="B348" s="81">
        <f>SUM(C348:L348)</f>
        <v>839347</v>
      </c>
      <c r="C348" s="81">
        <f>C353</f>
        <v>85266</v>
      </c>
      <c r="D348" s="81">
        <f t="shared" ref="D348:L348" si="192">D353</f>
        <v>85266</v>
      </c>
      <c r="E348" s="81">
        <f t="shared" si="192"/>
        <v>0</v>
      </c>
      <c r="F348" s="81">
        <f t="shared" si="192"/>
        <v>0</v>
      </c>
      <c r="G348" s="81">
        <f t="shared" si="192"/>
        <v>8815</v>
      </c>
      <c r="H348" s="81">
        <f t="shared" si="192"/>
        <v>66000</v>
      </c>
      <c r="I348" s="81">
        <f t="shared" si="192"/>
        <v>115500</v>
      </c>
      <c r="J348" s="81">
        <f t="shared" si="192"/>
        <v>181500</v>
      </c>
      <c r="K348" s="81">
        <f t="shared" si="192"/>
        <v>115500</v>
      </c>
      <c r="L348" s="82">
        <f t="shared" si="192"/>
        <v>181500</v>
      </c>
      <c r="M348" s="137"/>
    </row>
    <row r="349" spans="1:13" x14ac:dyDescent="0.25">
      <c r="A349" s="5" t="s">
        <v>13</v>
      </c>
      <c r="B349" s="12"/>
      <c r="C349" s="12"/>
      <c r="D349" s="12"/>
      <c r="E349" s="12"/>
      <c r="F349" s="12"/>
      <c r="G349" s="12"/>
      <c r="H349" s="12"/>
      <c r="I349" s="12"/>
      <c r="J349" s="12"/>
      <c r="K349" s="12"/>
      <c r="L349" s="13"/>
    </row>
    <row r="350" spans="1:13" x14ac:dyDescent="0.25">
      <c r="A350" s="6" t="s">
        <v>14</v>
      </c>
      <c r="B350" s="14"/>
      <c r="C350" s="14"/>
      <c r="D350" s="14"/>
      <c r="E350" s="14"/>
      <c r="F350" s="14"/>
      <c r="G350" s="14"/>
      <c r="H350" s="14"/>
      <c r="I350" s="14"/>
      <c r="J350" s="14"/>
      <c r="K350" s="14"/>
      <c r="L350" s="15"/>
    </row>
    <row r="351" spans="1:13" x14ac:dyDescent="0.25">
      <c r="A351" s="42" t="s">
        <v>27</v>
      </c>
      <c r="B351" s="14">
        <f>B352+B353</f>
        <v>1258847</v>
      </c>
      <c r="C351" s="14">
        <f t="shared" ref="C351:L351" si="193">C352+C353</f>
        <v>93766</v>
      </c>
      <c r="D351" s="14">
        <f t="shared" si="193"/>
        <v>93766</v>
      </c>
      <c r="E351" s="14">
        <f t="shared" si="193"/>
        <v>8500</v>
      </c>
      <c r="F351" s="14">
        <f t="shared" si="193"/>
        <v>0</v>
      </c>
      <c r="G351" s="14">
        <f t="shared" si="193"/>
        <v>68815</v>
      </c>
      <c r="H351" s="14">
        <f t="shared" si="193"/>
        <v>126000</v>
      </c>
      <c r="I351" s="14">
        <f t="shared" si="193"/>
        <v>184000</v>
      </c>
      <c r="J351" s="14">
        <f t="shared" si="193"/>
        <v>250000</v>
      </c>
      <c r="K351" s="14">
        <f t="shared" si="193"/>
        <v>184000</v>
      </c>
      <c r="L351" s="15">
        <f t="shared" si="193"/>
        <v>250000</v>
      </c>
    </row>
    <row r="352" spans="1:13" ht="12.75" customHeight="1" x14ac:dyDescent="0.25">
      <c r="A352" s="51" t="s">
        <v>11</v>
      </c>
      <c r="B352" s="54">
        <f>SUM(C352:L352)</f>
        <v>419500</v>
      </c>
      <c r="C352" s="54">
        <f t="shared" ref="C352:L352" si="194">C356+C360+C364+C368</f>
        <v>8500</v>
      </c>
      <c r="D352" s="54">
        <f t="shared" si="194"/>
        <v>8500</v>
      </c>
      <c r="E352" s="54">
        <f t="shared" si="194"/>
        <v>8500</v>
      </c>
      <c r="F352" s="54">
        <f t="shared" si="194"/>
        <v>0</v>
      </c>
      <c r="G352" s="54">
        <f t="shared" si="194"/>
        <v>60000</v>
      </c>
      <c r="H352" s="54">
        <f t="shared" si="194"/>
        <v>60000</v>
      </c>
      <c r="I352" s="54">
        <f t="shared" si="194"/>
        <v>68500</v>
      </c>
      <c r="J352" s="54">
        <f t="shared" si="194"/>
        <v>68500</v>
      </c>
      <c r="K352" s="54">
        <f t="shared" si="194"/>
        <v>68500</v>
      </c>
      <c r="L352" s="17">
        <f t="shared" si="194"/>
        <v>68500</v>
      </c>
    </row>
    <row r="353" spans="1:13" ht="39.75" thickBot="1" x14ac:dyDescent="0.3">
      <c r="A353" s="27" t="s">
        <v>12</v>
      </c>
      <c r="B353" s="54">
        <f>SUM(C353:L353)</f>
        <v>839347</v>
      </c>
      <c r="C353" s="54">
        <f t="shared" ref="C353:L353" si="195">C357+C361+C365+C369</f>
        <v>85266</v>
      </c>
      <c r="D353" s="54">
        <f t="shared" si="195"/>
        <v>85266</v>
      </c>
      <c r="E353" s="54">
        <f t="shared" si="195"/>
        <v>0</v>
      </c>
      <c r="F353" s="54">
        <f t="shared" si="195"/>
        <v>0</v>
      </c>
      <c r="G353" s="54">
        <f t="shared" si="195"/>
        <v>8815</v>
      </c>
      <c r="H353" s="54">
        <f t="shared" si="195"/>
        <v>66000</v>
      </c>
      <c r="I353" s="54">
        <f t="shared" si="195"/>
        <v>115500</v>
      </c>
      <c r="J353" s="54">
        <f t="shared" si="195"/>
        <v>181500</v>
      </c>
      <c r="K353" s="54">
        <f t="shared" si="195"/>
        <v>115500</v>
      </c>
      <c r="L353" s="17">
        <f t="shared" si="195"/>
        <v>181500</v>
      </c>
    </row>
    <row r="354" spans="1:13" ht="66" customHeight="1" x14ac:dyDescent="0.25">
      <c r="A354" s="43" t="s">
        <v>69</v>
      </c>
      <c r="B354" s="33">
        <f>B355</f>
        <v>700847</v>
      </c>
      <c r="C354" s="33">
        <f t="shared" ref="C354:L354" si="196">C355</f>
        <v>93766</v>
      </c>
      <c r="D354" s="33">
        <f t="shared" si="196"/>
        <v>93766</v>
      </c>
      <c r="E354" s="33">
        <f t="shared" si="196"/>
        <v>8500</v>
      </c>
      <c r="F354" s="33">
        <f t="shared" si="196"/>
        <v>0</v>
      </c>
      <c r="G354" s="33">
        <f t="shared" si="196"/>
        <v>8815</v>
      </c>
      <c r="H354" s="33">
        <f t="shared" si="196"/>
        <v>0</v>
      </c>
      <c r="I354" s="33">
        <f t="shared" si="196"/>
        <v>124000</v>
      </c>
      <c r="J354" s="33">
        <f t="shared" si="196"/>
        <v>124000</v>
      </c>
      <c r="K354" s="33">
        <f t="shared" si="196"/>
        <v>124000</v>
      </c>
      <c r="L354" s="34">
        <f t="shared" si="196"/>
        <v>124000</v>
      </c>
      <c r="M354" s="180" t="s">
        <v>142</v>
      </c>
    </row>
    <row r="355" spans="1:13" x14ac:dyDescent="0.25">
      <c r="A355" s="26" t="s">
        <v>27</v>
      </c>
      <c r="B355" s="130">
        <f>B356+B357</f>
        <v>700847</v>
      </c>
      <c r="C355" s="130">
        <f t="shared" ref="C355:L355" si="197">C356+C357</f>
        <v>93766</v>
      </c>
      <c r="D355" s="130">
        <f t="shared" si="197"/>
        <v>93766</v>
      </c>
      <c r="E355" s="130">
        <f t="shared" si="197"/>
        <v>8500</v>
      </c>
      <c r="F355" s="130">
        <f t="shared" si="197"/>
        <v>0</v>
      </c>
      <c r="G355" s="130">
        <f t="shared" si="197"/>
        <v>8815</v>
      </c>
      <c r="H355" s="130">
        <f t="shared" si="197"/>
        <v>0</v>
      </c>
      <c r="I355" s="130">
        <f t="shared" si="197"/>
        <v>124000</v>
      </c>
      <c r="J355" s="130">
        <f t="shared" si="197"/>
        <v>124000</v>
      </c>
      <c r="K355" s="130">
        <f t="shared" si="197"/>
        <v>124000</v>
      </c>
      <c r="L355" s="131">
        <f t="shared" si="197"/>
        <v>124000</v>
      </c>
    </row>
    <row r="356" spans="1:13" x14ac:dyDescent="0.25">
      <c r="A356" s="51" t="s">
        <v>11</v>
      </c>
      <c r="B356" s="54">
        <f>SUM(C356:L356)</f>
        <v>59500</v>
      </c>
      <c r="C356" s="54">
        <v>8500</v>
      </c>
      <c r="D356" s="54">
        <v>8500</v>
      </c>
      <c r="E356" s="54">
        <v>8500</v>
      </c>
      <c r="F356" s="54">
        <v>0</v>
      </c>
      <c r="G356" s="54">
        <v>0</v>
      </c>
      <c r="H356" s="54">
        <v>0</v>
      </c>
      <c r="I356" s="54">
        <v>8500</v>
      </c>
      <c r="J356" s="54">
        <v>8500</v>
      </c>
      <c r="K356" s="54">
        <v>8500</v>
      </c>
      <c r="L356" s="17">
        <v>8500</v>
      </c>
    </row>
    <row r="357" spans="1:13" ht="39.75" thickBot="1" x14ac:dyDescent="0.3">
      <c r="A357" s="27" t="s">
        <v>12</v>
      </c>
      <c r="B357" s="30">
        <f>SUM(C357:L357)</f>
        <v>641347</v>
      </c>
      <c r="C357" s="30">
        <v>85266</v>
      </c>
      <c r="D357" s="30">
        <v>85266</v>
      </c>
      <c r="E357" s="30">
        <v>0</v>
      </c>
      <c r="F357" s="30">
        <v>0</v>
      </c>
      <c r="G357" s="30">
        <v>8815</v>
      </c>
      <c r="H357" s="30">
        <v>0</v>
      </c>
      <c r="I357" s="30">
        <v>115500</v>
      </c>
      <c r="J357" s="30">
        <v>115500</v>
      </c>
      <c r="K357" s="30">
        <v>115500</v>
      </c>
      <c r="L357" s="134">
        <v>115500</v>
      </c>
    </row>
    <row r="358" spans="1:13" ht="83.25" customHeight="1" x14ac:dyDescent="0.25">
      <c r="A358" s="43" t="s">
        <v>70</v>
      </c>
      <c r="B358" s="33">
        <f>B359</f>
        <v>0</v>
      </c>
      <c r="C358" s="33">
        <f t="shared" ref="C358:L358" si="198">C359</f>
        <v>0</v>
      </c>
      <c r="D358" s="33">
        <f t="shared" si="198"/>
        <v>0</v>
      </c>
      <c r="E358" s="33">
        <f t="shared" si="198"/>
        <v>0</v>
      </c>
      <c r="F358" s="33">
        <f t="shared" si="198"/>
        <v>0</v>
      </c>
      <c r="G358" s="33">
        <f t="shared" si="198"/>
        <v>0</v>
      </c>
      <c r="H358" s="33">
        <f t="shared" si="198"/>
        <v>0</v>
      </c>
      <c r="I358" s="33">
        <f t="shared" si="198"/>
        <v>0</v>
      </c>
      <c r="J358" s="33">
        <f t="shared" si="198"/>
        <v>0</v>
      </c>
      <c r="K358" s="33">
        <f t="shared" si="198"/>
        <v>0</v>
      </c>
      <c r="L358" s="34">
        <f t="shared" si="198"/>
        <v>0</v>
      </c>
      <c r="M358" s="180" t="s">
        <v>135</v>
      </c>
    </row>
    <row r="359" spans="1:13" x14ac:dyDescent="0.25">
      <c r="A359" s="26" t="s">
        <v>27</v>
      </c>
      <c r="B359" s="20">
        <f>B360+B361</f>
        <v>0</v>
      </c>
      <c r="C359" s="130">
        <f t="shared" ref="C359:L359" si="199">C360+C361</f>
        <v>0</v>
      </c>
      <c r="D359" s="130">
        <f t="shared" si="199"/>
        <v>0</v>
      </c>
      <c r="E359" s="130">
        <f t="shared" si="199"/>
        <v>0</v>
      </c>
      <c r="F359" s="130">
        <f t="shared" si="199"/>
        <v>0</v>
      </c>
      <c r="G359" s="130">
        <f t="shared" si="199"/>
        <v>0</v>
      </c>
      <c r="H359" s="130">
        <f t="shared" si="199"/>
        <v>0</v>
      </c>
      <c r="I359" s="130">
        <f t="shared" si="199"/>
        <v>0</v>
      </c>
      <c r="J359" s="130">
        <f t="shared" si="199"/>
        <v>0</v>
      </c>
      <c r="K359" s="130">
        <f t="shared" si="199"/>
        <v>0</v>
      </c>
      <c r="L359" s="131">
        <f t="shared" si="199"/>
        <v>0</v>
      </c>
    </row>
    <row r="360" spans="1:13" x14ac:dyDescent="0.25">
      <c r="A360" s="51" t="s">
        <v>11</v>
      </c>
      <c r="B360" s="72">
        <f>SUM(C360:L360)</f>
        <v>0</v>
      </c>
      <c r="C360" s="68">
        <v>0</v>
      </c>
      <c r="D360" s="68">
        <v>0</v>
      </c>
      <c r="E360" s="68">
        <v>0</v>
      </c>
      <c r="F360" s="68">
        <v>0</v>
      </c>
      <c r="G360" s="68">
        <v>0</v>
      </c>
      <c r="H360" s="68">
        <v>0</v>
      </c>
      <c r="I360" s="68">
        <v>0</v>
      </c>
      <c r="J360" s="68">
        <v>0</v>
      </c>
      <c r="K360" s="68">
        <v>0</v>
      </c>
      <c r="L360" s="69">
        <v>0</v>
      </c>
    </row>
    <row r="361" spans="1:13" ht="39.75" thickBot="1" x14ac:dyDescent="0.3">
      <c r="A361" s="27" t="s">
        <v>12</v>
      </c>
      <c r="B361" s="164">
        <f>SUM(C361:L361)</f>
        <v>0</v>
      </c>
      <c r="C361" s="168">
        <v>0</v>
      </c>
      <c r="D361" s="168">
        <v>0</v>
      </c>
      <c r="E361" s="168">
        <v>0</v>
      </c>
      <c r="F361" s="168">
        <v>0</v>
      </c>
      <c r="G361" s="168">
        <v>0</v>
      </c>
      <c r="H361" s="168">
        <v>0</v>
      </c>
      <c r="I361" s="168">
        <v>0</v>
      </c>
      <c r="J361" s="168">
        <v>0</v>
      </c>
      <c r="K361" s="168">
        <v>0</v>
      </c>
      <c r="L361" s="147">
        <v>0</v>
      </c>
    </row>
    <row r="362" spans="1:13" ht="60.75" customHeight="1" x14ac:dyDescent="0.25">
      <c r="A362" s="43" t="s">
        <v>92</v>
      </c>
      <c r="B362" s="33">
        <f>B363</f>
        <v>360000</v>
      </c>
      <c r="C362" s="33">
        <f t="shared" ref="C362:L362" si="200">C363</f>
        <v>0</v>
      </c>
      <c r="D362" s="33">
        <f t="shared" si="200"/>
        <v>0</v>
      </c>
      <c r="E362" s="33">
        <f t="shared" si="200"/>
        <v>0</v>
      </c>
      <c r="F362" s="33">
        <f t="shared" si="200"/>
        <v>0</v>
      </c>
      <c r="G362" s="33">
        <f t="shared" si="200"/>
        <v>60000</v>
      </c>
      <c r="H362" s="33">
        <f t="shared" si="200"/>
        <v>60000</v>
      </c>
      <c r="I362" s="33">
        <f t="shared" si="200"/>
        <v>60000</v>
      </c>
      <c r="J362" s="33">
        <f t="shared" si="200"/>
        <v>60000</v>
      </c>
      <c r="K362" s="33">
        <f t="shared" si="200"/>
        <v>60000</v>
      </c>
      <c r="L362" s="34">
        <f t="shared" si="200"/>
        <v>60000</v>
      </c>
    </row>
    <row r="363" spans="1:13" x14ac:dyDescent="0.25">
      <c r="A363" s="26" t="s">
        <v>27</v>
      </c>
      <c r="B363" s="20">
        <f>B364+B365</f>
        <v>360000</v>
      </c>
      <c r="C363" s="20">
        <f t="shared" ref="C363:L363" si="201">C364+C365</f>
        <v>0</v>
      </c>
      <c r="D363" s="20">
        <f t="shared" si="201"/>
        <v>0</v>
      </c>
      <c r="E363" s="20">
        <f t="shared" si="201"/>
        <v>0</v>
      </c>
      <c r="F363" s="20">
        <f t="shared" si="201"/>
        <v>0</v>
      </c>
      <c r="G363" s="20">
        <f t="shared" si="201"/>
        <v>60000</v>
      </c>
      <c r="H363" s="20">
        <f t="shared" si="201"/>
        <v>60000</v>
      </c>
      <c r="I363" s="20">
        <f t="shared" si="201"/>
        <v>60000</v>
      </c>
      <c r="J363" s="20">
        <f t="shared" si="201"/>
        <v>60000</v>
      </c>
      <c r="K363" s="20">
        <f t="shared" si="201"/>
        <v>60000</v>
      </c>
      <c r="L363" s="21">
        <f t="shared" si="201"/>
        <v>60000</v>
      </c>
    </row>
    <row r="364" spans="1:13" x14ac:dyDescent="0.25">
      <c r="A364" s="51" t="s">
        <v>11</v>
      </c>
      <c r="B364" s="72">
        <f>SUM(C364:L364)</f>
        <v>360000</v>
      </c>
      <c r="C364" s="72">
        <v>0</v>
      </c>
      <c r="D364" s="184">
        <v>0</v>
      </c>
      <c r="E364" s="184">
        <v>0</v>
      </c>
      <c r="F364" s="184">
        <v>0</v>
      </c>
      <c r="G364" s="184">
        <v>60000</v>
      </c>
      <c r="H364" s="184">
        <v>60000</v>
      </c>
      <c r="I364" s="184">
        <v>60000</v>
      </c>
      <c r="J364" s="184">
        <v>60000</v>
      </c>
      <c r="K364" s="184">
        <v>60000</v>
      </c>
      <c r="L364" s="185">
        <v>60000</v>
      </c>
    </row>
    <row r="365" spans="1:13" ht="39.75" thickBot="1" x14ac:dyDescent="0.3">
      <c r="A365" s="27" t="s">
        <v>12</v>
      </c>
      <c r="B365" s="72">
        <f>SUM(C365:L365)</f>
        <v>0</v>
      </c>
      <c r="C365" s="176">
        <v>0</v>
      </c>
      <c r="D365" s="176">
        <v>0</v>
      </c>
      <c r="E365" s="176">
        <v>0</v>
      </c>
      <c r="F365" s="176">
        <v>0</v>
      </c>
      <c r="G365" s="176">
        <v>0</v>
      </c>
      <c r="H365" s="176">
        <v>0</v>
      </c>
      <c r="I365" s="176">
        <v>0</v>
      </c>
      <c r="J365" s="176">
        <v>0</v>
      </c>
      <c r="K365" s="176">
        <v>0</v>
      </c>
      <c r="L365" s="179">
        <v>0</v>
      </c>
    </row>
    <row r="366" spans="1:13" x14ac:dyDescent="0.25">
      <c r="A366" s="43" t="s">
        <v>93</v>
      </c>
      <c r="B366" s="33">
        <f>B367</f>
        <v>198000</v>
      </c>
      <c r="C366" s="33">
        <f t="shared" ref="C366:L366" si="202">C367</f>
        <v>0</v>
      </c>
      <c r="D366" s="33">
        <f t="shared" si="202"/>
        <v>0</v>
      </c>
      <c r="E366" s="33">
        <f t="shared" si="202"/>
        <v>0</v>
      </c>
      <c r="F366" s="33">
        <f t="shared" si="202"/>
        <v>0</v>
      </c>
      <c r="G366" s="33">
        <f t="shared" si="202"/>
        <v>0</v>
      </c>
      <c r="H366" s="33">
        <f t="shared" si="202"/>
        <v>66000</v>
      </c>
      <c r="I366" s="33">
        <f t="shared" si="202"/>
        <v>0</v>
      </c>
      <c r="J366" s="33">
        <f t="shared" si="202"/>
        <v>66000</v>
      </c>
      <c r="K366" s="33">
        <f t="shared" si="202"/>
        <v>0</v>
      </c>
      <c r="L366" s="34">
        <f t="shared" si="202"/>
        <v>66000</v>
      </c>
    </row>
    <row r="367" spans="1:13" x14ac:dyDescent="0.25">
      <c r="A367" s="26" t="s">
        <v>27</v>
      </c>
      <c r="B367" s="20">
        <f>B368+B369</f>
        <v>198000</v>
      </c>
      <c r="C367" s="20">
        <f t="shared" ref="C367:L367" si="203">C368+C369</f>
        <v>0</v>
      </c>
      <c r="D367" s="20">
        <f t="shared" si="203"/>
        <v>0</v>
      </c>
      <c r="E367" s="20">
        <f t="shared" si="203"/>
        <v>0</v>
      </c>
      <c r="F367" s="20">
        <f t="shared" si="203"/>
        <v>0</v>
      </c>
      <c r="G367" s="20">
        <f t="shared" si="203"/>
        <v>0</v>
      </c>
      <c r="H367" s="20">
        <f t="shared" si="203"/>
        <v>66000</v>
      </c>
      <c r="I367" s="20">
        <f t="shared" si="203"/>
        <v>0</v>
      </c>
      <c r="J367" s="20">
        <f t="shared" si="203"/>
        <v>66000</v>
      </c>
      <c r="K367" s="20">
        <f t="shared" si="203"/>
        <v>0</v>
      </c>
      <c r="L367" s="21">
        <f t="shared" si="203"/>
        <v>66000</v>
      </c>
    </row>
    <row r="368" spans="1:13" x14ac:dyDescent="0.25">
      <c r="A368" s="51" t="s">
        <v>11</v>
      </c>
      <c r="B368" s="72">
        <f>SUM(C368:L368)</f>
        <v>0</v>
      </c>
      <c r="C368" s="72">
        <v>0</v>
      </c>
      <c r="D368" s="72">
        <v>0</v>
      </c>
      <c r="E368" s="72">
        <v>0</v>
      </c>
      <c r="F368" s="72">
        <v>0</v>
      </c>
      <c r="G368" s="72">
        <v>0</v>
      </c>
      <c r="H368" s="72">
        <v>0</v>
      </c>
      <c r="I368" s="72">
        <v>0</v>
      </c>
      <c r="J368" s="72">
        <v>0</v>
      </c>
      <c r="K368" s="72">
        <v>0</v>
      </c>
      <c r="L368" s="73">
        <v>0</v>
      </c>
    </row>
    <row r="369" spans="1:12" ht="39.75" thickBot="1" x14ac:dyDescent="0.3">
      <c r="A369" s="89" t="s">
        <v>12</v>
      </c>
      <c r="B369" s="176">
        <f>SUM(C369:L369)</f>
        <v>198000</v>
      </c>
      <c r="C369" s="176">
        <v>0</v>
      </c>
      <c r="D369" s="176">
        <v>0</v>
      </c>
      <c r="E369" s="176">
        <v>0</v>
      </c>
      <c r="F369" s="176">
        <v>0</v>
      </c>
      <c r="G369" s="176">
        <v>0</v>
      </c>
      <c r="H369" s="176">
        <v>66000</v>
      </c>
      <c r="I369" s="176">
        <v>0</v>
      </c>
      <c r="J369" s="176">
        <v>66000</v>
      </c>
      <c r="K369" s="176">
        <v>0</v>
      </c>
      <c r="L369" s="165">
        <v>66000</v>
      </c>
    </row>
    <row r="370" spans="1:12" x14ac:dyDescent="0.25">
      <c r="A370" s="219" t="s">
        <v>71</v>
      </c>
      <c r="B370" s="220"/>
      <c r="C370" s="220"/>
      <c r="D370" s="220"/>
      <c r="E370" s="220"/>
      <c r="F370" s="220"/>
      <c r="G370" s="220"/>
      <c r="H370" s="220"/>
      <c r="I370" s="220"/>
      <c r="J370" s="220"/>
      <c r="K370" s="220"/>
      <c r="L370" s="221"/>
    </row>
    <row r="371" spans="1:12" x14ac:dyDescent="0.25">
      <c r="A371" s="38" t="s">
        <v>5</v>
      </c>
      <c r="B371" s="60">
        <f>B373+B374+B375</f>
        <v>29839008</v>
      </c>
      <c r="C371" s="60">
        <f t="shared" ref="C371:L371" si="204">C373+C374+C375</f>
        <v>1362606</v>
      </c>
      <c r="D371" s="60">
        <f t="shared" si="204"/>
        <v>1848649</v>
      </c>
      <c r="E371" s="60">
        <f t="shared" si="204"/>
        <v>1132843</v>
      </c>
      <c r="F371" s="60">
        <f t="shared" si="204"/>
        <v>0</v>
      </c>
      <c r="G371" s="60">
        <f t="shared" si="204"/>
        <v>574163</v>
      </c>
      <c r="H371" s="60">
        <f t="shared" si="204"/>
        <v>2037206</v>
      </c>
      <c r="I371" s="60">
        <f t="shared" si="204"/>
        <v>6656140</v>
      </c>
      <c r="J371" s="60">
        <f t="shared" si="204"/>
        <v>5880225</v>
      </c>
      <c r="K371" s="60">
        <f t="shared" si="204"/>
        <v>5426870</v>
      </c>
      <c r="L371" s="61">
        <f t="shared" si="204"/>
        <v>4920306</v>
      </c>
    </row>
    <row r="372" spans="1:12" x14ac:dyDescent="0.25">
      <c r="A372" s="39" t="s">
        <v>6</v>
      </c>
      <c r="B372" s="77" t="s">
        <v>101</v>
      </c>
      <c r="C372" s="77">
        <v>0</v>
      </c>
      <c r="D372" s="77">
        <v>0</v>
      </c>
      <c r="E372" s="77">
        <v>0</v>
      </c>
      <c r="F372" s="77">
        <v>0</v>
      </c>
      <c r="G372" s="77">
        <v>0</v>
      </c>
      <c r="H372" s="77" t="s">
        <v>101</v>
      </c>
      <c r="I372" s="77" t="s">
        <v>101</v>
      </c>
      <c r="J372" s="77" t="s">
        <v>101</v>
      </c>
      <c r="K372" s="77" t="s">
        <v>101</v>
      </c>
      <c r="L372" s="79" t="s">
        <v>101</v>
      </c>
    </row>
    <row r="373" spans="1:12" x14ac:dyDescent="0.25">
      <c r="A373" s="39" t="s">
        <v>7</v>
      </c>
      <c r="B373" s="77">
        <f>SUM(C373:L373)</f>
        <v>0</v>
      </c>
      <c r="C373" s="77">
        <v>0</v>
      </c>
      <c r="D373" s="77">
        <v>0</v>
      </c>
      <c r="E373" s="77">
        <v>0</v>
      </c>
      <c r="F373" s="77">
        <v>0</v>
      </c>
      <c r="G373" s="77">
        <v>0</v>
      </c>
      <c r="H373" s="77">
        <v>0</v>
      </c>
      <c r="I373" s="77">
        <v>0</v>
      </c>
      <c r="J373" s="77">
        <v>0</v>
      </c>
      <c r="K373" s="77">
        <v>0</v>
      </c>
      <c r="L373" s="79">
        <v>0</v>
      </c>
    </row>
    <row r="374" spans="1:12" ht="26.25" x14ac:dyDescent="0.25">
      <c r="A374" s="39" t="s">
        <v>8</v>
      </c>
      <c r="B374" s="77">
        <f>SUM(C374:L374)</f>
        <v>0</v>
      </c>
      <c r="C374" s="77">
        <v>0</v>
      </c>
      <c r="D374" s="77">
        <v>0</v>
      </c>
      <c r="E374" s="77">
        <v>0</v>
      </c>
      <c r="F374" s="77">
        <v>0</v>
      </c>
      <c r="G374" s="77">
        <v>0</v>
      </c>
      <c r="H374" s="77">
        <v>0</v>
      </c>
      <c r="I374" s="77">
        <v>0</v>
      </c>
      <c r="J374" s="77">
        <v>0</v>
      </c>
      <c r="K374" s="77">
        <v>0</v>
      </c>
      <c r="L374" s="79">
        <v>0</v>
      </c>
    </row>
    <row r="375" spans="1:12" x14ac:dyDescent="0.25">
      <c r="A375" s="38" t="s">
        <v>9</v>
      </c>
      <c r="B375" s="60">
        <f>B377+B378</f>
        <v>29839008</v>
      </c>
      <c r="C375" s="60">
        <f t="shared" ref="C375:L375" si="205">C377+C378</f>
        <v>1362606</v>
      </c>
      <c r="D375" s="60">
        <f t="shared" si="205"/>
        <v>1848649</v>
      </c>
      <c r="E375" s="60">
        <f t="shared" si="205"/>
        <v>1132843</v>
      </c>
      <c r="F375" s="60">
        <f t="shared" si="205"/>
        <v>0</v>
      </c>
      <c r="G375" s="60">
        <f t="shared" si="205"/>
        <v>574163</v>
      </c>
      <c r="H375" s="60">
        <f t="shared" si="205"/>
        <v>2037206</v>
      </c>
      <c r="I375" s="60">
        <f t="shared" si="205"/>
        <v>6656140</v>
      </c>
      <c r="J375" s="60">
        <f t="shared" si="205"/>
        <v>5880225</v>
      </c>
      <c r="K375" s="60">
        <f t="shared" si="205"/>
        <v>5426870</v>
      </c>
      <c r="L375" s="61">
        <f t="shared" si="205"/>
        <v>4920306</v>
      </c>
    </row>
    <row r="376" spans="1:12" x14ac:dyDescent="0.25">
      <c r="A376" s="39" t="s">
        <v>10</v>
      </c>
      <c r="B376" s="77"/>
      <c r="C376" s="77"/>
      <c r="D376" s="77"/>
      <c r="E376" s="77"/>
      <c r="F376" s="77"/>
      <c r="G376" s="77"/>
      <c r="H376" s="77"/>
      <c r="I376" s="77"/>
      <c r="J376" s="77"/>
      <c r="K376" s="77"/>
      <c r="L376" s="79"/>
    </row>
    <row r="377" spans="1:12" x14ac:dyDescent="0.25">
      <c r="A377" s="39" t="s">
        <v>11</v>
      </c>
      <c r="B377" s="40">
        <f>SUM(C377:L377)</f>
        <v>17690534</v>
      </c>
      <c r="C377" s="40">
        <f>C382+C385</f>
        <v>310921</v>
      </c>
      <c r="D377" s="40">
        <f t="shared" ref="D377:L377" si="206">D382+D385</f>
        <v>310921</v>
      </c>
      <c r="E377" s="40">
        <f t="shared" si="206"/>
        <v>310921</v>
      </c>
      <c r="F377" s="40">
        <f t="shared" si="206"/>
        <v>0</v>
      </c>
      <c r="G377" s="40">
        <f t="shared" si="206"/>
        <v>249731</v>
      </c>
      <c r="H377" s="40">
        <f t="shared" si="206"/>
        <v>996204</v>
      </c>
      <c r="I377" s="40">
        <f t="shared" si="206"/>
        <v>4937835</v>
      </c>
      <c r="J377" s="40">
        <f t="shared" si="206"/>
        <v>3923620</v>
      </c>
      <c r="K377" s="40">
        <f t="shared" si="206"/>
        <v>3489165</v>
      </c>
      <c r="L377" s="41">
        <f t="shared" si="206"/>
        <v>3161216</v>
      </c>
    </row>
    <row r="378" spans="1:12" ht="39.75" thickBot="1" x14ac:dyDescent="0.3">
      <c r="A378" s="80" t="s">
        <v>12</v>
      </c>
      <c r="B378" s="81">
        <f>SUM(C378:L378)</f>
        <v>12148474</v>
      </c>
      <c r="C378" s="81">
        <f>C383+C386</f>
        <v>1051685</v>
      </c>
      <c r="D378" s="81">
        <f t="shared" ref="D378:L378" si="207">D383+D386</f>
        <v>1537728</v>
      </c>
      <c r="E378" s="81">
        <f t="shared" si="207"/>
        <v>821922</v>
      </c>
      <c r="F378" s="81">
        <f t="shared" si="207"/>
        <v>0</v>
      </c>
      <c r="G378" s="81">
        <f t="shared" si="207"/>
        <v>324432</v>
      </c>
      <c r="H378" s="81">
        <f t="shared" si="207"/>
        <v>1041002</v>
      </c>
      <c r="I378" s="81">
        <f t="shared" si="207"/>
        <v>1718305</v>
      </c>
      <c r="J378" s="81">
        <f t="shared" si="207"/>
        <v>1956605</v>
      </c>
      <c r="K378" s="81">
        <f t="shared" si="207"/>
        <v>1937705</v>
      </c>
      <c r="L378" s="82">
        <f t="shared" si="207"/>
        <v>1759090</v>
      </c>
    </row>
    <row r="379" spans="1:12" x14ac:dyDescent="0.25">
      <c r="A379" s="5" t="s">
        <v>13</v>
      </c>
      <c r="B379" s="12"/>
      <c r="C379" s="12"/>
      <c r="D379" s="12"/>
      <c r="E379" s="12"/>
      <c r="F379" s="12"/>
      <c r="G379" s="12"/>
      <c r="H379" s="12"/>
      <c r="I379" s="12"/>
      <c r="J379" s="12"/>
      <c r="K379" s="12"/>
      <c r="L379" s="13"/>
    </row>
    <row r="380" spans="1:12" x14ac:dyDescent="0.25">
      <c r="A380" s="6" t="s">
        <v>14</v>
      </c>
      <c r="B380" s="14"/>
      <c r="C380" s="14"/>
      <c r="D380" s="14"/>
      <c r="E380" s="14"/>
      <c r="F380" s="14"/>
      <c r="G380" s="14"/>
      <c r="H380" s="14"/>
      <c r="I380" s="14"/>
      <c r="J380" s="14"/>
      <c r="K380" s="14"/>
      <c r="L380" s="15"/>
    </row>
    <row r="381" spans="1:12" x14ac:dyDescent="0.25">
      <c r="A381" s="42" t="s">
        <v>27</v>
      </c>
      <c r="B381" s="14">
        <f>B382+B383</f>
        <v>26777106</v>
      </c>
      <c r="C381" s="14">
        <f t="shared" ref="C381:L381" si="208">C382+C383</f>
        <v>1075969</v>
      </c>
      <c r="D381" s="14">
        <f t="shared" si="208"/>
        <v>1562012</v>
      </c>
      <c r="E381" s="14">
        <f t="shared" si="208"/>
        <v>846206</v>
      </c>
      <c r="F381" s="14">
        <f t="shared" si="208"/>
        <v>0</v>
      </c>
      <c r="G381" s="14">
        <f t="shared" si="208"/>
        <v>448618</v>
      </c>
      <c r="H381" s="14">
        <f t="shared" si="208"/>
        <v>1786116</v>
      </c>
      <c r="I381" s="14">
        <f t="shared" si="208"/>
        <v>6279505</v>
      </c>
      <c r="J381" s="14">
        <f t="shared" si="208"/>
        <v>5378045</v>
      </c>
      <c r="K381" s="14">
        <f t="shared" si="208"/>
        <v>5359145</v>
      </c>
      <c r="L381" s="15">
        <f t="shared" si="208"/>
        <v>4041490</v>
      </c>
    </row>
    <row r="382" spans="1:12" x14ac:dyDescent="0.25">
      <c r="A382" s="51" t="s">
        <v>11</v>
      </c>
      <c r="B382" s="54">
        <f>SUM(C382:L382)</f>
        <v>14628632</v>
      </c>
      <c r="C382" s="54">
        <f>C389+C393+C397++C405+C409</f>
        <v>24284</v>
      </c>
      <c r="D382" s="54">
        <f>D389+D393+D397++D405+D409</f>
        <v>24284</v>
      </c>
      <c r="E382" s="54">
        <f>E389+E393+E397++E405+E409</f>
        <v>24284</v>
      </c>
      <c r="F382" s="54">
        <f>F389+F393+F397++F405+F409</f>
        <v>0</v>
      </c>
      <c r="G382" s="54">
        <f>G389+G393+G397+G405+G409</f>
        <v>124186</v>
      </c>
      <c r="H382" s="54">
        <f>H389+H393+H397</f>
        <v>745114</v>
      </c>
      <c r="I382" s="54">
        <f>I389+I393+I397</f>
        <v>4561200</v>
      </c>
      <c r="J382" s="54">
        <f>J389+J393+J397</f>
        <v>3421440</v>
      </c>
      <c r="K382" s="54">
        <f>K389+K393+K397</f>
        <v>3421440</v>
      </c>
      <c r="L382" s="17">
        <f>L389+L393+L397</f>
        <v>2282400</v>
      </c>
    </row>
    <row r="383" spans="1:12" ht="39.75" thickBot="1" x14ac:dyDescent="0.3">
      <c r="A383" s="27" t="s">
        <v>12</v>
      </c>
      <c r="B383" s="112">
        <f>SUM(C383:L383)</f>
        <v>12148474</v>
      </c>
      <c r="C383" s="112">
        <f>C390+C394+C398+C406+C410</f>
        <v>1051685</v>
      </c>
      <c r="D383" s="112">
        <f>D390+D394+D398+D406+D410</f>
        <v>1537728</v>
      </c>
      <c r="E383" s="112">
        <f>E390+E394+E398+E406+E410</f>
        <v>821922</v>
      </c>
      <c r="F383" s="112">
        <f>F390+F394+F398+F406+F410</f>
        <v>0</v>
      </c>
      <c r="G383" s="112">
        <f>G390+G394+G398+G406+G410</f>
        <v>324432</v>
      </c>
      <c r="H383" s="112">
        <f>H390+H394+H398+H406+H410</f>
        <v>1041002</v>
      </c>
      <c r="I383" s="112">
        <f>I390+I394+I398+I406+I410</f>
        <v>1718305</v>
      </c>
      <c r="J383" s="112">
        <f>J390+J394+J398+J406+J410</f>
        <v>1956605</v>
      </c>
      <c r="K383" s="112">
        <f>K390+K394+K398+K406+K410</f>
        <v>1937705</v>
      </c>
      <c r="L383" s="113">
        <f>L390+L394+L398+L406+L410</f>
        <v>1759090</v>
      </c>
    </row>
    <row r="384" spans="1:12" x14ac:dyDescent="0.25">
      <c r="A384" s="42" t="s">
        <v>137</v>
      </c>
      <c r="B384" s="112">
        <f>B385+B386</f>
        <v>3061902</v>
      </c>
      <c r="C384" s="112">
        <f t="shared" ref="C384:L384" si="209">C385+C386</f>
        <v>286637</v>
      </c>
      <c r="D384" s="112">
        <f t="shared" si="209"/>
        <v>286637</v>
      </c>
      <c r="E384" s="112">
        <f t="shared" si="209"/>
        <v>286637</v>
      </c>
      <c r="F384" s="112">
        <f t="shared" si="209"/>
        <v>0</v>
      </c>
      <c r="G384" s="112">
        <f t="shared" si="209"/>
        <v>125545</v>
      </c>
      <c r="H384" s="112">
        <f t="shared" si="209"/>
        <v>251090</v>
      </c>
      <c r="I384" s="112">
        <f t="shared" si="209"/>
        <v>376635</v>
      </c>
      <c r="J384" s="112">
        <f t="shared" si="209"/>
        <v>502180</v>
      </c>
      <c r="K384" s="112">
        <f t="shared" si="209"/>
        <v>67725</v>
      </c>
      <c r="L384" s="113">
        <f t="shared" si="209"/>
        <v>878816</v>
      </c>
    </row>
    <row r="385" spans="1:12" x14ac:dyDescent="0.25">
      <c r="A385" s="51" t="s">
        <v>11</v>
      </c>
      <c r="B385" s="112">
        <f>SUM(C385:L385)</f>
        <v>3061902</v>
      </c>
      <c r="C385" s="112">
        <f>C401</f>
        <v>286637</v>
      </c>
      <c r="D385" s="112">
        <f t="shared" ref="D385:L385" si="210">D401</f>
        <v>286637</v>
      </c>
      <c r="E385" s="112">
        <f t="shared" si="210"/>
        <v>286637</v>
      </c>
      <c r="F385" s="112">
        <f t="shared" si="210"/>
        <v>0</v>
      </c>
      <c r="G385" s="112">
        <f t="shared" si="210"/>
        <v>125545</v>
      </c>
      <c r="H385" s="112">
        <f t="shared" si="210"/>
        <v>251090</v>
      </c>
      <c r="I385" s="112">
        <f t="shared" si="210"/>
        <v>376635</v>
      </c>
      <c r="J385" s="112">
        <f t="shared" si="210"/>
        <v>502180</v>
      </c>
      <c r="K385" s="112">
        <f t="shared" si="210"/>
        <v>67725</v>
      </c>
      <c r="L385" s="113">
        <f t="shared" si="210"/>
        <v>878816</v>
      </c>
    </row>
    <row r="386" spans="1:12" ht="39.75" thickBot="1" x14ac:dyDescent="0.3">
      <c r="A386" s="27" t="s">
        <v>12</v>
      </c>
      <c r="B386" s="30">
        <f>SUM(C386:L386)</f>
        <v>0</v>
      </c>
      <c r="C386" s="30">
        <f>C402</f>
        <v>0</v>
      </c>
      <c r="D386" s="30">
        <f t="shared" ref="D386:L386" si="211">D402</f>
        <v>0</v>
      </c>
      <c r="E386" s="30">
        <f t="shared" si="211"/>
        <v>0</v>
      </c>
      <c r="F386" s="30">
        <f t="shared" si="211"/>
        <v>0</v>
      </c>
      <c r="G386" s="30">
        <f t="shared" si="211"/>
        <v>0</v>
      </c>
      <c r="H386" s="30">
        <f t="shared" si="211"/>
        <v>0</v>
      </c>
      <c r="I386" s="30">
        <f t="shared" si="211"/>
        <v>0</v>
      </c>
      <c r="J386" s="30">
        <f t="shared" si="211"/>
        <v>0</v>
      </c>
      <c r="K386" s="30">
        <f t="shared" si="211"/>
        <v>0</v>
      </c>
      <c r="L386" s="31">
        <f t="shared" si="211"/>
        <v>0</v>
      </c>
    </row>
    <row r="387" spans="1:12" ht="63.75" x14ac:dyDescent="0.25">
      <c r="A387" s="43" t="s">
        <v>94</v>
      </c>
      <c r="B387" s="33">
        <f>B388</f>
        <v>584999</v>
      </c>
      <c r="C387" s="33">
        <f t="shared" ref="C387:L387" si="212">C388</f>
        <v>47819</v>
      </c>
      <c r="D387" s="33">
        <f t="shared" si="212"/>
        <v>0</v>
      </c>
      <c r="E387" s="33">
        <f t="shared" si="212"/>
        <v>0</v>
      </c>
      <c r="F387" s="33">
        <f t="shared" si="212"/>
        <v>0</v>
      </c>
      <c r="G387" s="33">
        <f t="shared" si="212"/>
        <v>0</v>
      </c>
      <c r="H387" s="33">
        <f t="shared" si="212"/>
        <v>29400</v>
      </c>
      <c r="I387" s="33">
        <f t="shared" si="212"/>
        <v>9600</v>
      </c>
      <c r="J387" s="33">
        <f t="shared" si="212"/>
        <v>166060</v>
      </c>
      <c r="K387" s="33">
        <f t="shared" si="212"/>
        <v>166060</v>
      </c>
      <c r="L387" s="34">
        <f t="shared" si="212"/>
        <v>166060</v>
      </c>
    </row>
    <row r="388" spans="1:12" x14ac:dyDescent="0.25">
      <c r="A388" s="26" t="s">
        <v>72</v>
      </c>
      <c r="B388" s="20">
        <f>B389+B390</f>
        <v>584999</v>
      </c>
      <c r="C388" s="20">
        <f t="shared" ref="C388:L388" si="213">C389+C390</f>
        <v>47819</v>
      </c>
      <c r="D388" s="20">
        <f t="shared" si="213"/>
        <v>0</v>
      </c>
      <c r="E388" s="20">
        <f t="shared" si="213"/>
        <v>0</v>
      </c>
      <c r="F388" s="20">
        <f t="shared" si="213"/>
        <v>0</v>
      </c>
      <c r="G388" s="20">
        <f t="shared" si="213"/>
        <v>0</v>
      </c>
      <c r="H388" s="20">
        <f t="shared" si="213"/>
        <v>29400</v>
      </c>
      <c r="I388" s="20">
        <f t="shared" si="213"/>
        <v>9600</v>
      </c>
      <c r="J388" s="20">
        <f t="shared" si="213"/>
        <v>166060</v>
      </c>
      <c r="K388" s="20">
        <f t="shared" si="213"/>
        <v>166060</v>
      </c>
      <c r="L388" s="21">
        <f t="shared" si="213"/>
        <v>166060</v>
      </c>
    </row>
    <row r="389" spans="1:12" x14ac:dyDescent="0.25">
      <c r="A389" s="51" t="s">
        <v>11</v>
      </c>
      <c r="B389" s="54">
        <f>SUM(C389:L389)</f>
        <v>0</v>
      </c>
      <c r="C389" s="54">
        <v>0</v>
      </c>
      <c r="D389" s="54">
        <v>0</v>
      </c>
      <c r="E389" s="54">
        <v>0</v>
      </c>
      <c r="F389" s="54">
        <v>0</v>
      </c>
      <c r="G389" s="54">
        <v>0</v>
      </c>
      <c r="H389" s="54">
        <v>0</v>
      </c>
      <c r="I389" s="54">
        <v>0</v>
      </c>
      <c r="J389" s="54">
        <v>0</v>
      </c>
      <c r="K389" s="54">
        <v>0</v>
      </c>
      <c r="L389" s="17">
        <v>0</v>
      </c>
    </row>
    <row r="390" spans="1:12" ht="39.75" thickBot="1" x14ac:dyDescent="0.3">
      <c r="A390" s="89" t="s">
        <v>12</v>
      </c>
      <c r="B390" s="112">
        <f>SUM(C390:L390)</f>
        <v>584999</v>
      </c>
      <c r="C390" s="112">
        <v>47819</v>
      </c>
      <c r="D390" s="112">
        <v>0</v>
      </c>
      <c r="E390" s="112">
        <v>0</v>
      </c>
      <c r="F390" s="112">
        <v>0</v>
      </c>
      <c r="G390" s="112">
        <v>0</v>
      </c>
      <c r="H390" s="112">
        <v>29400</v>
      </c>
      <c r="I390" s="112">
        <f>3600+6000</f>
        <v>9600</v>
      </c>
      <c r="J390" s="112">
        <v>166060</v>
      </c>
      <c r="K390" s="112">
        <v>166060</v>
      </c>
      <c r="L390" s="31">
        <v>166060</v>
      </c>
    </row>
    <row r="391" spans="1:12" ht="107.25" customHeight="1" x14ac:dyDescent="0.25">
      <c r="A391" s="43" t="s">
        <v>95</v>
      </c>
      <c r="B391" s="33">
        <f>B392</f>
        <v>10749464</v>
      </c>
      <c r="C391" s="33">
        <f t="shared" ref="C391:L391" si="214">C392</f>
        <v>948102</v>
      </c>
      <c r="D391" s="33">
        <f t="shared" si="214"/>
        <v>1497974</v>
      </c>
      <c r="E391" s="33">
        <f t="shared" si="214"/>
        <v>798178</v>
      </c>
      <c r="F391" s="33">
        <f t="shared" si="214"/>
        <v>0</v>
      </c>
      <c r="G391" s="33">
        <f t="shared" si="214"/>
        <v>300432</v>
      </c>
      <c r="H391" s="33">
        <f t="shared" si="214"/>
        <v>931119</v>
      </c>
      <c r="I391" s="33">
        <f t="shared" si="214"/>
        <v>1558726</v>
      </c>
      <c r="J391" s="33">
        <f t="shared" si="214"/>
        <v>1640116</v>
      </c>
      <c r="K391" s="33">
        <f t="shared" si="214"/>
        <v>1626716</v>
      </c>
      <c r="L391" s="34">
        <f t="shared" si="214"/>
        <v>1448101</v>
      </c>
    </row>
    <row r="392" spans="1:12" x14ac:dyDescent="0.25">
      <c r="A392" s="26" t="s">
        <v>72</v>
      </c>
      <c r="B392" s="20">
        <f t="shared" ref="B392:L392" si="215">B393+B394</f>
        <v>10749464</v>
      </c>
      <c r="C392" s="20">
        <f t="shared" si="215"/>
        <v>948102</v>
      </c>
      <c r="D392" s="20">
        <f t="shared" si="215"/>
        <v>1497974</v>
      </c>
      <c r="E392" s="20">
        <f t="shared" si="215"/>
        <v>798178</v>
      </c>
      <c r="F392" s="20">
        <f t="shared" si="215"/>
        <v>0</v>
      </c>
      <c r="G392" s="20">
        <f t="shared" si="215"/>
        <v>300432</v>
      </c>
      <c r="H392" s="20">
        <f t="shared" si="215"/>
        <v>931119</v>
      </c>
      <c r="I392" s="20">
        <f t="shared" si="215"/>
        <v>1558726</v>
      </c>
      <c r="J392" s="20">
        <f t="shared" si="215"/>
        <v>1640116</v>
      </c>
      <c r="K392" s="20">
        <f t="shared" si="215"/>
        <v>1626716</v>
      </c>
      <c r="L392" s="21">
        <f t="shared" si="215"/>
        <v>1448101</v>
      </c>
    </row>
    <row r="393" spans="1:12" x14ac:dyDescent="0.25">
      <c r="A393" s="51" t="s">
        <v>11</v>
      </c>
      <c r="B393" s="54">
        <f>SUM(C393:L393)</f>
        <v>72852</v>
      </c>
      <c r="C393" s="54">
        <f>2284+18400+3600</f>
        <v>24284</v>
      </c>
      <c r="D393" s="54">
        <f>2284+18400+3600</f>
        <v>24284</v>
      </c>
      <c r="E393" s="54">
        <f>2284+18400+3600</f>
        <v>24284</v>
      </c>
      <c r="F393" s="54">
        <v>0</v>
      </c>
      <c r="G393" s="54">
        <v>0</v>
      </c>
      <c r="H393" s="54">
        <v>0</v>
      </c>
      <c r="I393" s="54">
        <v>0</v>
      </c>
      <c r="J393" s="54">
        <v>0</v>
      </c>
      <c r="K393" s="54">
        <v>0</v>
      </c>
      <c r="L393" s="17">
        <v>0</v>
      </c>
    </row>
    <row r="394" spans="1:12" ht="39.75" thickBot="1" x14ac:dyDescent="0.3">
      <c r="A394" s="27" t="s">
        <v>12</v>
      </c>
      <c r="B394" s="112">
        <f>SUM(C394:L394)</f>
        <v>10676612</v>
      </c>
      <c r="C394" s="112">
        <f>25518+11979+4175+87535+50432+19360+96082+113374+21465+357898+136000</f>
        <v>923818</v>
      </c>
      <c r="D394" s="112">
        <f>25518+11979+4175+33928+22460+174203+523395+150254+391778+136000</f>
        <v>1473690</v>
      </c>
      <c r="E394" s="112">
        <f>25518+11979+2087+11230+134127+410023+42930+136000</f>
        <v>773894</v>
      </c>
      <c r="F394" s="112">
        <v>0</v>
      </c>
      <c r="G394" s="112">
        <v>300432</v>
      </c>
      <c r="H394" s="112">
        <v>931119</v>
      </c>
      <c r="I394" s="112">
        <v>1558726</v>
      </c>
      <c r="J394" s="112">
        <v>1640116</v>
      </c>
      <c r="K394" s="112">
        <v>1626716</v>
      </c>
      <c r="L394" s="113">
        <v>1448101</v>
      </c>
    </row>
    <row r="395" spans="1:12" ht="57.75" customHeight="1" x14ac:dyDescent="0.25">
      <c r="A395" s="43" t="s">
        <v>138</v>
      </c>
      <c r="B395" s="33">
        <f>B396</f>
        <v>15442643</v>
      </c>
      <c r="C395" s="33">
        <f t="shared" ref="C395:L395" si="216">C396</f>
        <v>80048</v>
      </c>
      <c r="D395" s="33">
        <f t="shared" si="216"/>
        <v>64038</v>
      </c>
      <c r="E395" s="33">
        <f t="shared" si="216"/>
        <v>48028</v>
      </c>
      <c r="F395" s="33">
        <f t="shared" si="216"/>
        <v>0</v>
      </c>
      <c r="G395" s="33">
        <f t="shared" si="216"/>
        <v>148186</v>
      </c>
      <c r="H395" s="33">
        <f t="shared" si="216"/>
        <v>825597</v>
      </c>
      <c r="I395" s="33">
        <f t="shared" si="216"/>
        <v>4711179</v>
      </c>
      <c r="J395" s="33">
        <f t="shared" si="216"/>
        <v>3571869</v>
      </c>
      <c r="K395" s="33">
        <f t="shared" si="216"/>
        <v>3566369</v>
      </c>
      <c r="L395" s="34">
        <f t="shared" si="216"/>
        <v>2427329</v>
      </c>
    </row>
    <row r="396" spans="1:12" x14ac:dyDescent="0.25">
      <c r="A396" s="26" t="s">
        <v>72</v>
      </c>
      <c r="B396" s="20">
        <f>B397+B398</f>
        <v>15442643</v>
      </c>
      <c r="C396" s="20">
        <f t="shared" ref="C396:L396" si="217">C397+C398</f>
        <v>80048</v>
      </c>
      <c r="D396" s="20">
        <f t="shared" si="217"/>
        <v>64038</v>
      </c>
      <c r="E396" s="20">
        <f t="shared" si="217"/>
        <v>48028</v>
      </c>
      <c r="F396" s="20">
        <f t="shared" si="217"/>
        <v>0</v>
      </c>
      <c r="G396" s="20">
        <f t="shared" si="217"/>
        <v>148186</v>
      </c>
      <c r="H396" s="20">
        <f t="shared" si="217"/>
        <v>825597</v>
      </c>
      <c r="I396" s="20">
        <f t="shared" si="217"/>
        <v>4711179</v>
      </c>
      <c r="J396" s="20">
        <f t="shared" si="217"/>
        <v>3571869</v>
      </c>
      <c r="K396" s="20">
        <f t="shared" si="217"/>
        <v>3566369</v>
      </c>
      <c r="L396" s="21">
        <f t="shared" si="217"/>
        <v>2427329</v>
      </c>
    </row>
    <row r="397" spans="1:12" x14ac:dyDescent="0.25">
      <c r="A397" s="51" t="s">
        <v>11</v>
      </c>
      <c r="B397" s="54">
        <f>SUM(C397:L397)</f>
        <v>14555780</v>
      </c>
      <c r="C397" s="54">
        <v>0</v>
      </c>
      <c r="D397" s="54">
        <v>0</v>
      </c>
      <c r="E397" s="54">
        <v>0</v>
      </c>
      <c r="F397" s="54">
        <v>0</v>
      </c>
      <c r="G397" s="54">
        <v>124186</v>
      </c>
      <c r="H397" s="54">
        <v>745114</v>
      </c>
      <c r="I397" s="54">
        <v>4561200</v>
      </c>
      <c r="J397" s="54">
        <v>3421440</v>
      </c>
      <c r="K397" s="54">
        <v>3421440</v>
      </c>
      <c r="L397" s="17">
        <v>2282400</v>
      </c>
    </row>
    <row r="398" spans="1:12" ht="39.75" thickBot="1" x14ac:dyDescent="0.3">
      <c r="A398" s="27" t="s">
        <v>12</v>
      </c>
      <c r="B398" s="30">
        <f>SUM(C398:L398)</f>
        <v>886863</v>
      </c>
      <c r="C398" s="30">
        <v>80048</v>
      </c>
      <c r="D398" s="30">
        <v>64038</v>
      </c>
      <c r="E398" s="30">
        <v>48028</v>
      </c>
      <c r="F398" s="193">
        <v>0</v>
      </c>
      <c r="G398" s="193">
        <v>24000</v>
      </c>
      <c r="H398" s="193">
        <v>80483</v>
      </c>
      <c r="I398" s="193">
        <v>149979</v>
      </c>
      <c r="J398" s="193">
        <v>150429</v>
      </c>
      <c r="K398" s="193">
        <v>144929</v>
      </c>
      <c r="L398" s="134">
        <v>144929</v>
      </c>
    </row>
    <row r="399" spans="1:12" ht="96" customHeight="1" x14ac:dyDescent="0.25">
      <c r="A399" s="43" t="s">
        <v>96</v>
      </c>
      <c r="B399" s="33">
        <f>B400</f>
        <v>3061902</v>
      </c>
      <c r="C399" s="33">
        <f t="shared" ref="C399:L399" si="218">C400</f>
        <v>286637</v>
      </c>
      <c r="D399" s="33">
        <f t="shared" si="218"/>
        <v>286637</v>
      </c>
      <c r="E399" s="33">
        <f t="shared" si="218"/>
        <v>286637</v>
      </c>
      <c r="F399" s="33">
        <f t="shared" si="218"/>
        <v>0</v>
      </c>
      <c r="G399" s="33">
        <f t="shared" si="218"/>
        <v>125545</v>
      </c>
      <c r="H399" s="33">
        <f t="shared" si="218"/>
        <v>251090</v>
      </c>
      <c r="I399" s="33">
        <f t="shared" si="218"/>
        <v>376635</v>
      </c>
      <c r="J399" s="33">
        <f t="shared" si="218"/>
        <v>502180</v>
      </c>
      <c r="K399" s="33">
        <f t="shared" si="218"/>
        <v>67725</v>
      </c>
      <c r="L399" s="34">
        <f t="shared" si="218"/>
        <v>878816</v>
      </c>
    </row>
    <row r="400" spans="1:12" x14ac:dyDescent="0.25">
      <c r="A400" s="26" t="s">
        <v>139</v>
      </c>
      <c r="B400" s="20">
        <f>B401+B402</f>
        <v>3061902</v>
      </c>
      <c r="C400" s="20">
        <f t="shared" ref="C400:L400" si="219">C401+C402</f>
        <v>286637</v>
      </c>
      <c r="D400" s="20">
        <f t="shared" si="219"/>
        <v>286637</v>
      </c>
      <c r="E400" s="20">
        <f t="shared" si="219"/>
        <v>286637</v>
      </c>
      <c r="F400" s="20">
        <f t="shared" si="219"/>
        <v>0</v>
      </c>
      <c r="G400" s="20">
        <f t="shared" si="219"/>
        <v>125545</v>
      </c>
      <c r="H400" s="20">
        <f t="shared" si="219"/>
        <v>251090</v>
      </c>
      <c r="I400" s="20">
        <f t="shared" si="219"/>
        <v>376635</v>
      </c>
      <c r="J400" s="20">
        <f t="shared" si="219"/>
        <v>502180</v>
      </c>
      <c r="K400" s="20">
        <f t="shared" si="219"/>
        <v>67725</v>
      </c>
      <c r="L400" s="21">
        <f t="shared" si="219"/>
        <v>878816</v>
      </c>
    </row>
    <row r="401" spans="1:12" x14ac:dyDescent="0.25">
      <c r="A401" s="51" t="s">
        <v>11</v>
      </c>
      <c r="B401" s="54">
        <f>SUM(C401:L401)</f>
        <v>3061902</v>
      </c>
      <c r="C401" s="132">
        <v>286637</v>
      </c>
      <c r="D401" s="128">
        <v>286637</v>
      </c>
      <c r="E401" s="128">
        <v>286637</v>
      </c>
      <c r="F401" s="90">
        <v>0</v>
      </c>
      <c r="G401" s="90">
        <v>125545</v>
      </c>
      <c r="H401" s="90">
        <v>251090</v>
      </c>
      <c r="I401" s="90">
        <v>376635</v>
      </c>
      <c r="J401" s="90">
        <v>502180</v>
      </c>
      <c r="K401" s="90">
        <v>67725</v>
      </c>
      <c r="L401" s="91">
        <v>878816</v>
      </c>
    </row>
    <row r="402" spans="1:12" ht="38.25" customHeight="1" thickBot="1" x14ac:dyDescent="0.3">
      <c r="A402" s="27" t="s">
        <v>12</v>
      </c>
      <c r="B402" s="30">
        <f>SUM(C402:L402)</f>
        <v>0</v>
      </c>
      <c r="C402" s="30">
        <v>0</v>
      </c>
      <c r="D402" s="30">
        <v>0</v>
      </c>
      <c r="E402" s="30">
        <v>0</v>
      </c>
      <c r="F402" s="30">
        <v>0</v>
      </c>
      <c r="G402" s="30">
        <v>0</v>
      </c>
      <c r="H402" s="30">
        <v>0</v>
      </c>
      <c r="I402" s="30">
        <v>0</v>
      </c>
      <c r="J402" s="30">
        <v>0</v>
      </c>
      <c r="K402" s="30">
        <v>0</v>
      </c>
      <c r="L402" s="31">
        <v>0</v>
      </c>
    </row>
    <row r="403" spans="1:12" ht="38.25" x14ac:dyDescent="0.25">
      <c r="A403" s="43" t="s">
        <v>97</v>
      </c>
      <c r="B403" s="33" t="s">
        <v>101</v>
      </c>
      <c r="C403" s="33">
        <v>0</v>
      </c>
      <c r="D403" s="33">
        <v>0</v>
      </c>
      <c r="E403" s="33">
        <v>0</v>
      </c>
      <c r="F403" s="33">
        <v>0</v>
      </c>
      <c r="G403" s="33">
        <v>0</v>
      </c>
      <c r="H403" s="33" t="s">
        <v>101</v>
      </c>
      <c r="I403" s="33" t="s">
        <v>101</v>
      </c>
      <c r="J403" s="33" t="s">
        <v>101</v>
      </c>
      <c r="K403" s="33" t="s">
        <v>101</v>
      </c>
      <c r="L403" s="34" t="s">
        <v>101</v>
      </c>
    </row>
    <row r="404" spans="1:12" x14ac:dyDescent="0.25">
      <c r="A404" s="26" t="s">
        <v>72</v>
      </c>
      <c r="B404" s="20" t="s">
        <v>101</v>
      </c>
      <c r="C404" s="20">
        <v>0</v>
      </c>
      <c r="D404" s="20">
        <v>0</v>
      </c>
      <c r="E404" s="20">
        <v>0</v>
      </c>
      <c r="F404" s="20">
        <v>0</v>
      </c>
      <c r="G404" s="20">
        <v>0</v>
      </c>
      <c r="H404" s="20" t="s">
        <v>101</v>
      </c>
      <c r="I404" s="20" t="s">
        <v>101</v>
      </c>
      <c r="J404" s="20" t="s">
        <v>101</v>
      </c>
      <c r="K404" s="20" t="s">
        <v>101</v>
      </c>
      <c r="L404" s="21" t="s">
        <v>101</v>
      </c>
    </row>
    <row r="405" spans="1:12" x14ac:dyDescent="0.25">
      <c r="A405" s="51" t="s">
        <v>11</v>
      </c>
      <c r="B405" s="54" t="s">
        <v>101</v>
      </c>
      <c r="C405" s="54">
        <v>0</v>
      </c>
      <c r="D405" s="54">
        <v>0</v>
      </c>
      <c r="E405" s="54">
        <v>0</v>
      </c>
      <c r="F405" s="54">
        <v>0</v>
      </c>
      <c r="G405" s="54">
        <v>0</v>
      </c>
      <c r="H405" s="54" t="s">
        <v>101</v>
      </c>
      <c r="I405" s="54" t="s">
        <v>101</v>
      </c>
      <c r="J405" s="54" t="s">
        <v>101</v>
      </c>
      <c r="K405" s="54" t="s">
        <v>101</v>
      </c>
      <c r="L405" s="17" t="s">
        <v>101</v>
      </c>
    </row>
    <row r="406" spans="1:12" ht="39.75" thickBot="1" x14ac:dyDescent="0.3">
      <c r="A406" s="27" t="s">
        <v>12</v>
      </c>
      <c r="B406" s="30">
        <f>SUM(C406:L406)</f>
        <v>0</v>
      </c>
      <c r="C406" s="30">
        <v>0</v>
      </c>
      <c r="D406" s="30">
        <v>0</v>
      </c>
      <c r="E406" s="30">
        <v>0</v>
      </c>
      <c r="F406" s="30">
        <v>0</v>
      </c>
      <c r="G406" s="30">
        <v>0</v>
      </c>
      <c r="H406" s="30">
        <v>0</v>
      </c>
      <c r="I406" s="30">
        <v>0</v>
      </c>
      <c r="J406" s="30">
        <v>0</v>
      </c>
      <c r="K406" s="30">
        <v>0</v>
      </c>
      <c r="L406" s="31">
        <v>0</v>
      </c>
    </row>
    <row r="407" spans="1:12" ht="36.75" customHeight="1" x14ac:dyDescent="0.25">
      <c r="A407" s="43" t="s">
        <v>98</v>
      </c>
      <c r="B407" s="33" t="s">
        <v>101</v>
      </c>
      <c r="C407" s="33">
        <v>0</v>
      </c>
      <c r="D407" s="33">
        <v>0</v>
      </c>
      <c r="E407" s="33">
        <v>0</v>
      </c>
      <c r="F407" s="33">
        <v>0</v>
      </c>
      <c r="G407" s="33">
        <v>0</v>
      </c>
      <c r="H407" s="33" t="s">
        <v>101</v>
      </c>
      <c r="I407" s="33" t="s">
        <v>101</v>
      </c>
      <c r="J407" s="33" t="s">
        <v>101</v>
      </c>
      <c r="K407" s="33" t="s">
        <v>101</v>
      </c>
      <c r="L407" s="34" t="s">
        <v>101</v>
      </c>
    </row>
    <row r="408" spans="1:12" x14ac:dyDescent="0.25">
      <c r="A408" s="26" t="s">
        <v>72</v>
      </c>
      <c r="B408" s="20" t="s">
        <v>101</v>
      </c>
      <c r="C408" s="20">
        <v>0</v>
      </c>
      <c r="D408" s="20">
        <v>0</v>
      </c>
      <c r="E408" s="20">
        <v>0</v>
      </c>
      <c r="F408" s="20">
        <v>0</v>
      </c>
      <c r="G408" s="20">
        <v>0</v>
      </c>
      <c r="H408" s="20" t="s">
        <v>101</v>
      </c>
      <c r="I408" s="20" t="s">
        <v>101</v>
      </c>
      <c r="J408" s="20" t="s">
        <v>101</v>
      </c>
      <c r="K408" s="20" t="s">
        <v>101</v>
      </c>
      <c r="L408" s="21" t="s">
        <v>101</v>
      </c>
    </row>
    <row r="409" spans="1:12" x14ac:dyDescent="0.25">
      <c r="A409" s="51" t="s">
        <v>11</v>
      </c>
      <c r="B409" s="54" t="s">
        <v>101</v>
      </c>
      <c r="C409" s="54">
        <v>0</v>
      </c>
      <c r="D409" s="54">
        <v>0</v>
      </c>
      <c r="E409" s="54">
        <v>0</v>
      </c>
      <c r="F409" s="54">
        <v>0</v>
      </c>
      <c r="G409" s="54">
        <v>0</v>
      </c>
      <c r="H409" s="54" t="s">
        <v>101</v>
      </c>
      <c r="I409" s="54" t="s">
        <v>101</v>
      </c>
      <c r="J409" s="54" t="s">
        <v>101</v>
      </c>
      <c r="K409" s="54" t="s">
        <v>101</v>
      </c>
      <c r="L409" s="17" t="s">
        <v>101</v>
      </c>
    </row>
    <row r="410" spans="1:12" ht="39.75" thickBot="1" x14ac:dyDescent="0.3">
      <c r="A410" s="27" t="s">
        <v>12</v>
      </c>
      <c r="B410" s="30">
        <f>SUM(C410:L410)</f>
        <v>0</v>
      </c>
      <c r="C410" s="30">
        <v>0</v>
      </c>
      <c r="D410" s="30">
        <v>0</v>
      </c>
      <c r="E410" s="30">
        <v>0</v>
      </c>
      <c r="F410" s="30">
        <v>0</v>
      </c>
      <c r="G410" s="30">
        <v>0</v>
      </c>
      <c r="H410" s="30">
        <v>0</v>
      </c>
      <c r="I410" s="30">
        <v>0</v>
      </c>
      <c r="J410" s="30">
        <v>0</v>
      </c>
      <c r="K410" s="30">
        <v>0</v>
      </c>
      <c r="L410" s="31">
        <v>0</v>
      </c>
    </row>
    <row r="411" spans="1:12" ht="20.25" customHeight="1" x14ac:dyDescent="0.25">
      <c r="A411" s="219" t="s">
        <v>73</v>
      </c>
      <c r="B411" s="220"/>
      <c r="C411" s="220"/>
      <c r="D411" s="220"/>
      <c r="E411" s="220"/>
      <c r="F411" s="220"/>
      <c r="G411" s="220"/>
      <c r="H411" s="220"/>
      <c r="I411" s="220"/>
      <c r="J411" s="220"/>
      <c r="K411" s="220"/>
      <c r="L411" s="221"/>
    </row>
    <row r="412" spans="1:12" x14ac:dyDescent="0.25">
      <c r="A412" s="38" t="s">
        <v>5</v>
      </c>
      <c r="B412" s="60">
        <f>B413+B414+B415+B416</f>
        <v>102624900.8</v>
      </c>
      <c r="C412" s="60">
        <f t="shared" ref="C412:L412" si="220">C413+C414+C415+C416</f>
        <v>50000</v>
      </c>
      <c r="D412" s="60">
        <f t="shared" si="220"/>
        <v>200000</v>
      </c>
      <c r="E412" s="60">
        <f t="shared" si="220"/>
        <v>47044.799999999988</v>
      </c>
      <c r="F412" s="60">
        <f t="shared" si="220"/>
        <v>0</v>
      </c>
      <c r="G412" s="60">
        <f t="shared" si="220"/>
        <v>50444997</v>
      </c>
      <c r="H412" s="60">
        <f t="shared" si="220"/>
        <v>50444997</v>
      </c>
      <c r="I412" s="60">
        <f t="shared" si="220"/>
        <v>56725485</v>
      </c>
      <c r="J412" s="60">
        <f t="shared" si="220"/>
        <v>61558569</v>
      </c>
      <c r="K412" s="60">
        <f t="shared" si="220"/>
        <v>61558569</v>
      </c>
      <c r="L412" s="61">
        <f t="shared" si="220"/>
        <v>61558569</v>
      </c>
    </row>
    <row r="413" spans="1:12" x14ac:dyDescent="0.25">
      <c r="A413" s="39" t="s">
        <v>6</v>
      </c>
      <c r="B413" s="77">
        <f>B434</f>
        <v>39621204</v>
      </c>
      <c r="C413" s="77">
        <v>0</v>
      </c>
      <c r="D413" s="77">
        <v>0</v>
      </c>
      <c r="E413" s="77">
        <v>0</v>
      </c>
      <c r="F413" s="77">
        <v>0</v>
      </c>
      <c r="G413" s="77">
        <v>0</v>
      </c>
      <c r="H413" s="77">
        <v>0</v>
      </c>
      <c r="I413" s="77">
        <f>I434</f>
        <v>6280488</v>
      </c>
      <c r="J413" s="77">
        <f t="shared" ref="J413:L413" si="221">J434</f>
        <v>11113572</v>
      </c>
      <c r="K413" s="77">
        <f t="shared" si="221"/>
        <v>11113572</v>
      </c>
      <c r="L413" s="79">
        <f t="shared" si="221"/>
        <v>11113572</v>
      </c>
    </row>
    <row r="414" spans="1:12" x14ac:dyDescent="0.25">
      <c r="A414" s="39" t="s">
        <v>7</v>
      </c>
      <c r="B414" s="77">
        <f>SUM(C414:L414)</f>
        <v>0</v>
      </c>
      <c r="C414" s="77">
        <v>0</v>
      </c>
      <c r="D414" s="77">
        <v>0</v>
      </c>
      <c r="E414" s="77">
        <v>0</v>
      </c>
      <c r="F414" s="77">
        <v>0</v>
      </c>
      <c r="G414" s="77">
        <v>0</v>
      </c>
      <c r="H414" s="77">
        <v>0</v>
      </c>
      <c r="I414" s="77">
        <v>0</v>
      </c>
      <c r="J414" s="77">
        <v>0</v>
      </c>
      <c r="K414" s="77">
        <v>0</v>
      </c>
      <c r="L414" s="79">
        <v>0</v>
      </c>
    </row>
    <row r="415" spans="1:12" ht="26.25" x14ac:dyDescent="0.25">
      <c r="A415" s="39" t="s">
        <v>8</v>
      </c>
      <c r="B415" s="77">
        <f>SUM(C415:L415)</f>
        <v>0</v>
      </c>
      <c r="C415" s="77">
        <v>0</v>
      </c>
      <c r="D415" s="77">
        <v>0</v>
      </c>
      <c r="E415" s="77">
        <v>0</v>
      </c>
      <c r="F415" s="77">
        <v>0</v>
      </c>
      <c r="G415" s="77">
        <v>0</v>
      </c>
      <c r="H415" s="77">
        <v>0</v>
      </c>
      <c r="I415" s="77">
        <v>0</v>
      </c>
      <c r="J415" s="77">
        <v>0</v>
      </c>
      <c r="K415" s="77">
        <v>0</v>
      </c>
      <c r="L415" s="79">
        <v>0</v>
      </c>
    </row>
    <row r="416" spans="1:12" x14ac:dyDescent="0.25">
      <c r="A416" s="38" t="s">
        <v>9</v>
      </c>
      <c r="B416" s="60">
        <f>B422</f>
        <v>63003696.799999997</v>
      </c>
      <c r="C416" s="60">
        <f t="shared" ref="C416:L416" si="222">C422</f>
        <v>50000</v>
      </c>
      <c r="D416" s="60">
        <f t="shared" si="222"/>
        <v>200000</v>
      </c>
      <c r="E416" s="60">
        <f t="shared" si="222"/>
        <v>47044.799999999988</v>
      </c>
      <c r="F416" s="60">
        <f t="shared" si="222"/>
        <v>0</v>
      </c>
      <c r="G416" s="60">
        <f t="shared" si="222"/>
        <v>50444997</v>
      </c>
      <c r="H416" s="60">
        <f t="shared" si="222"/>
        <v>50444997</v>
      </c>
      <c r="I416" s="60">
        <f t="shared" si="222"/>
        <v>50444997</v>
      </c>
      <c r="J416" s="60">
        <f t="shared" si="222"/>
        <v>50444997</v>
      </c>
      <c r="K416" s="60">
        <f t="shared" si="222"/>
        <v>50444997</v>
      </c>
      <c r="L416" s="61">
        <f t="shared" si="222"/>
        <v>50444997</v>
      </c>
    </row>
    <row r="417" spans="1:13" x14ac:dyDescent="0.25">
      <c r="A417" s="39" t="s">
        <v>10</v>
      </c>
      <c r="B417" s="77"/>
      <c r="C417" s="77"/>
      <c r="D417" s="77"/>
      <c r="E417" s="77"/>
      <c r="F417" s="77"/>
      <c r="G417" s="77"/>
      <c r="H417" s="77"/>
      <c r="I417" s="77"/>
      <c r="J417" s="77"/>
      <c r="K417" s="77"/>
      <c r="L417" s="79"/>
    </row>
    <row r="418" spans="1:13" x14ac:dyDescent="0.25">
      <c r="A418" s="39" t="s">
        <v>11</v>
      </c>
      <c r="B418" s="40">
        <f>B423</f>
        <v>62706652</v>
      </c>
      <c r="C418" s="40">
        <f t="shared" ref="C418:L418" si="223">C423</f>
        <v>0</v>
      </c>
      <c r="D418" s="40">
        <f t="shared" si="223"/>
        <v>0</v>
      </c>
      <c r="E418" s="40">
        <f t="shared" si="223"/>
        <v>0</v>
      </c>
      <c r="F418" s="40">
        <f t="shared" si="223"/>
        <v>0</v>
      </c>
      <c r="G418" s="40">
        <f t="shared" si="223"/>
        <v>50444997</v>
      </c>
      <c r="H418" s="40">
        <f t="shared" si="223"/>
        <v>50444997</v>
      </c>
      <c r="I418" s="40">
        <f t="shared" si="223"/>
        <v>50444997</v>
      </c>
      <c r="J418" s="40">
        <f t="shared" si="223"/>
        <v>50444997</v>
      </c>
      <c r="K418" s="40">
        <f t="shared" si="223"/>
        <v>50444997</v>
      </c>
      <c r="L418" s="41">
        <f t="shared" si="223"/>
        <v>50444997</v>
      </c>
    </row>
    <row r="419" spans="1:13" ht="39.75" thickBot="1" x14ac:dyDescent="0.3">
      <c r="A419" s="80" t="s">
        <v>12</v>
      </c>
      <c r="B419" s="81">
        <f>B424</f>
        <v>297044.8</v>
      </c>
      <c r="C419" s="81">
        <f t="shared" ref="C419:L419" si="224">C424</f>
        <v>50000</v>
      </c>
      <c r="D419" s="81">
        <f t="shared" si="224"/>
        <v>200000</v>
      </c>
      <c r="E419" s="81">
        <f t="shared" si="224"/>
        <v>47044.799999999988</v>
      </c>
      <c r="F419" s="81">
        <f t="shared" si="224"/>
        <v>0</v>
      </c>
      <c r="G419" s="81">
        <f t="shared" si="224"/>
        <v>0</v>
      </c>
      <c r="H419" s="81">
        <f t="shared" si="224"/>
        <v>0</v>
      </c>
      <c r="I419" s="81">
        <f t="shared" si="224"/>
        <v>0</v>
      </c>
      <c r="J419" s="81">
        <f t="shared" si="224"/>
        <v>0</v>
      </c>
      <c r="K419" s="81">
        <f t="shared" si="224"/>
        <v>0</v>
      </c>
      <c r="L419" s="82">
        <f t="shared" si="224"/>
        <v>0</v>
      </c>
    </row>
    <row r="420" spans="1:13" x14ac:dyDescent="0.25">
      <c r="A420" s="5" t="s">
        <v>13</v>
      </c>
      <c r="B420" s="12"/>
      <c r="C420" s="12"/>
      <c r="D420" s="12"/>
      <c r="E420" s="12"/>
      <c r="F420" s="12"/>
      <c r="G420" s="12"/>
      <c r="H420" s="12"/>
      <c r="I420" s="12"/>
      <c r="J420" s="12"/>
      <c r="K420" s="12"/>
      <c r="L420" s="13"/>
    </row>
    <row r="421" spans="1:13" x14ac:dyDescent="0.25">
      <c r="A421" s="6" t="s">
        <v>14</v>
      </c>
      <c r="B421" s="14"/>
      <c r="C421" s="14"/>
      <c r="D421" s="14"/>
      <c r="E421" s="14"/>
      <c r="F421" s="14"/>
      <c r="G421" s="14"/>
      <c r="H421" s="14"/>
      <c r="I421" s="14"/>
      <c r="J421" s="14"/>
      <c r="K421" s="14"/>
      <c r="L421" s="15"/>
    </row>
    <row r="422" spans="1:13" x14ac:dyDescent="0.25">
      <c r="A422" s="35" t="s">
        <v>27</v>
      </c>
      <c r="B422" s="14">
        <f>B423+B424</f>
        <v>63003696.799999997</v>
      </c>
      <c r="C422" s="14">
        <f t="shared" ref="C422:L422" si="225">C423+C424</f>
        <v>50000</v>
      </c>
      <c r="D422" s="14">
        <f t="shared" si="225"/>
        <v>200000</v>
      </c>
      <c r="E422" s="14">
        <f t="shared" si="225"/>
        <v>47044.799999999988</v>
      </c>
      <c r="F422" s="14">
        <f t="shared" si="225"/>
        <v>0</v>
      </c>
      <c r="G422" s="14">
        <f t="shared" si="225"/>
        <v>50444997</v>
      </c>
      <c r="H422" s="14">
        <f t="shared" si="225"/>
        <v>50444997</v>
      </c>
      <c r="I422" s="14">
        <f t="shared" si="225"/>
        <v>50444997</v>
      </c>
      <c r="J422" s="14">
        <f t="shared" si="225"/>
        <v>50444997</v>
      </c>
      <c r="K422" s="14">
        <f t="shared" si="225"/>
        <v>50444997</v>
      </c>
      <c r="L422" s="15">
        <f t="shared" si="225"/>
        <v>50444997</v>
      </c>
    </row>
    <row r="423" spans="1:13" x14ac:dyDescent="0.25">
      <c r="A423" s="6" t="s">
        <v>11</v>
      </c>
      <c r="B423" s="54">
        <f t="shared" ref="B423:L423" si="226">B427+B431+B436+B440</f>
        <v>62706652</v>
      </c>
      <c r="C423" s="54">
        <f t="shared" si="226"/>
        <v>0</v>
      </c>
      <c r="D423" s="54">
        <f t="shared" si="226"/>
        <v>0</v>
      </c>
      <c r="E423" s="54">
        <f t="shared" si="226"/>
        <v>0</v>
      </c>
      <c r="F423" s="54">
        <f t="shared" si="226"/>
        <v>0</v>
      </c>
      <c r="G423" s="54">
        <f t="shared" si="226"/>
        <v>50444997</v>
      </c>
      <c r="H423" s="54">
        <f t="shared" si="226"/>
        <v>50444997</v>
      </c>
      <c r="I423" s="54">
        <f t="shared" si="226"/>
        <v>50444997</v>
      </c>
      <c r="J423" s="54">
        <f t="shared" si="226"/>
        <v>50444997</v>
      </c>
      <c r="K423" s="54">
        <f t="shared" si="226"/>
        <v>50444997</v>
      </c>
      <c r="L423" s="17">
        <f t="shared" si="226"/>
        <v>50444997</v>
      </c>
    </row>
    <row r="424" spans="1:13" ht="40.5" customHeight="1" thickBot="1" x14ac:dyDescent="0.3">
      <c r="A424" s="7" t="s">
        <v>12</v>
      </c>
      <c r="B424" s="30">
        <f t="shared" ref="B424:L424" si="227">B428+B432+B437+B441</f>
        <v>297044.8</v>
      </c>
      <c r="C424" s="30">
        <f t="shared" si="227"/>
        <v>50000</v>
      </c>
      <c r="D424" s="30">
        <f t="shared" si="227"/>
        <v>200000</v>
      </c>
      <c r="E424" s="30">
        <f t="shared" si="227"/>
        <v>47044.799999999988</v>
      </c>
      <c r="F424" s="30">
        <f t="shared" si="227"/>
        <v>0</v>
      </c>
      <c r="G424" s="30">
        <f t="shared" si="227"/>
        <v>0</v>
      </c>
      <c r="H424" s="30">
        <f t="shared" si="227"/>
        <v>0</v>
      </c>
      <c r="I424" s="30">
        <f t="shared" si="227"/>
        <v>0</v>
      </c>
      <c r="J424" s="30">
        <f t="shared" si="227"/>
        <v>0</v>
      </c>
      <c r="K424" s="30">
        <f t="shared" si="227"/>
        <v>0</v>
      </c>
      <c r="L424" s="31">
        <f t="shared" si="227"/>
        <v>0</v>
      </c>
    </row>
    <row r="425" spans="1:13" ht="25.5" x14ac:dyDescent="0.25">
      <c r="A425" s="43" t="s">
        <v>74</v>
      </c>
      <c r="B425" s="33">
        <f>B426</f>
        <v>14713986</v>
      </c>
      <c r="C425" s="33">
        <f t="shared" ref="C425:L425" si="228">C426</f>
        <v>0</v>
      </c>
      <c r="D425" s="33">
        <f t="shared" si="228"/>
        <v>0</v>
      </c>
      <c r="E425" s="33">
        <f t="shared" si="228"/>
        <v>0</v>
      </c>
      <c r="F425" s="33">
        <f t="shared" si="228"/>
        <v>0</v>
      </c>
      <c r="G425" s="33">
        <f t="shared" si="228"/>
        <v>2452331</v>
      </c>
      <c r="H425" s="33">
        <f t="shared" si="228"/>
        <v>2452331</v>
      </c>
      <c r="I425" s="33">
        <f t="shared" si="228"/>
        <v>2452331</v>
      </c>
      <c r="J425" s="33">
        <f t="shared" si="228"/>
        <v>2452331</v>
      </c>
      <c r="K425" s="33">
        <f t="shared" si="228"/>
        <v>2452331</v>
      </c>
      <c r="L425" s="34">
        <f t="shared" si="228"/>
        <v>2452331</v>
      </c>
    </row>
    <row r="426" spans="1:13" x14ac:dyDescent="0.25">
      <c r="A426" s="26" t="s">
        <v>27</v>
      </c>
      <c r="B426" s="20">
        <f>B427+B428</f>
        <v>14713986</v>
      </c>
      <c r="C426" s="20">
        <f t="shared" ref="C426:L426" si="229">C427+C428</f>
        <v>0</v>
      </c>
      <c r="D426" s="20">
        <f t="shared" si="229"/>
        <v>0</v>
      </c>
      <c r="E426" s="20">
        <f t="shared" si="229"/>
        <v>0</v>
      </c>
      <c r="F426" s="20">
        <f t="shared" si="229"/>
        <v>0</v>
      </c>
      <c r="G426" s="20">
        <f t="shared" si="229"/>
        <v>2452331</v>
      </c>
      <c r="H426" s="20">
        <f t="shared" si="229"/>
        <v>2452331</v>
      </c>
      <c r="I426" s="20">
        <f t="shared" si="229"/>
        <v>2452331</v>
      </c>
      <c r="J426" s="20">
        <f t="shared" si="229"/>
        <v>2452331</v>
      </c>
      <c r="K426" s="20">
        <f t="shared" si="229"/>
        <v>2452331</v>
      </c>
      <c r="L426" s="21">
        <f t="shared" si="229"/>
        <v>2452331</v>
      </c>
    </row>
    <row r="427" spans="1:13" x14ac:dyDescent="0.25">
      <c r="A427" s="51" t="s">
        <v>11</v>
      </c>
      <c r="B427" s="54">
        <f>SUM(C427:L427)</f>
        <v>14713986</v>
      </c>
      <c r="C427" s="54">
        <v>0</v>
      </c>
      <c r="D427" s="132"/>
      <c r="E427" s="132"/>
      <c r="F427" s="132"/>
      <c r="G427" s="54">
        <v>2452331</v>
      </c>
      <c r="H427" s="54">
        <v>2452331</v>
      </c>
      <c r="I427" s="54">
        <v>2452331</v>
      </c>
      <c r="J427" s="54">
        <v>2452331</v>
      </c>
      <c r="K427" s="54">
        <v>2452331</v>
      </c>
      <c r="L427" s="17">
        <v>2452331</v>
      </c>
    </row>
    <row r="428" spans="1:13" ht="39.75" thickBot="1" x14ac:dyDescent="0.3">
      <c r="A428" s="27" t="s">
        <v>12</v>
      </c>
      <c r="B428" s="30">
        <f>SUM(C428:L428)</f>
        <v>0</v>
      </c>
      <c r="C428" s="30">
        <v>0</v>
      </c>
      <c r="D428" s="30">
        <v>0</v>
      </c>
      <c r="E428" s="30">
        <v>0</v>
      </c>
      <c r="F428" s="30">
        <v>0</v>
      </c>
      <c r="G428" s="30">
        <v>0</v>
      </c>
      <c r="H428" s="30">
        <v>0</v>
      </c>
      <c r="I428" s="30">
        <v>0</v>
      </c>
      <c r="J428" s="30">
        <v>0</v>
      </c>
      <c r="K428" s="30">
        <v>0</v>
      </c>
      <c r="L428" s="31">
        <v>0</v>
      </c>
    </row>
    <row r="429" spans="1:13" ht="102" x14ac:dyDescent="0.25">
      <c r="A429" s="43" t="s">
        <v>75</v>
      </c>
      <c r="B429" s="33">
        <f>B430</f>
        <v>0</v>
      </c>
      <c r="C429" s="33">
        <f t="shared" ref="C429:L429" si="230">C430</f>
        <v>0</v>
      </c>
      <c r="D429" s="33">
        <f t="shared" si="230"/>
        <v>0</v>
      </c>
      <c r="E429" s="33">
        <f t="shared" si="230"/>
        <v>0</v>
      </c>
      <c r="F429" s="33">
        <f t="shared" si="230"/>
        <v>0</v>
      </c>
      <c r="G429" s="33">
        <f t="shared" si="230"/>
        <v>0</v>
      </c>
      <c r="H429" s="33">
        <f t="shared" si="230"/>
        <v>0</v>
      </c>
      <c r="I429" s="33">
        <f t="shared" si="230"/>
        <v>0</v>
      </c>
      <c r="J429" s="33">
        <f t="shared" si="230"/>
        <v>0</v>
      </c>
      <c r="K429" s="33">
        <f t="shared" si="230"/>
        <v>0</v>
      </c>
      <c r="L429" s="34">
        <f t="shared" si="230"/>
        <v>0</v>
      </c>
      <c r="M429" s="180" t="s">
        <v>140</v>
      </c>
    </row>
    <row r="430" spans="1:13" x14ac:dyDescent="0.25">
      <c r="A430" s="26" t="s">
        <v>27</v>
      </c>
      <c r="B430" s="20">
        <f>B431+B432</f>
        <v>0</v>
      </c>
      <c r="C430" s="20">
        <f t="shared" ref="C430:L430" si="231">C431+C432</f>
        <v>0</v>
      </c>
      <c r="D430" s="20">
        <f t="shared" si="231"/>
        <v>0</v>
      </c>
      <c r="E430" s="20">
        <f t="shared" si="231"/>
        <v>0</v>
      </c>
      <c r="F430" s="20">
        <f t="shared" si="231"/>
        <v>0</v>
      </c>
      <c r="G430" s="20">
        <f t="shared" si="231"/>
        <v>0</v>
      </c>
      <c r="H430" s="20">
        <f t="shared" si="231"/>
        <v>0</v>
      </c>
      <c r="I430" s="20">
        <f t="shared" si="231"/>
        <v>0</v>
      </c>
      <c r="J430" s="20">
        <f t="shared" si="231"/>
        <v>0</v>
      </c>
      <c r="K430" s="20">
        <f t="shared" si="231"/>
        <v>0</v>
      </c>
      <c r="L430" s="21">
        <f t="shared" si="231"/>
        <v>0</v>
      </c>
    </row>
    <row r="431" spans="1:13" x14ac:dyDescent="0.25">
      <c r="A431" s="51" t="s">
        <v>11</v>
      </c>
      <c r="B431" s="54">
        <f>SUM(C431:L431)</f>
        <v>0</v>
      </c>
      <c r="C431" s="54">
        <v>0</v>
      </c>
      <c r="D431" s="54">
        <v>0</v>
      </c>
      <c r="E431" s="54">
        <v>0</v>
      </c>
      <c r="F431" s="54">
        <v>0</v>
      </c>
      <c r="G431" s="54">
        <v>0</v>
      </c>
      <c r="H431" s="54">
        <v>0</v>
      </c>
      <c r="I431" s="54">
        <v>0</v>
      </c>
      <c r="J431" s="54">
        <v>0</v>
      </c>
      <c r="K431" s="54">
        <v>0</v>
      </c>
      <c r="L431" s="17">
        <v>0</v>
      </c>
    </row>
    <row r="432" spans="1:13" ht="39.75" thickBot="1" x14ac:dyDescent="0.3">
      <c r="A432" s="27" t="s">
        <v>12</v>
      </c>
      <c r="B432" s="30">
        <f>SUM(C432:L432)</f>
        <v>0</v>
      </c>
      <c r="C432" s="30">
        <v>0</v>
      </c>
      <c r="D432" s="30">
        <v>0</v>
      </c>
      <c r="E432" s="30">
        <v>0</v>
      </c>
      <c r="F432" s="30">
        <v>0</v>
      </c>
      <c r="G432" s="30">
        <v>0</v>
      </c>
      <c r="H432" s="30">
        <v>0</v>
      </c>
      <c r="I432" s="30">
        <v>0</v>
      </c>
      <c r="J432" s="30">
        <v>0</v>
      </c>
      <c r="K432" s="30">
        <v>0</v>
      </c>
      <c r="L432" s="31">
        <v>0</v>
      </c>
    </row>
    <row r="433" spans="1:12" ht="51" x14ac:dyDescent="0.25">
      <c r="A433" s="43" t="s">
        <v>76</v>
      </c>
      <c r="B433" s="33">
        <f>B434+B435</f>
        <v>87613870</v>
      </c>
      <c r="C433" s="33">
        <f t="shared" ref="C433:F433" si="232">C435</f>
        <v>0</v>
      </c>
      <c r="D433" s="33">
        <f t="shared" si="232"/>
        <v>0</v>
      </c>
      <c r="E433" s="33">
        <f t="shared" si="232"/>
        <v>0</v>
      </c>
      <c r="F433" s="33">
        <f t="shared" si="232"/>
        <v>0</v>
      </c>
      <c r="G433" s="33">
        <f>G434+G435</f>
        <v>47992666</v>
      </c>
      <c r="H433" s="33">
        <f t="shared" ref="H433:L433" si="233">H434+H435</f>
        <v>47992666</v>
      </c>
      <c r="I433" s="33">
        <f t="shared" si="233"/>
        <v>54273154</v>
      </c>
      <c r="J433" s="33">
        <f t="shared" si="233"/>
        <v>59106238</v>
      </c>
      <c r="K433" s="33">
        <f t="shared" si="233"/>
        <v>59106238</v>
      </c>
      <c r="L433" s="34">
        <f t="shared" si="233"/>
        <v>59106238</v>
      </c>
    </row>
    <row r="434" spans="1:12" x14ac:dyDescent="0.25">
      <c r="A434" s="135" t="s">
        <v>6</v>
      </c>
      <c r="B434" s="112">
        <f>SUM(I434:L434)</f>
        <v>39621204</v>
      </c>
      <c r="C434" s="136">
        <v>0</v>
      </c>
      <c r="D434" s="136">
        <v>0</v>
      </c>
      <c r="E434" s="136">
        <v>0</v>
      </c>
      <c r="F434" s="136">
        <v>0</v>
      </c>
      <c r="G434" s="136">
        <v>0</v>
      </c>
      <c r="H434" s="136">
        <v>0</v>
      </c>
      <c r="I434" s="136">
        <v>6280488</v>
      </c>
      <c r="J434" s="136">
        <v>11113572</v>
      </c>
      <c r="K434" s="136">
        <v>11113572</v>
      </c>
      <c r="L434" s="194">
        <v>11113572</v>
      </c>
    </row>
    <row r="435" spans="1:12" x14ac:dyDescent="0.25">
      <c r="A435" s="26" t="s">
        <v>27</v>
      </c>
      <c r="B435" s="20">
        <f t="shared" ref="B435:L435" si="234">B436+B437</f>
        <v>47992666</v>
      </c>
      <c r="C435" s="20">
        <f t="shared" si="234"/>
        <v>0</v>
      </c>
      <c r="D435" s="20">
        <f t="shared" si="234"/>
        <v>0</v>
      </c>
      <c r="E435" s="20">
        <f t="shared" si="234"/>
        <v>0</v>
      </c>
      <c r="F435" s="20">
        <f t="shared" si="234"/>
        <v>0</v>
      </c>
      <c r="G435" s="20">
        <f t="shared" si="234"/>
        <v>47992666</v>
      </c>
      <c r="H435" s="20">
        <f t="shared" si="234"/>
        <v>47992666</v>
      </c>
      <c r="I435" s="20">
        <f t="shared" si="234"/>
        <v>47992666</v>
      </c>
      <c r="J435" s="20">
        <f t="shared" si="234"/>
        <v>47992666</v>
      </c>
      <c r="K435" s="20">
        <f t="shared" si="234"/>
        <v>47992666</v>
      </c>
      <c r="L435" s="21">
        <f t="shared" si="234"/>
        <v>47992666</v>
      </c>
    </row>
    <row r="436" spans="1:12" x14ac:dyDescent="0.25">
      <c r="A436" s="51" t="s">
        <v>11</v>
      </c>
      <c r="B436" s="54">
        <f>G436</f>
        <v>47992666</v>
      </c>
      <c r="C436" s="54">
        <v>0</v>
      </c>
      <c r="D436" s="54">
        <v>0</v>
      </c>
      <c r="E436" s="54">
        <v>0</v>
      </c>
      <c r="F436" s="54">
        <v>0</v>
      </c>
      <c r="G436" s="132">
        <v>47992666</v>
      </c>
      <c r="H436" s="132">
        <f>G436</f>
        <v>47992666</v>
      </c>
      <c r="I436" s="132">
        <f t="shared" ref="I436:L436" si="235">H436</f>
        <v>47992666</v>
      </c>
      <c r="J436" s="132">
        <f t="shared" si="235"/>
        <v>47992666</v>
      </c>
      <c r="K436" s="132">
        <f t="shared" si="235"/>
        <v>47992666</v>
      </c>
      <c r="L436" s="133">
        <f t="shared" si="235"/>
        <v>47992666</v>
      </c>
    </row>
    <row r="437" spans="1:12" ht="39.75" thickBot="1" x14ac:dyDescent="0.3">
      <c r="A437" s="27" t="s">
        <v>12</v>
      </c>
      <c r="B437" s="30">
        <f>SUM(C437:L437)</f>
        <v>0</v>
      </c>
      <c r="C437" s="30">
        <v>0</v>
      </c>
      <c r="D437" s="30">
        <v>0</v>
      </c>
      <c r="E437" s="30">
        <v>0</v>
      </c>
      <c r="F437" s="30">
        <v>0</v>
      </c>
      <c r="G437" s="30">
        <v>0</v>
      </c>
      <c r="H437" s="30">
        <v>0</v>
      </c>
      <c r="I437" s="30">
        <v>0</v>
      </c>
      <c r="J437" s="30">
        <v>0</v>
      </c>
      <c r="K437" s="30">
        <v>0</v>
      </c>
      <c r="L437" s="31">
        <v>0</v>
      </c>
    </row>
    <row r="438" spans="1:12" ht="38.25" x14ac:dyDescent="0.25">
      <c r="A438" s="43" t="s">
        <v>77</v>
      </c>
      <c r="B438" s="33">
        <f>B439</f>
        <v>297044.8</v>
      </c>
      <c r="C438" s="33">
        <f t="shared" ref="C438:L438" si="236">C439</f>
        <v>50000</v>
      </c>
      <c r="D438" s="33">
        <f t="shared" si="236"/>
        <v>200000</v>
      </c>
      <c r="E438" s="33">
        <f t="shared" si="236"/>
        <v>47044.799999999988</v>
      </c>
      <c r="F438" s="33">
        <f t="shared" si="236"/>
        <v>0</v>
      </c>
      <c r="G438" s="33">
        <f t="shared" si="236"/>
        <v>0</v>
      </c>
      <c r="H438" s="33">
        <f t="shared" si="236"/>
        <v>0</v>
      </c>
      <c r="I438" s="33">
        <f t="shared" si="236"/>
        <v>0</v>
      </c>
      <c r="J438" s="33">
        <f t="shared" si="236"/>
        <v>0</v>
      </c>
      <c r="K438" s="33">
        <f t="shared" si="236"/>
        <v>0</v>
      </c>
      <c r="L438" s="34">
        <f t="shared" si="236"/>
        <v>0</v>
      </c>
    </row>
    <row r="439" spans="1:12" x14ac:dyDescent="0.25">
      <c r="A439" s="26" t="s">
        <v>27</v>
      </c>
      <c r="B439" s="20">
        <f>B440+B441</f>
        <v>297044.8</v>
      </c>
      <c r="C439" s="20">
        <f t="shared" ref="C439:L439" si="237">C440+C441</f>
        <v>50000</v>
      </c>
      <c r="D439" s="20">
        <f t="shared" si="237"/>
        <v>200000</v>
      </c>
      <c r="E439" s="20">
        <f t="shared" si="237"/>
        <v>47044.799999999988</v>
      </c>
      <c r="F439" s="20">
        <f t="shared" si="237"/>
        <v>0</v>
      </c>
      <c r="G439" s="20">
        <f t="shared" si="237"/>
        <v>0</v>
      </c>
      <c r="H439" s="20">
        <f t="shared" si="237"/>
        <v>0</v>
      </c>
      <c r="I439" s="20">
        <f t="shared" si="237"/>
        <v>0</v>
      </c>
      <c r="J439" s="20">
        <f t="shared" si="237"/>
        <v>0</v>
      </c>
      <c r="K439" s="20">
        <f t="shared" si="237"/>
        <v>0</v>
      </c>
      <c r="L439" s="21">
        <f t="shared" si="237"/>
        <v>0</v>
      </c>
    </row>
    <row r="440" spans="1:12" x14ac:dyDescent="0.25">
      <c r="A440" s="51" t="s">
        <v>11</v>
      </c>
      <c r="B440" s="54">
        <f>SUM(C440:L440)</f>
        <v>0</v>
      </c>
      <c r="C440" s="54">
        <v>0</v>
      </c>
      <c r="D440" s="54">
        <v>0</v>
      </c>
      <c r="E440" s="54">
        <v>0</v>
      </c>
      <c r="F440" s="54">
        <v>0</v>
      </c>
      <c r="G440" s="54">
        <v>0</v>
      </c>
      <c r="H440" s="54">
        <v>0</v>
      </c>
      <c r="I440" s="54">
        <v>0</v>
      </c>
      <c r="J440" s="54">
        <v>0</v>
      </c>
      <c r="K440" s="54">
        <v>0</v>
      </c>
      <c r="L440" s="17">
        <v>0</v>
      </c>
    </row>
    <row r="441" spans="1:12" ht="39.75" thickBot="1" x14ac:dyDescent="0.3">
      <c r="A441" s="27" t="s">
        <v>12</v>
      </c>
      <c r="B441" s="30">
        <f>SUM(C441:L441)</f>
        <v>297044.8</v>
      </c>
      <c r="C441" s="30">
        <v>50000</v>
      </c>
      <c r="D441" s="30">
        <v>200000</v>
      </c>
      <c r="E441" s="30">
        <v>47044.799999999988</v>
      </c>
      <c r="F441" s="30">
        <v>0</v>
      </c>
      <c r="G441" s="30">
        <v>0</v>
      </c>
      <c r="H441" s="30">
        <v>0</v>
      </c>
      <c r="I441" s="30">
        <v>0</v>
      </c>
      <c r="J441" s="30">
        <v>0</v>
      </c>
      <c r="K441" s="30">
        <v>0</v>
      </c>
      <c r="L441" s="31">
        <v>0</v>
      </c>
    </row>
    <row r="442" spans="1:12" ht="23.25" customHeight="1" x14ac:dyDescent="0.25">
      <c r="A442" s="248" t="s">
        <v>78</v>
      </c>
      <c r="B442" s="249"/>
      <c r="C442" s="249"/>
      <c r="D442" s="249"/>
      <c r="E442" s="249"/>
      <c r="F442" s="249"/>
      <c r="G442" s="249"/>
      <c r="H442" s="249"/>
      <c r="I442" s="249"/>
      <c r="J442" s="249"/>
      <c r="K442" s="249"/>
      <c r="L442" s="250"/>
    </row>
    <row r="443" spans="1:12" x14ac:dyDescent="0.25">
      <c r="A443" s="38" t="s">
        <v>5</v>
      </c>
      <c r="B443" s="60">
        <f>B444+B445+B446+B447</f>
        <v>1000000</v>
      </c>
      <c r="C443" s="60">
        <f t="shared" ref="C443:L443" si="238">C444+C445+C446+C447</f>
        <v>0</v>
      </c>
      <c r="D443" s="60">
        <f t="shared" si="238"/>
        <v>0</v>
      </c>
      <c r="E443" s="60">
        <f t="shared" si="238"/>
        <v>0</v>
      </c>
      <c r="F443" s="60">
        <f t="shared" si="238"/>
        <v>0</v>
      </c>
      <c r="G443" s="60">
        <f t="shared" si="238"/>
        <v>50000</v>
      </c>
      <c r="H443" s="60">
        <f t="shared" si="238"/>
        <v>350000</v>
      </c>
      <c r="I443" s="60">
        <f t="shared" si="238"/>
        <v>350000</v>
      </c>
      <c r="J443" s="60">
        <f t="shared" si="238"/>
        <v>250000</v>
      </c>
      <c r="K443" s="60">
        <f t="shared" si="238"/>
        <v>0</v>
      </c>
      <c r="L443" s="61">
        <f t="shared" si="238"/>
        <v>0</v>
      </c>
    </row>
    <row r="444" spans="1:12" x14ac:dyDescent="0.25">
      <c r="A444" s="39" t="s">
        <v>6</v>
      </c>
      <c r="B444" s="77">
        <f>SUM(C444:L444)</f>
        <v>0</v>
      </c>
      <c r="C444" s="77">
        <v>0</v>
      </c>
      <c r="D444" s="77">
        <v>0</v>
      </c>
      <c r="E444" s="77">
        <v>0</v>
      </c>
      <c r="F444" s="77">
        <v>0</v>
      </c>
      <c r="G444" s="77">
        <v>0</v>
      </c>
      <c r="H444" s="77">
        <v>0</v>
      </c>
      <c r="I444" s="77">
        <v>0</v>
      </c>
      <c r="J444" s="77">
        <v>0</v>
      </c>
      <c r="K444" s="77">
        <v>0</v>
      </c>
      <c r="L444" s="79">
        <v>0</v>
      </c>
    </row>
    <row r="445" spans="1:12" x14ac:dyDescent="0.25">
      <c r="A445" s="39" t="s">
        <v>7</v>
      </c>
      <c r="B445" s="77">
        <f>SUM(C445:L445)</f>
        <v>0</v>
      </c>
      <c r="C445" s="77">
        <v>0</v>
      </c>
      <c r="D445" s="77">
        <v>0</v>
      </c>
      <c r="E445" s="77">
        <v>0</v>
      </c>
      <c r="F445" s="77">
        <v>0</v>
      </c>
      <c r="G445" s="77">
        <v>0</v>
      </c>
      <c r="H445" s="77">
        <v>0</v>
      </c>
      <c r="I445" s="77">
        <v>0</v>
      </c>
      <c r="J445" s="77">
        <v>0</v>
      </c>
      <c r="K445" s="77">
        <v>0</v>
      </c>
      <c r="L445" s="79">
        <v>0</v>
      </c>
    </row>
    <row r="446" spans="1:12" ht="26.25" x14ac:dyDescent="0.25">
      <c r="A446" s="39" t="s">
        <v>8</v>
      </c>
      <c r="B446" s="77">
        <f>SUM(C446:L446)</f>
        <v>0</v>
      </c>
      <c r="C446" s="77">
        <v>0</v>
      </c>
      <c r="D446" s="77">
        <v>0</v>
      </c>
      <c r="E446" s="77">
        <v>0</v>
      </c>
      <c r="F446" s="77">
        <v>0</v>
      </c>
      <c r="G446" s="77">
        <v>0</v>
      </c>
      <c r="H446" s="77">
        <v>0</v>
      </c>
      <c r="I446" s="77">
        <v>0</v>
      </c>
      <c r="J446" s="77">
        <v>0</v>
      </c>
      <c r="K446" s="77">
        <v>0</v>
      </c>
      <c r="L446" s="79">
        <v>0</v>
      </c>
    </row>
    <row r="447" spans="1:12" x14ac:dyDescent="0.25">
      <c r="A447" s="38" t="s">
        <v>9</v>
      </c>
      <c r="B447" s="60">
        <f>B449+B450</f>
        <v>1000000</v>
      </c>
      <c r="C447" s="60">
        <f t="shared" ref="C447:L447" si="239">C449+C450</f>
        <v>0</v>
      </c>
      <c r="D447" s="60">
        <f t="shared" si="239"/>
        <v>0</v>
      </c>
      <c r="E447" s="60">
        <f t="shared" si="239"/>
        <v>0</v>
      </c>
      <c r="F447" s="60">
        <f t="shared" si="239"/>
        <v>0</v>
      </c>
      <c r="G447" s="60">
        <f t="shared" si="239"/>
        <v>50000</v>
      </c>
      <c r="H447" s="60">
        <f t="shared" si="239"/>
        <v>350000</v>
      </c>
      <c r="I447" s="60">
        <f t="shared" si="239"/>
        <v>350000</v>
      </c>
      <c r="J447" s="60">
        <f t="shared" si="239"/>
        <v>250000</v>
      </c>
      <c r="K447" s="60">
        <f t="shared" si="239"/>
        <v>0</v>
      </c>
      <c r="L447" s="61">
        <f t="shared" si="239"/>
        <v>0</v>
      </c>
    </row>
    <row r="448" spans="1:12" x14ac:dyDescent="0.25">
      <c r="A448" s="39" t="s">
        <v>10</v>
      </c>
      <c r="B448" s="77"/>
      <c r="C448" s="77"/>
      <c r="D448" s="77"/>
      <c r="E448" s="77"/>
      <c r="F448" s="77"/>
      <c r="G448" s="77"/>
      <c r="H448" s="77"/>
      <c r="I448" s="77"/>
      <c r="J448" s="77"/>
      <c r="K448" s="77"/>
      <c r="L448" s="79"/>
    </row>
    <row r="449" spans="1:13" x14ac:dyDescent="0.25">
      <c r="A449" s="39" t="s">
        <v>11</v>
      </c>
      <c r="B449" s="40">
        <f>B454</f>
        <v>0</v>
      </c>
      <c r="C449" s="40">
        <f t="shared" ref="C449:L449" si="240">C454</f>
        <v>0</v>
      </c>
      <c r="D449" s="40">
        <f t="shared" si="240"/>
        <v>0</v>
      </c>
      <c r="E449" s="40">
        <f t="shared" si="240"/>
        <v>0</v>
      </c>
      <c r="F449" s="40">
        <f t="shared" si="240"/>
        <v>0</v>
      </c>
      <c r="G449" s="40">
        <f t="shared" si="240"/>
        <v>0</v>
      </c>
      <c r="H449" s="40">
        <f t="shared" si="240"/>
        <v>0</v>
      </c>
      <c r="I449" s="40">
        <f t="shared" si="240"/>
        <v>0</v>
      </c>
      <c r="J449" s="40">
        <f t="shared" si="240"/>
        <v>0</v>
      </c>
      <c r="K449" s="40">
        <f t="shared" si="240"/>
        <v>0</v>
      </c>
      <c r="L449" s="41">
        <f t="shared" si="240"/>
        <v>0</v>
      </c>
    </row>
    <row r="450" spans="1:13" ht="39.75" thickBot="1" x14ac:dyDescent="0.3">
      <c r="A450" s="80" t="s">
        <v>12</v>
      </c>
      <c r="B450" s="81">
        <f>B455</f>
        <v>1000000</v>
      </c>
      <c r="C450" s="81">
        <f t="shared" ref="C450:L450" si="241">C455</f>
        <v>0</v>
      </c>
      <c r="D450" s="81">
        <f t="shared" si="241"/>
        <v>0</v>
      </c>
      <c r="E450" s="81">
        <f t="shared" si="241"/>
        <v>0</v>
      </c>
      <c r="F450" s="81">
        <f t="shared" si="241"/>
        <v>0</v>
      </c>
      <c r="G450" s="81">
        <f t="shared" si="241"/>
        <v>50000</v>
      </c>
      <c r="H450" s="81">
        <f t="shared" si="241"/>
        <v>350000</v>
      </c>
      <c r="I450" s="81">
        <f t="shared" si="241"/>
        <v>350000</v>
      </c>
      <c r="J450" s="81">
        <f t="shared" si="241"/>
        <v>250000</v>
      </c>
      <c r="K450" s="81">
        <f t="shared" si="241"/>
        <v>0</v>
      </c>
      <c r="L450" s="82">
        <f t="shared" si="241"/>
        <v>0</v>
      </c>
    </row>
    <row r="451" spans="1:13" x14ac:dyDescent="0.25">
      <c r="A451" s="5" t="s">
        <v>13</v>
      </c>
      <c r="B451" s="12"/>
      <c r="C451" s="12"/>
      <c r="D451" s="12"/>
      <c r="E451" s="12"/>
      <c r="F451" s="12"/>
      <c r="G451" s="12"/>
      <c r="H451" s="12"/>
      <c r="I451" s="12"/>
      <c r="J451" s="12"/>
      <c r="K451" s="12"/>
      <c r="L451" s="13"/>
    </row>
    <row r="452" spans="1:13" x14ac:dyDescent="0.25">
      <c r="A452" s="6" t="s">
        <v>14</v>
      </c>
      <c r="B452" s="14"/>
      <c r="C452" s="14"/>
      <c r="D452" s="14"/>
      <c r="E452" s="14"/>
      <c r="F452" s="14"/>
      <c r="G452" s="14"/>
      <c r="H452" s="14"/>
      <c r="I452" s="14"/>
      <c r="J452" s="14"/>
      <c r="K452" s="14"/>
      <c r="L452" s="15"/>
    </row>
    <row r="453" spans="1:13" x14ac:dyDescent="0.25">
      <c r="A453" s="35" t="s">
        <v>27</v>
      </c>
      <c r="B453" s="14">
        <f>B454+B455</f>
        <v>1000000</v>
      </c>
      <c r="C453" s="14">
        <f t="shared" ref="C453:L453" si="242">C454+C455</f>
        <v>0</v>
      </c>
      <c r="D453" s="14">
        <f t="shared" si="242"/>
        <v>0</v>
      </c>
      <c r="E453" s="14">
        <f t="shared" si="242"/>
        <v>0</v>
      </c>
      <c r="F453" s="14">
        <f t="shared" si="242"/>
        <v>0</v>
      </c>
      <c r="G453" s="14">
        <f t="shared" si="242"/>
        <v>50000</v>
      </c>
      <c r="H453" s="14">
        <f t="shared" si="242"/>
        <v>350000</v>
      </c>
      <c r="I453" s="14">
        <f t="shared" si="242"/>
        <v>350000</v>
      </c>
      <c r="J453" s="14">
        <f t="shared" si="242"/>
        <v>250000</v>
      </c>
      <c r="K453" s="14">
        <f t="shared" si="242"/>
        <v>0</v>
      </c>
      <c r="L453" s="15">
        <f t="shared" si="242"/>
        <v>0</v>
      </c>
    </row>
    <row r="454" spans="1:13" x14ac:dyDescent="0.25">
      <c r="A454" s="6" t="s">
        <v>11</v>
      </c>
      <c r="B454" s="54">
        <f>SUM(C454:L454)</f>
        <v>0</v>
      </c>
      <c r="C454" s="54">
        <v>0</v>
      </c>
      <c r="D454" s="54">
        <v>0</v>
      </c>
      <c r="E454" s="54">
        <v>0</v>
      </c>
      <c r="F454" s="54">
        <v>0</v>
      </c>
      <c r="G454" s="54">
        <v>0</v>
      </c>
      <c r="H454" s="54">
        <v>0</v>
      </c>
      <c r="I454" s="54">
        <v>0</v>
      </c>
      <c r="J454" s="54">
        <v>0</v>
      </c>
      <c r="K454" s="54">
        <v>0</v>
      </c>
      <c r="L454" s="17">
        <v>0</v>
      </c>
    </row>
    <row r="455" spans="1:13" ht="39" customHeight="1" thickBot="1" x14ac:dyDescent="0.3">
      <c r="A455" s="7" t="s">
        <v>12</v>
      </c>
      <c r="B455" s="30">
        <f>SUM(C455:L455)</f>
        <v>1000000</v>
      </c>
      <c r="C455" s="30">
        <v>0</v>
      </c>
      <c r="D455" s="30">
        <v>0</v>
      </c>
      <c r="E455" s="30">
        <v>0</v>
      </c>
      <c r="F455" s="30">
        <v>0</v>
      </c>
      <c r="G455" s="195">
        <f>42500/85*100</f>
        <v>50000</v>
      </c>
      <c r="H455" s="195">
        <f>297500/85*100</f>
        <v>350000</v>
      </c>
      <c r="I455" s="195">
        <f>297500/85*100</f>
        <v>350000</v>
      </c>
      <c r="J455" s="195">
        <f>212500/85*100</f>
        <v>250000</v>
      </c>
      <c r="K455" s="30">
        <v>0</v>
      </c>
      <c r="L455" s="31">
        <v>0</v>
      </c>
    </row>
    <row r="456" spans="1:13" ht="32.25" customHeight="1" x14ac:dyDescent="0.25">
      <c r="A456" s="219" t="s">
        <v>79</v>
      </c>
      <c r="B456" s="220"/>
      <c r="C456" s="220"/>
      <c r="D456" s="220"/>
      <c r="E456" s="220"/>
      <c r="F456" s="220"/>
      <c r="G456" s="220"/>
      <c r="H456" s="220"/>
      <c r="I456" s="220"/>
      <c r="J456" s="220"/>
      <c r="K456" s="220"/>
      <c r="L456" s="221"/>
      <c r="M456" s="218" t="s">
        <v>145</v>
      </c>
    </row>
    <row r="457" spans="1:13" x14ac:dyDescent="0.25">
      <c r="A457" s="38" t="s">
        <v>5</v>
      </c>
      <c r="B457" s="60">
        <f>B458+B459+B460+B461</f>
        <v>51765000</v>
      </c>
      <c r="C457" s="60">
        <f t="shared" ref="C457:L457" si="243">C458+C459+C460+C461</f>
        <v>0</v>
      </c>
      <c r="D457" s="60">
        <f t="shared" si="243"/>
        <v>0</v>
      </c>
      <c r="E457" s="60">
        <f t="shared" si="243"/>
        <v>0</v>
      </c>
      <c r="F457" s="60">
        <f t="shared" si="243"/>
        <v>0</v>
      </c>
      <c r="G457" s="60">
        <f t="shared" si="243"/>
        <v>0</v>
      </c>
      <c r="H457" s="60">
        <f t="shared" si="243"/>
        <v>743750</v>
      </c>
      <c r="I457" s="60">
        <f t="shared" si="243"/>
        <v>4037500</v>
      </c>
      <c r="J457" s="60">
        <f t="shared" si="243"/>
        <v>8075000</v>
      </c>
      <c r="K457" s="60">
        <f t="shared" si="243"/>
        <v>12133750</v>
      </c>
      <c r="L457" s="61">
        <f t="shared" si="243"/>
        <v>26775000</v>
      </c>
      <c r="M457" s="218"/>
    </row>
    <row r="458" spans="1:13" x14ac:dyDescent="0.25">
      <c r="A458" s="39" t="s">
        <v>6</v>
      </c>
      <c r="B458" s="77">
        <f>SUM(C458:L458)</f>
        <v>0</v>
      </c>
      <c r="C458" s="77">
        <v>0</v>
      </c>
      <c r="D458" s="77">
        <v>0</v>
      </c>
      <c r="E458" s="77">
        <v>0</v>
      </c>
      <c r="F458" s="77">
        <v>0</v>
      </c>
      <c r="G458" s="77">
        <v>0</v>
      </c>
      <c r="H458" s="77">
        <v>0</v>
      </c>
      <c r="I458" s="77">
        <v>0</v>
      </c>
      <c r="J458" s="77">
        <v>0</v>
      </c>
      <c r="K458" s="77">
        <v>0</v>
      </c>
      <c r="L458" s="79">
        <v>0</v>
      </c>
      <c r="M458" s="218"/>
    </row>
    <row r="459" spans="1:13" x14ac:dyDescent="0.25">
      <c r="A459" s="39" t="s">
        <v>7</v>
      </c>
      <c r="B459" s="77">
        <f>SUM(C459:L459)</f>
        <v>0</v>
      </c>
      <c r="C459" s="77">
        <v>0</v>
      </c>
      <c r="D459" s="77">
        <v>0</v>
      </c>
      <c r="E459" s="77">
        <v>0</v>
      </c>
      <c r="F459" s="77">
        <v>0</v>
      </c>
      <c r="G459" s="77">
        <v>0</v>
      </c>
      <c r="H459" s="77">
        <v>0</v>
      </c>
      <c r="I459" s="77">
        <v>0</v>
      </c>
      <c r="J459" s="77">
        <v>0</v>
      </c>
      <c r="K459" s="77">
        <v>0</v>
      </c>
      <c r="L459" s="79">
        <v>0</v>
      </c>
      <c r="M459" s="218"/>
    </row>
    <row r="460" spans="1:13" ht="26.25" x14ac:dyDescent="0.25">
      <c r="A460" s="39" t="s">
        <v>8</v>
      </c>
      <c r="B460" s="77">
        <f>SUM(C460:L460)</f>
        <v>0</v>
      </c>
      <c r="C460" s="77">
        <v>0</v>
      </c>
      <c r="D460" s="77">
        <v>0</v>
      </c>
      <c r="E460" s="77">
        <v>0</v>
      </c>
      <c r="F460" s="77">
        <v>0</v>
      </c>
      <c r="G460" s="77">
        <v>0</v>
      </c>
      <c r="H460" s="77">
        <v>0</v>
      </c>
      <c r="I460" s="77">
        <v>0</v>
      </c>
      <c r="J460" s="77">
        <v>0</v>
      </c>
      <c r="K460" s="77">
        <v>0</v>
      </c>
      <c r="L460" s="79">
        <v>0</v>
      </c>
      <c r="M460" s="218"/>
    </row>
    <row r="461" spans="1:13" x14ac:dyDescent="0.25">
      <c r="A461" s="38" t="s">
        <v>9</v>
      </c>
      <c r="B461" s="60">
        <f>B467</f>
        <v>51765000</v>
      </c>
      <c r="C461" s="60">
        <f t="shared" ref="C461:L461" si="244">C467</f>
        <v>0</v>
      </c>
      <c r="D461" s="60">
        <f t="shared" si="244"/>
        <v>0</v>
      </c>
      <c r="E461" s="60">
        <f t="shared" si="244"/>
        <v>0</v>
      </c>
      <c r="F461" s="60">
        <f t="shared" si="244"/>
        <v>0</v>
      </c>
      <c r="G461" s="60">
        <f t="shared" si="244"/>
        <v>0</v>
      </c>
      <c r="H461" s="60">
        <f t="shared" si="244"/>
        <v>743750</v>
      </c>
      <c r="I461" s="60">
        <f t="shared" si="244"/>
        <v>4037500</v>
      </c>
      <c r="J461" s="60">
        <f t="shared" si="244"/>
        <v>8075000</v>
      </c>
      <c r="K461" s="60">
        <f t="shared" si="244"/>
        <v>12133750</v>
      </c>
      <c r="L461" s="61">
        <f t="shared" si="244"/>
        <v>26775000</v>
      </c>
      <c r="M461" s="218"/>
    </row>
    <row r="462" spans="1:13" x14ac:dyDescent="0.25">
      <c r="A462" s="39" t="s">
        <v>10</v>
      </c>
      <c r="B462" s="77"/>
      <c r="C462" s="77"/>
      <c r="D462" s="77"/>
      <c r="E462" s="77"/>
      <c r="F462" s="77"/>
      <c r="G462" s="77"/>
      <c r="H462" s="77"/>
      <c r="I462" s="77"/>
      <c r="J462" s="77"/>
      <c r="K462" s="77"/>
      <c r="L462" s="79"/>
      <c r="M462" s="218"/>
    </row>
    <row r="463" spans="1:13" x14ac:dyDescent="0.25">
      <c r="A463" s="39" t="s">
        <v>11</v>
      </c>
      <c r="B463" s="40">
        <f>B468</f>
        <v>0</v>
      </c>
      <c r="C463" s="40">
        <f t="shared" ref="C463:L463" si="245">C468</f>
        <v>0</v>
      </c>
      <c r="D463" s="40">
        <f t="shared" si="245"/>
        <v>0</v>
      </c>
      <c r="E463" s="40">
        <f t="shared" si="245"/>
        <v>0</v>
      </c>
      <c r="F463" s="40">
        <f t="shared" si="245"/>
        <v>0</v>
      </c>
      <c r="G463" s="40">
        <f t="shared" si="245"/>
        <v>0</v>
      </c>
      <c r="H463" s="40">
        <f t="shared" si="245"/>
        <v>0</v>
      </c>
      <c r="I463" s="40">
        <f t="shared" si="245"/>
        <v>0</v>
      </c>
      <c r="J463" s="40">
        <f t="shared" si="245"/>
        <v>0</v>
      </c>
      <c r="K463" s="40">
        <f t="shared" si="245"/>
        <v>0</v>
      </c>
      <c r="L463" s="41">
        <f t="shared" si="245"/>
        <v>0</v>
      </c>
      <c r="M463" s="218"/>
    </row>
    <row r="464" spans="1:13" ht="39.75" thickBot="1" x14ac:dyDescent="0.3">
      <c r="A464" s="80" t="s">
        <v>12</v>
      </c>
      <c r="B464" s="81">
        <f>B469</f>
        <v>51765000</v>
      </c>
      <c r="C464" s="81">
        <f t="shared" ref="C464:L464" si="246">C469</f>
        <v>0</v>
      </c>
      <c r="D464" s="81">
        <f t="shared" si="246"/>
        <v>0</v>
      </c>
      <c r="E464" s="81">
        <f t="shared" si="246"/>
        <v>0</v>
      </c>
      <c r="F464" s="81">
        <f t="shared" si="246"/>
        <v>0</v>
      </c>
      <c r="G464" s="81">
        <f t="shared" si="246"/>
        <v>0</v>
      </c>
      <c r="H464" s="81">
        <f t="shared" si="246"/>
        <v>743750</v>
      </c>
      <c r="I464" s="81">
        <f t="shared" si="246"/>
        <v>4037500</v>
      </c>
      <c r="J464" s="81">
        <f t="shared" si="246"/>
        <v>8075000</v>
      </c>
      <c r="K464" s="81">
        <f t="shared" si="246"/>
        <v>12133750</v>
      </c>
      <c r="L464" s="82">
        <f t="shared" si="246"/>
        <v>26775000</v>
      </c>
      <c r="M464" s="218"/>
    </row>
    <row r="465" spans="1:13" ht="15.75" thickBot="1" x14ac:dyDescent="0.3">
      <c r="A465" s="99" t="s">
        <v>13</v>
      </c>
      <c r="B465" s="100"/>
      <c r="C465" s="100"/>
      <c r="D465" s="100"/>
      <c r="E465" s="100"/>
      <c r="F465" s="100"/>
      <c r="G465" s="100"/>
      <c r="H465" s="100"/>
      <c r="I465" s="100"/>
      <c r="J465" s="100"/>
      <c r="K465" s="100"/>
      <c r="L465" s="101"/>
    </row>
    <row r="466" spans="1:13" x14ac:dyDescent="0.25">
      <c r="A466" s="44" t="s">
        <v>14</v>
      </c>
      <c r="B466" s="12"/>
      <c r="C466" s="12"/>
      <c r="D466" s="12"/>
      <c r="E466" s="12"/>
      <c r="F466" s="12"/>
      <c r="G466" s="12"/>
      <c r="H466" s="12"/>
      <c r="I466" s="12"/>
      <c r="J466" s="12"/>
      <c r="K466" s="12"/>
      <c r="L466" s="13"/>
    </row>
    <row r="467" spans="1:13" x14ac:dyDescent="0.25">
      <c r="A467" s="35" t="s">
        <v>15</v>
      </c>
      <c r="B467" s="14">
        <f>B468+B469</f>
        <v>51765000</v>
      </c>
      <c r="C467" s="14">
        <f t="shared" ref="C467:L467" si="247">C468+C469</f>
        <v>0</v>
      </c>
      <c r="D467" s="14">
        <f t="shared" si="247"/>
        <v>0</v>
      </c>
      <c r="E467" s="14">
        <f t="shared" si="247"/>
        <v>0</v>
      </c>
      <c r="F467" s="14">
        <f t="shared" si="247"/>
        <v>0</v>
      </c>
      <c r="G467" s="14">
        <f t="shared" si="247"/>
        <v>0</v>
      </c>
      <c r="H467" s="14">
        <f t="shared" si="247"/>
        <v>743750</v>
      </c>
      <c r="I467" s="14">
        <f t="shared" si="247"/>
        <v>4037500</v>
      </c>
      <c r="J467" s="14">
        <f t="shared" si="247"/>
        <v>8075000</v>
      </c>
      <c r="K467" s="14">
        <f t="shared" si="247"/>
        <v>12133750</v>
      </c>
      <c r="L467" s="15">
        <f t="shared" si="247"/>
        <v>26775000</v>
      </c>
    </row>
    <row r="468" spans="1:13" x14ac:dyDescent="0.25">
      <c r="A468" s="6" t="s">
        <v>11</v>
      </c>
      <c r="B468" s="54">
        <f>SUM(C468:L468)</f>
        <v>0</v>
      </c>
      <c r="C468" s="54">
        <v>0</v>
      </c>
      <c r="D468" s="54">
        <v>0</v>
      </c>
      <c r="E468" s="54">
        <v>0</v>
      </c>
      <c r="F468" s="54">
        <v>0</v>
      </c>
      <c r="G468" s="54">
        <v>0</v>
      </c>
      <c r="H468" s="54">
        <v>0</v>
      </c>
      <c r="I468" s="54">
        <v>0</v>
      </c>
      <c r="J468" s="54">
        <v>0</v>
      </c>
      <c r="K468" s="54">
        <v>0</v>
      </c>
      <c r="L468" s="17">
        <v>0</v>
      </c>
    </row>
    <row r="469" spans="1:13" ht="42" customHeight="1" thickBot="1" x14ac:dyDescent="0.3">
      <c r="A469" s="7" t="s">
        <v>12</v>
      </c>
      <c r="B469" s="30">
        <f>SUM(C469:L469)</f>
        <v>51765000</v>
      </c>
      <c r="C469" s="30">
        <v>0</v>
      </c>
      <c r="D469" s="30">
        <v>0</v>
      </c>
      <c r="E469" s="30">
        <v>0</v>
      </c>
      <c r="F469" s="30">
        <v>0</v>
      </c>
      <c r="G469" s="30">
        <v>0</v>
      </c>
      <c r="H469" s="136">
        <v>743750</v>
      </c>
      <c r="I469" s="136">
        <v>4037500</v>
      </c>
      <c r="J469" s="136">
        <v>8075000</v>
      </c>
      <c r="K469" s="136">
        <v>12133750</v>
      </c>
      <c r="L469" s="134">
        <f>13918750+12856250</f>
        <v>26775000</v>
      </c>
    </row>
    <row r="470" spans="1:13" x14ac:dyDescent="0.25">
      <c r="A470" s="219" t="s">
        <v>80</v>
      </c>
      <c r="B470" s="220"/>
      <c r="C470" s="220"/>
      <c r="D470" s="220"/>
      <c r="E470" s="220"/>
      <c r="F470" s="220"/>
      <c r="G470" s="220"/>
      <c r="H470" s="220"/>
      <c r="I470" s="220"/>
      <c r="J470" s="220"/>
      <c r="K470" s="220"/>
      <c r="L470" s="221"/>
      <c r="M470" s="217" t="s">
        <v>146</v>
      </c>
    </row>
    <row r="471" spans="1:13" x14ac:dyDescent="0.25">
      <c r="A471" s="38" t="s">
        <v>5</v>
      </c>
      <c r="B471" s="60">
        <f>B472+B473+B474+B475</f>
        <v>28887500</v>
      </c>
      <c r="C471" s="60">
        <f t="shared" ref="C471:L471" si="248">C472+C473+C474+C475</f>
        <v>0</v>
      </c>
      <c r="D471" s="60">
        <f t="shared" si="248"/>
        <v>0</v>
      </c>
      <c r="E471" s="60">
        <f t="shared" si="248"/>
        <v>0</v>
      </c>
      <c r="F471" s="60">
        <f t="shared" si="248"/>
        <v>0</v>
      </c>
      <c r="G471" s="60">
        <f t="shared" si="248"/>
        <v>0</v>
      </c>
      <c r="H471" s="60">
        <f t="shared" si="248"/>
        <v>6262500</v>
      </c>
      <c r="I471" s="60">
        <f t="shared" si="248"/>
        <v>7325000</v>
      </c>
      <c r="J471" s="60">
        <f t="shared" si="248"/>
        <v>2125000</v>
      </c>
      <c r="K471" s="60">
        <f t="shared" si="248"/>
        <v>4250000</v>
      </c>
      <c r="L471" s="61">
        <f t="shared" si="248"/>
        <v>8925000</v>
      </c>
      <c r="M471" s="217"/>
    </row>
    <row r="472" spans="1:13" x14ac:dyDescent="0.25">
      <c r="A472" s="39" t="s">
        <v>6</v>
      </c>
      <c r="B472" s="77">
        <f>SUM(C472:L472)</f>
        <v>0</v>
      </c>
      <c r="C472" s="77"/>
      <c r="D472" s="77"/>
      <c r="E472" s="77"/>
      <c r="F472" s="77"/>
      <c r="G472" s="77"/>
      <c r="H472" s="77"/>
      <c r="I472" s="77"/>
      <c r="J472" s="77"/>
      <c r="K472" s="77"/>
      <c r="L472" s="79"/>
      <c r="M472" s="217"/>
    </row>
    <row r="473" spans="1:13" x14ac:dyDescent="0.25">
      <c r="A473" s="39" t="s">
        <v>7</v>
      </c>
      <c r="B473" s="77">
        <f>SUM(C473:L473)</f>
        <v>0</v>
      </c>
      <c r="C473" s="77"/>
      <c r="D473" s="77"/>
      <c r="E473" s="77"/>
      <c r="F473" s="77"/>
      <c r="G473" s="77"/>
      <c r="H473" s="77"/>
      <c r="I473" s="77"/>
      <c r="J473" s="77"/>
      <c r="K473" s="77"/>
      <c r="L473" s="79"/>
      <c r="M473" s="217"/>
    </row>
    <row r="474" spans="1:13" ht="26.25" x14ac:dyDescent="0.25">
      <c r="A474" s="39" t="s">
        <v>8</v>
      </c>
      <c r="B474" s="77">
        <f>SUM(C474:L474)</f>
        <v>0</v>
      </c>
      <c r="C474" s="77"/>
      <c r="D474" s="77"/>
      <c r="E474" s="77"/>
      <c r="F474" s="77"/>
      <c r="G474" s="77"/>
      <c r="H474" s="77"/>
      <c r="I474" s="77"/>
      <c r="J474" s="77"/>
      <c r="K474" s="77"/>
      <c r="L474" s="79"/>
      <c r="M474" s="217"/>
    </row>
    <row r="475" spans="1:13" x14ac:dyDescent="0.25">
      <c r="A475" s="38" t="s">
        <v>9</v>
      </c>
      <c r="B475" s="60">
        <f>B481+B484</f>
        <v>28887500</v>
      </c>
      <c r="C475" s="60">
        <f t="shared" ref="C475:L475" si="249">C481+C484</f>
        <v>0</v>
      </c>
      <c r="D475" s="60">
        <f t="shared" si="249"/>
        <v>0</v>
      </c>
      <c r="E475" s="60">
        <f t="shared" si="249"/>
        <v>0</v>
      </c>
      <c r="F475" s="60">
        <f t="shared" si="249"/>
        <v>0</v>
      </c>
      <c r="G475" s="60">
        <f t="shared" si="249"/>
        <v>0</v>
      </c>
      <c r="H475" s="60">
        <f t="shared" si="249"/>
        <v>6262500</v>
      </c>
      <c r="I475" s="60">
        <f t="shared" si="249"/>
        <v>7325000</v>
      </c>
      <c r="J475" s="60">
        <f t="shared" si="249"/>
        <v>2125000</v>
      </c>
      <c r="K475" s="60">
        <f t="shared" si="249"/>
        <v>4250000</v>
      </c>
      <c r="L475" s="61">
        <f t="shared" si="249"/>
        <v>8925000</v>
      </c>
      <c r="M475" s="217"/>
    </row>
    <row r="476" spans="1:13" x14ac:dyDescent="0.25">
      <c r="A476" s="39" t="s">
        <v>10</v>
      </c>
      <c r="B476" s="77"/>
      <c r="C476" s="77"/>
      <c r="D476" s="77"/>
      <c r="E476" s="77"/>
      <c r="F476" s="77"/>
      <c r="G476" s="77"/>
      <c r="H476" s="77"/>
      <c r="I476" s="77"/>
      <c r="J476" s="77"/>
      <c r="K476" s="77"/>
      <c r="L476" s="79"/>
      <c r="M476" s="217"/>
    </row>
    <row r="477" spans="1:13" x14ac:dyDescent="0.25">
      <c r="A477" s="39" t="s">
        <v>11</v>
      </c>
      <c r="B477" s="40">
        <f>SUM(C477:L477)</f>
        <v>0</v>
      </c>
      <c r="C477" s="40">
        <f t="shared" ref="C477" si="250">SUM(D477:M477)</f>
        <v>0</v>
      </c>
      <c r="D477" s="40">
        <f>SUM(E477:M477)</f>
        <v>0</v>
      </c>
      <c r="E477" s="40">
        <f>SUM(F477:M477)</f>
        <v>0</v>
      </c>
      <c r="F477" s="40">
        <f>SUM(G477:M477)</f>
        <v>0</v>
      </c>
      <c r="G477" s="40">
        <f>SUM(H477:M477)</f>
        <v>0</v>
      </c>
      <c r="H477" s="40">
        <f>SUM(I477:M477)</f>
        <v>0</v>
      </c>
      <c r="I477" s="40">
        <f>SUM(J477:M477)</f>
        <v>0</v>
      </c>
      <c r="J477" s="40">
        <f>SUM(K477:M477)</f>
        <v>0</v>
      </c>
      <c r="K477" s="40">
        <f>SUM(L477:M477)</f>
        <v>0</v>
      </c>
      <c r="L477" s="41">
        <f>SUM(M477:M477)</f>
        <v>0</v>
      </c>
      <c r="M477" s="217"/>
    </row>
    <row r="478" spans="1:13" ht="39" x14ac:dyDescent="0.25">
      <c r="A478" s="62" t="s">
        <v>12</v>
      </c>
      <c r="B478" s="199">
        <f>SUM(C478:L478)</f>
        <v>28887500</v>
      </c>
      <c r="C478" s="199">
        <f>C483+C486</f>
        <v>0</v>
      </c>
      <c r="D478" s="199">
        <f t="shared" ref="D478:L478" si="251">D483+D486</f>
        <v>0</v>
      </c>
      <c r="E478" s="199">
        <f t="shared" si="251"/>
        <v>0</v>
      </c>
      <c r="F478" s="199">
        <f t="shared" si="251"/>
        <v>0</v>
      </c>
      <c r="G478" s="199">
        <f t="shared" si="251"/>
        <v>0</v>
      </c>
      <c r="H478" s="199">
        <f t="shared" si="251"/>
        <v>6262500</v>
      </c>
      <c r="I478" s="199">
        <f t="shared" si="251"/>
        <v>7325000</v>
      </c>
      <c r="J478" s="199">
        <f t="shared" si="251"/>
        <v>2125000</v>
      </c>
      <c r="K478" s="199">
        <f t="shared" si="251"/>
        <v>4250000</v>
      </c>
      <c r="L478" s="200">
        <f t="shared" si="251"/>
        <v>8925000</v>
      </c>
      <c r="M478" s="217"/>
    </row>
    <row r="479" spans="1:13" ht="15.75" thickBot="1" x14ac:dyDescent="0.3">
      <c r="A479" s="99" t="s">
        <v>13</v>
      </c>
      <c r="B479" s="100"/>
      <c r="C479" s="100"/>
      <c r="D479" s="100"/>
      <c r="E479" s="100"/>
      <c r="F479" s="100"/>
      <c r="G479" s="100"/>
      <c r="H479" s="100"/>
      <c r="I479" s="100"/>
      <c r="J479" s="100"/>
      <c r="K479" s="100"/>
      <c r="L479" s="101"/>
    </row>
    <row r="480" spans="1:13" x14ac:dyDescent="0.25">
      <c r="A480" s="44" t="s">
        <v>14</v>
      </c>
      <c r="B480" s="12"/>
      <c r="C480" s="12"/>
      <c r="D480" s="12"/>
      <c r="E480" s="12"/>
      <c r="F480" s="12"/>
      <c r="G480" s="12"/>
      <c r="H480" s="12"/>
      <c r="I480" s="12"/>
      <c r="J480" s="12"/>
      <c r="K480" s="12"/>
      <c r="L480" s="13"/>
    </row>
    <row r="481" spans="1:16" x14ac:dyDescent="0.25">
      <c r="A481" s="35" t="s">
        <v>15</v>
      </c>
      <c r="B481" s="14">
        <f>B482+B483</f>
        <v>18487500</v>
      </c>
      <c r="C481" s="14">
        <f t="shared" ref="C481:L481" si="252">C482+C483</f>
        <v>0</v>
      </c>
      <c r="D481" s="14">
        <f t="shared" si="252"/>
        <v>0</v>
      </c>
      <c r="E481" s="14">
        <f t="shared" si="252"/>
        <v>0</v>
      </c>
      <c r="F481" s="14">
        <f t="shared" si="252"/>
        <v>0</v>
      </c>
      <c r="G481" s="14">
        <f t="shared" si="252"/>
        <v>0</v>
      </c>
      <c r="H481" s="14">
        <f t="shared" si="252"/>
        <v>1062500</v>
      </c>
      <c r="I481" s="14">
        <f t="shared" si="252"/>
        <v>2125000</v>
      </c>
      <c r="J481" s="14">
        <f t="shared" si="252"/>
        <v>2125000</v>
      </c>
      <c r="K481" s="14">
        <f t="shared" si="252"/>
        <v>4250000</v>
      </c>
      <c r="L481" s="15">
        <f t="shared" si="252"/>
        <v>8925000</v>
      </c>
    </row>
    <row r="482" spans="1:16" x14ac:dyDescent="0.25">
      <c r="A482" s="6" t="s">
        <v>11</v>
      </c>
      <c r="B482" s="54">
        <f>SUM(C482:L482)</f>
        <v>0</v>
      </c>
      <c r="C482" s="54">
        <v>0</v>
      </c>
      <c r="D482" s="54">
        <v>0</v>
      </c>
      <c r="E482" s="54">
        <v>0</v>
      </c>
      <c r="F482" s="54">
        <v>0</v>
      </c>
      <c r="G482" s="54">
        <v>0</v>
      </c>
      <c r="H482" s="54">
        <v>0</v>
      </c>
      <c r="I482" s="54">
        <v>0</v>
      </c>
      <c r="J482" s="54">
        <v>0</v>
      </c>
      <c r="K482" s="54">
        <v>0</v>
      </c>
      <c r="L482" s="17">
        <v>0</v>
      </c>
    </row>
    <row r="483" spans="1:16" ht="39.75" thickBot="1" x14ac:dyDescent="0.3">
      <c r="A483" s="7" t="s">
        <v>12</v>
      </c>
      <c r="B483" s="197">
        <f>SUM(C483:L483)</f>
        <v>18487500</v>
      </c>
      <c r="C483" s="30">
        <v>0</v>
      </c>
      <c r="D483" s="30">
        <v>0</v>
      </c>
      <c r="E483" s="30">
        <v>0</v>
      </c>
      <c r="F483" s="30">
        <v>0</v>
      </c>
      <c r="G483" s="139">
        <v>0</v>
      </c>
      <c r="H483" s="136">
        <v>1062500</v>
      </c>
      <c r="I483" s="136">
        <v>2125000</v>
      </c>
      <c r="J483" s="136">
        <v>2125000</v>
      </c>
      <c r="K483" s="136">
        <v>4250000</v>
      </c>
      <c r="L483" s="113">
        <f>3187500+5737500</f>
        <v>8925000</v>
      </c>
    </row>
    <row r="484" spans="1:16" x14ac:dyDescent="0.25">
      <c r="A484" s="35" t="s">
        <v>25</v>
      </c>
      <c r="B484" s="14">
        <f>B485+B486</f>
        <v>10400000</v>
      </c>
      <c r="C484" s="14">
        <f t="shared" ref="C484:L484" si="253">C485+C486</f>
        <v>0</v>
      </c>
      <c r="D484" s="14">
        <f t="shared" si="253"/>
        <v>0</v>
      </c>
      <c r="E484" s="14">
        <f t="shared" si="253"/>
        <v>0</v>
      </c>
      <c r="F484" s="14">
        <f t="shared" si="253"/>
        <v>0</v>
      </c>
      <c r="G484" s="14">
        <f t="shared" si="253"/>
        <v>0</v>
      </c>
      <c r="H484" s="14">
        <f t="shared" si="253"/>
        <v>5200000</v>
      </c>
      <c r="I484" s="14">
        <f t="shared" si="253"/>
        <v>5200000</v>
      </c>
      <c r="J484" s="14">
        <f t="shared" si="253"/>
        <v>0</v>
      </c>
      <c r="K484" s="14">
        <f t="shared" si="253"/>
        <v>0</v>
      </c>
      <c r="L484" s="15">
        <f t="shared" si="253"/>
        <v>0</v>
      </c>
    </row>
    <row r="485" spans="1:16" x14ac:dyDescent="0.25">
      <c r="A485" s="6" t="s">
        <v>11</v>
      </c>
      <c r="B485" s="54">
        <f>SUM(C485:L485)</f>
        <v>0</v>
      </c>
      <c r="C485" s="54">
        <v>0</v>
      </c>
      <c r="D485" s="54">
        <v>0</v>
      </c>
      <c r="E485" s="54">
        <v>0</v>
      </c>
      <c r="F485" s="54">
        <v>0</v>
      </c>
      <c r="G485" s="54">
        <v>0</v>
      </c>
      <c r="H485" s="54">
        <v>0</v>
      </c>
      <c r="I485" s="54">
        <v>0</v>
      </c>
      <c r="J485" s="54">
        <v>0</v>
      </c>
      <c r="K485" s="54">
        <v>0</v>
      </c>
      <c r="L485" s="17">
        <v>0</v>
      </c>
    </row>
    <row r="486" spans="1:16" ht="42.75" customHeight="1" thickBot="1" x14ac:dyDescent="0.3">
      <c r="A486" s="7" t="s">
        <v>12</v>
      </c>
      <c r="B486" s="197">
        <f>SUM(C486:L486)</f>
        <v>10400000</v>
      </c>
      <c r="C486" s="197">
        <v>0</v>
      </c>
      <c r="D486" s="197">
        <v>0</v>
      </c>
      <c r="E486" s="197">
        <v>0</v>
      </c>
      <c r="F486" s="197">
        <v>0</v>
      </c>
      <c r="G486" s="198">
        <v>0</v>
      </c>
      <c r="H486" s="136">
        <f>1700000+3500000</f>
        <v>5200000</v>
      </c>
      <c r="I486" s="136">
        <f>1700000+3500000</f>
        <v>5200000</v>
      </c>
      <c r="J486" s="136">
        <v>0</v>
      </c>
      <c r="K486" s="136">
        <v>0</v>
      </c>
      <c r="L486" s="113">
        <v>0</v>
      </c>
    </row>
    <row r="487" spans="1:16" ht="15.75" thickBot="1" x14ac:dyDescent="0.3">
      <c r="A487" s="232" t="s">
        <v>35</v>
      </c>
      <c r="B487" s="233"/>
      <c r="C487" s="233"/>
      <c r="D487" s="233"/>
      <c r="E487" s="233"/>
      <c r="F487" s="233"/>
      <c r="G487" s="233"/>
      <c r="H487" s="233"/>
      <c r="I487" s="233"/>
      <c r="J487" s="233"/>
      <c r="K487" s="233"/>
      <c r="L487" s="234"/>
    </row>
    <row r="488" spans="1:16" x14ac:dyDescent="0.25">
      <c r="A488" s="92" t="s">
        <v>5</v>
      </c>
      <c r="B488" s="93">
        <f>B489+B490+B491+B492</f>
        <v>299456507</v>
      </c>
      <c r="C488" s="93">
        <f t="shared" ref="C488:L488" si="254">C489+C490+C491+C492</f>
        <v>23567234</v>
      </c>
      <c r="D488" s="93">
        <f t="shared" si="254"/>
        <v>39953149</v>
      </c>
      <c r="E488" s="93">
        <f t="shared" si="254"/>
        <v>22693933</v>
      </c>
      <c r="F488" s="93">
        <f t="shared" si="254"/>
        <v>0</v>
      </c>
      <c r="G488" s="93">
        <f t="shared" si="254"/>
        <v>4297354</v>
      </c>
      <c r="H488" s="93">
        <f t="shared" si="254"/>
        <v>15365001</v>
      </c>
      <c r="I488" s="93">
        <f t="shared" si="254"/>
        <v>28670912</v>
      </c>
      <c r="J488" s="93">
        <f t="shared" si="254"/>
        <v>36412164</v>
      </c>
      <c r="K488" s="93">
        <f t="shared" si="254"/>
        <v>36279481</v>
      </c>
      <c r="L488" s="94">
        <f t="shared" si="254"/>
        <v>92217279</v>
      </c>
    </row>
    <row r="489" spans="1:16" x14ac:dyDescent="0.25">
      <c r="A489" s="59" t="s">
        <v>6</v>
      </c>
      <c r="B489" s="72">
        <f>SUM(C489:L489)</f>
        <v>0</v>
      </c>
      <c r="C489" s="72">
        <v>0</v>
      </c>
      <c r="D489" s="72">
        <v>0</v>
      </c>
      <c r="E489" s="72">
        <v>0</v>
      </c>
      <c r="F489" s="72">
        <v>0</v>
      </c>
      <c r="G489" s="72">
        <v>0</v>
      </c>
      <c r="H489" s="72">
        <v>0</v>
      </c>
      <c r="I489" s="72">
        <v>0</v>
      </c>
      <c r="J489" s="72">
        <v>0</v>
      </c>
      <c r="K489" s="72">
        <v>0</v>
      </c>
      <c r="L489" s="73">
        <v>0</v>
      </c>
    </row>
    <row r="490" spans="1:16" x14ac:dyDescent="0.25">
      <c r="A490" s="59" t="s">
        <v>7</v>
      </c>
      <c r="B490" s="72">
        <f>SUM(C490:L490)</f>
        <v>0</v>
      </c>
      <c r="C490" s="72">
        <v>0</v>
      </c>
      <c r="D490" s="72">
        <v>0</v>
      </c>
      <c r="E490" s="72">
        <v>0</v>
      </c>
      <c r="F490" s="72">
        <v>0</v>
      </c>
      <c r="G490" s="72">
        <v>0</v>
      </c>
      <c r="H490" s="72">
        <v>0</v>
      </c>
      <c r="I490" s="72">
        <v>0</v>
      </c>
      <c r="J490" s="72">
        <v>0</v>
      </c>
      <c r="K490" s="72">
        <v>0</v>
      </c>
      <c r="L490" s="73">
        <v>0</v>
      </c>
    </row>
    <row r="491" spans="1:16" ht="26.25" x14ac:dyDescent="0.25">
      <c r="A491" s="59" t="s">
        <v>8</v>
      </c>
      <c r="B491" s="72">
        <f>SUM(C491:L491)</f>
        <v>0</v>
      </c>
      <c r="C491" s="72">
        <v>0</v>
      </c>
      <c r="D491" s="72">
        <v>0</v>
      </c>
      <c r="E491" s="72">
        <v>0</v>
      </c>
      <c r="F491" s="72">
        <v>0</v>
      </c>
      <c r="G491" s="72">
        <v>0</v>
      </c>
      <c r="H491" s="72">
        <v>0</v>
      </c>
      <c r="I491" s="72">
        <v>0</v>
      </c>
      <c r="J491" s="72">
        <v>0</v>
      </c>
      <c r="K491" s="72">
        <v>0</v>
      </c>
      <c r="L491" s="73">
        <v>0</v>
      </c>
    </row>
    <row r="492" spans="1:16" x14ac:dyDescent="0.25">
      <c r="A492" s="42" t="s">
        <v>9</v>
      </c>
      <c r="B492" s="74">
        <f>B499</f>
        <v>299456507</v>
      </c>
      <c r="C492" s="74">
        <f t="shared" ref="C492:L492" si="255">C499</f>
        <v>23567234</v>
      </c>
      <c r="D492" s="74">
        <f t="shared" si="255"/>
        <v>39953149</v>
      </c>
      <c r="E492" s="74">
        <f t="shared" si="255"/>
        <v>22693933</v>
      </c>
      <c r="F492" s="74">
        <f t="shared" si="255"/>
        <v>0</v>
      </c>
      <c r="G492" s="74">
        <f t="shared" si="255"/>
        <v>4297354</v>
      </c>
      <c r="H492" s="74">
        <f t="shared" si="255"/>
        <v>15365001</v>
      </c>
      <c r="I492" s="74">
        <f t="shared" si="255"/>
        <v>28670912</v>
      </c>
      <c r="J492" s="74">
        <f t="shared" si="255"/>
        <v>36412164</v>
      </c>
      <c r="K492" s="74">
        <f t="shared" si="255"/>
        <v>36279481</v>
      </c>
      <c r="L492" s="75">
        <f t="shared" si="255"/>
        <v>92217279</v>
      </c>
    </row>
    <row r="493" spans="1:16" x14ac:dyDescent="0.25">
      <c r="A493" s="51" t="s">
        <v>10</v>
      </c>
      <c r="B493" s="72"/>
      <c r="C493" s="72"/>
      <c r="D493" s="72"/>
      <c r="E493" s="72"/>
      <c r="F493" s="72"/>
      <c r="G493" s="72"/>
      <c r="H493" s="72"/>
      <c r="I493" s="72"/>
      <c r="J493" s="72"/>
      <c r="K493" s="72"/>
      <c r="L493" s="73"/>
    </row>
    <row r="494" spans="1:16" x14ac:dyDescent="0.25">
      <c r="A494" s="51" t="s">
        <v>11</v>
      </c>
      <c r="B494" s="53">
        <f>B500</f>
        <v>3457124</v>
      </c>
      <c r="C494" s="53">
        <f t="shared" ref="C494:L494" si="256">C500</f>
        <v>485732</v>
      </c>
      <c r="D494" s="53">
        <f t="shared" si="256"/>
        <v>485732</v>
      </c>
      <c r="E494" s="53">
        <f t="shared" si="256"/>
        <v>485732</v>
      </c>
      <c r="F494" s="53">
        <f t="shared" si="256"/>
        <v>0</v>
      </c>
      <c r="G494" s="53">
        <f t="shared" si="256"/>
        <v>5000</v>
      </c>
      <c r="H494" s="53">
        <f t="shared" si="256"/>
        <v>8000</v>
      </c>
      <c r="I494" s="53">
        <f t="shared" si="256"/>
        <v>496732</v>
      </c>
      <c r="J494" s="53">
        <f t="shared" si="256"/>
        <v>496732</v>
      </c>
      <c r="K494" s="53">
        <f t="shared" si="256"/>
        <v>496732</v>
      </c>
      <c r="L494" s="52">
        <f t="shared" si="256"/>
        <v>496732</v>
      </c>
    </row>
    <row r="495" spans="1:16" ht="15.75" customHeight="1" x14ac:dyDescent="0.25">
      <c r="A495" s="89" t="s">
        <v>104</v>
      </c>
      <c r="B495" s="90">
        <f>B501</f>
        <v>45421974</v>
      </c>
      <c r="C495" s="90">
        <f t="shared" ref="C495:L495" si="257">C501</f>
        <v>7695802</v>
      </c>
      <c r="D495" s="90">
        <f t="shared" si="257"/>
        <v>7620802</v>
      </c>
      <c r="E495" s="90">
        <f t="shared" si="257"/>
        <v>7620802</v>
      </c>
      <c r="F495" s="90">
        <f t="shared" si="257"/>
        <v>0</v>
      </c>
      <c r="G495" s="90">
        <f t="shared" si="257"/>
        <v>2000000</v>
      </c>
      <c r="H495" s="90">
        <f t="shared" si="257"/>
        <v>4000000</v>
      </c>
      <c r="I495" s="90">
        <f t="shared" si="257"/>
        <v>4121142</v>
      </c>
      <c r="J495" s="90">
        <f t="shared" si="257"/>
        <v>4121142</v>
      </c>
      <c r="K495" s="90">
        <f t="shared" si="257"/>
        <v>4121142</v>
      </c>
      <c r="L495" s="91">
        <f t="shared" si="257"/>
        <v>4121142</v>
      </c>
      <c r="N495" s="86"/>
      <c r="O495" s="86"/>
    </row>
    <row r="496" spans="1:16" ht="39.75" thickBot="1" x14ac:dyDescent="0.3">
      <c r="A496" s="27" t="s">
        <v>12</v>
      </c>
      <c r="B496" s="28">
        <f>B502</f>
        <v>250577409</v>
      </c>
      <c r="C496" s="28">
        <f t="shared" ref="C496:L496" si="258">C502</f>
        <v>15385700</v>
      </c>
      <c r="D496" s="28">
        <f t="shared" si="258"/>
        <v>31846615</v>
      </c>
      <c r="E496" s="28">
        <f t="shared" si="258"/>
        <v>14587399</v>
      </c>
      <c r="F496" s="28">
        <f t="shared" si="258"/>
        <v>0</v>
      </c>
      <c r="G496" s="28">
        <f t="shared" si="258"/>
        <v>2292354</v>
      </c>
      <c r="H496" s="28">
        <f t="shared" si="258"/>
        <v>11357001</v>
      </c>
      <c r="I496" s="28">
        <f t="shared" si="258"/>
        <v>24053038</v>
      </c>
      <c r="J496" s="28">
        <f t="shared" si="258"/>
        <v>31794290</v>
      </c>
      <c r="K496" s="28">
        <f t="shared" si="258"/>
        <v>31661607</v>
      </c>
      <c r="L496" s="29">
        <f t="shared" si="258"/>
        <v>87599405</v>
      </c>
      <c r="N496" s="86"/>
      <c r="O496" s="86"/>
      <c r="P496" s="86"/>
    </row>
    <row r="497" spans="1:12" x14ac:dyDescent="0.25">
      <c r="A497" s="5" t="s">
        <v>13</v>
      </c>
      <c r="B497" s="12"/>
      <c r="C497" s="12"/>
      <c r="D497" s="12"/>
      <c r="E497" s="12"/>
      <c r="F497" s="12"/>
      <c r="G497" s="12"/>
      <c r="H497" s="12"/>
      <c r="I497" s="12"/>
      <c r="J497" s="12"/>
      <c r="K497" s="12"/>
      <c r="L497" s="13"/>
    </row>
    <row r="498" spans="1:12" x14ac:dyDescent="0.25">
      <c r="A498" s="6" t="s">
        <v>14</v>
      </c>
      <c r="B498" s="14"/>
      <c r="C498" s="14"/>
      <c r="D498" s="14"/>
      <c r="E498" s="14"/>
      <c r="F498" s="14"/>
      <c r="G498" s="14"/>
      <c r="H498" s="14"/>
      <c r="I498" s="14"/>
      <c r="J498" s="14"/>
      <c r="K498" s="14"/>
      <c r="L498" s="15"/>
    </row>
    <row r="499" spans="1:12" x14ac:dyDescent="0.25">
      <c r="A499" s="35" t="s">
        <v>16</v>
      </c>
      <c r="B499" s="14">
        <f>B500+B501+B502</f>
        <v>299456507</v>
      </c>
      <c r="C499" s="14">
        <f t="shared" ref="C499:L499" si="259">C500+C501+C502</f>
        <v>23567234</v>
      </c>
      <c r="D499" s="14">
        <f t="shared" si="259"/>
        <v>39953149</v>
      </c>
      <c r="E499" s="14">
        <f t="shared" si="259"/>
        <v>22693933</v>
      </c>
      <c r="F499" s="14">
        <f t="shared" si="259"/>
        <v>0</v>
      </c>
      <c r="G499" s="14">
        <f t="shared" si="259"/>
        <v>4297354</v>
      </c>
      <c r="H499" s="14">
        <f t="shared" si="259"/>
        <v>15365001</v>
      </c>
      <c r="I499" s="14">
        <f t="shared" si="259"/>
        <v>28670912</v>
      </c>
      <c r="J499" s="14">
        <f t="shared" si="259"/>
        <v>36412164</v>
      </c>
      <c r="K499" s="14">
        <f t="shared" si="259"/>
        <v>36279481</v>
      </c>
      <c r="L499" s="15">
        <f t="shared" si="259"/>
        <v>92217279</v>
      </c>
    </row>
    <row r="500" spans="1:12" x14ac:dyDescent="0.25">
      <c r="A500" s="6" t="s">
        <v>11</v>
      </c>
      <c r="B500" s="54">
        <f>SUM(C500:L500)</f>
        <v>3457124</v>
      </c>
      <c r="C500" s="54">
        <f t="shared" ref="C500:L500" si="260">C510+C558+C598+C612</f>
        <v>485732</v>
      </c>
      <c r="D500" s="54">
        <f t="shared" si="260"/>
        <v>485732</v>
      </c>
      <c r="E500" s="54">
        <f t="shared" si="260"/>
        <v>485732</v>
      </c>
      <c r="F500" s="54">
        <f t="shared" si="260"/>
        <v>0</v>
      </c>
      <c r="G500" s="54">
        <f t="shared" si="260"/>
        <v>5000</v>
      </c>
      <c r="H500" s="54">
        <f t="shared" si="260"/>
        <v>8000</v>
      </c>
      <c r="I500" s="54">
        <f t="shared" si="260"/>
        <v>496732</v>
      </c>
      <c r="J500" s="54">
        <f t="shared" si="260"/>
        <v>496732</v>
      </c>
      <c r="K500" s="54">
        <f t="shared" si="260"/>
        <v>496732</v>
      </c>
      <c r="L500" s="17">
        <f t="shared" si="260"/>
        <v>496732</v>
      </c>
    </row>
    <row r="501" spans="1:12" ht="18" customHeight="1" x14ac:dyDescent="0.25">
      <c r="A501" s="65" t="s">
        <v>104</v>
      </c>
      <c r="B501" s="54">
        <f>SUM(C501:L501)</f>
        <v>45421974</v>
      </c>
      <c r="C501" s="54">
        <f t="shared" ref="C501:L501" si="261">C511+C559</f>
        <v>7695802</v>
      </c>
      <c r="D501" s="54">
        <f t="shared" si="261"/>
        <v>7620802</v>
      </c>
      <c r="E501" s="54">
        <f t="shared" si="261"/>
        <v>7620802</v>
      </c>
      <c r="F501" s="54">
        <f t="shared" si="261"/>
        <v>0</v>
      </c>
      <c r="G501" s="54">
        <f t="shared" si="261"/>
        <v>2000000</v>
      </c>
      <c r="H501" s="54">
        <f t="shared" si="261"/>
        <v>4000000</v>
      </c>
      <c r="I501" s="54">
        <f t="shared" si="261"/>
        <v>4121142</v>
      </c>
      <c r="J501" s="54">
        <f t="shared" si="261"/>
        <v>4121142</v>
      </c>
      <c r="K501" s="54">
        <f t="shared" si="261"/>
        <v>4121142</v>
      </c>
      <c r="L501" s="17">
        <f t="shared" si="261"/>
        <v>4121142</v>
      </c>
    </row>
    <row r="502" spans="1:12" ht="39.75" customHeight="1" thickBot="1" x14ac:dyDescent="0.3">
      <c r="A502" s="6" t="s">
        <v>12</v>
      </c>
      <c r="B502" s="54">
        <f>SUM(C502:L502)</f>
        <v>250577409</v>
      </c>
      <c r="C502" s="54">
        <f t="shared" ref="C502:L502" si="262">C512+C560+C599+C613</f>
        <v>15385700</v>
      </c>
      <c r="D502" s="54">
        <f t="shared" si="262"/>
        <v>31846615</v>
      </c>
      <c r="E502" s="54">
        <f t="shared" si="262"/>
        <v>14587399</v>
      </c>
      <c r="F502" s="54">
        <f t="shared" si="262"/>
        <v>0</v>
      </c>
      <c r="G502" s="54">
        <f t="shared" si="262"/>
        <v>2292354</v>
      </c>
      <c r="H502" s="54">
        <f t="shared" si="262"/>
        <v>11357001</v>
      </c>
      <c r="I502" s="54">
        <f t="shared" si="262"/>
        <v>24053038</v>
      </c>
      <c r="J502" s="54">
        <f t="shared" si="262"/>
        <v>31794290</v>
      </c>
      <c r="K502" s="54">
        <f t="shared" si="262"/>
        <v>31661607</v>
      </c>
      <c r="L502" s="31">
        <f t="shared" si="262"/>
        <v>87599405</v>
      </c>
    </row>
    <row r="503" spans="1:12" ht="32.1" customHeight="1" x14ac:dyDescent="0.25">
      <c r="A503" s="219" t="s">
        <v>36</v>
      </c>
      <c r="B503" s="220"/>
      <c r="C503" s="220"/>
      <c r="D503" s="220"/>
      <c r="E503" s="220"/>
      <c r="F503" s="220"/>
      <c r="G503" s="220"/>
      <c r="H503" s="220"/>
      <c r="I503" s="220"/>
      <c r="J503" s="220"/>
      <c r="K503" s="220"/>
      <c r="L503" s="221"/>
    </row>
    <row r="504" spans="1:12" x14ac:dyDescent="0.25">
      <c r="A504" s="38" t="s">
        <v>5</v>
      </c>
      <c r="B504" s="60">
        <f>B505+B506+B507+B508</f>
        <v>255387339</v>
      </c>
      <c r="C504" s="60">
        <f t="shared" ref="C504:L504" si="263">C505+C506+C507+C508</f>
        <v>20318657</v>
      </c>
      <c r="D504" s="60">
        <f t="shared" si="263"/>
        <v>37143814</v>
      </c>
      <c r="E504" s="60">
        <f t="shared" si="263"/>
        <v>22283607</v>
      </c>
      <c r="F504" s="60">
        <f t="shared" si="263"/>
        <v>0</v>
      </c>
      <c r="G504" s="60">
        <f t="shared" si="263"/>
        <v>2400000</v>
      </c>
      <c r="H504" s="60">
        <f t="shared" si="263"/>
        <v>9254238</v>
      </c>
      <c r="I504" s="60">
        <f t="shared" si="263"/>
        <v>22269727</v>
      </c>
      <c r="J504" s="60">
        <f t="shared" si="263"/>
        <v>29715528</v>
      </c>
      <c r="K504" s="60">
        <f t="shared" si="263"/>
        <v>30152346</v>
      </c>
      <c r="L504" s="61">
        <f t="shared" si="263"/>
        <v>81849422</v>
      </c>
    </row>
    <row r="505" spans="1:12" x14ac:dyDescent="0.25">
      <c r="A505" s="39" t="s">
        <v>6</v>
      </c>
      <c r="B505" s="77">
        <f>SUM(C505:L505)</f>
        <v>0</v>
      </c>
      <c r="C505" s="77">
        <v>0</v>
      </c>
      <c r="D505" s="77">
        <v>0</v>
      </c>
      <c r="E505" s="77">
        <v>0</v>
      </c>
      <c r="F505" s="77">
        <v>0</v>
      </c>
      <c r="G505" s="77">
        <v>0</v>
      </c>
      <c r="H505" s="77">
        <v>0</v>
      </c>
      <c r="I505" s="77">
        <v>0</v>
      </c>
      <c r="J505" s="77">
        <v>0</v>
      </c>
      <c r="K505" s="77">
        <v>0</v>
      </c>
      <c r="L505" s="79">
        <v>0</v>
      </c>
    </row>
    <row r="506" spans="1:12" x14ac:dyDescent="0.25">
      <c r="A506" s="39" t="s">
        <v>7</v>
      </c>
      <c r="B506" s="77">
        <f>SUM(C506:L506)</f>
        <v>0</v>
      </c>
      <c r="C506" s="77">
        <v>0</v>
      </c>
      <c r="D506" s="77">
        <v>0</v>
      </c>
      <c r="E506" s="77">
        <v>0</v>
      </c>
      <c r="F506" s="77">
        <v>0</v>
      </c>
      <c r="G506" s="77">
        <v>0</v>
      </c>
      <c r="H506" s="77">
        <v>0</v>
      </c>
      <c r="I506" s="77">
        <v>0</v>
      </c>
      <c r="J506" s="77">
        <v>0</v>
      </c>
      <c r="K506" s="77">
        <v>0</v>
      </c>
      <c r="L506" s="79">
        <v>0</v>
      </c>
    </row>
    <row r="507" spans="1:12" ht="26.25" x14ac:dyDescent="0.25">
      <c r="A507" s="39" t="s">
        <v>8</v>
      </c>
      <c r="B507" s="77">
        <f>SUM(C507:L507)</f>
        <v>0</v>
      </c>
      <c r="C507" s="77">
        <v>0</v>
      </c>
      <c r="D507" s="77">
        <v>0</v>
      </c>
      <c r="E507" s="77">
        <v>0</v>
      </c>
      <c r="F507" s="77">
        <v>0</v>
      </c>
      <c r="G507" s="77">
        <v>0</v>
      </c>
      <c r="H507" s="77">
        <v>0</v>
      </c>
      <c r="I507" s="77">
        <v>0</v>
      </c>
      <c r="J507" s="77">
        <v>0</v>
      </c>
      <c r="K507" s="77">
        <v>0</v>
      </c>
      <c r="L507" s="79">
        <v>0</v>
      </c>
    </row>
    <row r="508" spans="1:12" x14ac:dyDescent="0.25">
      <c r="A508" s="38" t="s">
        <v>9</v>
      </c>
      <c r="B508" s="60">
        <f>B515</f>
        <v>255387339</v>
      </c>
      <c r="C508" s="60">
        <f t="shared" ref="C508:L508" si="264">C515</f>
        <v>20318657</v>
      </c>
      <c r="D508" s="60">
        <f t="shared" si="264"/>
        <v>37143814</v>
      </c>
      <c r="E508" s="60">
        <f t="shared" si="264"/>
        <v>22283607</v>
      </c>
      <c r="F508" s="60">
        <f t="shared" si="264"/>
        <v>0</v>
      </c>
      <c r="G508" s="60">
        <f t="shared" si="264"/>
        <v>2400000</v>
      </c>
      <c r="H508" s="60">
        <f t="shared" si="264"/>
        <v>9254238</v>
      </c>
      <c r="I508" s="60">
        <f t="shared" si="264"/>
        <v>22269727</v>
      </c>
      <c r="J508" s="60">
        <f t="shared" si="264"/>
        <v>29715528</v>
      </c>
      <c r="K508" s="60">
        <f t="shared" si="264"/>
        <v>30152346</v>
      </c>
      <c r="L508" s="61">
        <f t="shared" si="264"/>
        <v>81849422</v>
      </c>
    </row>
    <row r="509" spans="1:12" x14ac:dyDescent="0.25">
      <c r="A509" s="39" t="s">
        <v>10</v>
      </c>
      <c r="B509" s="102"/>
      <c r="C509" s="102"/>
      <c r="D509" s="102"/>
      <c r="E509" s="102"/>
      <c r="F509" s="102"/>
      <c r="G509" s="102"/>
      <c r="H509" s="102"/>
      <c r="I509" s="102"/>
      <c r="J509" s="102"/>
      <c r="K509" s="102"/>
      <c r="L509" s="103"/>
    </row>
    <row r="510" spans="1:12" x14ac:dyDescent="0.25">
      <c r="A510" s="39" t="s">
        <v>11</v>
      </c>
      <c r="B510" s="102">
        <f>B516</f>
        <v>3309124</v>
      </c>
      <c r="C510" s="102">
        <f t="shared" ref="C510:L510" si="265">C516</f>
        <v>472732</v>
      </c>
      <c r="D510" s="102">
        <f t="shared" si="265"/>
        <v>472732</v>
      </c>
      <c r="E510" s="102">
        <f t="shared" si="265"/>
        <v>472732</v>
      </c>
      <c r="F510" s="102">
        <f t="shared" si="265"/>
        <v>0</v>
      </c>
      <c r="G510" s="102">
        <f t="shared" si="265"/>
        <v>0</v>
      </c>
      <c r="H510" s="102">
        <f t="shared" si="265"/>
        <v>0</v>
      </c>
      <c r="I510" s="102">
        <f t="shared" si="265"/>
        <v>472732</v>
      </c>
      <c r="J510" s="102">
        <f t="shared" si="265"/>
        <v>472732</v>
      </c>
      <c r="K510" s="102">
        <f t="shared" si="265"/>
        <v>472732</v>
      </c>
      <c r="L510" s="103">
        <f t="shared" si="265"/>
        <v>472732</v>
      </c>
    </row>
    <row r="511" spans="1:12" ht="17.25" customHeight="1" x14ac:dyDescent="0.25">
      <c r="A511" s="62" t="s">
        <v>104</v>
      </c>
      <c r="B511" s="207">
        <f>B517</f>
        <v>45177294</v>
      </c>
      <c r="C511" s="207">
        <f t="shared" ref="C511:L511" si="266">C517</f>
        <v>7614242</v>
      </c>
      <c r="D511" s="207">
        <f t="shared" si="266"/>
        <v>7539242</v>
      </c>
      <c r="E511" s="207">
        <f t="shared" si="266"/>
        <v>7539242</v>
      </c>
      <c r="F511" s="207">
        <f t="shared" si="266"/>
        <v>0</v>
      </c>
      <c r="G511" s="207">
        <f t="shared" si="266"/>
        <v>2000000</v>
      </c>
      <c r="H511" s="207">
        <f t="shared" si="266"/>
        <v>4000000</v>
      </c>
      <c r="I511" s="207">
        <f t="shared" si="266"/>
        <v>4121142</v>
      </c>
      <c r="J511" s="207">
        <f t="shared" si="266"/>
        <v>4121142</v>
      </c>
      <c r="K511" s="207">
        <f t="shared" si="266"/>
        <v>4121142</v>
      </c>
      <c r="L511" s="208">
        <f t="shared" si="266"/>
        <v>4121142</v>
      </c>
    </row>
    <row r="512" spans="1:12" ht="39.75" thickBot="1" x14ac:dyDescent="0.3">
      <c r="A512" s="80" t="s">
        <v>12</v>
      </c>
      <c r="B512" s="104">
        <f>B518</f>
        <v>206900921</v>
      </c>
      <c r="C512" s="104">
        <f t="shared" ref="C512:L512" si="267">C518</f>
        <v>12231683</v>
      </c>
      <c r="D512" s="104">
        <f t="shared" si="267"/>
        <v>29131840</v>
      </c>
      <c r="E512" s="104">
        <f t="shared" si="267"/>
        <v>14271633</v>
      </c>
      <c r="F512" s="104">
        <f t="shared" si="267"/>
        <v>0</v>
      </c>
      <c r="G512" s="104">
        <f t="shared" si="267"/>
        <v>400000</v>
      </c>
      <c r="H512" s="104">
        <f t="shared" si="267"/>
        <v>5254238</v>
      </c>
      <c r="I512" s="104">
        <f t="shared" si="267"/>
        <v>17675853</v>
      </c>
      <c r="J512" s="104">
        <f t="shared" si="267"/>
        <v>25121654</v>
      </c>
      <c r="K512" s="104">
        <f t="shared" si="267"/>
        <v>25558472</v>
      </c>
      <c r="L512" s="105">
        <f t="shared" si="267"/>
        <v>77255548</v>
      </c>
    </row>
    <row r="513" spans="1:13" x14ac:dyDescent="0.25">
      <c r="A513" s="5" t="s">
        <v>13</v>
      </c>
      <c r="B513" s="12"/>
      <c r="C513" s="12"/>
      <c r="D513" s="12"/>
      <c r="E513" s="12"/>
      <c r="F513" s="12"/>
      <c r="G513" s="12"/>
      <c r="H513" s="12"/>
      <c r="I513" s="12"/>
      <c r="J513" s="12"/>
      <c r="K513" s="12"/>
      <c r="L513" s="13"/>
    </row>
    <row r="514" spans="1:13" x14ac:dyDescent="0.25">
      <c r="A514" s="6" t="s">
        <v>14</v>
      </c>
      <c r="B514" s="14"/>
      <c r="C514" s="14"/>
      <c r="D514" s="14"/>
      <c r="E514" s="14"/>
      <c r="F514" s="14"/>
      <c r="G514" s="14"/>
      <c r="H514" s="14"/>
      <c r="I514" s="14"/>
      <c r="J514" s="14"/>
      <c r="K514" s="14"/>
      <c r="L514" s="15"/>
    </row>
    <row r="515" spans="1:13" x14ac:dyDescent="0.25">
      <c r="A515" s="35" t="s">
        <v>22</v>
      </c>
      <c r="B515" s="14">
        <f>B516+B517+B518</f>
        <v>255387339</v>
      </c>
      <c r="C515" s="14">
        <f t="shared" ref="C515:L515" si="268">C516+C517+C518</f>
        <v>20318657</v>
      </c>
      <c r="D515" s="14">
        <f t="shared" si="268"/>
        <v>37143814</v>
      </c>
      <c r="E515" s="14">
        <f t="shared" si="268"/>
        <v>22283607</v>
      </c>
      <c r="F515" s="14">
        <f t="shared" si="268"/>
        <v>0</v>
      </c>
      <c r="G515" s="14">
        <f t="shared" si="268"/>
        <v>2400000</v>
      </c>
      <c r="H515" s="14">
        <f t="shared" si="268"/>
        <v>9254238</v>
      </c>
      <c r="I515" s="14">
        <f t="shared" si="268"/>
        <v>22269727</v>
      </c>
      <c r="J515" s="14">
        <f t="shared" si="268"/>
        <v>29715528</v>
      </c>
      <c r="K515" s="14">
        <f t="shared" si="268"/>
        <v>30152346</v>
      </c>
      <c r="L515" s="15">
        <f t="shared" si="268"/>
        <v>81849422</v>
      </c>
    </row>
    <row r="516" spans="1:13" x14ac:dyDescent="0.25">
      <c r="A516" s="6" t="s">
        <v>11</v>
      </c>
      <c r="B516" s="54">
        <f>SUM(C516:L516)</f>
        <v>3309124</v>
      </c>
      <c r="C516" s="54">
        <f t="shared" ref="C516:L516" si="269">C525+C533+C545</f>
        <v>472732</v>
      </c>
      <c r="D516" s="54">
        <f t="shared" si="269"/>
        <v>472732</v>
      </c>
      <c r="E516" s="54">
        <f t="shared" si="269"/>
        <v>472732</v>
      </c>
      <c r="F516" s="54">
        <f t="shared" si="269"/>
        <v>0</v>
      </c>
      <c r="G516" s="54">
        <f t="shared" si="269"/>
        <v>0</v>
      </c>
      <c r="H516" s="54">
        <f t="shared" si="269"/>
        <v>0</v>
      </c>
      <c r="I516" s="54">
        <f t="shared" si="269"/>
        <v>472732</v>
      </c>
      <c r="J516" s="54">
        <f t="shared" si="269"/>
        <v>472732</v>
      </c>
      <c r="K516" s="54">
        <f t="shared" si="269"/>
        <v>472732</v>
      </c>
      <c r="L516" s="17">
        <f t="shared" si="269"/>
        <v>472732</v>
      </c>
    </row>
    <row r="517" spans="1:13" ht="17.25" customHeight="1" x14ac:dyDescent="0.25">
      <c r="A517" s="65" t="s">
        <v>104</v>
      </c>
      <c r="B517" s="112">
        <f>SUM(C517:L517)</f>
        <v>45177294</v>
      </c>
      <c r="C517" s="112">
        <f t="shared" ref="C517:L517" si="270">C521+C529+C537+C541+C549</f>
        <v>7614242</v>
      </c>
      <c r="D517" s="112">
        <f t="shared" si="270"/>
        <v>7539242</v>
      </c>
      <c r="E517" s="112">
        <f t="shared" si="270"/>
        <v>7539242</v>
      </c>
      <c r="F517" s="112">
        <f t="shared" si="270"/>
        <v>0</v>
      </c>
      <c r="G517" s="112">
        <f t="shared" si="270"/>
        <v>2000000</v>
      </c>
      <c r="H517" s="112">
        <f t="shared" si="270"/>
        <v>4000000</v>
      </c>
      <c r="I517" s="112">
        <f t="shared" si="270"/>
        <v>4121142</v>
      </c>
      <c r="J517" s="112">
        <f t="shared" si="270"/>
        <v>4121142</v>
      </c>
      <c r="K517" s="112">
        <f t="shared" si="270"/>
        <v>4121142</v>
      </c>
      <c r="L517" s="113">
        <f t="shared" si="270"/>
        <v>4121142</v>
      </c>
    </row>
    <row r="518" spans="1:13" ht="40.5" customHeight="1" thickBot="1" x14ac:dyDescent="0.3">
      <c r="A518" s="7" t="s">
        <v>12</v>
      </c>
      <c r="B518" s="30">
        <f>SUM(C518:L518)</f>
        <v>206900921</v>
      </c>
      <c r="C518" s="30">
        <f>C522+C526+C530+C534+C546+C550</f>
        <v>12231683</v>
      </c>
      <c r="D518" s="30">
        <f t="shared" ref="D518:L518" si="271">D522+D526+D530+D534+D538+D542+D546+D550</f>
        <v>29131840</v>
      </c>
      <c r="E518" s="30">
        <f t="shared" si="271"/>
        <v>14271633</v>
      </c>
      <c r="F518" s="30">
        <f t="shared" si="271"/>
        <v>0</v>
      </c>
      <c r="G518" s="30">
        <f t="shared" si="271"/>
        <v>400000</v>
      </c>
      <c r="H518" s="30">
        <f t="shared" si="271"/>
        <v>5254238</v>
      </c>
      <c r="I518" s="30">
        <f t="shared" si="271"/>
        <v>17675853</v>
      </c>
      <c r="J518" s="30">
        <f t="shared" si="271"/>
        <v>25121654</v>
      </c>
      <c r="K518" s="30">
        <f t="shared" si="271"/>
        <v>25558472</v>
      </c>
      <c r="L518" s="31">
        <f t="shared" si="271"/>
        <v>77255548</v>
      </c>
    </row>
    <row r="519" spans="1:13" ht="42.75" customHeight="1" x14ac:dyDescent="0.25">
      <c r="A519" s="32" t="s">
        <v>37</v>
      </c>
      <c r="B519" s="33">
        <f>B520</f>
        <v>94206778</v>
      </c>
      <c r="C519" s="33">
        <f t="shared" ref="C519:L519" si="272">C520</f>
        <v>12050317</v>
      </c>
      <c r="D519" s="33">
        <f t="shared" si="272"/>
        <v>5126117</v>
      </c>
      <c r="E519" s="33">
        <f t="shared" si="272"/>
        <v>470344</v>
      </c>
      <c r="F519" s="33">
        <f t="shared" si="272"/>
        <v>0</v>
      </c>
      <c r="G519" s="33">
        <f t="shared" si="272"/>
        <v>0</v>
      </c>
      <c r="H519" s="33">
        <f t="shared" si="272"/>
        <v>3905738</v>
      </c>
      <c r="I519" s="33">
        <f t="shared" si="272"/>
        <v>11035442</v>
      </c>
      <c r="J519" s="33">
        <f t="shared" si="272"/>
        <v>10254751</v>
      </c>
      <c r="K519" s="33">
        <f t="shared" si="272"/>
        <v>10691569</v>
      </c>
      <c r="L519" s="34">
        <f t="shared" si="272"/>
        <v>40672500</v>
      </c>
      <c r="M519" s="183" t="s">
        <v>152</v>
      </c>
    </row>
    <row r="520" spans="1:13" x14ac:dyDescent="0.25">
      <c r="A520" s="26" t="s">
        <v>22</v>
      </c>
      <c r="B520" s="20">
        <f>B521+B522</f>
        <v>94206778</v>
      </c>
      <c r="C520" s="20">
        <f t="shared" ref="C520:L520" si="273">C521+C522</f>
        <v>12050317</v>
      </c>
      <c r="D520" s="20">
        <f t="shared" si="273"/>
        <v>5126117</v>
      </c>
      <c r="E520" s="20">
        <f t="shared" si="273"/>
        <v>470344</v>
      </c>
      <c r="F520" s="20">
        <f t="shared" si="273"/>
        <v>0</v>
      </c>
      <c r="G520" s="20">
        <f t="shared" si="273"/>
        <v>0</v>
      </c>
      <c r="H520" s="20">
        <f t="shared" si="273"/>
        <v>3905738</v>
      </c>
      <c r="I520" s="20">
        <f t="shared" si="273"/>
        <v>11035442</v>
      </c>
      <c r="J520" s="20">
        <f t="shared" si="273"/>
        <v>10254751</v>
      </c>
      <c r="K520" s="20">
        <f t="shared" si="273"/>
        <v>10691569</v>
      </c>
      <c r="L520" s="21">
        <f t="shared" si="273"/>
        <v>40672500</v>
      </c>
    </row>
    <row r="521" spans="1:13" ht="17.25" customHeight="1" x14ac:dyDescent="0.25">
      <c r="A521" s="51" t="s">
        <v>104</v>
      </c>
      <c r="B521" s="53">
        <f>SUM(C521:L521)</f>
        <v>75000</v>
      </c>
      <c r="C521" s="53">
        <v>75000</v>
      </c>
      <c r="D521" s="53">
        <v>0</v>
      </c>
      <c r="E521" s="53">
        <v>0</v>
      </c>
      <c r="F521" s="53">
        <v>0</v>
      </c>
      <c r="G521" s="53">
        <v>0</v>
      </c>
      <c r="H521" s="53">
        <v>0</v>
      </c>
      <c r="I521" s="53">
        <v>0</v>
      </c>
      <c r="J521" s="53">
        <v>0</v>
      </c>
      <c r="K521" s="53">
        <v>0</v>
      </c>
      <c r="L521" s="52">
        <v>0</v>
      </c>
    </row>
    <row r="522" spans="1:13" ht="38.25" x14ac:dyDescent="0.25">
      <c r="A522" s="120" t="s">
        <v>12</v>
      </c>
      <c r="B522" s="90">
        <f>SUM(C522:L522)</f>
        <v>94131778</v>
      </c>
      <c r="C522" s="90">
        <f>11953317+22000</f>
        <v>11975317</v>
      </c>
      <c r="D522" s="90">
        <v>5126117</v>
      </c>
      <c r="E522" s="90">
        <v>470344</v>
      </c>
      <c r="F522" s="90">
        <v>0</v>
      </c>
      <c r="G522" s="90">
        <v>0</v>
      </c>
      <c r="H522" s="90">
        <v>3905738</v>
      </c>
      <c r="I522" s="90">
        <v>11035442</v>
      </c>
      <c r="J522" s="90">
        <v>10254751</v>
      </c>
      <c r="K522" s="90">
        <f>7177500+3514069</f>
        <v>10691569</v>
      </c>
      <c r="L522" s="201">
        <v>40672500</v>
      </c>
    </row>
    <row r="523" spans="1:13" ht="114.75" x14ac:dyDescent="0.25">
      <c r="A523" s="83" t="s">
        <v>38</v>
      </c>
      <c r="B523" s="84">
        <f>B524</f>
        <v>0</v>
      </c>
      <c r="C523" s="84">
        <f t="shared" ref="C523:L523" si="274">C524</f>
        <v>0</v>
      </c>
      <c r="D523" s="84">
        <f t="shared" si="274"/>
        <v>0</v>
      </c>
      <c r="E523" s="84">
        <f t="shared" si="274"/>
        <v>0</v>
      </c>
      <c r="F523" s="84">
        <f t="shared" si="274"/>
        <v>0</v>
      </c>
      <c r="G523" s="84">
        <f t="shared" si="274"/>
        <v>0</v>
      </c>
      <c r="H523" s="84">
        <f t="shared" si="274"/>
        <v>0</v>
      </c>
      <c r="I523" s="84">
        <f t="shared" si="274"/>
        <v>0</v>
      </c>
      <c r="J523" s="84">
        <f t="shared" si="274"/>
        <v>0</v>
      </c>
      <c r="K523" s="84">
        <f t="shared" si="274"/>
        <v>0</v>
      </c>
      <c r="L523" s="85">
        <f t="shared" si="274"/>
        <v>0</v>
      </c>
      <c r="M523" s="183" t="s">
        <v>155</v>
      </c>
    </row>
    <row r="524" spans="1:13" x14ac:dyDescent="0.25">
      <c r="A524" s="26" t="s">
        <v>22</v>
      </c>
      <c r="B524" s="20">
        <f>B525+B526</f>
        <v>0</v>
      </c>
      <c r="C524" s="20">
        <f t="shared" ref="C524:L524" si="275">C525+C526</f>
        <v>0</v>
      </c>
      <c r="D524" s="20">
        <f t="shared" si="275"/>
        <v>0</v>
      </c>
      <c r="E524" s="20">
        <f t="shared" si="275"/>
        <v>0</v>
      </c>
      <c r="F524" s="20">
        <f t="shared" si="275"/>
        <v>0</v>
      </c>
      <c r="G524" s="20">
        <f t="shared" si="275"/>
        <v>0</v>
      </c>
      <c r="H524" s="20">
        <f t="shared" si="275"/>
        <v>0</v>
      </c>
      <c r="I524" s="20">
        <f t="shared" si="275"/>
        <v>0</v>
      </c>
      <c r="J524" s="20">
        <f t="shared" si="275"/>
        <v>0</v>
      </c>
      <c r="K524" s="20">
        <f t="shared" si="275"/>
        <v>0</v>
      </c>
      <c r="L524" s="21">
        <f t="shared" si="275"/>
        <v>0</v>
      </c>
    </row>
    <row r="525" spans="1:13" x14ac:dyDescent="0.25">
      <c r="A525" s="51" t="s">
        <v>11</v>
      </c>
      <c r="B525" s="53">
        <f>SUM(C525:L525)</f>
        <v>0</v>
      </c>
      <c r="C525" s="53">
        <v>0</v>
      </c>
      <c r="D525" s="53">
        <v>0</v>
      </c>
      <c r="E525" s="53">
        <v>0</v>
      </c>
      <c r="F525" s="53">
        <v>0</v>
      </c>
      <c r="G525" s="53">
        <v>0</v>
      </c>
      <c r="H525" s="53">
        <v>0</v>
      </c>
      <c r="I525" s="53">
        <v>0</v>
      </c>
      <c r="J525" s="53">
        <v>0</v>
      </c>
      <c r="K525" s="53">
        <v>0</v>
      </c>
      <c r="L525" s="52">
        <v>0</v>
      </c>
    </row>
    <row r="526" spans="1:13" ht="39" thickBot="1" x14ac:dyDescent="0.3">
      <c r="A526" s="120" t="s">
        <v>12</v>
      </c>
      <c r="B526" s="122">
        <f>SUM(C526:L526)</f>
        <v>0</v>
      </c>
      <c r="C526" s="122">
        <v>0</v>
      </c>
      <c r="D526" s="122">
        <v>0</v>
      </c>
      <c r="E526" s="122">
        <v>0</v>
      </c>
      <c r="F526" s="122">
        <v>0</v>
      </c>
      <c r="G526" s="122">
        <v>0</v>
      </c>
      <c r="H526" s="122">
        <v>0</v>
      </c>
      <c r="I526" s="122">
        <v>0</v>
      </c>
      <c r="J526" s="122">
        <v>0</v>
      </c>
      <c r="K526" s="122">
        <v>0</v>
      </c>
      <c r="L526" s="202">
        <v>0</v>
      </c>
    </row>
    <row r="527" spans="1:13" ht="38.25" x14ac:dyDescent="0.25">
      <c r="A527" s="32" t="s">
        <v>39</v>
      </c>
      <c r="B527" s="33">
        <f>B528</f>
        <v>2558935</v>
      </c>
      <c r="C527" s="33">
        <f t="shared" ref="C527:L527" si="276">C528</f>
        <v>225362</v>
      </c>
      <c r="D527" s="33">
        <f t="shared" si="276"/>
        <v>242863</v>
      </c>
      <c r="E527" s="33">
        <f t="shared" si="276"/>
        <v>121142</v>
      </c>
      <c r="F527" s="33">
        <f t="shared" si="276"/>
        <v>0</v>
      </c>
      <c r="G527" s="33">
        <f t="shared" si="276"/>
        <v>0</v>
      </c>
      <c r="H527" s="33">
        <f t="shared" si="276"/>
        <v>148500</v>
      </c>
      <c r="I527" s="33">
        <f t="shared" si="276"/>
        <v>343892</v>
      </c>
      <c r="J527" s="33">
        <f t="shared" si="276"/>
        <v>343892</v>
      </c>
      <c r="K527" s="33">
        <f t="shared" si="276"/>
        <v>343892</v>
      </c>
      <c r="L527" s="34">
        <f t="shared" si="276"/>
        <v>789392</v>
      </c>
      <c r="M527" s="183" t="s">
        <v>156</v>
      </c>
    </row>
    <row r="528" spans="1:13" x14ac:dyDescent="0.25">
      <c r="A528" s="26" t="s">
        <v>22</v>
      </c>
      <c r="B528" s="20">
        <f>B529+B530</f>
        <v>2558935</v>
      </c>
      <c r="C528" s="20">
        <f t="shared" ref="C528:L528" si="277">C529+C530</f>
        <v>225362</v>
      </c>
      <c r="D528" s="20">
        <f t="shared" si="277"/>
        <v>242863</v>
      </c>
      <c r="E528" s="20">
        <f t="shared" si="277"/>
        <v>121142</v>
      </c>
      <c r="F528" s="20">
        <f t="shared" si="277"/>
        <v>0</v>
      </c>
      <c r="G528" s="20">
        <f t="shared" si="277"/>
        <v>0</v>
      </c>
      <c r="H528" s="20">
        <f t="shared" si="277"/>
        <v>148500</v>
      </c>
      <c r="I528" s="20">
        <f t="shared" si="277"/>
        <v>343892</v>
      </c>
      <c r="J528" s="20">
        <f t="shared" si="277"/>
        <v>343892</v>
      </c>
      <c r="K528" s="20">
        <f t="shared" si="277"/>
        <v>343892</v>
      </c>
      <c r="L528" s="21">
        <f t="shared" si="277"/>
        <v>789392</v>
      </c>
    </row>
    <row r="529" spans="1:13" ht="15" customHeight="1" x14ac:dyDescent="0.25">
      <c r="A529" s="51" t="s">
        <v>104</v>
      </c>
      <c r="B529" s="53">
        <f>SUM(C529:L529)</f>
        <v>847994</v>
      </c>
      <c r="C529" s="53">
        <v>121142</v>
      </c>
      <c r="D529" s="53">
        <v>121142</v>
      </c>
      <c r="E529" s="53">
        <v>121142</v>
      </c>
      <c r="F529" s="53">
        <v>0</v>
      </c>
      <c r="G529" s="53">
        <v>0</v>
      </c>
      <c r="H529" s="53">
        <v>0</v>
      </c>
      <c r="I529" s="53">
        <v>121142</v>
      </c>
      <c r="J529" s="53">
        <v>121142</v>
      </c>
      <c r="K529" s="53">
        <v>121142</v>
      </c>
      <c r="L529" s="52">
        <v>121142</v>
      </c>
    </row>
    <row r="530" spans="1:13" ht="38.25" x14ac:dyDescent="0.25">
      <c r="A530" s="120" t="s">
        <v>12</v>
      </c>
      <c r="B530" s="203">
        <f>SUM(C530:L530)</f>
        <v>1710941</v>
      </c>
      <c r="C530" s="203">
        <v>104220</v>
      </c>
      <c r="D530" s="203">
        <v>121721</v>
      </c>
      <c r="E530" s="203">
        <v>0</v>
      </c>
      <c r="F530" s="203">
        <v>0</v>
      </c>
      <c r="G530" s="203">
        <v>0</v>
      </c>
      <c r="H530" s="203">
        <v>148500</v>
      </c>
      <c r="I530" s="203">
        <v>222750</v>
      </c>
      <c r="J530" s="203">
        <v>222750</v>
      </c>
      <c r="K530" s="203">
        <v>222750</v>
      </c>
      <c r="L530" s="204">
        <v>668250</v>
      </c>
    </row>
    <row r="531" spans="1:13" ht="102.75" x14ac:dyDescent="0.25">
      <c r="A531" s="83" t="s">
        <v>40</v>
      </c>
      <c r="B531" s="84">
        <f>B532</f>
        <v>3309124</v>
      </c>
      <c r="C531" s="84">
        <f t="shared" ref="C531:L531" si="278">C532</f>
        <v>472732</v>
      </c>
      <c r="D531" s="84">
        <f t="shared" si="278"/>
        <v>472732</v>
      </c>
      <c r="E531" s="84">
        <f t="shared" si="278"/>
        <v>472732</v>
      </c>
      <c r="F531" s="84">
        <f t="shared" si="278"/>
        <v>0</v>
      </c>
      <c r="G531" s="84">
        <f t="shared" si="278"/>
        <v>0</v>
      </c>
      <c r="H531" s="84">
        <f t="shared" si="278"/>
        <v>0</v>
      </c>
      <c r="I531" s="84">
        <f t="shared" si="278"/>
        <v>472732</v>
      </c>
      <c r="J531" s="84">
        <f t="shared" si="278"/>
        <v>472732</v>
      </c>
      <c r="K531" s="84">
        <f t="shared" si="278"/>
        <v>472732</v>
      </c>
      <c r="L531" s="205">
        <f t="shared" si="278"/>
        <v>472732</v>
      </c>
      <c r="M531" s="183" t="s">
        <v>157</v>
      </c>
    </row>
    <row r="532" spans="1:13" x14ac:dyDescent="0.25">
      <c r="A532" s="26" t="s">
        <v>22</v>
      </c>
      <c r="B532" s="20">
        <f>B533+B534</f>
        <v>3309124</v>
      </c>
      <c r="C532" s="20">
        <f t="shared" ref="C532:L532" si="279">C533+C534</f>
        <v>472732</v>
      </c>
      <c r="D532" s="20">
        <f t="shared" si="279"/>
        <v>472732</v>
      </c>
      <c r="E532" s="20">
        <f t="shared" si="279"/>
        <v>472732</v>
      </c>
      <c r="F532" s="20">
        <f t="shared" si="279"/>
        <v>0</v>
      </c>
      <c r="G532" s="20">
        <f t="shared" si="279"/>
        <v>0</v>
      </c>
      <c r="H532" s="20">
        <f t="shared" si="279"/>
        <v>0</v>
      </c>
      <c r="I532" s="20">
        <f t="shared" si="279"/>
        <v>472732</v>
      </c>
      <c r="J532" s="20">
        <f t="shared" si="279"/>
        <v>472732</v>
      </c>
      <c r="K532" s="20">
        <f t="shared" si="279"/>
        <v>472732</v>
      </c>
      <c r="L532" s="21">
        <f t="shared" si="279"/>
        <v>472732</v>
      </c>
    </row>
    <row r="533" spans="1:13" x14ac:dyDescent="0.25">
      <c r="A533" s="51" t="s">
        <v>11</v>
      </c>
      <c r="B533" s="53">
        <f>SUM(C533:L533)</f>
        <v>3309124</v>
      </c>
      <c r="C533" s="53">
        <v>472732</v>
      </c>
      <c r="D533" s="53">
        <v>472732</v>
      </c>
      <c r="E533" s="53">
        <v>472732</v>
      </c>
      <c r="F533" s="53">
        <v>0</v>
      </c>
      <c r="G533" s="53">
        <v>0</v>
      </c>
      <c r="H533" s="53">
        <v>0</v>
      </c>
      <c r="I533" s="53">
        <v>472732</v>
      </c>
      <c r="J533" s="53">
        <v>472732</v>
      </c>
      <c r="K533" s="53">
        <v>472732</v>
      </c>
      <c r="L533" s="52">
        <v>472732</v>
      </c>
    </row>
    <row r="534" spans="1:13" ht="39.75" thickBot="1" x14ac:dyDescent="0.3">
      <c r="A534" s="27" t="s">
        <v>12</v>
      </c>
      <c r="B534" s="28">
        <f>SUM(C534:L534)</f>
        <v>0</v>
      </c>
      <c r="C534" s="28">
        <v>0</v>
      </c>
      <c r="D534" s="28">
        <v>0</v>
      </c>
      <c r="E534" s="28">
        <v>0</v>
      </c>
      <c r="F534" s="28">
        <v>0</v>
      </c>
      <c r="G534" s="28">
        <v>0</v>
      </c>
      <c r="H534" s="28">
        <v>0</v>
      </c>
      <c r="I534" s="28">
        <v>0</v>
      </c>
      <c r="J534" s="28">
        <v>0</v>
      </c>
      <c r="K534" s="28">
        <v>0</v>
      </c>
      <c r="L534" s="29">
        <v>0</v>
      </c>
    </row>
    <row r="535" spans="1:13" ht="63.75" x14ac:dyDescent="0.25">
      <c r="A535" s="32" t="s">
        <v>41</v>
      </c>
      <c r="B535" s="33">
        <f>B536</f>
        <v>172953199</v>
      </c>
      <c r="C535" s="33">
        <f t="shared" ref="C535:L535" si="280">C536</f>
        <v>33363089</v>
      </c>
      <c r="D535" s="33">
        <f t="shared" si="280"/>
        <v>31149956</v>
      </c>
      <c r="E535" s="33">
        <f t="shared" si="280"/>
        <v>21219389</v>
      </c>
      <c r="F535" s="33">
        <f t="shared" si="280"/>
        <v>0</v>
      </c>
      <c r="G535" s="33">
        <f t="shared" si="280"/>
        <v>2000000</v>
      </c>
      <c r="H535" s="33">
        <f t="shared" si="280"/>
        <v>4000000</v>
      </c>
      <c r="I535" s="33">
        <f t="shared" si="280"/>
        <v>9217661</v>
      </c>
      <c r="J535" s="33">
        <f t="shared" si="280"/>
        <v>17044153</v>
      </c>
      <c r="K535" s="33">
        <f t="shared" si="280"/>
        <v>17044153</v>
      </c>
      <c r="L535" s="34">
        <f t="shared" si="280"/>
        <v>37914798</v>
      </c>
      <c r="M535" s="183" t="s">
        <v>153</v>
      </c>
    </row>
    <row r="536" spans="1:13" x14ac:dyDescent="0.25">
      <c r="A536" s="26" t="s">
        <v>22</v>
      </c>
      <c r="B536" s="20">
        <f>B537+B538</f>
        <v>172953199</v>
      </c>
      <c r="C536" s="20">
        <f t="shared" ref="C536:L536" si="281">C537+C538</f>
        <v>33363089</v>
      </c>
      <c r="D536" s="20">
        <f t="shared" si="281"/>
        <v>31149956</v>
      </c>
      <c r="E536" s="20">
        <f t="shared" si="281"/>
        <v>21219389</v>
      </c>
      <c r="F536" s="20">
        <f t="shared" si="281"/>
        <v>0</v>
      </c>
      <c r="G536" s="20">
        <f t="shared" si="281"/>
        <v>2000000</v>
      </c>
      <c r="H536" s="20">
        <f t="shared" si="281"/>
        <v>4000000</v>
      </c>
      <c r="I536" s="20">
        <f t="shared" si="281"/>
        <v>9217661</v>
      </c>
      <c r="J536" s="20">
        <f t="shared" si="281"/>
        <v>17044153</v>
      </c>
      <c r="K536" s="20">
        <f t="shared" si="281"/>
        <v>17044153</v>
      </c>
      <c r="L536" s="21">
        <f t="shared" si="281"/>
        <v>37914798</v>
      </c>
    </row>
    <row r="537" spans="1:13" ht="17.25" customHeight="1" x14ac:dyDescent="0.25">
      <c r="A537" s="51" t="s">
        <v>104</v>
      </c>
      <c r="B537" s="53">
        <f>SUM(C537:L537)</f>
        <v>44254300</v>
      </c>
      <c r="C537" s="53">
        <v>7418100</v>
      </c>
      <c r="D537" s="53">
        <v>7418100</v>
      </c>
      <c r="E537" s="53">
        <v>7418100</v>
      </c>
      <c r="F537" s="53">
        <v>0</v>
      </c>
      <c r="G537" s="53">
        <v>2000000</v>
      </c>
      <c r="H537" s="53">
        <v>4000000</v>
      </c>
      <c r="I537" s="53">
        <v>4000000</v>
      </c>
      <c r="J537" s="53">
        <v>4000000</v>
      </c>
      <c r="K537" s="53">
        <v>4000000</v>
      </c>
      <c r="L537" s="52">
        <v>4000000</v>
      </c>
    </row>
    <row r="538" spans="1:13" ht="39.75" thickBot="1" x14ac:dyDescent="0.3">
      <c r="A538" s="27" t="s">
        <v>12</v>
      </c>
      <c r="B538" s="90">
        <f>SUM(C538:L538)</f>
        <v>128698899</v>
      </c>
      <c r="C538" s="90">
        <v>25944989</v>
      </c>
      <c r="D538" s="90">
        <v>23731856</v>
      </c>
      <c r="E538" s="90">
        <v>13801289</v>
      </c>
      <c r="F538" s="90">
        <v>0</v>
      </c>
      <c r="G538" s="90">
        <v>0</v>
      </c>
      <c r="H538" s="90">
        <v>0</v>
      </c>
      <c r="I538" s="90">
        <v>5217661</v>
      </c>
      <c r="J538" s="90">
        <v>13044153</v>
      </c>
      <c r="K538" s="90">
        <v>13044153</v>
      </c>
      <c r="L538" s="91">
        <v>33914798</v>
      </c>
    </row>
    <row r="539" spans="1:13" ht="114.75" x14ac:dyDescent="0.25">
      <c r="A539" s="83" t="s">
        <v>42</v>
      </c>
      <c r="B539" s="84">
        <f>B540</f>
        <v>0</v>
      </c>
      <c r="C539" s="84">
        <f t="shared" ref="C539:L539" si="282">C540</f>
        <v>0</v>
      </c>
      <c r="D539" s="84">
        <f t="shared" si="282"/>
        <v>0</v>
      </c>
      <c r="E539" s="84">
        <f t="shared" si="282"/>
        <v>0</v>
      </c>
      <c r="F539" s="84">
        <f t="shared" si="282"/>
        <v>0</v>
      </c>
      <c r="G539" s="84">
        <f t="shared" si="282"/>
        <v>0</v>
      </c>
      <c r="H539" s="84">
        <f t="shared" si="282"/>
        <v>0</v>
      </c>
      <c r="I539" s="84">
        <f t="shared" si="282"/>
        <v>0</v>
      </c>
      <c r="J539" s="84">
        <f t="shared" si="282"/>
        <v>0</v>
      </c>
      <c r="K539" s="84">
        <f t="shared" si="282"/>
        <v>0</v>
      </c>
      <c r="L539" s="85">
        <f t="shared" si="282"/>
        <v>0</v>
      </c>
      <c r="M539" s="183" t="s">
        <v>158</v>
      </c>
    </row>
    <row r="540" spans="1:13" x14ac:dyDescent="0.25">
      <c r="A540" s="26" t="s">
        <v>22</v>
      </c>
      <c r="B540" s="20">
        <f>B541+B542</f>
        <v>0</v>
      </c>
      <c r="C540" s="20">
        <f t="shared" ref="C540:L540" si="283">C541+C542</f>
        <v>0</v>
      </c>
      <c r="D540" s="20">
        <f t="shared" si="283"/>
        <v>0</v>
      </c>
      <c r="E540" s="20">
        <f t="shared" si="283"/>
        <v>0</v>
      </c>
      <c r="F540" s="20">
        <f t="shared" si="283"/>
        <v>0</v>
      </c>
      <c r="G540" s="20">
        <f t="shared" si="283"/>
        <v>0</v>
      </c>
      <c r="H540" s="20">
        <f t="shared" si="283"/>
        <v>0</v>
      </c>
      <c r="I540" s="20">
        <f t="shared" si="283"/>
        <v>0</v>
      </c>
      <c r="J540" s="20">
        <f t="shared" si="283"/>
        <v>0</v>
      </c>
      <c r="K540" s="20">
        <f t="shared" si="283"/>
        <v>0</v>
      </c>
      <c r="L540" s="21">
        <f t="shared" si="283"/>
        <v>0</v>
      </c>
    </row>
    <row r="541" spans="1:13" ht="16.5" customHeight="1" thickBot="1" x14ac:dyDescent="0.3">
      <c r="A541" s="51" t="s">
        <v>104</v>
      </c>
      <c r="B541" s="53">
        <f>SUM(C541:L541)</f>
        <v>0</v>
      </c>
      <c r="C541" s="53">
        <v>0</v>
      </c>
      <c r="D541" s="53">
        <v>0</v>
      </c>
      <c r="E541" s="53">
        <v>0</v>
      </c>
      <c r="F541" s="53">
        <v>0</v>
      </c>
      <c r="G541" s="53">
        <v>0</v>
      </c>
      <c r="H541" s="53">
        <v>0</v>
      </c>
      <c r="I541" s="53">
        <v>0</v>
      </c>
      <c r="J541" s="53">
        <v>0</v>
      </c>
      <c r="K541" s="53">
        <v>0</v>
      </c>
      <c r="L541" s="52">
        <v>0</v>
      </c>
    </row>
    <row r="542" spans="1:13" ht="39.75" thickBot="1" x14ac:dyDescent="0.3">
      <c r="A542" s="27" t="s">
        <v>12</v>
      </c>
      <c r="B542" s="28">
        <f>SUM(C542:L542)</f>
        <v>0</v>
      </c>
      <c r="C542" s="28">
        <v>0</v>
      </c>
      <c r="D542" s="28">
        <v>0</v>
      </c>
      <c r="E542" s="28">
        <v>0</v>
      </c>
      <c r="F542" s="28">
        <v>0</v>
      </c>
      <c r="G542" s="28">
        <v>0</v>
      </c>
      <c r="H542" s="28">
        <v>0</v>
      </c>
      <c r="I542" s="28">
        <v>0</v>
      </c>
      <c r="J542" s="28">
        <v>0</v>
      </c>
      <c r="K542" s="28">
        <v>0</v>
      </c>
      <c r="L542" s="206">
        <v>0</v>
      </c>
    </row>
    <row r="543" spans="1:13" ht="55.5" customHeight="1" x14ac:dyDescent="0.25">
      <c r="A543" s="32" t="s">
        <v>43</v>
      </c>
      <c r="B543" s="33">
        <f>B544</f>
        <v>8304292</v>
      </c>
      <c r="C543" s="33">
        <f t="shared" ref="C543:L543" si="284">C544</f>
        <v>152146</v>
      </c>
      <c r="D543" s="33">
        <f t="shared" si="284"/>
        <v>152146</v>
      </c>
      <c r="E543" s="33">
        <f t="shared" si="284"/>
        <v>0</v>
      </c>
      <c r="F543" s="33">
        <f t="shared" si="284"/>
        <v>0</v>
      </c>
      <c r="G543" s="33">
        <f t="shared" si="284"/>
        <v>400000</v>
      </c>
      <c r="H543" s="33">
        <f t="shared" si="284"/>
        <v>1200000</v>
      </c>
      <c r="I543" s="33">
        <f t="shared" si="284"/>
        <v>1200000</v>
      </c>
      <c r="J543" s="33">
        <f t="shared" si="284"/>
        <v>1600000</v>
      </c>
      <c r="K543" s="33">
        <f t="shared" si="284"/>
        <v>1600000</v>
      </c>
      <c r="L543" s="34">
        <f t="shared" si="284"/>
        <v>2000000</v>
      </c>
      <c r="M543" s="183" t="s">
        <v>151</v>
      </c>
    </row>
    <row r="544" spans="1:13" x14ac:dyDescent="0.25">
      <c r="A544" s="26" t="s">
        <v>22</v>
      </c>
      <c r="B544" s="20">
        <f>B545+B546</f>
        <v>8304292</v>
      </c>
      <c r="C544" s="20">
        <f t="shared" ref="C544:L544" si="285">C545+C546</f>
        <v>152146</v>
      </c>
      <c r="D544" s="20">
        <f t="shared" si="285"/>
        <v>152146</v>
      </c>
      <c r="E544" s="20">
        <f t="shared" si="285"/>
        <v>0</v>
      </c>
      <c r="F544" s="20">
        <f t="shared" si="285"/>
        <v>0</v>
      </c>
      <c r="G544" s="20">
        <f t="shared" si="285"/>
        <v>400000</v>
      </c>
      <c r="H544" s="20">
        <f t="shared" si="285"/>
        <v>1200000</v>
      </c>
      <c r="I544" s="20">
        <f t="shared" si="285"/>
        <v>1200000</v>
      </c>
      <c r="J544" s="20">
        <f t="shared" si="285"/>
        <v>1600000</v>
      </c>
      <c r="K544" s="20">
        <f t="shared" si="285"/>
        <v>1600000</v>
      </c>
      <c r="L544" s="21">
        <f t="shared" si="285"/>
        <v>2000000</v>
      </c>
    </row>
    <row r="545" spans="1:13" x14ac:dyDescent="0.25">
      <c r="A545" s="51" t="s">
        <v>11</v>
      </c>
      <c r="B545" s="53">
        <f>SUM(C545:L545)</f>
        <v>0</v>
      </c>
      <c r="C545" s="53">
        <v>0</v>
      </c>
      <c r="D545" s="53">
        <v>0</v>
      </c>
      <c r="E545" s="53">
        <v>0</v>
      </c>
      <c r="F545" s="53">
        <v>0</v>
      </c>
      <c r="G545" s="53">
        <v>0</v>
      </c>
      <c r="H545" s="53">
        <v>0</v>
      </c>
      <c r="I545" s="53">
        <v>0</v>
      </c>
      <c r="J545" s="53">
        <v>0</v>
      </c>
      <c r="K545" s="53">
        <v>0</v>
      </c>
      <c r="L545" s="52">
        <v>0</v>
      </c>
    </row>
    <row r="546" spans="1:13" ht="39" x14ac:dyDescent="0.25">
      <c r="A546" s="89" t="s">
        <v>12</v>
      </c>
      <c r="B546" s="90">
        <f>SUM(C546:L546)</f>
        <v>8304292</v>
      </c>
      <c r="C546" s="90">
        <v>152146</v>
      </c>
      <c r="D546" s="90">
        <v>152146</v>
      </c>
      <c r="E546" s="90">
        <v>0</v>
      </c>
      <c r="F546" s="90">
        <v>0</v>
      </c>
      <c r="G546" s="90">
        <v>400000</v>
      </c>
      <c r="H546" s="90">
        <v>1200000</v>
      </c>
      <c r="I546" s="90">
        <v>1200000</v>
      </c>
      <c r="J546" s="90">
        <v>1600000</v>
      </c>
      <c r="K546" s="90">
        <v>1600000</v>
      </c>
      <c r="L546" s="91">
        <v>2000000</v>
      </c>
    </row>
    <row r="547" spans="1:13" ht="114.75" x14ac:dyDescent="0.25">
      <c r="A547" s="83" t="s">
        <v>159</v>
      </c>
      <c r="B547" s="84">
        <f>B548</f>
        <v>0</v>
      </c>
      <c r="C547" s="84">
        <f t="shared" ref="C547:L547" si="286">C548</f>
        <v>0</v>
      </c>
      <c r="D547" s="84">
        <f t="shared" si="286"/>
        <v>0</v>
      </c>
      <c r="E547" s="84">
        <f t="shared" si="286"/>
        <v>0</v>
      </c>
      <c r="F547" s="84">
        <f t="shared" si="286"/>
        <v>0</v>
      </c>
      <c r="G547" s="84">
        <f t="shared" si="286"/>
        <v>0</v>
      </c>
      <c r="H547" s="84">
        <f t="shared" si="286"/>
        <v>0</v>
      </c>
      <c r="I547" s="84">
        <f t="shared" si="286"/>
        <v>0</v>
      </c>
      <c r="J547" s="84">
        <f t="shared" si="286"/>
        <v>0</v>
      </c>
      <c r="K547" s="84">
        <f t="shared" si="286"/>
        <v>0</v>
      </c>
      <c r="L547" s="85">
        <f t="shared" si="286"/>
        <v>0</v>
      </c>
      <c r="M547" s="183" t="s">
        <v>160</v>
      </c>
    </row>
    <row r="548" spans="1:13" x14ac:dyDescent="0.25">
      <c r="A548" s="26" t="s">
        <v>22</v>
      </c>
      <c r="B548" s="20">
        <f>B549+B550</f>
        <v>0</v>
      </c>
      <c r="C548" s="20">
        <f t="shared" ref="C548:L548" si="287">C549+C550</f>
        <v>0</v>
      </c>
      <c r="D548" s="20">
        <f t="shared" si="287"/>
        <v>0</v>
      </c>
      <c r="E548" s="20">
        <f t="shared" si="287"/>
        <v>0</v>
      </c>
      <c r="F548" s="20">
        <f t="shared" si="287"/>
        <v>0</v>
      </c>
      <c r="G548" s="20">
        <f t="shared" si="287"/>
        <v>0</v>
      </c>
      <c r="H548" s="20">
        <f t="shared" si="287"/>
        <v>0</v>
      </c>
      <c r="I548" s="20">
        <f t="shared" si="287"/>
        <v>0</v>
      </c>
      <c r="J548" s="20">
        <f t="shared" si="287"/>
        <v>0</v>
      </c>
      <c r="K548" s="20">
        <f t="shared" si="287"/>
        <v>0</v>
      </c>
      <c r="L548" s="21">
        <f t="shared" si="287"/>
        <v>0</v>
      </c>
    </row>
    <row r="549" spans="1:13" ht="16.5" customHeight="1" x14ac:dyDescent="0.25">
      <c r="A549" s="51" t="s">
        <v>104</v>
      </c>
      <c r="B549" s="53">
        <f>SUM(C549:L549)</f>
        <v>0</v>
      </c>
      <c r="C549" s="53">
        <v>0</v>
      </c>
      <c r="D549" s="53">
        <v>0</v>
      </c>
      <c r="E549" s="53">
        <v>0</v>
      </c>
      <c r="F549" s="53">
        <v>0</v>
      </c>
      <c r="G549" s="53">
        <v>0</v>
      </c>
      <c r="H549" s="53">
        <v>0</v>
      </c>
      <c r="I549" s="53">
        <v>0</v>
      </c>
      <c r="J549" s="53">
        <v>0</v>
      </c>
      <c r="K549" s="53">
        <v>0</v>
      </c>
      <c r="L549" s="52">
        <v>0</v>
      </c>
    </row>
    <row r="550" spans="1:13" ht="39.75" thickBot="1" x14ac:dyDescent="0.3">
      <c r="A550" s="27" t="s">
        <v>12</v>
      </c>
      <c r="B550" s="28">
        <f>SUM(C550:L550)</f>
        <v>0</v>
      </c>
      <c r="C550" s="28">
        <v>0</v>
      </c>
      <c r="D550" s="28">
        <v>0</v>
      </c>
      <c r="E550" s="28">
        <v>0</v>
      </c>
      <c r="F550" s="28">
        <v>0</v>
      </c>
      <c r="G550" s="28">
        <v>0</v>
      </c>
      <c r="H550" s="28">
        <v>0</v>
      </c>
      <c r="I550" s="28">
        <v>0</v>
      </c>
      <c r="J550" s="28">
        <v>0</v>
      </c>
      <c r="K550" s="28">
        <v>0</v>
      </c>
      <c r="L550" s="29">
        <v>0</v>
      </c>
    </row>
    <row r="551" spans="1:13" x14ac:dyDescent="0.25">
      <c r="A551" s="219" t="s">
        <v>44</v>
      </c>
      <c r="B551" s="220"/>
      <c r="C551" s="220"/>
      <c r="D551" s="220"/>
      <c r="E551" s="220"/>
      <c r="F551" s="220"/>
      <c r="G551" s="220"/>
      <c r="H551" s="220"/>
      <c r="I551" s="220"/>
      <c r="J551" s="220"/>
      <c r="K551" s="220"/>
      <c r="L551" s="221"/>
    </row>
    <row r="552" spans="1:13" x14ac:dyDescent="0.25">
      <c r="A552" s="38" t="s">
        <v>5</v>
      </c>
      <c r="B552" s="60">
        <f>B553+B554+B555+B556</f>
        <v>27563709</v>
      </c>
      <c r="C552" s="60">
        <f t="shared" ref="C552:L552" si="288">C553+C554+C555+C556</f>
        <v>668820</v>
      </c>
      <c r="D552" s="60">
        <f t="shared" si="288"/>
        <v>1005633</v>
      </c>
      <c r="E552" s="60">
        <f t="shared" si="288"/>
        <v>397326</v>
      </c>
      <c r="F552" s="60">
        <f t="shared" si="288"/>
        <v>0</v>
      </c>
      <c r="G552" s="60">
        <f t="shared" si="288"/>
        <v>1292354</v>
      </c>
      <c r="H552" s="60">
        <f t="shared" si="288"/>
        <v>3702763</v>
      </c>
      <c r="I552" s="60">
        <f t="shared" si="288"/>
        <v>4577185</v>
      </c>
      <c r="J552" s="60">
        <f t="shared" si="288"/>
        <v>4872636</v>
      </c>
      <c r="K552" s="60">
        <f t="shared" si="288"/>
        <v>4303135</v>
      </c>
      <c r="L552" s="61">
        <f t="shared" si="288"/>
        <v>6743857</v>
      </c>
    </row>
    <row r="553" spans="1:13" x14ac:dyDescent="0.25">
      <c r="A553" s="39" t="s">
        <v>6</v>
      </c>
      <c r="B553" s="77">
        <f>SUM(C553:L553)</f>
        <v>0</v>
      </c>
      <c r="C553" s="77">
        <v>0</v>
      </c>
      <c r="D553" s="77">
        <v>0</v>
      </c>
      <c r="E553" s="77">
        <v>0</v>
      </c>
      <c r="F553" s="77">
        <v>0</v>
      </c>
      <c r="G553" s="77">
        <v>0</v>
      </c>
      <c r="H553" s="77">
        <v>0</v>
      </c>
      <c r="I553" s="77">
        <v>0</v>
      </c>
      <c r="J553" s="77">
        <v>0</v>
      </c>
      <c r="K553" s="77">
        <v>0</v>
      </c>
      <c r="L553" s="79">
        <v>0</v>
      </c>
    </row>
    <row r="554" spans="1:13" x14ac:dyDescent="0.25">
      <c r="A554" s="39" t="s">
        <v>7</v>
      </c>
      <c r="B554" s="77">
        <f>SUM(C554:L554)</f>
        <v>0</v>
      </c>
      <c r="C554" s="77">
        <v>0</v>
      </c>
      <c r="D554" s="77">
        <v>0</v>
      </c>
      <c r="E554" s="77">
        <v>0</v>
      </c>
      <c r="F554" s="77">
        <v>0</v>
      </c>
      <c r="G554" s="77">
        <v>0</v>
      </c>
      <c r="H554" s="77">
        <v>0</v>
      </c>
      <c r="I554" s="77">
        <v>0</v>
      </c>
      <c r="J554" s="77">
        <v>0</v>
      </c>
      <c r="K554" s="77">
        <v>0</v>
      </c>
      <c r="L554" s="79">
        <v>0</v>
      </c>
    </row>
    <row r="555" spans="1:13" ht="26.25" x14ac:dyDescent="0.25">
      <c r="A555" s="39" t="s">
        <v>8</v>
      </c>
      <c r="B555" s="77">
        <f>SUM(C555:L555)</f>
        <v>0</v>
      </c>
      <c r="C555" s="77">
        <v>0</v>
      </c>
      <c r="D555" s="77">
        <v>0</v>
      </c>
      <c r="E555" s="77">
        <v>0</v>
      </c>
      <c r="F555" s="77">
        <v>0</v>
      </c>
      <c r="G555" s="77">
        <v>0</v>
      </c>
      <c r="H555" s="77">
        <v>0</v>
      </c>
      <c r="I555" s="77">
        <v>0</v>
      </c>
      <c r="J555" s="77">
        <v>0</v>
      </c>
      <c r="K555" s="77">
        <v>0</v>
      </c>
      <c r="L555" s="79">
        <v>0</v>
      </c>
    </row>
    <row r="556" spans="1:13" x14ac:dyDescent="0.25">
      <c r="A556" s="38" t="s">
        <v>9</v>
      </c>
      <c r="B556" s="60">
        <f>B563</f>
        <v>27563709</v>
      </c>
      <c r="C556" s="60">
        <f t="shared" ref="C556:L556" si="289">C563</f>
        <v>668820</v>
      </c>
      <c r="D556" s="60">
        <f t="shared" si="289"/>
        <v>1005633</v>
      </c>
      <c r="E556" s="60">
        <f t="shared" si="289"/>
        <v>397326</v>
      </c>
      <c r="F556" s="60">
        <f t="shared" si="289"/>
        <v>0</v>
      </c>
      <c r="G556" s="60">
        <f t="shared" si="289"/>
        <v>1292354</v>
      </c>
      <c r="H556" s="60">
        <f t="shared" si="289"/>
        <v>3702763</v>
      </c>
      <c r="I556" s="60">
        <f t="shared" si="289"/>
        <v>4577185</v>
      </c>
      <c r="J556" s="60">
        <f t="shared" si="289"/>
        <v>4872636</v>
      </c>
      <c r="K556" s="60">
        <f t="shared" si="289"/>
        <v>4303135</v>
      </c>
      <c r="L556" s="61">
        <f t="shared" si="289"/>
        <v>6743857</v>
      </c>
    </row>
    <row r="557" spans="1:13" x14ac:dyDescent="0.25">
      <c r="A557" s="39" t="s">
        <v>10</v>
      </c>
      <c r="B557" s="77"/>
      <c r="C557" s="77"/>
      <c r="D557" s="77"/>
      <c r="E557" s="77"/>
      <c r="F557" s="77"/>
      <c r="G557" s="77"/>
      <c r="H557" s="77"/>
      <c r="I557" s="77"/>
      <c r="J557" s="77"/>
      <c r="K557" s="77"/>
      <c r="L557" s="79"/>
    </row>
    <row r="558" spans="1:13" x14ac:dyDescent="0.25">
      <c r="A558" s="39" t="s">
        <v>11</v>
      </c>
      <c r="B558" s="40">
        <f>B564</f>
        <v>0</v>
      </c>
      <c r="C558" s="40">
        <f t="shared" ref="C558:L558" si="290">C564</f>
        <v>0</v>
      </c>
      <c r="D558" s="40">
        <f t="shared" si="290"/>
        <v>0</v>
      </c>
      <c r="E558" s="40">
        <f t="shared" si="290"/>
        <v>0</v>
      </c>
      <c r="F558" s="40">
        <f t="shared" si="290"/>
        <v>0</v>
      </c>
      <c r="G558" s="40">
        <f t="shared" si="290"/>
        <v>0</v>
      </c>
      <c r="H558" s="40">
        <f t="shared" si="290"/>
        <v>0</v>
      </c>
      <c r="I558" s="40">
        <f t="shared" si="290"/>
        <v>0</v>
      </c>
      <c r="J558" s="40">
        <f t="shared" si="290"/>
        <v>0</v>
      </c>
      <c r="K558" s="40">
        <f t="shared" si="290"/>
        <v>0</v>
      </c>
      <c r="L558" s="41">
        <f t="shared" si="290"/>
        <v>0</v>
      </c>
    </row>
    <row r="559" spans="1:13" ht="15.75" customHeight="1" x14ac:dyDescent="0.25">
      <c r="A559" s="62" t="s">
        <v>104</v>
      </c>
      <c r="B559" s="63">
        <f>B565</f>
        <v>244680</v>
      </c>
      <c r="C559" s="63">
        <f t="shared" ref="C559:L559" si="291">C565</f>
        <v>81560</v>
      </c>
      <c r="D559" s="63">
        <f t="shared" si="291"/>
        <v>81560</v>
      </c>
      <c r="E559" s="63">
        <f t="shared" si="291"/>
        <v>81560</v>
      </c>
      <c r="F559" s="63">
        <f t="shared" si="291"/>
        <v>0</v>
      </c>
      <c r="G559" s="63">
        <f t="shared" si="291"/>
        <v>0</v>
      </c>
      <c r="H559" s="63">
        <f t="shared" si="291"/>
        <v>0</v>
      </c>
      <c r="I559" s="63">
        <f t="shared" si="291"/>
        <v>0</v>
      </c>
      <c r="J559" s="63">
        <f t="shared" si="291"/>
        <v>0</v>
      </c>
      <c r="K559" s="63">
        <f t="shared" si="291"/>
        <v>0</v>
      </c>
      <c r="L559" s="64">
        <f t="shared" si="291"/>
        <v>0</v>
      </c>
    </row>
    <row r="560" spans="1:13" ht="39.75" thickBot="1" x14ac:dyDescent="0.3">
      <c r="A560" s="80" t="s">
        <v>12</v>
      </c>
      <c r="B560" s="81">
        <f>B566</f>
        <v>27319029</v>
      </c>
      <c r="C560" s="81">
        <f t="shared" ref="C560:L560" si="292">C566</f>
        <v>587260</v>
      </c>
      <c r="D560" s="81">
        <f t="shared" si="292"/>
        <v>924073</v>
      </c>
      <c r="E560" s="81">
        <f t="shared" si="292"/>
        <v>315766</v>
      </c>
      <c r="F560" s="81">
        <f t="shared" si="292"/>
        <v>0</v>
      </c>
      <c r="G560" s="81">
        <f>G566</f>
        <v>1292354</v>
      </c>
      <c r="H560" s="81">
        <f t="shared" si="292"/>
        <v>3702763</v>
      </c>
      <c r="I560" s="81">
        <f t="shared" si="292"/>
        <v>4577185</v>
      </c>
      <c r="J560" s="81">
        <f t="shared" si="292"/>
        <v>4872636</v>
      </c>
      <c r="K560" s="81">
        <f t="shared" si="292"/>
        <v>4303135</v>
      </c>
      <c r="L560" s="82">
        <f t="shared" si="292"/>
        <v>6743857</v>
      </c>
    </row>
    <row r="561" spans="1:13" x14ac:dyDescent="0.25">
      <c r="A561" s="5" t="s">
        <v>13</v>
      </c>
      <c r="B561" s="12"/>
      <c r="C561" s="12"/>
      <c r="D561" s="12"/>
      <c r="E561" s="12"/>
      <c r="F561" s="12"/>
      <c r="G561" s="12"/>
      <c r="H561" s="12"/>
      <c r="I561" s="12"/>
      <c r="J561" s="12"/>
      <c r="K561" s="12"/>
      <c r="L561" s="13"/>
    </row>
    <row r="562" spans="1:13" x14ac:dyDescent="0.25">
      <c r="A562" s="6" t="s">
        <v>14</v>
      </c>
      <c r="B562" s="14"/>
      <c r="C562" s="14"/>
      <c r="D562" s="14"/>
      <c r="E562" s="14"/>
      <c r="F562" s="14"/>
      <c r="G562" s="14"/>
      <c r="H562" s="14"/>
      <c r="I562" s="14"/>
      <c r="J562" s="14"/>
      <c r="K562" s="14"/>
      <c r="L562" s="15"/>
    </row>
    <row r="563" spans="1:13" x14ac:dyDescent="0.25">
      <c r="A563" s="35" t="s">
        <v>27</v>
      </c>
      <c r="B563" s="14">
        <f>B564+B565+B566</f>
        <v>27563709</v>
      </c>
      <c r="C563" s="14">
        <f t="shared" ref="C563:L563" si="293">C564+C565+C566</f>
        <v>668820</v>
      </c>
      <c r="D563" s="14">
        <f t="shared" si="293"/>
        <v>1005633</v>
      </c>
      <c r="E563" s="14">
        <f t="shared" si="293"/>
        <v>397326</v>
      </c>
      <c r="F563" s="14">
        <f t="shared" si="293"/>
        <v>0</v>
      </c>
      <c r="G563" s="14">
        <f t="shared" si="293"/>
        <v>1292354</v>
      </c>
      <c r="H563" s="14">
        <f t="shared" si="293"/>
        <v>3702763</v>
      </c>
      <c r="I563" s="14">
        <f t="shared" si="293"/>
        <v>4577185</v>
      </c>
      <c r="J563" s="14">
        <f t="shared" si="293"/>
        <v>4872636</v>
      </c>
      <c r="K563" s="14">
        <f t="shared" si="293"/>
        <v>4303135</v>
      </c>
      <c r="L563" s="15">
        <f t="shared" si="293"/>
        <v>6743857</v>
      </c>
    </row>
    <row r="564" spans="1:13" x14ac:dyDescent="0.25">
      <c r="A564" s="6" t="s">
        <v>11</v>
      </c>
      <c r="B564" s="54">
        <f>SUM(C564:L564)</f>
        <v>0</v>
      </c>
      <c r="C564" s="54">
        <f>C573+C569+C581</f>
        <v>0</v>
      </c>
      <c r="D564" s="54">
        <f t="shared" ref="D564:L564" si="294">D573+D569+D581</f>
        <v>0</v>
      </c>
      <c r="E564" s="54">
        <f t="shared" si="294"/>
        <v>0</v>
      </c>
      <c r="F564" s="54">
        <f t="shared" si="294"/>
        <v>0</v>
      </c>
      <c r="G564" s="54">
        <f t="shared" si="294"/>
        <v>0</v>
      </c>
      <c r="H564" s="54">
        <f t="shared" si="294"/>
        <v>0</v>
      </c>
      <c r="I564" s="54">
        <f t="shared" si="294"/>
        <v>0</v>
      </c>
      <c r="J564" s="54">
        <f t="shared" si="294"/>
        <v>0</v>
      </c>
      <c r="K564" s="54">
        <f t="shared" si="294"/>
        <v>0</v>
      </c>
      <c r="L564" s="17">
        <f t="shared" si="294"/>
        <v>0</v>
      </c>
    </row>
    <row r="565" spans="1:13" ht="16.5" customHeight="1" x14ac:dyDescent="0.25">
      <c r="A565" s="209" t="s">
        <v>104</v>
      </c>
      <c r="B565" s="112">
        <f>SUM(C565:L565)</f>
        <v>244680</v>
      </c>
      <c r="C565" s="112">
        <f>C577+C585+C589</f>
        <v>81560</v>
      </c>
      <c r="D565" s="112">
        <f t="shared" ref="D565:L565" si="295">D577+D585+D589</f>
        <v>81560</v>
      </c>
      <c r="E565" s="112">
        <f t="shared" si="295"/>
        <v>81560</v>
      </c>
      <c r="F565" s="112">
        <f t="shared" si="295"/>
        <v>0</v>
      </c>
      <c r="G565" s="112">
        <f t="shared" si="295"/>
        <v>0</v>
      </c>
      <c r="H565" s="112">
        <f t="shared" si="295"/>
        <v>0</v>
      </c>
      <c r="I565" s="112">
        <f t="shared" si="295"/>
        <v>0</v>
      </c>
      <c r="J565" s="112">
        <f t="shared" si="295"/>
        <v>0</v>
      </c>
      <c r="K565" s="112">
        <f t="shared" si="295"/>
        <v>0</v>
      </c>
      <c r="L565" s="113">
        <f t="shared" si="295"/>
        <v>0</v>
      </c>
    </row>
    <row r="566" spans="1:13" ht="39" customHeight="1" thickBot="1" x14ac:dyDescent="0.3">
      <c r="A566" s="7" t="s">
        <v>12</v>
      </c>
      <c r="B566" s="30">
        <f>SUM(C566:L566)</f>
        <v>27319029</v>
      </c>
      <c r="C566" s="30">
        <f>C570+C574+C578+C582+C586+C590</f>
        <v>587260</v>
      </c>
      <c r="D566" s="30">
        <f t="shared" ref="D566:L566" si="296">D570+D574+D578+D582+D586+D590</f>
        <v>924073</v>
      </c>
      <c r="E566" s="30">
        <f t="shared" si="296"/>
        <v>315766</v>
      </c>
      <c r="F566" s="30">
        <f t="shared" si="296"/>
        <v>0</v>
      </c>
      <c r="G566" s="30">
        <f t="shared" si="296"/>
        <v>1292354</v>
      </c>
      <c r="H566" s="30">
        <f t="shared" si="296"/>
        <v>3702763</v>
      </c>
      <c r="I566" s="30">
        <f t="shared" si="296"/>
        <v>4577185</v>
      </c>
      <c r="J566" s="30">
        <f t="shared" si="296"/>
        <v>4872636</v>
      </c>
      <c r="K566" s="30">
        <f t="shared" si="296"/>
        <v>4303135</v>
      </c>
      <c r="L566" s="31">
        <f t="shared" si="296"/>
        <v>6743857</v>
      </c>
    </row>
    <row r="567" spans="1:13" ht="51.75" x14ac:dyDescent="0.25">
      <c r="A567" s="32" t="s">
        <v>45</v>
      </c>
      <c r="B567" s="33">
        <f>B568</f>
        <v>5582000</v>
      </c>
      <c r="C567" s="33">
        <f t="shared" ref="C567:L567" si="297">C568</f>
        <v>0</v>
      </c>
      <c r="D567" s="33">
        <f t="shared" si="297"/>
        <v>0</v>
      </c>
      <c r="E567" s="33">
        <f t="shared" si="297"/>
        <v>0</v>
      </c>
      <c r="F567" s="33">
        <f t="shared" si="297"/>
        <v>0</v>
      </c>
      <c r="G567" s="33">
        <f t="shared" si="297"/>
        <v>279100</v>
      </c>
      <c r="H567" s="33">
        <f t="shared" si="297"/>
        <v>837300</v>
      </c>
      <c r="I567" s="33">
        <f t="shared" si="297"/>
        <v>837300</v>
      </c>
      <c r="J567" s="33">
        <f t="shared" si="297"/>
        <v>1395500</v>
      </c>
      <c r="K567" s="33">
        <f t="shared" si="297"/>
        <v>837300</v>
      </c>
      <c r="L567" s="34">
        <f t="shared" si="297"/>
        <v>1395500</v>
      </c>
      <c r="M567" s="211" t="s">
        <v>189</v>
      </c>
    </row>
    <row r="568" spans="1:13" x14ac:dyDescent="0.25">
      <c r="A568" s="26" t="s">
        <v>27</v>
      </c>
      <c r="B568" s="20">
        <f>B569+B570</f>
        <v>5582000</v>
      </c>
      <c r="C568" s="20">
        <f t="shared" ref="C568:L568" si="298">C569+C570</f>
        <v>0</v>
      </c>
      <c r="D568" s="20">
        <f t="shared" si="298"/>
        <v>0</v>
      </c>
      <c r="E568" s="20">
        <f t="shared" si="298"/>
        <v>0</v>
      </c>
      <c r="F568" s="20">
        <f t="shared" si="298"/>
        <v>0</v>
      </c>
      <c r="G568" s="20">
        <f t="shared" si="298"/>
        <v>279100</v>
      </c>
      <c r="H568" s="20">
        <f t="shared" si="298"/>
        <v>837300</v>
      </c>
      <c r="I568" s="20">
        <f t="shared" si="298"/>
        <v>837300</v>
      </c>
      <c r="J568" s="20">
        <f t="shared" si="298"/>
        <v>1395500</v>
      </c>
      <c r="K568" s="20">
        <f t="shared" si="298"/>
        <v>837300</v>
      </c>
      <c r="L568" s="21">
        <f t="shared" si="298"/>
        <v>1395500</v>
      </c>
    </row>
    <row r="569" spans="1:13" ht="15.75" thickBot="1" x14ac:dyDescent="0.3">
      <c r="A569" s="51" t="s">
        <v>11</v>
      </c>
      <c r="B569" s="53">
        <f>SUM(C569:L569)</f>
        <v>0</v>
      </c>
      <c r="C569" s="53">
        <v>0</v>
      </c>
      <c r="D569" s="53">
        <v>0</v>
      </c>
      <c r="E569" s="53">
        <v>0</v>
      </c>
      <c r="F569" s="53">
        <v>0</v>
      </c>
      <c r="G569" s="53">
        <v>0</v>
      </c>
      <c r="H569" s="53">
        <v>0</v>
      </c>
      <c r="I569" s="53">
        <v>0</v>
      </c>
      <c r="J569" s="53">
        <v>0</v>
      </c>
      <c r="K569" s="53">
        <v>0</v>
      </c>
      <c r="L569" s="52">
        <v>0</v>
      </c>
    </row>
    <row r="570" spans="1:13" ht="39" x14ac:dyDescent="0.25">
      <c r="A570" s="51" t="s">
        <v>12</v>
      </c>
      <c r="B570" s="53">
        <f>SUM(C570:L570)</f>
        <v>5582000</v>
      </c>
      <c r="C570" s="53">
        <v>0</v>
      </c>
      <c r="D570" s="53">
        <v>0</v>
      </c>
      <c r="E570" s="53">
        <v>0</v>
      </c>
      <c r="F570" s="53">
        <v>0</v>
      </c>
      <c r="G570" s="210">
        <f>0.05*5582000</f>
        <v>279100</v>
      </c>
      <c r="H570" s="210">
        <f>0.15*5582000</f>
        <v>837300</v>
      </c>
      <c r="I570" s="210">
        <f>0.15*5582000</f>
        <v>837300</v>
      </c>
      <c r="J570" s="210">
        <f>0.25*5582000</f>
        <v>1395500</v>
      </c>
      <c r="K570" s="210">
        <f>0.15*5582000</f>
        <v>837300</v>
      </c>
      <c r="L570" s="206">
        <f>0.25*5582000</f>
        <v>1395500</v>
      </c>
    </row>
    <row r="571" spans="1:13" ht="39" x14ac:dyDescent="0.25">
      <c r="A571" s="25" t="s">
        <v>46</v>
      </c>
      <c r="B571" s="23">
        <f>B572</f>
        <v>6207430</v>
      </c>
      <c r="C571" s="23">
        <f t="shared" ref="C571:L571" si="299">C572</f>
        <v>0</v>
      </c>
      <c r="D571" s="23">
        <f t="shared" si="299"/>
        <v>0</v>
      </c>
      <c r="E571" s="23">
        <f t="shared" si="299"/>
        <v>0</v>
      </c>
      <c r="F571" s="23">
        <f t="shared" si="299"/>
        <v>0</v>
      </c>
      <c r="G571" s="23">
        <f t="shared" si="299"/>
        <v>602179</v>
      </c>
      <c r="H571" s="23">
        <f t="shared" si="299"/>
        <v>810088</v>
      </c>
      <c r="I571" s="23">
        <f t="shared" si="299"/>
        <v>725335</v>
      </c>
      <c r="J571" s="23">
        <f t="shared" si="299"/>
        <v>736636</v>
      </c>
      <c r="K571" s="23">
        <f t="shared" si="299"/>
        <v>725335</v>
      </c>
      <c r="L571" s="24">
        <f t="shared" si="299"/>
        <v>2607857</v>
      </c>
      <c r="M571" s="183" t="s">
        <v>150</v>
      </c>
    </row>
    <row r="572" spans="1:13" x14ac:dyDescent="0.25">
      <c r="A572" s="26" t="s">
        <v>27</v>
      </c>
      <c r="B572" s="20">
        <f>B573+B574</f>
        <v>6207430</v>
      </c>
      <c r="C572" s="20">
        <f t="shared" ref="C572:L572" si="300">C573+C574</f>
        <v>0</v>
      </c>
      <c r="D572" s="20">
        <f t="shared" si="300"/>
        <v>0</v>
      </c>
      <c r="E572" s="20">
        <f t="shared" si="300"/>
        <v>0</v>
      </c>
      <c r="F572" s="20">
        <f t="shared" si="300"/>
        <v>0</v>
      </c>
      <c r="G572" s="20">
        <f t="shared" si="300"/>
        <v>602179</v>
      </c>
      <c r="H572" s="20">
        <f t="shared" si="300"/>
        <v>810088</v>
      </c>
      <c r="I572" s="20">
        <f t="shared" si="300"/>
        <v>725335</v>
      </c>
      <c r="J572" s="20">
        <f t="shared" si="300"/>
        <v>736636</v>
      </c>
      <c r="K572" s="20">
        <f t="shared" si="300"/>
        <v>725335</v>
      </c>
      <c r="L572" s="21">
        <f t="shared" si="300"/>
        <v>2607857</v>
      </c>
    </row>
    <row r="573" spans="1:13" x14ac:dyDescent="0.25">
      <c r="A573" s="51" t="s">
        <v>11</v>
      </c>
      <c r="B573" s="53">
        <f>SUM(C573:L573)</f>
        <v>0</v>
      </c>
      <c r="C573" s="129">
        <v>0</v>
      </c>
      <c r="D573" s="129">
        <v>0</v>
      </c>
      <c r="E573" s="129">
        <v>0</v>
      </c>
      <c r="F573" s="53">
        <v>0</v>
      </c>
      <c r="G573" s="53">
        <v>0</v>
      </c>
      <c r="H573" s="53">
        <v>0</v>
      </c>
      <c r="I573" s="53">
        <v>0</v>
      </c>
      <c r="J573" s="53">
        <v>0</v>
      </c>
      <c r="K573" s="53">
        <v>0</v>
      </c>
      <c r="L573" s="52">
        <v>0</v>
      </c>
    </row>
    <row r="574" spans="1:13" ht="39" x14ac:dyDescent="0.25">
      <c r="A574" s="51" t="s">
        <v>12</v>
      </c>
      <c r="B574" s="53">
        <f>SUM(C574:L574)</f>
        <v>6207430</v>
      </c>
      <c r="C574" s="53">
        <v>0</v>
      </c>
      <c r="D574" s="53">
        <v>0</v>
      </c>
      <c r="E574" s="53">
        <v>0</v>
      </c>
      <c r="F574" s="53">
        <v>0</v>
      </c>
      <c r="G574" s="184">
        <v>602179</v>
      </c>
      <c r="H574" s="184">
        <v>810088</v>
      </c>
      <c r="I574" s="184">
        <v>725335</v>
      </c>
      <c r="J574" s="184">
        <v>736636</v>
      </c>
      <c r="K574" s="184">
        <v>725335</v>
      </c>
      <c r="L574" s="185">
        <f>2198607+409250</f>
        <v>2607857</v>
      </c>
      <c r="M574" s="115"/>
    </row>
    <row r="575" spans="1:13" ht="64.5" x14ac:dyDescent="0.25">
      <c r="A575" s="25" t="s">
        <v>47</v>
      </c>
      <c r="B575" s="23">
        <f>B576</f>
        <v>14627399</v>
      </c>
      <c r="C575" s="23">
        <f t="shared" ref="C575:L575" si="301">C576</f>
        <v>249586</v>
      </c>
      <c r="D575" s="23">
        <f t="shared" si="301"/>
        <v>470974</v>
      </c>
      <c r="E575" s="23">
        <f t="shared" si="301"/>
        <v>204339</v>
      </c>
      <c r="F575" s="23">
        <f t="shared" si="301"/>
        <v>0</v>
      </c>
      <c r="G575" s="23">
        <f t="shared" si="301"/>
        <v>411075</v>
      </c>
      <c r="H575" s="23">
        <f t="shared" si="301"/>
        <v>2055375</v>
      </c>
      <c r="I575" s="23">
        <f t="shared" si="301"/>
        <v>3014550</v>
      </c>
      <c r="J575" s="23">
        <f t="shared" si="301"/>
        <v>2740500</v>
      </c>
      <c r="K575" s="23">
        <f t="shared" si="301"/>
        <v>2740500</v>
      </c>
      <c r="L575" s="24">
        <f t="shared" si="301"/>
        <v>2740500</v>
      </c>
      <c r="M575" s="183" t="s">
        <v>154</v>
      </c>
    </row>
    <row r="576" spans="1:13" x14ac:dyDescent="0.25">
      <c r="A576" s="26" t="s">
        <v>27</v>
      </c>
      <c r="B576" s="20">
        <f>B577+B578</f>
        <v>14627399</v>
      </c>
      <c r="C576" s="20">
        <f t="shared" ref="C576:L576" si="302">C577+C578</f>
        <v>249586</v>
      </c>
      <c r="D576" s="20">
        <f t="shared" si="302"/>
        <v>470974</v>
      </c>
      <c r="E576" s="20">
        <f t="shared" si="302"/>
        <v>204339</v>
      </c>
      <c r="F576" s="20">
        <f t="shared" si="302"/>
        <v>0</v>
      </c>
      <c r="G576" s="20">
        <f t="shared" si="302"/>
        <v>411075</v>
      </c>
      <c r="H576" s="20">
        <f t="shared" si="302"/>
        <v>2055375</v>
      </c>
      <c r="I576" s="20">
        <f t="shared" si="302"/>
        <v>3014550</v>
      </c>
      <c r="J576" s="20">
        <f t="shared" si="302"/>
        <v>2740500</v>
      </c>
      <c r="K576" s="20">
        <f t="shared" si="302"/>
        <v>2740500</v>
      </c>
      <c r="L576" s="21">
        <f t="shared" si="302"/>
        <v>2740500</v>
      </c>
    </row>
    <row r="577" spans="1:13" ht="15" customHeight="1" x14ac:dyDescent="0.25">
      <c r="A577" s="135" t="s">
        <v>104</v>
      </c>
      <c r="B577" s="53">
        <f>SUM(C577:L577)</f>
        <v>200280</v>
      </c>
      <c r="C577" s="53">
        <v>66760</v>
      </c>
      <c r="D577" s="53">
        <v>66760</v>
      </c>
      <c r="E577" s="53">
        <v>66760</v>
      </c>
      <c r="F577" s="53">
        <v>0</v>
      </c>
      <c r="G577" s="53">
        <v>0</v>
      </c>
      <c r="H577" s="53">
        <v>0</v>
      </c>
      <c r="I577" s="53">
        <v>0</v>
      </c>
      <c r="J577" s="53">
        <v>0</v>
      </c>
      <c r="K577" s="53">
        <v>0</v>
      </c>
      <c r="L577" s="52">
        <v>0</v>
      </c>
    </row>
    <row r="578" spans="1:13" ht="37.5" customHeight="1" x14ac:dyDescent="0.25">
      <c r="A578" s="51" t="s">
        <v>12</v>
      </c>
      <c r="B578" s="53">
        <f>SUM(C578:L578)</f>
        <v>14427119</v>
      </c>
      <c r="C578" s="53">
        <v>182826</v>
      </c>
      <c r="D578" s="53">
        <v>404214</v>
      </c>
      <c r="E578" s="53">
        <v>137579</v>
      </c>
      <c r="F578" s="53">
        <v>0</v>
      </c>
      <c r="G578" s="53">
        <v>411075</v>
      </c>
      <c r="H578" s="53">
        <v>2055375</v>
      </c>
      <c r="I578" s="53">
        <v>3014550</v>
      </c>
      <c r="J578" s="53">
        <v>2740500</v>
      </c>
      <c r="K578" s="53">
        <v>2740500</v>
      </c>
      <c r="L578" s="52">
        <v>2740500</v>
      </c>
    </row>
    <row r="579" spans="1:13" ht="89.25" x14ac:dyDescent="0.25">
      <c r="A579" s="25" t="s">
        <v>48</v>
      </c>
      <c r="B579" s="23">
        <f>B580</f>
        <v>1102480</v>
      </c>
      <c r="C579" s="23">
        <f t="shared" ref="C579:L579" si="303">C580</f>
        <v>404434</v>
      </c>
      <c r="D579" s="23">
        <f t="shared" si="303"/>
        <v>519859</v>
      </c>
      <c r="E579" s="23">
        <f t="shared" si="303"/>
        <v>178187</v>
      </c>
      <c r="F579" s="23">
        <f t="shared" si="303"/>
        <v>0</v>
      </c>
      <c r="G579" s="23">
        <f t="shared" si="303"/>
        <v>0</v>
      </c>
      <c r="H579" s="23">
        <f t="shared" si="303"/>
        <v>0</v>
      </c>
      <c r="I579" s="23">
        <f t="shared" si="303"/>
        <v>0</v>
      </c>
      <c r="J579" s="23">
        <f t="shared" si="303"/>
        <v>0</v>
      </c>
      <c r="K579" s="23">
        <f t="shared" si="303"/>
        <v>0</v>
      </c>
      <c r="L579" s="24">
        <f t="shared" si="303"/>
        <v>0</v>
      </c>
      <c r="M579" s="183" t="s">
        <v>161</v>
      </c>
    </row>
    <row r="580" spans="1:13" x14ac:dyDescent="0.25">
      <c r="A580" s="26" t="s">
        <v>27</v>
      </c>
      <c r="B580" s="20">
        <f>B581+B582</f>
        <v>1102480</v>
      </c>
      <c r="C580" s="20">
        <f t="shared" ref="C580:L580" si="304">C581+C582</f>
        <v>404434</v>
      </c>
      <c r="D580" s="20">
        <f t="shared" si="304"/>
        <v>519859</v>
      </c>
      <c r="E580" s="20">
        <f t="shared" si="304"/>
        <v>178187</v>
      </c>
      <c r="F580" s="20">
        <f t="shared" si="304"/>
        <v>0</v>
      </c>
      <c r="G580" s="20">
        <f t="shared" si="304"/>
        <v>0</v>
      </c>
      <c r="H580" s="20">
        <f t="shared" si="304"/>
        <v>0</v>
      </c>
      <c r="I580" s="20">
        <f t="shared" si="304"/>
        <v>0</v>
      </c>
      <c r="J580" s="20">
        <f t="shared" si="304"/>
        <v>0</v>
      </c>
      <c r="K580" s="20">
        <f t="shared" si="304"/>
        <v>0</v>
      </c>
      <c r="L580" s="21">
        <f t="shared" si="304"/>
        <v>0</v>
      </c>
    </row>
    <row r="581" spans="1:13" x14ac:dyDescent="0.25">
      <c r="A581" s="51" t="s">
        <v>11</v>
      </c>
      <c r="B581" s="53">
        <f>SUM(C581:L581)</f>
        <v>0</v>
      </c>
      <c r="C581" s="53">
        <v>0</v>
      </c>
      <c r="D581" s="53">
        <v>0</v>
      </c>
      <c r="E581" s="53">
        <v>0</v>
      </c>
      <c r="F581" s="53">
        <v>0</v>
      </c>
      <c r="G581" s="53">
        <v>0</v>
      </c>
      <c r="H581" s="53">
        <v>0</v>
      </c>
      <c r="I581" s="53">
        <v>0</v>
      </c>
      <c r="J581" s="53">
        <v>0</v>
      </c>
      <c r="K581" s="53">
        <v>0</v>
      </c>
      <c r="L581" s="52">
        <v>0</v>
      </c>
    </row>
    <row r="582" spans="1:13" ht="42" customHeight="1" x14ac:dyDescent="0.25">
      <c r="A582" s="51" t="s">
        <v>12</v>
      </c>
      <c r="B582" s="53">
        <f>SUM(C582:L582)</f>
        <v>1102480</v>
      </c>
      <c r="C582" s="53">
        <v>404434</v>
      </c>
      <c r="D582" s="53">
        <v>519859</v>
      </c>
      <c r="E582" s="53">
        <v>178187</v>
      </c>
      <c r="F582" s="53">
        <v>0</v>
      </c>
      <c r="G582" s="53">
        <v>0</v>
      </c>
      <c r="H582" s="53">
        <v>0</v>
      </c>
      <c r="I582" s="53">
        <v>0</v>
      </c>
      <c r="J582" s="53">
        <v>0</v>
      </c>
      <c r="K582" s="53">
        <v>0</v>
      </c>
      <c r="L582" s="52">
        <v>0</v>
      </c>
    </row>
    <row r="583" spans="1:13" ht="63.75" x14ac:dyDescent="0.25">
      <c r="A583" s="25" t="s">
        <v>49</v>
      </c>
      <c r="B583" s="23">
        <f>B584</f>
        <v>33000</v>
      </c>
      <c r="C583" s="23">
        <f t="shared" ref="C583:L583" si="305">C584</f>
        <v>11000</v>
      </c>
      <c r="D583" s="23">
        <f t="shared" si="305"/>
        <v>11000</v>
      </c>
      <c r="E583" s="23">
        <f t="shared" si="305"/>
        <v>11000</v>
      </c>
      <c r="F583" s="23">
        <f t="shared" si="305"/>
        <v>0</v>
      </c>
      <c r="G583" s="23">
        <f t="shared" si="305"/>
        <v>0</v>
      </c>
      <c r="H583" s="23">
        <f t="shared" si="305"/>
        <v>0</v>
      </c>
      <c r="I583" s="23">
        <f t="shared" si="305"/>
        <v>0</v>
      </c>
      <c r="J583" s="23">
        <f t="shared" si="305"/>
        <v>0</v>
      </c>
      <c r="K583" s="23">
        <f t="shared" si="305"/>
        <v>0</v>
      </c>
      <c r="L583" s="24">
        <f t="shared" si="305"/>
        <v>0</v>
      </c>
      <c r="M583" s="183" t="s">
        <v>162</v>
      </c>
    </row>
    <row r="584" spans="1:13" x14ac:dyDescent="0.25">
      <c r="A584" s="26" t="s">
        <v>27</v>
      </c>
      <c r="B584" s="20">
        <f>B585+B586</f>
        <v>33000</v>
      </c>
      <c r="C584" s="20">
        <f t="shared" ref="C584:L584" si="306">C585+C586</f>
        <v>11000</v>
      </c>
      <c r="D584" s="20">
        <f t="shared" si="306"/>
        <v>11000</v>
      </c>
      <c r="E584" s="20">
        <f t="shared" si="306"/>
        <v>11000</v>
      </c>
      <c r="F584" s="20">
        <f t="shared" si="306"/>
        <v>0</v>
      </c>
      <c r="G584" s="20">
        <f t="shared" si="306"/>
        <v>0</v>
      </c>
      <c r="H584" s="20">
        <f t="shared" si="306"/>
        <v>0</v>
      </c>
      <c r="I584" s="20">
        <f t="shared" si="306"/>
        <v>0</v>
      </c>
      <c r="J584" s="20">
        <f t="shared" si="306"/>
        <v>0</v>
      </c>
      <c r="K584" s="20">
        <f t="shared" si="306"/>
        <v>0</v>
      </c>
      <c r="L584" s="21">
        <f t="shared" si="306"/>
        <v>0</v>
      </c>
    </row>
    <row r="585" spans="1:13" ht="16.5" customHeight="1" x14ac:dyDescent="0.25">
      <c r="A585" s="135" t="s">
        <v>104</v>
      </c>
      <c r="B585" s="53">
        <f>SUM(C585:L585)</f>
        <v>33000</v>
      </c>
      <c r="C585" s="53">
        <v>11000</v>
      </c>
      <c r="D585" s="53">
        <v>11000</v>
      </c>
      <c r="E585" s="53">
        <v>11000</v>
      </c>
      <c r="F585" s="53">
        <v>0</v>
      </c>
      <c r="G585" s="53">
        <v>0</v>
      </c>
      <c r="H585" s="53">
        <v>0</v>
      </c>
      <c r="I585" s="53">
        <v>0</v>
      </c>
      <c r="J585" s="53">
        <v>0</v>
      </c>
      <c r="K585" s="53">
        <v>0</v>
      </c>
      <c r="L585" s="52">
        <v>0</v>
      </c>
    </row>
    <row r="586" spans="1:13" ht="39.75" thickBot="1" x14ac:dyDescent="0.3">
      <c r="A586" s="27" t="s">
        <v>12</v>
      </c>
      <c r="B586" s="28">
        <f>SUM(C586:L586)</f>
        <v>0</v>
      </c>
      <c r="C586" s="28">
        <v>0</v>
      </c>
      <c r="D586" s="28">
        <v>0</v>
      </c>
      <c r="E586" s="28">
        <v>0</v>
      </c>
      <c r="F586" s="28">
        <v>0</v>
      </c>
      <c r="G586" s="28">
        <v>0</v>
      </c>
      <c r="H586" s="28">
        <v>0</v>
      </c>
      <c r="I586" s="28">
        <v>0</v>
      </c>
      <c r="J586" s="28">
        <v>0</v>
      </c>
      <c r="K586" s="28">
        <v>0</v>
      </c>
      <c r="L586" s="29">
        <v>0</v>
      </c>
    </row>
    <row r="587" spans="1:13" ht="65.25" customHeight="1" x14ac:dyDescent="0.25">
      <c r="A587" s="83" t="s">
        <v>50</v>
      </c>
      <c r="B587" s="84">
        <f>B588</f>
        <v>11400</v>
      </c>
      <c r="C587" s="84">
        <f t="shared" ref="C587:L587" si="307">C588</f>
        <v>3800</v>
      </c>
      <c r="D587" s="84">
        <f t="shared" si="307"/>
        <v>3800</v>
      </c>
      <c r="E587" s="84">
        <f t="shared" si="307"/>
        <v>3800</v>
      </c>
      <c r="F587" s="84">
        <f t="shared" si="307"/>
        <v>0</v>
      </c>
      <c r="G587" s="84">
        <f t="shared" si="307"/>
        <v>0</v>
      </c>
      <c r="H587" s="84">
        <f t="shared" si="307"/>
        <v>0</v>
      </c>
      <c r="I587" s="84">
        <f t="shared" si="307"/>
        <v>0</v>
      </c>
      <c r="J587" s="84">
        <f t="shared" si="307"/>
        <v>0</v>
      </c>
      <c r="K587" s="84">
        <f t="shared" si="307"/>
        <v>0</v>
      </c>
      <c r="L587" s="85">
        <f t="shared" si="307"/>
        <v>0</v>
      </c>
    </row>
    <row r="588" spans="1:13" x14ac:dyDescent="0.25">
      <c r="A588" s="26" t="s">
        <v>27</v>
      </c>
      <c r="B588" s="106">
        <f>B589+B590</f>
        <v>11400</v>
      </c>
      <c r="C588" s="106">
        <f t="shared" ref="C588:L588" si="308">C589+C590</f>
        <v>3800</v>
      </c>
      <c r="D588" s="106">
        <f t="shared" si="308"/>
        <v>3800</v>
      </c>
      <c r="E588" s="106">
        <f t="shared" si="308"/>
        <v>3800</v>
      </c>
      <c r="F588" s="106">
        <f t="shared" si="308"/>
        <v>0</v>
      </c>
      <c r="G588" s="106">
        <f t="shared" si="308"/>
        <v>0</v>
      </c>
      <c r="H588" s="106">
        <f t="shared" si="308"/>
        <v>0</v>
      </c>
      <c r="I588" s="106">
        <f t="shared" si="308"/>
        <v>0</v>
      </c>
      <c r="J588" s="106">
        <f t="shared" si="308"/>
        <v>0</v>
      </c>
      <c r="K588" s="106">
        <f t="shared" si="308"/>
        <v>0</v>
      </c>
      <c r="L588" s="107">
        <f t="shared" si="308"/>
        <v>0</v>
      </c>
    </row>
    <row r="589" spans="1:13" ht="14.25" customHeight="1" x14ac:dyDescent="0.25">
      <c r="A589" s="135" t="s">
        <v>104</v>
      </c>
      <c r="B589" s="53">
        <f>SUM(C589:L589)</f>
        <v>11400</v>
      </c>
      <c r="C589" s="53">
        <v>3800</v>
      </c>
      <c r="D589" s="53">
        <v>3800</v>
      </c>
      <c r="E589" s="53">
        <v>3800</v>
      </c>
      <c r="F589" s="53">
        <v>0</v>
      </c>
      <c r="G589" s="53">
        <v>0</v>
      </c>
      <c r="H589" s="53">
        <v>0</v>
      </c>
      <c r="I589" s="53">
        <v>0</v>
      </c>
      <c r="J589" s="53">
        <v>0</v>
      </c>
      <c r="K589" s="53">
        <v>0</v>
      </c>
      <c r="L589" s="52">
        <v>0</v>
      </c>
    </row>
    <row r="590" spans="1:13" ht="39.75" thickBot="1" x14ac:dyDescent="0.3">
      <c r="A590" s="27" t="s">
        <v>12</v>
      </c>
      <c r="B590" s="28">
        <f>SUM(C590:L590)</f>
        <v>0</v>
      </c>
      <c r="C590" s="28">
        <v>0</v>
      </c>
      <c r="D590" s="28">
        <v>0</v>
      </c>
      <c r="E590" s="28">
        <v>0</v>
      </c>
      <c r="F590" s="28">
        <v>0</v>
      </c>
      <c r="G590" s="28">
        <v>0</v>
      </c>
      <c r="H590" s="28">
        <v>0</v>
      </c>
      <c r="I590" s="28">
        <v>0</v>
      </c>
      <c r="J590" s="28">
        <v>0</v>
      </c>
      <c r="K590" s="28">
        <v>0</v>
      </c>
      <c r="L590" s="29">
        <v>0</v>
      </c>
    </row>
    <row r="591" spans="1:13" x14ac:dyDescent="0.25">
      <c r="A591" s="219" t="s">
        <v>51</v>
      </c>
      <c r="B591" s="220"/>
      <c r="C591" s="220"/>
      <c r="D591" s="220"/>
      <c r="E591" s="220"/>
      <c r="F591" s="220"/>
      <c r="G591" s="220"/>
      <c r="H591" s="220"/>
      <c r="I591" s="220"/>
      <c r="J591" s="220"/>
      <c r="K591" s="220"/>
      <c r="L591" s="221"/>
      <c r="M591" s="216" t="s">
        <v>149</v>
      </c>
    </row>
    <row r="592" spans="1:13" x14ac:dyDescent="0.25">
      <c r="A592" s="38" t="s">
        <v>5</v>
      </c>
      <c r="B592" s="60">
        <f>B593+B594+B595+B596</f>
        <v>16505459</v>
      </c>
      <c r="C592" s="60">
        <f t="shared" ref="C592:L592" si="309">C593+C594+C595+C596</f>
        <v>2579757</v>
      </c>
      <c r="D592" s="60">
        <f t="shared" si="309"/>
        <v>1803702</v>
      </c>
      <c r="E592" s="60">
        <f t="shared" si="309"/>
        <v>13000</v>
      </c>
      <c r="F592" s="60">
        <f t="shared" si="309"/>
        <v>0</v>
      </c>
      <c r="G592" s="60">
        <f t="shared" si="309"/>
        <v>605000</v>
      </c>
      <c r="H592" s="60">
        <f t="shared" si="309"/>
        <v>2408000</v>
      </c>
      <c r="I592" s="60">
        <f t="shared" si="309"/>
        <v>1824000</v>
      </c>
      <c r="J592" s="60">
        <f t="shared" si="309"/>
        <v>1824000</v>
      </c>
      <c r="K592" s="60">
        <f t="shared" si="309"/>
        <v>1824000</v>
      </c>
      <c r="L592" s="61">
        <f t="shared" si="309"/>
        <v>3624000</v>
      </c>
      <c r="M592" s="216"/>
    </row>
    <row r="593" spans="1:13" x14ac:dyDescent="0.25">
      <c r="A593" s="39" t="s">
        <v>6</v>
      </c>
      <c r="B593" s="77">
        <f>SUM(C593:L593)</f>
        <v>0</v>
      </c>
      <c r="C593" s="77">
        <v>0</v>
      </c>
      <c r="D593" s="77">
        <v>0</v>
      </c>
      <c r="E593" s="77">
        <v>0</v>
      </c>
      <c r="F593" s="77">
        <v>0</v>
      </c>
      <c r="G593" s="77">
        <v>0</v>
      </c>
      <c r="H593" s="77">
        <v>0</v>
      </c>
      <c r="I593" s="77">
        <v>0</v>
      </c>
      <c r="J593" s="77">
        <v>0</v>
      </c>
      <c r="K593" s="77">
        <v>0</v>
      </c>
      <c r="L593" s="79">
        <v>0</v>
      </c>
      <c r="M593" s="216"/>
    </row>
    <row r="594" spans="1:13" x14ac:dyDescent="0.25">
      <c r="A594" s="39" t="s">
        <v>7</v>
      </c>
      <c r="B594" s="77">
        <f>SUM(C594:L594)</f>
        <v>0</v>
      </c>
      <c r="C594" s="77">
        <v>0</v>
      </c>
      <c r="D594" s="77">
        <v>0</v>
      </c>
      <c r="E594" s="77">
        <v>0</v>
      </c>
      <c r="F594" s="77">
        <v>0</v>
      </c>
      <c r="G594" s="77">
        <v>0</v>
      </c>
      <c r="H594" s="77">
        <v>0</v>
      </c>
      <c r="I594" s="77">
        <v>0</v>
      </c>
      <c r="J594" s="77">
        <v>0</v>
      </c>
      <c r="K594" s="77">
        <v>0</v>
      </c>
      <c r="L594" s="79">
        <v>0</v>
      </c>
      <c r="M594" s="216"/>
    </row>
    <row r="595" spans="1:13" ht="26.25" x14ac:dyDescent="0.25">
      <c r="A595" s="39" t="s">
        <v>8</v>
      </c>
      <c r="B595" s="77">
        <f>SUM(C595:L595)</f>
        <v>0</v>
      </c>
      <c r="C595" s="77">
        <v>0</v>
      </c>
      <c r="D595" s="77">
        <v>0</v>
      </c>
      <c r="E595" s="77">
        <v>0</v>
      </c>
      <c r="F595" s="77">
        <v>0</v>
      </c>
      <c r="G595" s="77">
        <v>0</v>
      </c>
      <c r="H595" s="77">
        <v>0</v>
      </c>
      <c r="I595" s="77">
        <v>0</v>
      </c>
      <c r="J595" s="77">
        <v>0</v>
      </c>
      <c r="K595" s="77">
        <v>0</v>
      </c>
      <c r="L595" s="79">
        <v>0</v>
      </c>
      <c r="M595" s="216"/>
    </row>
    <row r="596" spans="1:13" x14ac:dyDescent="0.25">
      <c r="A596" s="38" t="s">
        <v>9</v>
      </c>
      <c r="B596" s="60">
        <f>B602</f>
        <v>16505459</v>
      </c>
      <c r="C596" s="60">
        <f t="shared" ref="C596:L596" si="310">C602</f>
        <v>2579757</v>
      </c>
      <c r="D596" s="60">
        <f t="shared" si="310"/>
        <v>1803702</v>
      </c>
      <c r="E596" s="60">
        <f t="shared" si="310"/>
        <v>13000</v>
      </c>
      <c r="F596" s="60">
        <f t="shared" si="310"/>
        <v>0</v>
      </c>
      <c r="G596" s="60">
        <f t="shared" si="310"/>
        <v>605000</v>
      </c>
      <c r="H596" s="60">
        <f t="shared" si="310"/>
        <v>2408000</v>
      </c>
      <c r="I596" s="60">
        <f t="shared" si="310"/>
        <v>1824000</v>
      </c>
      <c r="J596" s="60">
        <f t="shared" si="310"/>
        <v>1824000</v>
      </c>
      <c r="K596" s="60">
        <f t="shared" si="310"/>
        <v>1824000</v>
      </c>
      <c r="L596" s="61">
        <f t="shared" si="310"/>
        <v>3624000</v>
      </c>
      <c r="M596" s="216"/>
    </row>
    <row r="597" spans="1:13" x14ac:dyDescent="0.25">
      <c r="A597" s="39" t="s">
        <v>10</v>
      </c>
      <c r="B597" s="77"/>
      <c r="C597" s="77"/>
      <c r="D597" s="77"/>
      <c r="E597" s="77"/>
      <c r="F597" s="77"/>
      <c r="G597" s="77"/>
      <c r="H597" s="77"/>
      <c r="I597" s="77"/>
      <c r="J597" s="77"/>
      <c r="K597" s="77"/>
      <c r="L597" s="79"/>
      <c r="M597" s="216"/>
    </row>
    <row r="598" spans="1:13" x14ac:dyDescent="0.25">
      <c r="A598" s="39" t="s">
        <v>11</v>
      </c>
      <c r="B598" s="40">
        <f>B603</f>
        <v>148000</v>
      </c>
      <c r="C598" s="40">
        <f t="shared" ref="C598:L598" si="311">C603</f>
        <v>13000</v>
      </c>
      <c r="D598" s="40">
        <f t="shared" si="311"/>
        <v>13000</v>
      </c>
      <c r="E598" s="40">
        <f t="shared" si="311"/>
        <v>13000</v>
      </c>
      <c r="F598" s="40">
        <f t="shared" si="311"/>
        <v>0</v>
      </c>
      <c r="G598" s="40">
        <f t="shared" si="311"/>
        <v>5000</v>
      </c>
      <c r="H598" s="40">
        <f t="shared" si="311"/>
        <v>8000</v>
      </c>
      <c r="I598" s="40">
        <f t="shared" si="311"/>
        <v>24000</v>
      </c>
      <c r="J598" s="40">
        <f t="shared" si="311"/>
        <v>24000</v>
      </c>
      <c r="K598" s="40">
        <f t="shared" si="311"/>
        <v>24000</v>
      </c>
      <c r="L598" s="41">
        <f t="shared" si="311"/>
        <v>24000</v>
      </c>
      <c r="M598" s="216"/>
    </row>
    <row r="599" spans="1:13" ht="39.75" thickBot="1" x14ac:dyDescent="0.3">
      <c r="A599" s="80" t="s">
        <v>12</v>
      </c>
      <c r="B599" s="81">
        <f>B604</f>
        <v>16357459</v>
      </c>
      <c r="C599" s="81">
        <f t="shared" ref="C599:L599" si="312">C604</f>
        <v>2566757</v>
      </c>
      <c r="D599" s="81">
        <f t="shared" si="312"/>
        <v>1790702</v>
      </c>
      <c r="E599" s="81">
        <f t="shared" si="312"/>
        <v>0</v>
      </c>
      <c r="F599" s="81">
        <f t="shared" si="312"/>
        <v>0</v>
      </c>
      <c r="G599" s="81">
        <f t="shared" si="312"/>
        <v>600000</v>
      </c>
      <c r="H599" s="81">
        <f t="shared" si="312"/>
        <v>2400000</v>
      </c>
      <c r="I599" s="81">
        <f t="shared" si="312"/>
        <v>1800000</v>
      </c>
      <c r="J599" s="81">
        <f t="shared" si="312"/>
        <v>1800000</v>
      </c>
      <c r="K599" s="81">
        <f t="shared" si="312"/>
        <v>1800000</v>
      </c>
      <c r="L599" s="82">
        <f t="shared" si="312"/>
        <v>3600000</v>
      </c>
      <c r="M599" s="216"/>
    </row>
    <row r="600" spans="1:13" x14ac:dyDescent="0.25">
      <c r="A600" s="5" t="s">
        <v>13</v>
      </c>
      <c r="B600" s="12"/>
      <c r="C600" s="12"/>
      <c r="D600" s="12"/>
      <c r="E600" s="12"/>
      <c r="F600" s="12"/>
      <c r="G600" s="12"/>
      <c r="H600" s="12"/>
      <c r="I600" s="12"/>
      <c r="J600" s="12"/>
      <c r="K600" s="12"/>
      <c r="L600" s="13"/>
    </row>
    <row r="601" spans="1:13" x14ac:dyDescent="0.25">
      <c r="A601" s="6" t="s">
        <v>14</v>
      </c>
      <c r="B601" s="14"/>
      <c r="C601" s="14"/>
      <c r="D601" s="14"/>
      <c r="E601" s="14"/>
      <c r="F601" s="14"/>
      <c r="G601" s="14"/>
      <c r="H601" s="14"/>
      <c r="I601" s="14"/>
      <c r="J601" s="14"/>
      <c r="K601" s="14"/>
      <c r="L601" s="15"/>
    </row>
    <row r="602" spans="1:13" x14ac:dyDescent="0.25">
      <c r="A602" s="35" t="s">
        <v>27</v>
      </c>
      <c r="B602" s="14">
        <f>B603+B604</f>
        <v>16505459</v>
      </c>
      <c r="C602" s="14">
        <f t="shared" ref="C602:L602" si="313">C603+C604</f>
        <v>2579757</v>
      </c>
      <c r="D602" s="14">
        <f t="shared" si="313"/>
        <v>1803702</v>
      </c>
      <c r="E602" s="14">
        <f t="shared" si="313"/>
        <v>13000</v>
      </c>
      <c r="F602" s="14">
        <f t="shared" si="313"/>
        <v>0</v>
      </c>
      <c r="G602" s="14">
        <f t="shared" si="313"/>
        <v>605000</v>
      </c>
      <c r="H602" s="14">
        <f t="shared" si="313"/>
        <v>2408000</v>
      </c>
      <c r="I602" s="14">
        <f t="shared" si="313"/>
        <v>1824000</v>
      </c>
      <c r="J602" s="14">
        <f t="shared" si="313"/>
        <v>1824000</v>
      </c>
      <c r="K602" s="14">
        <f t="shared" si="313"/>
        <v>1824000</v>
      </c>
      <c r="L602" s="15">
        <f t="shared" si="313"/>
        <v>3624000</v>
      </c>
    </row>
    <row r="603" spans="1:13" x14ac:dyDescent="0.25">
      <c r="A603" s="6" t="s">
        <v>11</v>
      </c>
      <c r="B603" s="54">
        <f>SUM(C603:L603)</f>
        <v>148000</v>
      </c>
      <c r="C603" s="54">
        <v>13000</v>
      </c>
      <c r="D603" s="54">
        <v>13000</v>
      </c>
      <c r="E603" s="54">
        <v>13000</v>
      </c>
      <c r="F603" s="54">
        <v>0</v>
      </c>
      <c r="G603" s="132">
        <v>5000</v>
      </c>
      <c r="H603" s="132">
        <v>8000</v>
      </c>
      <c r="I603" s="132">
        <v>24000</v>
      </c>
      <c r="J603" s="132">
        <v>24000</v>
      </c>
      <c r="K603" s="132">
        <v>24000</v>
      </c>
      <c r="L603" s="133">
        <v>24000</v>
      </c>
    </row>
    <row r="604" spans="1:13" ht="39" customHeight="1" x14ac:dyDescent="0.25">
      <c r="A604" s="6" t="s">
        <v>12</v>
      </c>
      <c r="B604" s="54">
        <f>SUM(C604:L604)</f>
        <v>16357459</v>
      </c>
      <c r="C604" s="54">
        <v>2566757</v>
      </c>
      <c r="D604" s="54">
        <v>1790702</v>
      </c>
      <c r="E604" s="54">
        <v>0</v>
      </c>
      <c r="F604" s="54">
        <v>0</v>
      </c>
      <c r="G604" s="54">
        <v>600000</v>
      </c>
      <c r="H604" s="54">
        <v>2400000</v>
      </c>
      <c r="I604" s="54">
        <v>1800000</v>
      </c>
      <c r="J604" s="54">
        <v>1800000</v>
      </c>
      <c r="K604" s="54">
        <v>1800000</v>
      </c>
      <c r="L604" s="17">
        <v>3600000</v>
      </c>
      <c r="M604" s="116"/>
    </row>
    <row r="605" spans="1:13" x14ac:dyDescent="0.25">
      <c r="A605" s="245" t="s">
        <v>52</v>
      </c>
      <c r="B605" s="246"/>
      <c r="C605" s="246"/>
      <c r="D605" s="246"/>
      <c r="E605" s="246"/>
      <c r="F605" s="246"/>
      <c r="G605" s="246"/>
      <c r="H605" s="246"/>
      <c r="I605" s="246"/>
      <c r="J605" s="246"/>
      <c r="K605" s="246"/>
      <c r="L605" s="247"/>
      <c r="M605" s="218" t="s">
        <v>148</v>
      </c>
    </row>
    <row r="606" spans="1:13" x14ac:dyDescent="0.25">
      <c r="A606" s="38" t="s">
        <v>5</v>
      </c>
      <c r="B606" s="60">
        <f>B607+B608+B609+B610</f>
        <v>0</v>
      </c>
      <c r="C606" s="60">
        <f t="shared" ref="C606:L606" si="314">C607+C608+C609+C610</f>
        <v>0</v>
      </c>
      <c r="D606" s="60">
        <f t="shared" si="314"/>
        <v>0</v>
      </c>
      <c r="E606" s="60">
        <f t="shared" si="314"/>
        <v>0</v>
      </c>
      <c r="F606" s="60">
        <f t="shared" si="314"/>
        <v>0</v>
      </c>
      <c r="G606" s="60">
        <f t="shared" si="314"/>
        <v>0</v>
      </c>
      <c r="H606" s="60">
        <f t="shared" si="314"/>
        <v>0</v>
      </c>
      <c r="I606" s="60">
        <f t="shared" si="314"/>
        <v>0</v>
      </c>
      <c r="J606" s="60">
        <f t="shared" si="314"/>
        <v>0</v>
      </c>
      <c r="K606" s="60">
        <f t="shared" si="314"/>
        <v>0</v>
      </c>
      <c r="L606" s="61">
        <f t="shared" si="314"/>
        <v>0</v>
      </c>
      <c r="M606" s="218"/>
    </row>
    <row r="607" spans="1:13" x14ac:dyDescent="0.25">
      <c r="A607" s="39" t="s">
        <v>6</v>
      </c>
      <c r="B607" s="77">
        <f>SUM(C607:L607)</f>
        <v>0</v>
      </c>
      <c r="C607" s="77">
        <v>0</v>
      </c>
      <c r="D607" s="77">
        <v>0</v>
      </c>
      <c r="E607" s="77">
        <v>0</v>
      </c>
      <c r="F607" s="77">
        <v>0</v>
      </c>
      <c r="G607" s="77">
        <v>0</v>
      </c>
      <c r="H607" s="77">
        <v>0</v>
      </c>
      <c r="I607" s="77">
        <v>0</v>
      </c>
      <c r="J607" s="77">
        <v>0</v>
      </c>
      <c r="K607" s="77">
        <v>0</v>
      </c>
      <c r="L607" s="79">
        <v>0</v>
      </c>
      <c r="M607" s="218"/>
    </row>
    <row r="608" spans="1:13" x14ac:dyDescent="0.25">
      <c r="A608" s="39" t="s">
        <v>7</v>
      </c>
      <c r="B608" s="77">
        <f>SUM(C608:L608)</f>
        <v>0</v>
      </c>
      <c r="C608" s="77">
        <v>0</v>
      </c>
      <c r="D608" s="77">
        <v>0</v>
      </c>
      <c r="E608" s="77">
        <v>0</v>
      </c>
      <c r="F608" s="77">
        <v>0</v>
      </c>
      <c r="G608" s="77">
        <v>0</v>
      </c>
      <c r="H608" s="77">
        <v>0</v>
      </c>
      <c r="I608" s="77">
        <v>0</v>
      </c>
      <c r="J608" s="77">
        <v>0</v>
      </c>
      <c r="K608" s="77">
        <v>0</v>
      </c>
      <c r="L608" s="79">
        <v>0</v>
      </c>
      <c r="M608" s="218"/>
    </row>
    <row r="609" spans="1:13" ht="26.25" x14ac:dyDescent="0.25">
      <c r="A609" s="39" t="s">
        <v>8</v>
      </c>
      <c r="B609" s="77">
        <f>SUM(C609:L609)</f>
        <v>0</v>
      </c>
      <c r="C609" s="77">
        <v>0</v>
      </c>
      <c r="D609" s="77">
        <v>0</v>
      </c>
      <c r="E609" s="77">
        <v>0</v>
      </c>
      <c r="F609" s="77">
        <v>0</v>
      </c>
      <c r="G609" s="77">
        <v>0</v>
      </c>
      <c r="H609" s="77">
        <v>0</v>
      </c>
      <c r="I609" s="77">
        <v>0</v>
      </c>
      <c r="J609" s="77">
        <v>0</v>
      </c>
      <c r="K609" s="77">
        <v>0</v>
      </c>
      <c r="L609" s="79">
        <v>0</v>
      </c>
      <c r="M609" s="218"/>
    </row>
    <row r="610" spans="1:13" x14ac:dyDescent="0.25">
      <c r="A610" s="38" t="s">
        <v>9</v>
      </c>
      <c r="B610" s="60">
        <f>B616</f>
        <v>0</v>
      </c>
      <c r="C610" s="60">
        <f t="shared" ref="C610:L610" si="315">C616</f>
        <v>0</v>
      </c>
      <c r="D610" s="60">
        <f t="shared" si="315"/>
        <v>0</v>
      </c>
      <c r="E610" s="60">
        <f t="shared" si="315"/>
        <v>0</v>
      </c>
      <c r="F610" s="60">
        <f t="shared" si="315"/>
        <v>0</v>
      </c>
      <c r="G610" s="60">
        <f t="shared" si="315"/>
        <v>0</v>
      </c>
      <c r="H610" s="60">
        <f t="shared" si="315"/>
        <v>0</v>
      </c>
      <c r="I610" s="60">
        <f t="shared" si="315"/>
        <v>0</v>
      </c>
      <c r="J610" s="60">
        <f t="shared" si="315"/>
        <v>0</v>
      </c>
      <c r="K610" s="60">
        <f t="shared" si="315"/>
        <v>0</v>
      </c>
      <c r="L610" s="61">
        <f t="shared" si="315"/>
        <v>0</v>
      </c>
      <c r="M610" s="218"/>
    </row>
    <row r="611" spans="1:13" x14ac:dyDescent="0.25">
      <c r="A611" s="39" t="s">
        <v>10</v>
      </c>
      <c r="B611" s="77"/>
      <c r="C611" s="77"/>
      <c r="D611" s="77"/>
      <c r="E611" s="77"/>
      <c r="F611" s="77"/>
      <c r="G611" s="77"/>
      <c r="H611" s="77"/>
      <c r="I611" s="77"/>
      <c r="J611" s="77"/>
      <c r="K611" s="77"/>
      <c r="L611" s="79"/>
      <c r="M611" s="218"/>
    </row>
    <row r="612" spans="1:13" x14ac:dyDescent="0.25">
      <c r="A612" s="39" t="s">
        <v>11</v>
      </c>
      <c r="B612" s="40">
        <f>B617</f>
        <v>0</v>
      </c>
      <c r="C612" s="40">
        <f t="shared" ref="C612:L612" si="316">C617</f>
        <v>0</v>
      </c>
      <c r="D612" s="40">
        <f t="shared" si="316"/>
        <v>0</v>
      </c>
      <c r="E612" s="40">
        <f t="shared" si="316"/>
        <v>0</v>
      </c>
      <c r="F612" s="40">
        <f t="shared" si="316"/>
        <v>0</v>
      </c>
      <c r="G612" s="40">
        <f t="shared" si="316"/>
        <v>0</v>
      </c>
      <c r="H612" s="40">
        <f t="shared" si="316"/>
        <v>0</v>
      </c>
      <c r="I612" s="40">
        <f t="shared" si="316"/>
        <v>0</v>
      </c>
      <c r="J612" s="40">
        <f t="shared" si="316"/>
        <v>0</v>
      </c>
      <c r="K612" s="40">
        <f t="shared" si="316"/>
        <v>0</v>
      </c>
      <c r="L612" s="41">
        <f t="shared" si="316"/>
        <v>0</v>
      </c>
      <c r="M612" s="218"/>
    </row>
    <row r="613" spans="1:13" ht="39.75" thickBot="1" x14ac:dyDescent="0.3">
      <c r="A613" s="80" t="s">
        <v>12</v>
      </c>
      <c r="B613" s="81">
        <f>B618</f>
        <v>0</v>
      </c>
      <c r="C613" s="81">
        <f t="shared" ref="C613:L613" si="317">C618</f>
        <v>0</v>
      </c>
      <c r="D613" s="81">
        <f t="shared" si="317"/>
        <v>0</v>
      </c>
      <c r="E613" s="81">
        <f t="shared" si="317"/>
        <v>0</v>
      </c>
      <c r="F613" s="81">
        <f t="shared" si="317"/>
        <v>0</v>
      </c>
      <c r="G613" s="81">
        <f t="shared" si="317"/>
        <v>0</v>
      </c>
      <c r="H613" s="81">
        <f t="shared" si="317"/>
        <v>0</v>
      </c>
      <c r="I613" s="81">
        <f t="shared" si="317"/>
        <v>0</v>
      </c>
      <c r="J613" s="81">
        <f t="shared" si="317"/>
        <v>0</v>
      </c>
      <c r="K613" s="81">
        <f t="shared" si="317"/>
        <v>0</v>
      </c>
      <c r="L613" s="82">
        <f t="shared" si="317"/>
        <v>0</v>
      </c>
      <c r="M613" s="218"/>
    </row>
    <row r="614" spans="1:13" x14ac:dyDescent="0.25">
      <c r="A614" s="5" t="s">
        <v>13</v>
      </c>
      <c r="B614" s="12"/>
      <c r="C614" s="12"/>
      <c r="D614" s="12"/>
      <c r="E614" s="12"/>
      <c r="F614" s="12"/>
      <c r="G614" s="12"/>
      <c r="H614" s="12"/>
      <c r="I614" s="12"/>
      <c r="J614" s="12"/>
      <c r="K614" s="12"/>
      <c r="L614" s="13"/>
    </row>
    <row r="615" spans="1:13" x14ac:dyDescent="0.25">
      <c r="A615" s="6" t="s">
        <v>14</v>
      </c>
      <c r="B615" s="14"/>
      <c r="C615" s="14"/>
      <c r="D615" s="14"/>
      <c r="E615" s="14"/>
      <c r="F615" s="14"/>
      <c r="G615" s="14"/>
      <c r="H615" s="14"/>
      <c r="I615" s="14"/>
      <c r="J615" s="14"/>
      <c r="K615" s="14"/>
      <c r="L615" s="15"/>
    </row>
    <row r="616" spans="1:13" x14ac:dyDescent="0.25">
      <c r="A616" s="35" t="s">
        <v>16</v>
      </c>
      <c r="B616" s="14">
        <f>B617+B618</f>
        <v>0</v>
      </c>
      <c r="C616" s="14">
        <f t="shared" ref="C616:L616" si="318">C617+C618</f>
        <v>0</v>
      </c>
      <c r="D616" s="14">
        <f t="shared" si="318"/>
        <v>0</v>
      </c>
      <c r="E616" s="14">
        <f t="shared" si="318"/>
        <v>0</v>
      </c>
      <c r="F616" s="14">
        <f t="shared" si="318"/>
        <v>0</v>
      </c>
      <c r="G616" s="14">
        <f t="shared" si="318"/>
        <v>0</v>
      </c>
      <c r="H616" s="14">
        <f t="shared" si="318"/>
        <v>0</v>
      </c>
      <c r="I616" s="14">
        <f t="shared" si="318"/>
        <v>0</v>
      </c>
      <c r="J616" s="14">
        <f t="shared" si="318"/>
        <v>0</v>
      </c>
      <c r="K616" s="14">
        <f t="shared" si="318"/>
        <v>0</v>
      </c>
      <c r="L616" s="15">
        <f t="shared" si="318"/>
        <v>0</v>
      </c>
    </row>
    <row r="617" spans="1:13" x14ac:dyDescent="0.25">
      <c r="A617" s="6" t="s">
        <v>11</v>
      </c>
      <c r="B617" s="54">
        <f>SUM(C617:L617)</f>
        <v>0</v>
      </c>
      <c r="C617" s="54">
        <v>0</v>
      </c>
      <c r="D617" s="54">
        <v>0</v>
      </c>
      <c r="E617" s="54">
        <v>0</v>
      </c>
      <c r="F617" s="54">
        <v>0</v>
      </c>
      <c r="G617" s="54">
        <v>0</v>
      </c>
      <c r="H617" s="54">
        <v>0</v>
      </c>
      <c r="I617" s="54">
        <v>0</v>
      </c>
      <c r="J617" s="54">
        <v>0</v>
      </c>
      <c r="K617" s="54">
        <v>0</v>
      </c>
      <c r="L617" s="17">
        <v>0</v>
      </c>
    </row>
    <row r="618" spans="1:13" ht="39" customHeight="1" thickBot="1" x14ac:dyDescent="0.3">
      <c r="A618" s="7" t="s">
        <v>12</v>
      </c>
      <c r="B618" s="30">
        <f>SUM(C618:L618)</f>
        <v>0</v>
      </c>
      <c r="C618" s="30">
        <v>0</v>
      </c>
      <c r="D618" s="30">
        <v>0</v>
      </c>
      <c r="E618" s="30">
        <v>0</v>
      </c>
      <c r="F618" s="30">
        <v>0</v>
      </c>
      <c r="G618" s="30">
        <v>0</v>
      </c>
      <c r="H618" s="30">
        <v>0</v>
      </c>
      <c r="I618" s="30">
        <v>0</v>
      </c>
      <c r="J618" s="30">
        <v>0</v>
      </c>
      <c r="K618" s="30">
        <v>0</v>
      </c>
      <c r="L618" s="31">
        <v>0</v>
      </c>
    </row>
    <row r="619" spans="1:13" ht="15.75" thickBot="1" x14ac:dyDescent="0.3">
      <c r="A619" s="225" t="s">
        <v>28</v>
      </c>
      <c r="B619" s="226"/>
      <c r="C619" s="226"/>
      <c r="D619" s="226"/>
      <c r="E619" s="226"/>
      <c r="F619" s="226"/>
      <c r="G619" s="226"/>
      <c r="H619" s="226"/>
      <c r="I619" s="226"/>
      <c r="J619" s="226"/>
      <c r="K619" s="226"/>
      <c r="L619" s="227"/>
    </row>
    <row r="620" spans="1:13" x14ac:dyDescent="0.25">
      <c r="A620" s="92" t="s">
        <v>5</v>
      </c>
      <c r="B620" s="93">
        <f>B621+B622+B623+B624</f>
        <v>5352725</v>
      </c>
      <c r="C620" s="93">
        <f t="shared" ref="C620:L620" si="319">C621+C622+C623+C624</f>
        <v>0</v>
      </c>
      <c r="D620" s="93">
        <f t="shared" si="319"/>
        <v>0</v>
      </c>
      <c r="E620" s="93">
        <f t="shared" si="319"/>
        <v>0</v>
      </c>
      <c r="F620" s="93">
        <f t="shared" si="319"/>
        <v>0</v>
      </c>
      <c r="G620" s="93">
        <f t="shared" si="319"/>
        <v>0</v>
      </c>
      <c r="H620" s="93">
        <f t="shared" si="319"/>
        <v>1319577</v>
      </c>
      <c r="I620" s="93">
        <f t="shared" si="319"/>
        <v>1301934</v>
      </c>
      <c r="J620" s="93">
        <f t="shared" si="319"/>
        <v>1031214</v>
      </c>
      <c r="K620" s="93">
        <f t="shared" si="319"/>
        <v>850000</v>
      </c>
      <c r="L620" s="94">
        <f t="shared" si="319"/>
        <v>850000</v>
      </c>
    </row>
    <row r="621" spans="1:13" x14ac:dyDescent="0.25">
      <c r="A621" s="59" t="s">
        <v>6</v>
      </c>
      <c r="B621" s="72">
        <f>B635+B649+B671+B685</f>
        <v>0</v>
      </c>
      <c r="C621" s="72">
        <f t="shared" ref="C621:L621" si="320">C635+C649+C671+C685</f>
        <v>0</v>
      </c>
      <c r="D621" s="72">
        <f t="shared" si="320"/>
        <v>0</v>
      </c>
      <c r="E621" s="72">
        <f t="shared" si="320"/>
        <v>0</v>
      </c>
      <c r="F621" s="72">
        <f t="shared" si="320"/>
        <v>0</v>
      </c>
      <c r="G621" s="72">
        <f t="shared" si="320"/>
        <v>0</v>
      </c>
      <c r="H621" s="72">
        <f t="shared" si="320"/>
        <v>0</v>
      </c>
      <c r="I621" s="72">
        <f t="shared" si="320"/>
        <v>0</v>
      </c>
      <c r="J621" s="72">
        <f t="shared" si="320"/>
        <v>0</v>
      </c>
      <c r="K621" s="72">
        <f t="shared" si="320"/>
        <v>0</v>
      </c>
      <c r="L621" s="73">
        <f t="shared" si="320"/>
        <v>0</v>
      </c>
    </row>
    <row r="622" spans="1:13" x14ac:dyDescent="0.25">
      <c r="A622" s="59" t="s">
        <v>7</v>
      </c>
      <c r="B622" s="72">
        <f t="shared" ref="B622:L623" si="321">B636+B650+B672+B686</f>
        <v>0</v>
      </c>
      <c r="C622" s="72">
        <f t="shared" si="321"/>
        <v>0</v>
      </c>
      <c r="D622" s="72">
        <f t="shared" si="321"/>
        <v>0</v>
      </c>
      <c r="E622" s="72">
        <f t="shared" si="321"/>
        <v>0</v>
      </c>
      <c r="F622" s="72">
        <f t="shared" si="321"/>
        <v>0</v>
      </c>
      <c r="G622" s="72">
        <f t="shared" si="321"/>
        <v>0</v>
      </c>
      <c r="H622" s="72">
        <f t="shared" si="321"/>
        <v>0</v>
      </c>
      <c r="I622" s="72">
        <f t="shared" si="321"/>
        <v>0</v>
      </c>
      <c r="J622" s="72">
        <f t="shared" si="321"/>
        <v>0</v>
      </c>
      <c r="K622" s="72">
        <f t="shared" si="321"/>
        <v>0</v>
      </c>
      <c r="L622" s="73">
        <f t="shared" si="321"/>
        <v>0</v>
      </c>
    </row>
    <row r="623" spans="1:13" ht="26.25" x14ac:dyDescent="0.25">
      <c r="A623" s="59" t="s">
        <v>8</v>
      </c>
      <c r="B623" s="72">
        <f t="shared" si="321"/>
        <v>0</v>
      </c>
      <c r="C623" s="72">
        <f t="shared" si="321"/>
        <v>0</v>
      </c>
      <c r="D623" s="72">
        <f t="shared" si="321"/>
        <v>0</v>
      </c>
      <c r="E623" s="72">
        <f t="shared" si="321"/>
        <v>0</v>
      </c>
      <c r="F623" s="72">
        <f t="shared" si="321"/>
        <v>0</v>
      </c>
      <c r="G623" s="72">
        <f t="shared" si="321"/>
        <v>0</v>
      </c>
      <c r="H623" s="72">
        <f t="shared" si="321"/>
        <v>0</v>
      </c>
      <c r="I623" s="72">
        <f t="shared" si="321"/>
        <v>0</v>
      </c>
      <c r="J623" s="72">
        <f t="shared" si="321"/>
        <v>0</v>
      </c>
      <c r="K623" s="72">
        <f t="shared" si="321"/>
        <v>0</v>
      </c>
      <c r="L623" s="73">
        <f t="shared" si="321"/>
        <v>0</v>
      </c>
    </row>
    <row r="624" spans="1:13" x14ac:dyDescent="0.25">
      <c r="A624" s="42" t="s">
        <v>9</v>
      </c>
      <c r="B624" s="74">
        <f>B626+B627</f>
        <v>5352725</v>
      </c>
      <c r="C624" s="74">
        <f t="shared" ref="C624:L624" si="322">C626+C627</f>
        <v>0</v>
      </c>
      <c r="D624" s="74">
        <f t="shared" si="322"/>
        <v>0</v>
      </c>
      <c r="E624" s="74">
        <f t="shared" si="322"/>
        <v>0</v>
      </c>
      <c r="F624" s="74">
        <f t="shared" si="322"/>
        <v>0</v>
      </c>
      <c r="G624" s="74">
        <f t="shared" si="322"/>
        <v>0</v>
      </c>
      <c r="H624" s="74">
        <f t="shared" si="322"/>
        <v>1319577</v>
      </c>
      <c r="I624" s="74">
        <f t="shared" si="322"/>
        <v>1301934</v>
      </c>
      <c r="J624" s="74">
        <f t="shared" si="322"/>
        <v>1031214</v>
      </c>
      <c r="K624" s="74">
        <f t="shared" si="322"/>
        <v>850000</v>
      </c>
      <c r="L624" s="75">
        <f t="shared" si="322"/>
        <v>850000</v>
      </c>
    </row>
    <row r="625" spans="1:13" x14ac:dyDescent="0.25">
      <c r="A625" s="51" t="s">
        <v>10</v>
      </c>
      <c r="B625" s="72"/>
      <c r="C625" s="72"/>
      <c r="D625" s="72"/>
      <c r="E625" s="72"/>
      <c r="F625" s="72"/>
      <c r="G625" s="72"/>
      <c r="H625" s="72"/>
      <c r="I625" s="72"/>
      <c r="J625" s="72"/>
      <c r="K625" s="72"/>
      <c r="L625" s="73"/>
    </row>
    <row r="626" spans="1:13" x14ac:dyDescent="0.25">
      <c r="A626" s="51" t="s">
        <v>11</v>
      </c>
      <c r="B626" s="53">
        <f>B631</f>
        <v>4415408</v>
      </c>
      <c r="C626" s="53">
        <f t="shared" ref="C626:L626" si="323">C631</f>
        <v>0</v>
      </c>
      <c r="D626" s="53">
        <f t="shared" si="323"/>
        <v>0</v>
      </c>
      <c r="E626" s="53">
        <f t="shared" si="323"/>
        <v>0</v>
      </c>
      <c r="F626" s="53">
        <f t="shared" si="323"/>
        <v>0</v>
      </c>
      <c r="G626" s="53">
        <f t="shared" si="323"/>
        <v>0</v>
      </c>
      <c r="H626" s="53">
        <f t="shared" si="323"/>
        <v>920436</v>
      </c>
      <c r="I626" s="53">
        <f t="shared" si="323"/>
        <v>917790</v>
      </c>
      <c r="J626" s="53">
        <f t="shared" si="323"/>
        <v>877182</v>
      </c>
      <c r="K626" s="53">
        <f t="shared" si="323"/>
        <v>850000</v>
      </c>
      <c r="L626" s="52">
        <f t="shared" si="323"/>
        <v>850000</v>
      </c>
    </row>
    <row r="627" spans="1:13" ht="39.75" thickBot="1" x14ac:dyDescent="0.3">
      <c r="A627" s="27" t="s">
        <v>12</v>
      </c>
      <c r="B627" s="28">
        <f>B632</f>
        <v>937317</v>
      </c>
      <c r="C627" s="28">
        <f t="shared" ref="C627:L627" si="324">C632</f>
        <v>0</v>
      </c>
      <c r="D627" s="28">
        <f t="shared" si="324"/>
        <v>0</v>
      </c>
      <c r="E627" s="28">
        <f t="shared" si="324"/>
        <v>0</v>
      </c>
      <c r="F627" s="28">
        <f t="shared" si="324"/>
        <v>0</v>
      </c>
      <c r="G627" s="28">
        <f t="shared" si="324"/>
        <v>0</v>
      </c>
      <c r="H627" s="28">
        <f t="shared" si="324"/>
        <v>399141</v>
      </c>
      <c r="I627" s="28">
        <f t="shared" si="324"/>
        <v>384144</v>
      </c>
      <c r="J627" s="28">
        <f t="shared" si="324"/>
        <v>154032</v>
      </c>
      <c r="K627" s="28">
        <f t="shared" si="324"/>
        <v>0</v>
      </c>
      <c r="L627" s="29">
        <f t="shared" si="324"/>
        <v>0</v>
      </c>
    </row>
    <row r="628" spans="1:13" x14ac:dyDescent="0.25">
      <c r="A628" s="5" t="s">
        <v>13</v>
      </c>
      <c r="B628" s="12"/>
      <c r="C628" s="12"/>
      <c r="D628" s="12"/>
      <c r="E628" s="12"/>
      <c r="F628" s="12"/>
      <c r="G628" s="12"/>
      <c r="H628" s="12"/>
      <c r="I628" s="12"/>
      <c r="J628" s="12"/>
      <c r="K628" s="12"/>
      <c r="L628" s="13"/>
    </row>
    <row r="629" spans="1:13" x14ac:dyDescent="0.25">
      <c r="A629" s="6" t="s">
        <v>14</v>
      </c>
      <c r="B629" s="14"/>
      <c r="C629" s="14"/>
      <c r="D629" s="14"/>
      <c r="E629" s="14"/>
      <c r="F629" s="14"/>
      <c r="G629" s="14"/>
      <c r="H629" s="14"/>
      <c r="I629" s="14"/>
      <c r="J629" s="14"/>
      <c r="K629" s="14"/>
      <c r="L629" s="15"/>
    </row>
    <row r="630" spans="1:13" x14ac:dyDescent="0.25">
      <c r="A630" s="11" t="s">
        <v>17</v>
      </c>
      <c r="B630" s="45">
        <f>B631+B632</f>
        <v>5352725</v>
      </c>
      <c r="C630" s="45">
        <f t="shared" ref="C630:L630" si="325">C631+C632</f>
        <v>0</v>
      </c>
      <c r="D630" s="45">
        <f t="shared" si="325"/>
        <v>0</v>
      </c>
      <c r="E630" s="45">
        <f t="shared" si="325"/>
        <v>0</v>
      </c>
      <c r="F630" s="45">
        <f t="shared" si="325"/>
        <v>0</v>
      </c>
      <c r="G630" s="45">
        <f t="shared" si="325"/>
        <v>0</v>
      </c>
      <c r="H630" s="45">
        <f t="shared" si="325"/>
        <v>1319577</v>
      </c>
      <c r="I630" s="45">
        <f t="shared" si="325"/>
        <v>1301934</v>
      </c>
      <c r="J630" s="45">
        <f t="shared" si="325"/>
        <v>1031214</v>
      </c>
      <c r="K630" s="45">
        <f t="shared" si="325"/>
        <v>850000</v>
      </c>
      <c r="L630" s="46">
        <f t="shared" si="325"/>
        <v>850000</v>
      </c>
    </row>
    <row r="631" spans="1:13" x14ac:dyDescent="0.25">
      <c r="A631" s="6" t="s">
        <v>11</v>
      </c>
      <c r="B631" s="47">
        <f>B640+B654+B676+B690</f>
        <v>4415408</v>
      </c>
      <c r="C631" s="47">
        <f t="shared" ref="C631:L631" si="326">C640+C654+C676+C690</f>
        <v>0</v>
      </c>
      <c r="D631" s="47">
        <f t="shared" si="326"/>
        <v>0</v>
      </c>
      <c r="E631" s="47">
        <f t="shared" si="326"/>
        <v>0</v>
      </c>
      <c r="F631" s="47">
        <f t="shared" si="326"/>
        <v>0</v>
      </c>
      <c r="G631" s="47">
        <f t="shared" si="326"/>
        <v>0</v>
      </c>
      <c r="H631" s="47">
        <f t="shared" si="326"/>
        <v>920436</v>
      </c>
      <c r="I631" s="47">
        <f t="shared" si="326"/>
        <v>917790</v>
      </c>
      <c r="J631" s="47">
        <f t="shared" si="326"/>
        <v>877182</v>
      </c>
      <c r="K631" s="47">
        <f t="shared" si="326"/>
        <v>850000</v>
      </c>
      <c r="L631" s="48">
        <f t="shared" si="326"/>
        <v>850000</v>
      </c>
    </row>
    <row r="632" spans="1:13" ht="39.75" thickBot="1" x14ac:dyDescent="0.3">
      <c r="A632" s="6" t="s">
        <v>12</v>
      </c>
      <c r="B632" s="47">
        <f>B641+B655+B677+B691</f>
        <v>937317</v>
      </c>
      <c r="C632" s="47">
        <f t="shared" ref="C632:L632" si="327">C641+C655+C677+C691</f>
        <v>0</v>
      </c>
      <c r="D632" s="47">
        <f t="shared" si="327"/>
        <v>0</v>
      </c>
      <c r="E632" s="47">
        <f t="shared" si="327"/>
        <v>0</v>
      </c>
      <c r="F632" s="47">
        <f t="shared" si="327"/>
        <v>0</v>
      </c>
      <c r="G632" s="47">
        <f t="shared" si="327"/>
        <v>0</v>
      </c>
      <c r="H632" s="47">
        <f t="shared" si="327"/>
        <v>399141</v>
      </c>
      <c r="I632" s="47">
        <f t="shared" si="327"/>
        <v>384144</v>
      </c>
      <c r="J632" s="47">
        <f t="shared" si="327"/>
        <v>154032</v>
      </c>
      <c r="K632" s="47">
        <f t="shared" si="327"/>
        <v>0</v>
      </c>
      <c r="L632" s="109">
        <f t="shared" si="327"/>
        <v>0</v>
      </c>
    </row>
    <row r="633" spans="1:13" ht="30.75" customHeight="1" x14ac:dyDescent="0.25">
      <c r="A633" s="219" t="s">
        <v>29</v>
      </c>
      <c r="B633" s="220"/>
      <c r="C633" s="220"/>
      <c r="D633" s="220"/>
      <c r="E633" s="220"/>
      <c r="F633" s="220"/>
      <c r="G633" s="220"/>
      <c r="H633" s="220"/>
      <c r="I633" s="220"/>
      <c r="J633" s="220"/>
      <c r="K633" s="220"/>
      <c r="L633" s="221"/>
      <c r="M633" s="216" t="s">
        <v>143</v>
      </c>
    </row>
    <row r="634" spans="1:13" x14ac:dyDescent="0.25">
      <c r="A634" s="38" t="s">
        <v>5</v>
      </c>
      <c r="B634" s="60">
        <f>B635+B636+B637+B638</f>
        <v>110273</v>
      </c>
      <c r="C634" s="60">
        <f t="shared" ref="C634:L634" si="328">C635+C636+C637+C638</f>
        <v>0</v>
      </c>
      <c r="D634" s="60">
        <f t="shared" si="328"/>
        <v>0</v>
      </c>
      <c r="E634" s="60">
        <f t="shared" si="328"/>
        <v>0</v>
      </c>
      <c r="F634" s="60">
        <f t="shared" si="328"/>
        <v>0</v>
      </c>
      <c r="G634" s="60">
        <f t="shared" si="328"/>
        <v>0</v>
      </c>
      <c r="H634" s="60">
        <f t="shared" si="328"/>
        <v>55136</v>
      </c>
      <c r="I634" s="60">
        <f t="shared" si="328"/>
        <v>55137</v>
      </c>
      <c r="J634" s="60">
        <f t="shared" si="328"/>
        <v>0</v>
      </c>
      <c r="K634" s="60">
        <f t="shared" si="328"/>
        <v>0</v>
      </c>
      <c r="L634" s="61">
        <f t="shared" si="328"/>
        <v>0</v>
      </c>
      <c r="M634" s="216"/>
    </row>
    <row r="635" spans="1:13" x14ac:dyDescent="0.25">
      <c r="A635" s="39" t="s">
        <v>6</v>
      </c>
      <c r="B635" s="77">
        <f>SUM(C635:L635)</f>
        <v>0</v>
      </c>
      <c r="C635" s="77">
        <v>0</v>
      </c>
      <c r="D635" s="77">
        <v>0</v>
      </c>
      <c r="E635" s="77">
        <v>0</v>
      </c>
      <c r="F635" s="77">
        <v>0</v>
      </c>
      <c r="G635" s="77">
        <v>0</v>
      </c>
      <c r="H635" s="77">
        <v>0</v>
      </c>
      <c r="I635" s="77">
        <v>0</v>
      </c>
      <c r="J635" s="77">
        <v>0</v>
      </c>
      <c r="K635" s="77">
        <v>0</v>
      </c>
      <c r="L635" s="79">
        <v>0</v>
      </c>
      <c r="M635" s="216"/>
    </row>
    <row r="636" spans="1:13" x14ac:dyDescent="0.25">
      <c r="A636" s="39" t="s">
        <v>7</v>
      </c>
      <c r="B636" s="77">
        <f>SUM(C636:L636)</f>
        <v>0</v>
      </c>
      <c r="C636" s="77">
        <v>0</v>
      </c>
      <c r="D636" s="77">
        <v>0</v>
      </c>
      <c r="E636" s="77">
        <v>0</v>
      </c>
      <c r="F636" s="77">
        <v>0</v>
      </c>
      <c r="G636" s="77">
        <v>0</v>
      </c>
      <c r="H636" s="77">
        <v>0</v>
      </c>
      <c r="I636" s="77">
        <v>0</v>
      </c>
      <c r="J636" s="77">
        <v>0</v>
      </c>
      <c r="K636" s="77">
        <v>0</v>
      </c>
      <c r="L636" s="79">
        <v>0</v>
      </c>
      <c r="M636" s="216"/>
    </row>
    <row r="637" spans="1:13" ht="26.25" x14ac:dyDescent="0.25">
      <c r="A637" s="39" t="s">
        <v>8</v>
      </c>
      <c r="B637" s="77">
        <f>SUM(C637:L637)</f>
        <v>0</v>
      </c>
      <c r="C637" s="77">
        <v>0</v>
      </c>
      <c r="D637" s="77">
        <v>0</v>
      </c>
      <c r="E637" s="77">
        <v>0</v>
      </c>
      <c r="F637" s="77">
        <v>0</v>
      </c>
      <c r="G637" s="77">
        <v>0</v>
      </c>
      <c r="H637" s="77">
        <v>0</v>
      </c>
      <c r="I637" s="77">
        <v>0</v>
      </c>
      <c r="J637" s="77">
        <v>0</v>
      </c>
      <c r="K637" s="77">
        <v>0</v>
      </c>
      <c r="L637" s="79">
        <v>0</v>
      </c>
      <c r="M637" s="216"/>
    </row>
    <row r="638" spans="1:13" x14ac:dyDescent="0.25">
      <c r="A638" s="38" t="s">
        <v>9</v>
      </c>
      <c r="B638" s="60">
        <f>B640+B641</f>
        <v>110273</v>
      </c>
      <c r="C638" s="60">
        <f t="shared" ref="C638:L638" si="329">C640+C641</f>
        <v>0</v>
      </c>
      <c r="D638" s="60">
        <f t="shared" si="329"/>
        <v>0</v>
      </c>
      <c r="E638" s="60">
        <f t="shared" si="329"/>
        <v>0</v>
      </c>
      <c r="F638" s="60">
        <f t="shared" si="329"/>
        <v>0</v>
      </c>
      <c r="G638" s="60">
        <f t="shared" si="329"/>
        <v>0</v>
      </c>
      <c r="H638" s="60">
        <f t="shared" si="329"/>
        <v>55136</v>
      </c>
      <c r="I638" s="60">
        <f t="shared" si="329"/>
        <v>55137</v>
      </c>
      <c r="J638" s="60">
        <f t="shared" si="329"/>
        <v>0</v>
      </c>
      <c r="K638" s="60">
        <f t="shared" si="329"/>
        <v>0</v>
      </c>
      <c r="L638" s="61">
        <f t="shared" si="329"/>
        <v>0</v>
      </c>
      <c r="M638" s="216"/>
    </row>
    <row r="639" spans="1:13" x14ac:dyDescent="0.25">
      <c r="A639" s="39" t="s">
        <v>10</v>
      </c>
      <c r="B639" s="77"/>
      <c r="C639" s="77"/>
      <c r="D639" s="77"/>
      <c r="E639" s="77"/>
      <c r="F639" s="77"/>
      <c r="G639" s="77"/>
      <c r="H639" s="77"/>
      <c r="I639" s="77"/>
      <c r="J639" s="77"/>
      <c r="K639" s="77"/>
      <c r="L639" s="79"/>
      <c r="M639" s="216"/>
    </row>
    <row r="640" spans="1:13" x14ac:dyDescent="0.25">
      <c r="A640" s="39" t="s">
        <v>11</v>
      </c>
      <c r="B640" s="40">
        <f>B645</f>
        <v>16541</v>
      </c>
      <c r="C640" s="40">
        <f t="shared" ref="C640:L640" si="330">C645</f>
        <v>0</v>
      </c>
      <c r="D640" s="40">
        <f t="shared" si="330"/>
        <v>0</v>
      </c>
      <c r="E640" s="40">
        <f t="shared" si="330"/>
        <v>0</v>
      </c>
      <c r="F640" s="40">
        <f t="shared" si="330"/>
        <v>0</v>
      </c>
      <c r="G640" s="40">
        <f t="shared" si="330"/>
        <v>0</v>
      </c>
      <c r="H640" s="40">
        <f t="shared" si="330"/>
        <v>8270</v>
      </c>
      <c r="I640" s="40">
        <f t="shared" si="330"/>
        <v>8271</v>
      </c>
      <c r="J640" s="40">
        <f t="shared" si="330"/>
        <v>0</v>
      </c>
      <c r="K640" s="40">
        <f t="shared" si="330"/>
        <v>0</v>
      </c>
      <c r="L640" s="41">
        <f t="shared" si="330"/>
        <v>0</v>
      </c>
      <c r="M640" s="216"/>
    </row>
    <row r="641" spans="1:13" ht="39.75" thickBot="1" x14ac:dyDescent="0.3">
      <c r="A641" s="80" t="s">
        <v>12</v>
      </c>
      <c r="B641" s="81">
        <f>B646</f>
        <v>93732</v>
      </c>
      <c r="C641" s="81">
        <f t="shared" ref="C641:L641" si="331">C646</f>
        <v>0</v>
      </c>
      <c r="D641" s="81">
        <f t="shared" si="331"/>
        <v>0</v>
      </c>
      <c r="E641" s="81">
        <f t="shared" si="331"/>
        <v>0</v>
      </c>
      <c r="F641" s="81">
        <f t="shared" si="331"/>
        <v>0</v>
      </c>
      <c r="G641" s="81">
        <f t="shared" si="331"/>
        <v>0</v>
      </c>
      <c r="H641" s="81">
        <f t="shared" si="331"/>
        <v>46866</v>
      </c>
      <c r="I641" s="81">
        <f t="shared" si="331"/>
        <v>46866</v>
      </c>
      <c r="J641" s="81">
        <f t="shared" si="331"/>
        <v>0</v>
      </c>
      <c r="K641" s="81">
        <f t="shared" si="331"/>
        <v>0</v>
      </c>
      <c r="L641" s="82">
        <f t="shared" si="331"/>
        <v>0</v>
      </c>
      <c r="M641" s="216"/>
    </row>
    <row r="642" spans="1:13" x14ac:dyDescent="0.25">
      <c r="A642" s="5" t="s">
        <v>13</v>
      </c>
      <c r="B642" s="12"/>
      <c r="C642" s="12"/>
      <c r="D642" s="12"/>
      <c r="E642" s="12"/>
      <c r="F642" s="12"/>
      <c r="G642" s="12"/>
      <c r="H642" s="12"/>
      <c r="I642" s="12"/>
      <c r="J642" s="12"/>
      <c r="K642" s="12"/>
      <c r="L642" s="13"/>
    </row>
    <row r="643" spans="1:13" x14ac:dyDescent="0.25">
      <c r="A643" s="6" t="s">
        <v>14</v>
      </c>
      <c r="B643" s="14"/>
      <c r="C643" s="14"/>
      <c r="D643" s="14"/>
      <c r="E643" s="14"/>
      <c r="F643" s="14"/>
      <c r="G643" s="14"/>
      <c r="H643" s="14"/>
      <c r="I643" s="14"/>
      <c r="J643" s="14"/>
      <c r="K643" s="14"/>
      <c r="L643" s="15"/>
    </row>
    <row r="644" spans="1:13" x14ac:dyDescent="0.25">
      <c r="A644" s="11" t="s">
        <v>17</v>
      </c>
      <c r="B644" s="14">
        <f>B645+B646</f>
        <v>110273</v>
      </c>
      <c r="C644" s="14">
        <f t="shared" ref="C644:L644" si="332">C645+C646</f>
        <v>0</v>
      </c>
      <c r="D644" s="14">
        <f t="shared" si="332"/>
        <v>0</v>
      </c>
      <c r="E644" s="14">
        <f t="shared" si="332"/>
        <v>0</v>
      </c>
      <c r="F644" s="14">
        <f t="shared" si="332"/>
        <v>0</v>
      </c>
      <c r="G644" s="14">
        <f t="shared" si="332"/>
        <v>0</v>
      </c>
      <c r="H644" s="14">
        <f t="shared" si="332"/>
        <v>55136</v>
      </c>
      <c r="I644" s="14">
        <f t="shared" si="332"/>
        <v>55137</v>
      </c>
      <c r="J644" s="14">
        <f t="shared" si="332"/>
        <v>0</v>
      </c>
      <c r="K644" s="14">
        <f t="shared" si="332"/>
        <v>0</v>
      </c>
      <c r="L644" s="15">
        <f t="shared" si="332"/>
        <v>0</v>
      </c>
    </row>
    <row r="645" spans="1:13" x14ac:dyDescent="0.25">
      <c r="A645" s="6" t="s">
        <v>11</v>
      </c>
      <c r="B645" s="54">
        <f>SUM(C645:L645)</f>
        <v>16541</v>
      </c>
      <c r="C645" s="54">
        <v>0</v>
      </c>
      <c r="D645" s="54">
        <v>0</v>
      </c>
      <c r="E645" s="54">
        <v>0</v>
      </c>
      <c r="F645" s="54">
        <v>0</v>
      </c>
      <c r="G645" s="54">
        <v>0</v>
      </c>
      <c r="H645" s="54">
        <v>8270</v>
      </c>
      <c r="I645" s="54">
        <v>8271</v>
      </c>
      <c r="J645" s="54">
        <v>0</v>
      </c>
      <c r="K645" s="54">
        <v>0</v>
      </c>
      <c r="L645" s="17">
        <v>0</v>
      </c>
    </row>
    <row r="646" spans="1:13" ht="39.75" thickBot="1" x14ac:dyDescent="0.3">
      <c r="A646" s="7" t="s">
        <v>12</v>
      </c>
      <c r="B646" s="30">
        <f>SUM(C646:L646)</f>
        <v>93732</v>
      </c>
      <c r="C646" s="30">
        <v>0</v>
      </c>
      <c r="D646" s="30">
        <v>0</v>
      </c>
      <c r="E646" s="30">
        <v>0</v>
      </c>
      <c r="F646" s="30">
        <v>0</v>
      </c>
      <c r="G646" s="30">
        <v>0</v>
      </c>
      <c r="H646" s="30">
        <v>46866</v>
      </c>
      <c r="I646" s="30">
        <v>46866</v>
      </c>
      <c r="J646" s="30">
        <v>0</v>
      </c>
      <c r="K646" s="30">
        <v>0</v>
      </c>
      <c r="L646" s="31">
        <v>0</v>
      </c>
    </row>
    <row r="647" spans="1:13" x14ac:dyDescent="0.25">
      <c r="A647" s="219" t="s">
        <v>30</v>
      </c>
      <c r="B647" s="220"/>
      <c r="C647" s="220"/>
      <c r="D647" s="220"/>
      <c r="E647" s="220"/>
      <c r="F647" s="220"/>
      <c r="G647" s="220"/>
      <c r="H647" s="220"/>
      <c r="I647" s="220"/>
      <c r="J647" s="220"/>
      <c r="K647" s="220"/>
      <c r="L647" s="221"/>
    </row>
    <row r="648" spans="1:13" x14ac:dyDescent="0.25">
      <c r="A648" s="38" t="s">
        <v>5</v>
      </c>
      <c r="B648" s="60">
        <f>B649+B650+B651+B652</f>
        <v>4246226</v>
      </c>
      <c r="C648" s="60">
        <f t="shared" ref="C648:L648" si="333">C649+C650+C651+C652</f>
        <v>0</v>
      </c>
      <c r="D648" s="60">
        <f t="shared" si="333"/>
        <v>0</v>
      </c>
      <c r="E648" s="60">
        <f t="shared" si="333"/>
        <v>0</v>
      </c>
      <c r="F648" s="60">
        <f t="shared" si="333"/>
        <v>0</v>
      </c>
      <c r="G648" s="60">
        <f t="shared" si="333"/>
        <v>0</v>
      </c>
      <c r="H648" s="60">
        <f t="shared" si="333"/>
        <v>1006383</v>
      </c>
      <c r="I648" s="60">
        <f t="shared" si="333"/>
        <v>962274</v>
      </c>
      <c r="J648" s="60">
        <f t="shared" si="333"/>
        <v>777569</v>
      </c>
      <c r="K648" s="60">
        <f t="shared" si="333"/>
        <v>750000</v>
      </c>
      <c r="L648" s="61">
        <f t="shared" si="333"/>
        <v>750000</v>
      </c>
    </row>
    <row r="649" spans="1:13" x14ac:dyDescent="0.25">
      <c r="A649" s="39" t="s">
        <v>6</v>
      </c>
      <c r="B649" s="77">
        <f>SUM(C649:L649)</f>
        <v>0</v>
      </c>
      <c r="C649" s="77">
        <v>0</v>
      </c>
      <c r="D649" s="77">
        <v>0</v>
      </c>
      <c r="E649" s="77">
        <v>0</v>
      </c>
      <c r="F649" s="77">
        <v>0</v>
      </c>
      <c r="G649" s="77">
        <v>0</v>
      </c>
      <c r="H649" s="77">
        <v>0</v>
      </c>
      <c r="I649" s="77">
        <v>0</v>
      </c>
      <c r="J649" s="77">
        <v>0</v>
      </c>
      <c r="K649" s="77">
        <v>0</v>
      </c>
      <c r="L649" s="79">
        <v>0</v>
      </c>
    </row>
    <row r="650" spans="1:13" x14ac:dyDescent="0.25">
      <c r="A650" s="39" t="s">
        <v>7</v>
      </c>
      <c r="B650" s="77">
        <f>SUM(C650:L650)</f>
        <v>0</v>
      </c>
      <c r="C650" s="77">
        <v>0</v>
      </c>
      <c r="D650" s="77">
        <v>0</v>
      </c>
      <c r="E650" s="77">
        <v>0</v>
      </c>
      <c r="F650" s="77">
        <v>0</v>
      </c>
      <c r="G650" s="77">
        <v>0</v>
      </c>
      <c r="H650" s="77">
        <v>0</v>
      </c>
      <c r="I650" s="77">
        <v>0</v>
      </c>
      <c r="J650" s="77">
        <v>0</v>
      </c>
      <c r="K650" s="77">
        <v>0</v>
      </c>
      <c r="L650" s="79">
        <v>0</v>
      </c>
    </row>
    <row r="651" spans="1:13" ht="26.25" x14ac:dyDescent="0.25">
      <c r="A651" s="39" t="s">
        <v>8</v>
      </c>
      <c r="B651" s="77">
        <f>SUM(C651:L651)</f>
        <v>0</v>
      </c>
      <c r="C651" s="77">
        <v>0</v>
      </c>
      <c r="D651" s="77">
        <v>0</v>
      </c>
      <c r="E651" s="77">
        <v>0</v>
      </c>
      <c r="F651" s="77">
        <v>0</v>
      </c>
      <c r="G651" s="77">
        <v>0</v>
      </c>
      <c r="H651" s="77">
        <v>0</v>
      </c>
      <c r="I651" s="77">
        <v>0</v>
      </c>
      <c r="J651" s="77">
        <v>0</v>
      </c>
      <c r="K651" s="77">
        <v>0</v>
      </c>
      <c r="L651" s="79">
        <v>0</v>
      </c>
    </row>
    <row r="652" spans="1:13" x14ac:dyDescent="0.25">
      <c r="A652" s="38" t="s">
        <v>9</v>
      </c>
      <c r="B652" s="60">
        <f>B658</f>
        <v>4246226</v>
      </c>
      <c r="C652" s="60">
        <f t="shared" ref="C652:L652" si="334">C658</f>
        <v>0</v>
      </c>
      <c r="D652" s="60">
        <f t="shared" si="334"/>
        <v>0</v>
      </c>
      <c r="E652" s="60">
        <f t="shared" si="334"/>
        <v>0</v>
      </c>
      <c r="F652" s="60">
        <f t="shared" si="334"/>
        <v>0</v>
      </c>
      <c r="G652" s="60">
        <f t="shared" si="334"/>
        <v>0</v>
      </c>
      <c r="H652" s="60">
        <f t="shared" si="334"/>
        <v>1006383</v>
      </c>
      <c r="I652" s="60">
        <f t="shared" si="334"/>
        <v>962274</v>
      </c>
      <c r="J652" s="60">
        <f t="shared" si="334"/>
        <v>777569</v>
      </c>
      <c r="K652" s="60">
        <f t="shared" si="334"/>
        <v>750000</v>
      </c>
      <c r="L652" s="61">
        <f t="shared" si="334"/>
        <v>750000</v>
      </c>
    </row>
    <row r="653" spans="1:13" x14ac:dyDescent="0.25">
      <c r="A653" s="39" t="s">
        <v>10</v>
      </c>
      <c r="B653" s="77"/>
      <c r="C653" s="77"/>
      <c r="D653" s="77"/>
      <c r="E653" s="77"/>
      <c r="F653" s="77"/>
      <c r="G653" s="77"/>
      <c r="H653" s="77"/>
      <c r="I653" s="77"/>
      <c r="J653" s="77"/>
      <c r="K653" s="77"/>
      <c r="L653" s="79"/>
    </row>
    <row r="654" spans="1:13" x14ac:dyDescent="0.25">
      <c r="A654" s="39" t="s">
        <v>11</v>
      </c>
      <c r="B654" s="40">
        <f>B659</f>
        <v>3824433</v>
      </c>
      <c r="C654" s="40">
        <f t="shared" ref="C654:L654" si="335">C659</f>
        <v>0</v>
      </c>
      <c r="D654" s="40">
        <f t="shared" si="335"/>
        <v>0</v>
      </c>
      <c r="E654" s="40">
        <f t="shared" si="335"/>
        <v>0</v>
      </c>
      <c r="F654" s="40">
        <f t="shared" si="335"/>
        <v>0</v>
      </c>
      <c r="G654" s="40">
        <f t="shared" si="335"/>
        <v>0</v>
      </c>
      <c r="H654" s="40">
        <f t="shared" si="335"/>
        <v>788457</v>
      </c>
      <c r="I654" s="40">
        <f t="shared" si="335"/>
        <v>781841</v>
      </c>
      <c r="J654" s="40">
        <f t="shared" si="335"/>
        <v>754135</v>
      </c>
      <c r="K654" s="40">
        <f t="shared" si="335"/>
        <v>750000</v>
      </c>
      <c r="L654" s="41">
        <f t="shared" si="335"/>
        <v>750000</v>
      </c>
    </row>
    <row r="655" spans="1:13" ht="39.75" thickBot="1" x14ac:dyDescent="0.3">
      <c r="A655" s="80" t="s">
        <v>12</v>
      </c>
      <c r="B655" s="81">
        <f>B660</f>
        <v>421793</v>
      </c>
      <c r="C655" s="81">
        <f t="shared" ref="C655:L655" si="336">C660</f>
        <v>0</v>
      </c>
      <c r="D655" s="81">
        <f t="shared" si="336"/>
        <v>0</v>
      </c>
      <c r="E655" s="81">
        <f t="shared" si="336"/>
        <v>0</v>
      </c>
      <c r="F655" s="81">
        <f t="shared" si="336"/>
        <v>0</v>
      </c>
      <c r="G655" s="81">
        <f t="shared" si="336"/>
        <v>0</v>
      </c>
      <c r="H655" s="81">
        <f t="shared" si="336"/>
        <v>217926</v>
      </c>
      <c r="I655" s="81">
        <f t="shared" si="336"/>
        <v>180433</v>
      </c>
      <c r="J655" s="81">
        <f t="shared" si="336"/>
        <v>23434</v>
      </c>
      <c r="K655" s="81">
        <f t="shared" si="336"/>
        <v>0</v>
      </c>
      <c r="L655" s="82">
        <f t="shared" si="336"/>
        <v>0</v>
      </c>
    </row>
    <row r="656" spans="1:13" x14ac:dyDescent="0.25">
      <c r="A656" s="5" t="s">
        <v>13</v>
      </c>
      <c r="B656" s="12"/>
      <c r="C656" s="12"/>
      <c r="D656" s="12"/>
      <c r="E656" s="12"/>
      <c r="F656" s="12"/>
      <c r="G656" s="12"/>
      <c r="H656" s="12"/>
      <c r="I656" s="12"/>
      <c r="J656" s="12"/>
      <c r="K656" s="12"/>
      <c r="L656" s="13"/>
    </row>
    <row r="657" spans="1:12" x14ac:dyDescent="0.25">
      <c r="A657" s="6" t="s">
        <v>14</v>
      </c>
      <c r="B657" s="14"/>
      <c r="C657" s="14"/>
      <c r="D657" s="14"/>
      <c r="E657" s="14"/>
      <c r="F657" s="14"/>
      <c r="G657" s="14"/>
      <c r="H657" s="14"/>
      <c r="I657" s="14"/>
      <c r="J657" s="14"/>
      <c r="K657" s="14"/>
      <c r="L657" s="15"/>
    </row>
    <row r="658" spans="1:12" x14ac:dyDescent="0.25">
      <c r="A658" s="11" t="s">
        <v>17</v>
      </c>
      <c r="B658" s="14">
        <f>B659+B660</f>
        <v>4246226</v>
      </c>
      <c r="C658" s="14">
        <f t="shared" ref="C658:L658" si="337">C659+C660</f>
        <v>0</v>
      </c>
      <c r="D658" s="14">
        <f t="shared" si="337"/>
        <v>0</v>
      </c>
      <c r="E658" s="14">
        <f t="shared" si="337"/>
        <v>0</v>
      </c>
      <c r="F658" s="14">
        <f t="shared" si="337"/>
        <v>0</v>
      </c>
      <c r="G658" s="14">
        <f t="shared" si="337"/>
        <v>0</v>
      </c>
      <c r="H658" s="14">
        <f t="shared" si="337"/>
        <v>1006383</v>
      </c>
      <c r="I658" s="14">
        <f t="shared" si="337"/>
        <v>962274</v>
      </c>
      <c r="J658" s="14">
        <f t="shared" si="337"/>
        <v>777569</v>
      </c>
      <c r="K658" s="14">
        <f t="shared" si="337"/>
        <v>750000</v>
      </c>
      <c r="L658" s="15">
        <f t="shared" si="337"/>
        <v>750000</v>
      </c>
    </row>
    <row r="659" spans="1:12" x14ac:dyDescent="0.25">
      <c r="A659" s="6" t="s">
        <v>11</v>
      </c>
      <c r="B659" s="54">
        <f>B663+B667</f>
        <v>3824433</v>
      </c>
      <c r="C659" s="54">
        <f t="shared" ref="C659:L659" si="338">C663+C667</f>
        <v>0</v>
      </c>
      <c r="D659" s="54">
        <f t="shared" si="338"/>
        <v>0</v>
      </c>
      <c r="E659" s="54">
        <f t="shared" si="338"/>
        <v>0</v>
      </c>
      <c r="F659" s="54">
        <f t="shared" si="338"/>
        <v>0</v>
      </c>
      <c r="G659" s="54">
        <f t="shared" si="338"/>
        <v>0</v>
      </c>
      <c r="H659" s="54">
        <f t="shared" si="338"/>
        <v>788457</v>
      </c>
      <c r="I659" s="54">
        <f t="shared" si="338"/>
        <v>781841</v>
      </c>
      <c r="J659" s="54">
        <f t="shared" si="338"/>
        <v>754135</v>
      </c>
      <c r="K659" s="54">
        <f t="shared" si="338"/>
        <v>750000</v>
      </c>
      <c r="L659" s="17">
        <f t="shared" si="338"/>
        <v>750000</v>
      </c>
    </row>
    <row r="660" spans="1:12" ht="39.75" thickBot="1" x14ac:dyDescent="0.3">
      <c r="A660" s="6" t="s">
        <v>12</v>
      </c>
      <c r="B660" s="54">
        <f>B664+B668</f>
        <v>421793</v>
      </c>
      <c r="C660" s="54">
        <f t="shared" ref="C660:L660" si="339">C664+C668</f>
        <v>0</v>
      </c>
      <c r="D660" s="54">
        <f t="shared" si="339"/>
        <v>0</v>
      </c>
      <c r="E660" s="54">
        <f t="shared" si="339"/>
        <v>0</v>
      </c>
      <c r="F660" s="54">
        <f t="shared" si="339"/>
        <v>0</v>
      </c>
      <c r="G660" s="54">
        <f t="shared" si="339"/>
        <v>0</v>
      </c>
      <c r="H660" s="54">
        <f t="shared" si="339"/>
        <v>217926</v>
      </c>
      <c r="I660" s="54">
        <f t="shared" si="339"/>
        <v>180433</v>
      </c>
      <c r="J660" s="54">
        <f t="shared" si="339"/>
        <v>23434</v>
      </c>
      <c r="K660" s="54">
        <f t="shared" si="339"/>
        <v>0</v>
      </c>
      <c r="L660" s="17">
        <f t="shared" si="339"/>
        <v>0</v>
      </c>
    </row>
    <row r="661" spans="1:12" ht="64.5" x14ac:dyDescent="0.25">
      <c r="A661" s="32" t="s">
        <v>31</v>
      </c>
      <c r="B661" s="33">
        <f>B662</f>
        <v>4025681</v>
      </c>
      <c r="C661" s="33">
        <f t="shared" ref="C661:L661" si="340">C662</f>
        <v>0</v>
      </c>
      <c r="D661" s="33">
        <f t="shared" si="340"/>
        <v>0</v>
      </c>
      <c r="E661" s="33">
        <f t="shared" si="340"/>
        <v>0</v>
      </c>
      <c r="F661" s="33">
        <f t="shared" si="340"/>
        <v>0</v>
      </c>
      <c r="G661" s="33">
        <f t="shared" si="340"/>
        <v>0</v>
      </c>
      <c r="H661" s="33">
        <f t="shared" si="340"/>
        <v>874056</v>
      </c>
      <c r="I661" s="33">
        <f t="shared" si="340"/>
        <v>874056</v>
      </c>
      <c r="J661" s="33">
        <f t="shared" si="340"/>
        <v>777569</v>
      </c>
      <c r="K661" s="33">
        <f t="shared" si="340"/>
        <v>750000</v>
      </c>
      <c r="L661" s="34">
        <f t="shared" si="340"/>
        <v>750000</v>
      </c>
    </row>
    <row r="662" spans="1:12" x14ac:dyDescent="0.25">
      <c r="A662" s="11" t="s">
        <v>17</v>
      </c>
      <c r="B662" s="20">
        <f>B663+B664</f>
        <v>4025681</v>
      </c>
      <c r="C662" s="20">
        <f t="shared" ref="C662:L662" si="341">C663+C664</f>
        <v>0</v>
      </c>
      <c r="D662" s="20">
        <f t="shared" si="341"/>
        <v>0</v>
      </c>
      <c r="E662" s="20">
        <f t="shared" si="341"/>
        <v>0</v>
      </c>
      <c r="F662" s="20">
        <f t="shared" si="341"/>
        <v>0</v>
      </c>
      <c r="G662" s="20">
        <f t="shared" si="341"/>
        <v>0</v>
      </c>
      <c r="H662" s="20">
        <f t="shared" si="341"/>
        <v>874056</v>
      </c>
      <c r="I662" s="20">
        <f t="shared" si="341"/>
        <v>874056</v>
      </c>
      <c r="J662" s="20">
        <f t="shared" si="341"/>
        <v>777569</v>
      </c>
      <c r="K662" s="20">
        <f t="shared" si="341"/>
        <v>750000</v>
      </c>
      <c r="L662" s="21">
        <f t="shared" si="341"/>
        <v>750000</v>
      </c>
    </row>
    <row r="663" spans="1:12" x14ac:dyDescent="0.25">
      <c r="A663" s="51" t="s">
        <v>11</v>
      </c>
      <c r="B663" s="53">
        <f>SUM(C663:L663)</f>
        <v>3791351</v>
      </c>
      <c r="C663" s="53">
        <v>0</v>
      </c>
      <c r="D663" s="53">
        <v>0</v>
      </c>
      <c r="E663" s="53">
        <v>0</v>
      </c>
      <c r="F663" s="53">
        <v>0</v>
      </c>
      <c r="G663" s="53">
        <v>0</v>
      </c>
      <c r="H663" s="53">
        <f>18608+750000</f>
        <v>768608</v>
      </c>
      <c r="I663" s="53">
        <f>18608+750000</f>
        <v>768608</v>
      </c>
      <c r="J663" s="53">
        <f>4135+750000</f>
        <v>754135</v>
      </c>
      <c r="K663" s="53">
        <v>750000</v>
      </c>
      <c r="L663" s="49">
        <v>750000</v>
      </c>
    </row>
    <row r="664" spans="1:12" ht="39" x14ac:dyDescent="0.25">
      <c r="A664" s="51" t="s">
        <v>12</v>
      </c>
      <c r="B664" s="53">
        <f>SUM(C664:L664)</f>
        <v>234330</v>
      </c>
      <c r="C664" s="53">
        <v>0</v>
      </c>
      <c r="D664" s="53">
        <v>0</v>
      </c>
      <c r="E664" s="53">
        <v>0</v>
      </c>
      <c r="F664" s="53">
        <v>0</v>
      </c>
      <c r="G664" s="53">
        <v>0</v>
      </c>
      <c r="H664" s="53">
        <v>105448</v>
      </c>
      <c r="I664" s="53">
        <v>105448</v>
      </c>
      <c r="J664" s="53">
        <v>23434</v>
      </c>
      <c r="K664" s="53">
        <v>0</v>
      </c>
      <c r="L664" s="49">
        <v>0</v>
      </c>
    </row>
    <row r="665" spans="1:12" ht="64.5" x14ac:dyDescent="0.25">
      <c r="A665" s="25" t="s">
        <v>32</v>
      </c>
      <c r="B665" s="23">
        <f>B666</f>
        <v>220545</v>
      </c>
      <c r="C665" s="23">
        <f t="shared" ref="C665:L665" si="342">C666</f>
        <v>0</v>
      </c>
      <c r="D665" s="23">
        <f t="shared" si="342"/>
        <v>0</v>
      </c>
      <c r="E665" s="23">
        <f t="shared" si="342"/>
        <v>0</v>
      </c>
      <c r="F665" s="23">
        <f t="shared" si="342"/>
        <v>0</v>
      </c>
      <c r="G665" s="23">
        <f t="shared" si="342"/>
        <v>0</v>
      </c>
      <c r="H665" s="23">
        <f t="shared" si="342"/>
        <v>132327</v>
      </c>
      <c r="I665" s="23">
        <f t="shared" si="342"/>
        <v>88218</v>
      </c>
      <c r="J665" s="23">
        <f t="shared" si="342"/>
        <v>0</v>
      </c>
      <c r="K665" s="23">
        <f t="shared" si="342"/>
        <v>0</v>
      </c>
      <c r="L665" s="24">
        <f t="shared" si="342"/>
        <v>0</v>
      </c>
    </row>
    <row r="666" spans="1:12" x14ac:dyDescent="0.25">
      <c r="A666" s="11" t="s">
        <v>17</v>
      </c>
      <c r="B666" s="20">
        <f>B667+B668</f>
        <v>220545</v>
      </c>
      <c r="C666" s="20">
        <f t="shared" ref="C666:L666" si="343">C667+C668</f>
        <v>0</v>
      </c>
      <c r="D666" s="20">
        <f t="shared" si="343"/>
        <v>0</v>
      </c>
      <c r="E666" s="20">
        <f t="shared" si="343"/>
        <v>0</v>
      </c>
      <c r="F666" s="20">
        <f t="shared" si="343"/>
        <v>0</v>
      </c>
      <c r="G666" s="20">
        <f t="shared" si="343"/>
        <v>0</v>
      </c>
      <c r="H666" s="20">
        <f t="shared" si="343"/>
        <v>132327</v>
      </c>
      <c r="I666" s="20">
        <f t="shared" si="343"/>
        <v>88218</v>
      </c>
      <c r="J666" s="20">
        <f t="shared" si="343"/>
        <v>0</v>
      </c>
      <c r="K666" s="20">
        <f t="shared" si="343"/>
        <v>0</v>
      </c>
      <c r="L666" s="21">
        <f t="shared" si="343"/>
        <v>0</v>
      </c>
    </row>
    <row r="667" spans="1:12" x14ac:dyDescent="0.25">
      <c r="A667" s="51" t="s">
        <v>11</v>
      </c>
      <c r="B667" s="53">
        <f>SUM(C667:L667)</f>
        <v>33082</v>
      </c>
      <c r="C667" s="53">
        <v>0</v>
      </c>
      <c r="D667" s="53">
        <v>0</v>
      </c>
      <c r="E667" s="53">
        <v>0</v>
      </c>
      <c r="F667" s="53">
        <v>0</v>
      </c>
      <c r="G667" s="53">
        <v>0</v>
      </c>
      <c r="H667" s="53">
        <v>19849</v>
      </c>
      <c r="I667" s="53">
        <v>13233</v>
      </c>
      <c r="J667" s="53">
        <v>0</v>
      </c>
      <c r="K667" s="53">
        <v>0</v>
      </c>
      <c r="L667" s="49">
        <v>0</v>
      </c>
    </row>
    <row r="668" spans="1:12" ht="39.75" thickBot="1" x14ac:dyDescent="0.3">
      <c r="A668" s="27" t="s">
        <v>12</v>
      </c>
      <c r="B668" s="28">
        <f>SUM(C668:L668)</f>
        <v>187463</v>
      </c>
      <c r="C668" s="28">
        <v>0</v>
      </c>
      <c r="D668" s="28">
        <v>0</v>
      </c>
      <c r="E668" s="28">
        <v>0</v>
      </c>
      <c r="F668" s="28">
        <v>0</v>
      </c>
      <c r="G668" s="28">
        <v>0</v>
      </c>
      <c r="H668" s="28">
        <v>112478</v>
      </c>
      <c r="I668" s="28">
        <v>74985</v>
      </c>
      <c r="J668" s="28">
        <v>0</v>
      </c>
      <c r="K668" s="28">
        <v>0</v>
      </c>
      <c r="L668" s="110">
        <v>0</v>
      </c>
    </row>
    <row r="669" spans="1:12" ht="31.5" customHeight="1" x14ac:dyDescent="0.25">
      <c r="A669" s="219" t="s">
        <v>33</v>
      </c>
      <c r="B669" s="220"/>
      <c r="C669" s="220"/>
      <c r="D669" s="220"/>
      <c r="E669" s="220"/>
      <c r="F669" s="220"/>
      <c r="G669" s="220"/>
      <c r="H669" s="220"/>
      <c r="I669" s="220"/>
      <c r="J669" s="220"/>
      <c r="K669" s="220"/>
      <c r="L669" s="221"/>
    </row>
    <row r="670" spans="1:12" x14ac:dyDescent="0.25">
      <c r="A670" s="38" t="s">
        <v>5</v>
      </c>
      <c r="B670" s="60">
        <f>B671+B672+B673+B674</f>
        <v>720545</v>
      </c>
      <c r="C670" s="60">
        <f t="shared" ref="C670:L670" si="344">C671+C672+C673+C674</f>
        <v>0</v>
      </c>
      <c r="D670" s="60">
        <f t="shared" si="344"/>
        <v>0</v>
      </c>
      <c r="E670" s="60">
        <f t="shared" si="344"/>
        <v>0</v>
      </c>
      <c r="F670" s="60">
        <f t="shared" si="344"/>
        <v>0</v>
      </c>
      <c r="G670" s="60">
        <f t="shared" si="344"/>
        <v>0</v>
      </c>
      <c r="H670" s="60">
        <f t="shared" si="344"/>
        <v>166164</v>
      </c>
      <c r="I670" s="60">
        <f t="shared" si="344"/>
        <v>192629</v>
      </c>
      <c r="J670" s="60">
        <f t="shared" si="344"/>
        <v>161752</v>
      </c>
      <c r="K670" s="60">
        <f t="shared" si="344"/>
        <v>100000</v>
      </c>
      <c r="L670" s="61">
        <f t="shared" si="344"/>
        <v>100000</v>
      </c>
    </row>
    <row r="671" spans="1:12" x14ac:dyDescent="0.25">
      <c r="A671" s="39" t="s">
        <v>6</v>
      </c>
      <c r="B671" s="77">
        <f>SUM(C671:L671)</f>
        <v>0</v>
      </c>
      <c r="C671" s="77">
        <v>0</v>
      </c>
      <c r="D671" s="77">
        <v>0</v>
      </c>
      <c r="E671" s="77">
        <v>0</v>
      </c>
      <c r="F671" s="77">
        <v>0</v>
      </c>
      <c r="G671" s="77">
        <v>0</v>
      </c>
      <c r="H671" s="77">
        <v>0</v>
      </c>
      <c r="I671" s="77">
        <v>0</v>
      </c>
      <c r="J671" s="77">
        <v>0</v>
      </c>
      <c r="K671" s="77">
        <v>0</v>
      </c>
      <c r="L671" s="79">
        <v>0</v>
      </c>
    </row>
    <row r="672" spans="1:12" x14ac:dyDescent="0.25">
      <c r="A672" s="39" t="s">
        <v>7</v>
      </c>
      <c r="B672" s="77">
        <f>SUM(C672:L672)</f>
        <v>0</v>
      </c>
      <c r="C672" s="77">
        <v>0</v>
      </c>
      <c r="D672" s="77">
        <v>0</v>
      </c>
      <c r="E672" s="77">
        <v>0</v>
      </c>
      <c r="F672" s="77">
        <v>0</v>
      </c>
      <c r="G672" s="77">
        <v>0</v>
      </c>
      <c r="H672" s="77">
        <v>0</v>
      </c>
      <c r="I672" s="77">
        <v>0</v>
      </c>
      <c r="J672" s="77">
        <v>0</v>
      </c>
      <c r="K672" s="77">
        <v>0</v>
      </c>
      <c r="L672" s="79">
        <v>0</v>
      </c>
    </row>
    <row r="673" spans="1:13" ht="26.25" x14ac:dyDescent="0.25">
      <c r="A673" s="39" t="s">
        <v>8</v>
      </c>
      <c r="B673" s="77">
        <f>SUM(C673:L673)</f>
        <v>0</v>
      </c>
      <c r="C673" s="77">
        <v>0</v>
      </c>
      <c r="D673" s="77">
        <v>0</v>
      </c>
      <c r="E673" s="77">
        <v>0</v>
      </c>
      <c r="F673" s="77">
        <v>0</v>
      </c>
      <c r="G673" s="77">
        <v>0</v>
      </c>
      <c r="H673" s="77">
        <v>0</v>
      </c>
      <c r="I673" s="77">
        <v>0</v>
      </c>
      <c r="J673" s="77">
        <v>0</v>
      </c>
      <c r="K673" s="77">
        <v>0</v>
      </c>
      <c r="L673" s="79">
        <v>0</v>
      </c>
    </row>
    <row r="674" spans="1:13" x14ac:dyDescent="0.25">
      <c r="A674" s="38" t="s">
        <v>9</v>
      </c>
      <c r="B674" s="60">
        <f>B676+B677</f>
        <v>720545</v>
      </c>
      <c r="C674" s="60">
        <f t="shared" ref="C674:L674" si="345">C676+C677</f>
        <v>0</v>
      </c>
      <c r="D674" s="60">
        <f t="shared" si="345"/>
        <v>0</v>
      </c>
      <c r="E674" s="60">
        <f t="shared" si="345"/>
        <v>0</v>
      </c>
      <c r="F674" s="60">
        <f t="shared" si="345"/>
        <v>0</v>
      </c>
      <c r="G674" s="60">
        <f t="shared" si="345"/>
        <v>0</v>
      </c>
      <c r="H674" s="60">
        <f t="shared" si="345"/>
        <v>166164</v>
      </c>
      <c r="I674" s="60">
        <f t="shared" si="345"/>
        <v>192629</v>
      </c>
      <c r="J674" s="60">
        <f t="shared" si="345"/>
        <v>161752</v>
      </c>
      <c r="K674" s="60">
        <f t="shared" si="345"/>
        <v>100000</v>
      </c>
      <c r="L674" s="61">
        <f t="shared" si="345"/>
        <v>100000</v>
      </c>
    </row>
    <row r="675" spans="1:13" x14ac:dyDescent="0.25">
      <c r="A675" s="39" t="s">
        <v>10</v>
      </c>
      <c r="B675" s="77"/>
      <c r="C675" s="77"/>
      <c r="D675" s="77"/>
      <c r="E675" s="77"/>
      <c r="F675" s="77"/>
      <c r="G675" s="77"/>
      <c r="H675" s="77"/>
      <c r="I675" s="77"/>
      <c r="J675" s="77"/>
      <c r="K675" s="77"/>
      <c r="L675" s="79"/>
    </row>
    <row r="676" spans="1:13" x14ac:dyDescent="0.25">
      <c r="A676" s="39" t="s">
        <v>11</v>
      </c>
      <c r="B676" s="40">
        <f>B681</f>
        <v>533082</v>
      </c>
      <c r="C676" s="40">
        <f t="shared" ref="C676:L676" si="346">C681</f>
        <v>0</v>
      </c>
      <c r="D676" s="40">
        <f t="shared" si="346"/>
        <v>0</v>
      </c>
      <c r="E676" s="40">
        <f t="shared" si="346"/>
        <v>0</v>
      </c>
      <c r="F676" s="40">
        <f t="shared" si="346"/>
        <v>0</v>
      </c>
      <c r="G676" s="40">
        <f t="shared" si="346"/>
        <v>0</v>
      </c>
      <c r="H676" s="40">
        <f t="shared" si="346"/>
        <v>109925</v>
      </c>
      <c r="I676" s="40">
        <f t="shared" si="346"/>
        <v>113894</v>
      </c>
      <c r="J676" s="40">
        <f t="shared" si="346"/>
        <v>109263</v>
      </c>
      <c r="K676" s="40">
        <f t="shared" si="346"/>
        <v>100000</v>
      </c>
      <c r="L676" s="41">
        <f t="shared" si="346"/>
        <v>100000</v>
      </c>
    </row>
    <row r="677" spans="1:13" ht="39.75" thickBot="1" x14ac:dyDescent="0.3">
      <c r="A677" s="80" t="s">
        <v>12</v>
      </c>
      <c r="B677" s="81">
        <f>B682</f>
        <v>187463</v>
      </c>
      <c r="C677" s="81">
        <f t="shared" ref="C677:L677" si="347">C682</f>
        <v>0</v>
      </c>
      <c r="D677" s="81">
        <f t="shared" si="347"/>
        <v>0</v>
      </c>
      <c r="E677" s="81">
        <f t="shared" si="347"/>
        <v>0</v>
      </c>
      <c r="F677" s="81">
        <f t="shared" si="347"/>
        <v>0</v>
      </c>
      <c r="G677" s="81">
        <f t="shared" si="347"/>
        <v>0</v>
      </c>
      <c r="H677" s="81">
        <f t="shared" si="347"/>
        <v>56239</v>
      </c>
      <c r="I677" s="81">
        <f t="shared" si="347"/>
        <v>78735</v>
      </c>
      <c r="J677" s="81">
        <f t="shared" si="347"/>
        <v>52489</v>
      </c>
      <c r="K677" s="81">
        <f t="shared" si="347"/>
        <v>0</v>
      </c>
      <c r="L677" s="82">
        <f t="shared" si="347"/>
        <v>0</v>
      </c>
    </row>
    <row r="678" spans="1:13" x14ac:dyDescent="0.25">
      <c r="A678" s="5" t="s">
        <v>13</v>
      </c>
      <c r="B678" s="12"/>
      <c r="C678" s="12"/>
      <c r="D678" s="12"/>
      <c r="E678" s="12"/>
      <c r="F678" s="12"/>
      <c r="G678" s="12"/>
      <c r="H678" s="12"/>
      <c r="I678" s="12"/>
      <c r="J678" s="12"/>
      <c r="K678" s="12"/>
      <c r="L678" s="13"/>
    </row>
    <row r="679" spans="1:13" x14ac:dyDescent="0.25">
      <c r="A679" s="6" t="s">
        <v>14</v>
      </c>
      <c r="B679" s="14"/>
      <c r="C679" s="14"/>
      <c r="D679" s="14"/>
      <c r="E679" s="14"/>
      <c r="F679" s="14"/>
      <c r="G679" s="14"/>
      <c r="H679" s="14"/>
      <c r="I679" s="14"/>
      <c r="J679" s="14"/>
      <c r="K679" s="14"/>
      <c r="L679" s="15"/>
    </row>
    <row r="680" spans="1:13" x14ac:dyDescent="0.25">
      <c r="A680" s="11" t="s">
        <v>17</v>
      </c>
      <c r="B680" s="14">
        <f>B681+B682</f>
        <v>720545</v>
      </c>
      <c r="C680" s="14">
        <f t="shared" ref="C680:L680" si="348">C681+C682</f>
        <v>0</v>
      </c>
      <c r="D680" s="14">
        <f t="shared" si="348"/>
        <v>0</v>
      </c>
      <c r="E680" s="14">
        <f t="shared" si="348"/>
        <v>0</v>
      </c>
      <c r="F680" s="14">
        <f t="shared" si="348"/>
        <v>0</v>
      </c>
      <c r="G680" s="14">
        <f t="shared" si="348"/>
        <v>0</v>
      </c>
      <c r="H680" s="14">
        <f t="shared" si="348"/>
        <v>166164</v>
      </c>
      <c r="I680" s="14">
        <f t="shared" si="348"/>
        <v>192629</v>
      </c>
      <c r="J680" s="14">
        <f t="shared" si="348"/>
        <v>161752</v>
      </c>
      <c r="K680" s="14">
        <f t="shared" si="348"/>
        <v>100000</v>
      </c>
      <c r="L680" s="15">
        <f t="shared" si="348"/>
        <v>100000</v>
      </c>
    </row>
    <row r="681" spans="1:13" x14ac:dyDescent="0.25">
      <c r="A681" s="6" t="s">
        <v>11</v>
      </c>
      <c r="B681" s="54">
        <f>SUM(C681:L681)</f>
        <v>533082</v>
      </c>
      <c r="C681" s="54">
        <v>0</v>
      </c>
      <c r="D681" s="54">
        <v>0</v>
      </c>
      <c r="E681" s="54">
        <v>0</v>
      </c>
      <c r="F681" s="54">
        <v>0</v>
      </c>
      <c r="G681" s="54">
        <v>0</v>
      </c>
      <c r="H681" s="54">
        <f>9925+100000</f>
        <v>109925</v>
      </c>
      <c r="I681" s="54">
        <f>13894+100000</f>
        <v>113894</v>
      </c>
      <c r="J681" s="54">
        <f>9263+100000</f>
        <v>109263</v>
      </c>
      <c r="K681" s="54">
        <v>100000</v>
      </c>
      <c r="L681" s="17">
        <v>100000</v>
      </c>
    </row>
    <row r="682" spans="1:13" ht="39.75" thickBot="1" x14ac:dyDescent="0.3">
      <c r="A682" s="7" t="s">
        <v>12</v>
      </c>
      <c r="B682" s="30">
        <f>SUM(C682:L682)</f>
        <v>187463</v>
      </c>
      <c r="C682" s="30">
        <v>0</v>
      </c>
      <c r="D682" s="30">
        <v>0</v>
      </c>
      <c r="E682" s="30">
        <v>0</v>
      </c>
      <c r="F682" s="30">
        <v>0</v>
      </c>
      <c r="G682" s="30">
        <v>0</v>
      </c>
      <c r="H682" s="30">
        <v>56239</v>
      </c>
      <c r="I682" s="30">
        <v>78735</v>
      </c>
      <c r="J682" s="30">
        <v>52489</v>
      </c>
      <c r="K682" s="30">
        <v>0</v>
      </c>
      <c r="L682" s="31">
        <v>0</v>
      </c>
    </row>
    <row r="683" spans="1:13" x14ac:dyDescent="0.25">
      <c r="A683" s="219" t="s">
        <v>34</v>
      </c>
      <c r="B683" s="220"/>
      <c r="C683" s="220"/>
      <c r="D683" s="220"/>
      <c r="E683" s="220"/>
      <c r="F683" s="220"/>
      <c r="G683" s="220"/>
      <c r="H683" s="220"/>
      <c r="I683" s="220"/>
      <c r="J683" s="220"/>
      <c r="K683" s="220"/>
      <c r="L683" s="221"/>
      <c r="M683" s="218" t="s">
        <v>144</v>
      </c>
    </row>
    <row r="684" spans="1:13" x14ac:dyDescent="0.25">
      <c r="A684" s="38" t="s">
        <v>5</v>
      </c>
      <c r="B684" s="60">
        <f>B685+B686+B687+B688</f>
        <v>275681</v>
      </c>
      <c r="C684" s="60">
        <f t="shared" ref="C684:L684" si="349">C685+C686+C687+C688</f>
        <v>0</v>
      </c>
      <c r="D684" s="60">
        <f t="shared" si="349"/>
        <v>0</v>
      </c>
      <c r="E684" s="60">
        <f t="shared" si="349"/>
        <v>0</v>
      </c>
      <c r="F684" s="60">
        <f t="shared" si="349"/>
        <v>0</v>
      </c>
      <c r="G684" s="60">
        <f t="shared" si="349"/>
        <v>0</v>
      </c>
      <c r="H684" s="60">
        <f t="shared" si="349"/>
        <v>91894</v>
      </c>
      <c r="I684" s="60">
        <f t="shared" si="349"/>
        <v>91894</v>
      </c>
      <c r="J684" s="60">
        <f t="shared" si="349"/>
        <v>91893</v>
      </c>
      <c r="K684" s="60">
        <f t="shared" si="349"/>
        <v>0</v>
      </c>
      <c r="L684" s="61">
        <f t="shared" si="349"/>
        <v>0</v>
      </c>
      <c r="M684" s="218"/>
    </row>
    <row r="685" spans="1:13" x14ac:dyDescent="0.25">
      <c r="A685" s="39" t="s">
        <v>6</v>
      </c>
      <c r="B685" s="77">
        <f>SUM(C685:L685)</f>
        <v>0</v>
      </c>
      <c r="C685" s="77">
        <v>0</v>
      </c>
      <c r="D685" s="77">
        <v>0</v>
      </c>
      <c r="E685" s="77">
        <v>0</v>
      </c>
      <c r="F685" s="77">
        <v>0</v>
      </c>
      <c r="G685" s="77">
        <v>0</v>
      </c>
      <c r="H685" s="77">
        <v>0</v>
      </c>
      <c r="I685" s="77">
        <v>0</v>
      </c>
      <c r="J685" s="77">
        <v>0</v>
      </c>
      <c r="K685" s="77">
        <v>0</v>
      </c>
      <c r="L685" s="79">
        <v>0</v>
      </c>
      <c r="M685" s="218"/>
    </row>
    <row r="686" spans="1:13" x14ac:dyDescent="0.25">
      <c r="A686" s="39" t="s">
        <v>7</v>
      </c>
      <c r="B686" s="77">
        <f>SUM(C686:L686)</f>
        <v>0</v>
      </c>
      <c r="C686" s="77">
        <v>0</v>
      </c>
      <c r="D686" s="77">
        <v>0</v>
      </c>
      <c r="E686" s="77">
        <v>0</v>
      </c>
      <c r="F686" s="77">
        <v>0</v>
      </c>
      <c r="G686" s="77">
        <v>0</v>
      </c>
      <c r="H686" s="77">
        <v>0</v>
      </c>
      <c r="I686" s="77">
        <v>0</v>
      </c>
      <c r="J686" s="77">
        <v>0</v>
      </c>
      <c r="K686" s="77">
        <v>0</v>
      </c>
      <c r="L686" s="79">
        <v>0</v>
      </c>
      <c r="M686" s="218"/>
    </row>
    <row r="687" spans="1:13" ht="26.25" x14ac:dyDescent="0.25">
      <c r="A687" s="39" t="s">
        <v>8</v>
      </c>
      <c r="B687" s="77">
        <f>SUM(C687:L687)</f>
        <v>0</v>
      </c>
      <c r="C687" s="77">
        <v>0</v>
      </c>
      <c r="D687" s="77">
        <v>0</v>
      </c>
      <c r="E687" s="77">
        <v>0</v>
      </c>
      <c r="F687" s="77">
        <v>0</v>
      </c>
      <c r="G687" s="77">
        <v>0</v>
      </c>
      <c r="H687" s="77">
        <v>0</v>
      </c>
      <c r="I687" s="77">
        <v>0</v>
      </c>
      <c r="J687" s="77">
        <v>0</v>
      </c>
      <c r="K687" s="77">
        <v>0</v>
      </c>
      <c r="L687" s="79">
        <v>0</v>
      </c>
      <c r="M687" s="218"/>
    </row>
    <row r="688" spans="1:13" x14ac:dyDescent="0.25">
      <c r="A688" s="38" t="s">
        <v>9</v>
      </c>
      <c r="B688" s="60">
        <f>B690+B691</f>
        <v>275681</v>
      </c>
      <c r="C688" s="60">
        <f t="shared" ref="C688:L688" si="350">C690+C691</f>
        <v>0</v>
      </c>
      <c r="D688" s="60">
        <f t="shared" si="350"/>
        <v>0</v>
      </c>
      <c r="E688" s="60">
        <f t="shared" si="350"/>
        <v>0</v>
      </c>
      <c r="F688" s="60">
        <f t="shared" si="350"/>
        <v>0</v>
      </c>
      <c r="G688" s="60">
        <f t="shared" si="350"/>
        <v>0</v>
      </c>
      <c r="H688" s="60">
        <f t="shared" si="350"/>
        <v>91894</v>
      </c>
      <c r="I688" s="60">
        <f t="shared" si="350"/>
        <v>91894</v>
      </c>
      <c r="J688" s="60">
        <f t="shared" si="350"/>
        <v>91893</v>
      </c>
      <c r="K688" s="60">
        <f t="shared" si="350"/>
        <v>0</v>
      </c>
      <c r="L688" s="61">
        <f t="shared" si="350"/>
        <v>0</v>
      </c>
      <c r="M688" s="218"/>
    </row>
    <row r="689" spans="1:15" x14ac:dyDescent="0.25">
      <c r="A689" s="39" t="s">
        <v>10</v>
      </c>
      <c r="B689" s="77"/>
      <c r="C689" s="77"/>
      <c r="D689" s="77"/>
      <c r="E689" s="77"/>
      <c r="F689" s="77"/>
      <c r="G689" s="77"/>
      <c r="H689" s="77"/>
      <c r="I689" s="77"/>
      <c r="J689" s="77"/>
      <c r="K689" s="77"/>
      <c r="L689" s="79"/>
      <c r="M689" s="218"/>
    </row>
    <row r="690" spans="1:15" x14ac:dyDescent="0.25">
      <c r="A690" s="39" t="s">
        <v>11</v>
      </c>
      <c r="B690" s="40">
        <f>B695</f>
        <v>41352</v>
      </c>
      <c r="C690" s="40">
        <f t="shared" ref="C690:L690" si="351">C695</f>
        <v>0</v>
      </c>
      <c r="D690" s="40">
        <f t="shared" si="351"/>
        <v>0</v>
      </c>
      <c r="E690" s="40">
        <f t="shared" si="351"/>
        <v>0</v>
      </c>
      <c r="F690" s="40">
        <f t="shared" si="351"/>
        <v>0</v>
      </c>
      <c r="G690" s="40">
        <f t="shared" si="351"/>
        <v>0</v>
      </c>
      <c r="H690" s="40">
        <f t="shared" si="351"/>
        <v>13784</v>
      </c>
      <c r="I690" s="40">
        <f t="shared" si="351"/>
        <v>13784</v>
      </c>
      <c r="J690" s="40">
        <f t="shared" si="351"/>
        <v>13784</v>
      </c>
      <c r="K690" s="40">
        <f t="shared" si="351"/>
        <v>0</v>
      </c>
      <c r="L690" s="41">
        <f t="shared" si="351"/>
        <v>0</v>
      </c>
      <c r="M690" s="218"/>
    </row>
    <row r="691" spans="1:15" ht="39.75" thickBot="1" x14ac:dyDescent="0.3">
      <c r="A691" s="80" t="s">
        <v>12</v>
      </c>
      <c r="B691" s="81">
        <f>B696</f>
        <v>234329</v>
      </c>
      <c r="C691" s="81">
        <f t="shared" ref="C691:L691" si="352">C696</f>
        <v>0</v>
      </c>
      <c r="D691" s="81">
        <f t="shared" si="352"/>
        <v>0</v>
      </c>
      <c r="E691" s="81">
        <f t="shared" si="352"/>
        <v>0</v>
      </c>
      <c r="F691" s="81">
        <f t="shared" si="352"/>
        <v>0</v>
      </c>
      <c r="G691" s="81">
        <f t="shared" si="352"/>
        <v>0</v>
      </c>
      <c r="H691" s="81">
        <f t="shared" si="352"/>
        <v>78110</v>
      </c>
      <c r="I691" s="81">
        <f t="shared" si="352"/>
        <v>78110</v>
      </c>
      <c r="J691" s="81">
        <f t="shared" si="352"/>
        <v>78109</v>
      </c>
      <c r="K691" s="81">
        <f t="shared" si="352"/>
        <v>0</v>
      </c>
      <c r="L691" s="82">
        <f t="shared" si="352"/>
        <v>0</v>
      </c>
      <c r="M691" s="218"/>
    </row>
    <row r="692" spans="1:15" x14ac:dyDescent="0.25">
      <c r="A692" s="5" t="s">
        <v>13</v>
      </c>
      <c r="B692" s="12"/>
      <c r="C692" s="12"/>
      <c r="D692" s="12"/>
      <c r="E692" s="12"/>
      <c r="F692" s="12"/>
      <c r="G692" s="12"/>
      <c r="H692" s="12"/>
      <c r="I692" s="12"/>
      <c r="J692" s="12"/>
      <c r="K692" s="12"/>
      <c r="L692" s="13"/>
    </row>
    <row r="693" spans="1:15" x14ac:dyDescent="0.25">
      <c r="A693" s="6" t="s">
        <v>14</v>
      </c>
      <c r="B693" s="14"/>
      <c r="C693" s="14"/>
      <c r="D693" s="14"/>
      <c r="E693" s="14"/>
      <c r="F693" s="14"/>
      <c r="G693" s="14"/>
      <c r="H693" s="14"/>
      <c r="I693" s="14"/>
      <c r="J693" s="14"/>
      <c r="K693" s="14"/>
      <c r="L693" s="15"/>
    </row>
    <row r="694" spans="1:15" x14ac:dyDescent="0.25">
      <c r="A694" s="11" t="s">
        <v>17</v>
      </c>
      <c r="B694" s="14">
        <f>B695+B696</f>
        <v>275681</v>
      </c>
      <c r="C694" s="14">
        <f t="shared" ref="C694:L694" si="353">C695+C696</f>
        <v>0</v>
      </c>
      <c r="D694" s="14">
        <f t="shared" si="353"/>
        <v>0</v>
      </c>
      <c r="E694" s="14">
        <f t="shared" si="353"/>
        <v>0</v>
      </c>
      <c r="F694" s="14">
        <f t="shared" si="353"/>
        <v>0</v>
      </c>
      <c r="G694" s="14">
        <f t="shared" si="353"/>
        <v>0</v>
      </c>
      <c r="H694" s="14">
        <f t="shared" si="353"/>
        <v>91894</v>
      </c>
      <c r="I694" s="14">
        <f t="shared" si="353"/>
        <v>91894</v>
      </c>
      <c r="J694" s="14">
        <f t="shared" si="353"/>
        <v>91893</v>
      </c>
      <c r="K694" s="14">
        <f t="shared" si="353"/>
        <v>0</v>
      </c>
      <c r="L694" s="15">
        <f t="shared" si="353"/>
        <v>0</v>
      </c>
    </row>
    <row r="695" spans="1:15" x14ac:dyDescent="0.25">
      <c r="A695" s="6" t="s">
        <v>11</v>
      </c>
      <c r="B695" s="54">
        <f>SUM(C695:L695)</f>
        <v>41352</v>
      </c>
      <c r="C695" s="54">
        <v>0</v>
      </c>
      <c r="D695" s="54">
        <v>0</v>
      </c>
      <c r="E695" s="54">
        <v>0</v>
      </c>
      <c r="F695" s="54">
        <v>0</v>
      </c>
      <c r="G695" s="54">
        <v>0</v>
      </c>
      <c r="H695" s="54">
        <v>13784</v>
      </c>
      <c r="I695" s="54">
        <v>13784</v>
      </c>
      <c r="J695" s="54">
        <v>13784</v>
      </c>
      <c r="K695" s="54">
        <v>0</v>
      </c>
      <c r="L695" s="17">
        <v>0</v>
      </c>
    </row>
    <row r="696" spans="1:15" ht="39.75" thickBot="1" x14ac:dyDescent="0.3">
      <c r="A696" s="7" t="s">
        <v>12</v>
      </c>
      <c r="B696" s="30">
        <f>SUM(C696:L696)</f>
        <v>234329</v>
      </c>
      <c r="C696" s="30">
        <v>0</v>
      </c>
      <c r="D696" s="30">
        <v>0</v>
      </c>
      <c r="E696" s="30">
        <v>0</v>
      </c>
      <c r="F696" s="30">
        <v>0</v>
      </c>
      <c r="G696" s="30">
        <v>0</v>
      </c>
      <c r="H696" s="30">
        <v>78110</v>
      </c>
      <c r="I696" s="30">
        <v>78110</v>
      </c>
      <c r="J696" s="30">
        <v>78109</v>
      </c>
      <c r="K696" s="30">
        <v>0</v>
      </c>
      <c r="L696" s="109">
        <v>0</v>
      </c>
    </row>
    <row r="697" spans="1:15" ht="15.75" thickBot="1" x14ac:dyDescent="0.3">
      <c r="A697" s="222" t="s">
        <v>24</v>
      </c>
      <c r="B697" s="223"/>
      <c r="C697" s="223"/>
      <c r="D697" s="223"/>
      <c r="E697" s="223"/>
      <c r="F697" s="223"/>
      <c r="G697" s="223"/>
      <c r="H697" s="223"/>
      <c r="I697" s="223"/>
      <c r="J697" s="223"/>
      <c r="K697" s="223"/>
      <c r="L697" s="224"/>
    </row>
    <row r="698" spans="1:15" x14ac:dyDescent="0.25">
      <c r="A698" s="92" t="s">
        <v>5</v>
      </c>
      <c r="B698" s="93">
        <f>B699+B700+B701+B702</f>
        <v>125184793.5</v>
      </c>
      <c r="C698" s="93">
        <f t="shared" ref="C698:L698" si="354">C699+C700+C701+C702</f>
        <v>6301441</v>
      </c>
      <c r="D698" s="93">
        <f t="shared" si="354"/>
        <v>1870764</v>
      </c>
      <c r="E698" s="93">
        <f t="shared" si="354"/>
        <v>992269</v>
      </c>
      <c r="F698" s="93">
        <f t="shared" si="354"/>
        <v>0</v>
      </c>
      <c r="G698" s="93">
        <f t="shared" si="354"/>
        <v>18837074.5</v>
      </c>
      <c r="H698" s="93">
        <f t="shared" si="354"/>
        <v>22212175.489999998</v>
      </c>
      <c r="I698" s="93">
        <f t="shared" si="354"/>
        <v>20641975.449999999</v>
      </c>
      <c r="J698" s="93">
        <f t="shared" si="354"/>
        <v>18432775.300000001</v>
      </c>
      <c r="K698" s="93">
        <f t="shared" si="354"/>
        <v>17432775.300000001</v>
      </c>
      <c r="L698" s="94">
        <f t="shared" si="354"/>
        <v>18463543.460000001</v>
      </c>
    </row>
    <row r="699" spans="1:15" x14ac:dyDescent="0.25">
      <c r="A699" s="59" t="s">
        <v>6</v>
      </c>
      <c r="B699" s="72">
        <f>SUM(C699:L699)</f>
        <v>0</v>
      </c>
      <c r="C699" s="72">
        <v>0</v>
      </c>
      <c r="D699" s="72">
        <v>0</v>
      </c>
      <c r="E699" s="72">
        <v>0</v>
      </c>
      <c r="F699" s="72">
        <v>0</v>
      </c>
      <c r="G699" s="72">
        <v>0</v>
      </c>
      <c r="H699" s="72">
        <v>0</v>
      </c>
      <c r="I699" s="72">
        <v>0</v>
      </c>
      <c r="J699" s="72">
        <v>0</v>
      </c>
      <c r="K699" s="72">
        <v>0</v>
      </c>
      <c r="L699" s="73">
        <v>0</v>
      </c>
    </row>
    <row r="700" spans="1:15" x14ac:dyDescent="0.25">
      <c r="A700" s="59" t="s">
        <v>7</v>
      </c>
      <c r="B700" s="72">
        <f>SUM(C700:L700)</f>
        <v>0</v>
      </c>
      <c r="C700" s="72">
        <v>0</v>
      </c>
      <c r="D700" s="72">
        <v>0</v>
      </c>
      <c r="E700" s="72">
        <v>0</v>
      </c>
      <c r="F700" s="72">
        <v>0</v>
      </c>
      <c r="G700" s="72">
        <v>0</v>
      </c>
      <c r="H700" s="72">
        <v>0</v>
      </c>
      <c r="I700" s="72">
        <v>0</v>
      </c>
      <c r="J700" s="72">
        <v>0</v>
      </c>
      <c r="K700" s="72">
        <v>0</v>
      </c>
      <c r="L700" s="73">
        <v>0</v>
      </c>
    </row>
    <row r="701" spans="1:15" ht="26.25" x14ac:dyDescent="0.25">
      <c r="A701" s="59" t="s">
        <v>8</v>
      </c>
      <c r="B701" s="72">
        <f>SUM(C701:L701)</f>
        <v>0</v>
      </c>
      <c r="C701" s="72">
        <v>0</v>
      </c>
      <c r="D701" s="72">
        <v>0</v>
      </c>
      <c r="E701" s="72">
        <v>0</v>
      </c>
      <c r="F701" s="72">
        <v>0</v>
      </c>
      <c r="G701" s="72">
        <v>0</v>
      </c>
      <c r="H701" s="72">
        <v>0</v>
      </c>
      <c r="I701" s="72">
        <v>0</v>
      </c>
      <c r="J701" s="72">
        <v>0</v>
      </c>
      <c r="K701" s="72">
        <v>0</v>
      </c>
      <c r="L701" s="73">
        <v>0</v>
      </c>
    </row>
    <row r="702" spans="1:15" x14ac:dyDescent="0.25">
      <c r="A702" s="42" t="s">
        <v>9</v>
      </c>
      <c r="B702" s="74">
        <f>B704+B705+B706</f>
        <v>125184793.5</v>
      </c>
      <c r="C702" s="74">
        <f t="shared" ref="C702:L702" si="355">C704+C705+C706</f>
        <v>6301441</v>
      </c>
      <c r="D702" s="74">
        <f t="shared" si="355"/>
        <v>1870764</v>
      </c>
      <c r="E702" s="74">
        <f t="shared" si="355"/>
        <v>992269</v>
      </c>
      <c r="F702" s="74">
        <f t="shared" si="355"/>
        <v>0</v>
      </c>
      <c r="G702" s="74">
        <f t="shared" si="355"/>
        <v>18837074.5</v>
      </c>
      <c r="H702" s="74">
        <f t="shared" si="355"/>
        <v>22212175.489999998</v>
      </c>
      <c r="I702" s="74">
        <f t="shared" si="355"/>
        <v>20641975.449999999</v>
      </c>
      <c r="J702" s="74">
        <f t="shared" si="355"/>
        <v>18432775.300000001</v>
      </c>
      <c r="K702" s="74">
        <f t="shared" si="355"/>
        <v>17432775.300000001</v>
      </c>
      <c r="L702" s="75">
        <f t="shared" si="355"/>
        <v>18463543.460000001</v>
      </c>
    </row>
    <row r="703" spans="1:15" x14ac:dyDescent="0.25">
      <c r="A703" s="51" t="s">
        <v>10</v>
      </c>
      <c r="B703" s="72"/>
      <c r="C703" s="72"/>
      <c r="D703" s="72"/>
      <c r="E703" s="72"/>
      <c r="F703" s="72"/>
      <c r="G703" s="72"/>
      <c r="H703" s="72"/>
      <c r="I703" s="72"/>
      <c r="J703" s="72"/>
      <c r="K703" s="72"/>
      <c r="L703" s="73"/>
    </row>
    <row r="704" spans="1:15" x14ac:dyDescent="0.25">
      <c r="A704" s="51" t="s">
        <v>11</v>
      </c>
      <c r="B704" s="53">
        <f>B710+B714</f>
        <v>96147492</v>
      </c>
      <c r="C704" s="53">
        <f t="shared" ref="C704:L704" si="356">C710+C714</f>
        <v>2852917</v>
      </c>
      <c r="D704" s="53">
        <f t="shared" si="356"/>
        <v>476613</v>
      </c>
      <c r="E704" s="53">
        <f t="shared" si="356"/>
        <v>476613</v>
      </c>
      <c r="F704" s="53">
        <f t="shared" si="356"/>
        <v>0</v>
      </c>
      <c r="G704" s="53">
        <f t="shared" si="356"/>
        <v>17159669</v>
      </c>
      <c r="H704" s="53">
        <f t="shared" si="356"/>
        <v>19240336</v>
      </c>
      <c r="I704" s="53">
        <f t="shared" si="356"/>
        <v>15980336</v>
      </c>
      <c r="J704" s="53">
        <f t="shared" si="356"/>
        <v>13320336</v>
      </c>
      <c r="K704" s="53">
        <f t="shared" si="356"/>
        <v>13320336</v>
      </c>
      <c r="L704" s="52">
        <f t="shared" si="356"/>
        <v>13320336</v>
      </c>
      <c r="N704" s="86"/>
      <c r="O704" s="86"/>
    </row>
    <row r="705" spans="1:16" ht="17.25" customHeight="1" x14ac:dyDescent="0.25">
      <c r="A705" s="89" t="s">
        <v>104</v>
      </c>
      <c r="B705" s="90">
        <f>B711</f>
        <v>7091661</v>
      </c>
      <c r="C705" s="90">
        <f t="shared" ref="C705:L705" si="357">C711</f>
        <v>325448</v>
      </c>
      <c r="D705" s="90">
        <f t="shared" si="357"/>
        <v>343472</v>
      </c>
      <c r="E705" s="90">
        <f t="shared" si="357"/>
        <v>184014</v>
      </c>
      <c r="F705" s="90">
        <f t="shared" si="357"/>
        <v>0</v>
      </c>
      <c r="G705" s="90">
        <f t="shared" si="357"/>
        <v>1063452</v>
      </c>
      <c r="H705" s="90">
        <f t="shared" si="357"/>
        <v>1035055</v>
      </c>
      <c r="I705" s="90">
        <f t="shared" si="357"/>
        <v>1035055</v>
      </c>
      <c r="J705" s="90">
        <f t="shared" si="357"/>
        <v>1035055</v>
      </c>
      <c r="K705" s="90">
        <f t="shared" si="357"/>
        <v>1035055</v>
      </c>
      <c r="L705" s="91">
        <f t="shared" si="357"/>
        <v>1035055</v>
      </c>
    </row>
    <row r="706" spans="1:16" ht="39.75" thickBot="1" x14ac:dyDescent="0.3">
      <c r="A706" s="27" t="s">
        <v>12</v>
      </c>
      <c r="B706" s="28">
        <f>B712+B715</f>
        <v>21945640.5</v>
      </c>
      <c r="C706" s="28">
        <f t="shared" ref="C706:L706" si="358">C712+C715</f>
        <v>3123076</v>
      </c>
      <c r="D706" s="28">
        <f t="shared" si="358"/>
        <v>1050679</v>
      </c>
      <c r="E706" s="28">
        <f t="shared" si="358"/>
        <v>331642</v>
      </c>
      <c r="F706" s="28">
        <f t="shared" si="358"/>
        <v>0</v>
      </c>
      <c r="G706" s="28">
        <f t="shared" si="358"/>
        <v>613953.5</v>
      </c>
      <c r="H706" s="28">
        <f t="shared" si="358"/>
        <v>1936784.49</v>
      </c>
      <c r="I706" s="28">
        <f t="shared" si="358"/>
        <v>3626584.45</v>
      </c>
      <c r="J706" s="28">
        <f t="shared" si="358"/>
        <v>4077384.3</v>
      </c>
      <c r="K706" s="28">
        <f t="shared" si="358"/>
        <v>3077384.3</v>
      </c>
      <c r="L706" s="29">
        <f t="shared" si="358"/>
        <v>4108152.46</v>
      </c>
      <c r="N706" s="86"/>
      <c r="O706" s="86"/>
      <c r="P706" s="86"/>
    </row>
    <row r="707" spans="1:16" x14ac:dyDescent="0.25">
      <c r="A707" s="5" t="s">
        <v>13</v>
      </c>
      <c r="B707" s="12"/>
      <c r="C707" s="12"/>
      <c r="D707" s="12"/>
      <c r="E707" s="12"/>
      <c r="F707" s="12"/>
      <c r="G707" s="12"/>
      <c r="H707" s="12"/>
      <c r="I707" s="12"/>
      <c r="J707" s="12"/>
      <c r="K707" s="12"/>
      <c r="L707" s="13"/>
    </row>
    <row r="708" spans="1:16" x14ac:dyDescent="0.25">
      <c r="A708" s="6" t="s">
        <v>14</v>
      </c>
      <c r="B708" s="14"/>
      <c r="C708" s="14"/>
      <c r="D708" s="14"/>
      <c r="E708" s="14"/>
      <c r="F708" s="14"/>
      <c r="G708" s="14"/>
      <c r="H708" s="14"/>
      <c r="I708" s="14"/>
      <c r="J708" s="14"/>
      <c r="K708" s="14"/>
      <c r="L708" s="15"/>
    </row>
    <row r="709" spans="1:16" x14ac:dyDescent="0.25">
      <c r="A709" s="35" t="s">
        <v>27</v>
      </c>
      <c r="B709" s="14">
        <f>B710+B711+B712</f>
        <v>118984793.5</v>
      </c>
      <c r="C709" s="14">
        <f t="shared" ref="C709:L709" si="359">C710+C711+C712</f>
        <v>6301441</v>
      </c>
      <c r="D709" s="14">
        <f t="shared" si="359"/>
        <v>1870764</v>
      </c>
      <c r="E709" s="14">
        <f t="shared" si="359"/>
        <v>992269</v>
      </c>
      <c r="F709" s="14">
        <f t="shared" si="359"/>
        <v>0</v>
      </c>
      <c r="G709" s="14">
        <f t="shared" si="359"/>
        <v>18837074.5</v>
      </c>
      <c r="H709" s="14">
        <f t="shared" si="359"/>
        <v>21762175.489999998</v>
      </c>
      <c r="I709" s="14">
        <f t="shared" si="359"/>
        <v>18891975.449999999</v>
      </c>
      <c r="J709" s="14">
        <f t="shared" si="359"/>
        <v>15932775.300000001</v>
      </c>
      <c r="K709" s="14">
        <f t="shared" si="359"/>
        <v>15932775.300000001</v>
      </c>
      <c r="L709" s="15">
        <f t="shared" si="359"/>
        <v>18463543.460000001</v>
      </c>
    </row>
    <row r="710" spans="1:16" x14ac:dyDescent="0.25">
      <c r="A710" s="6" t="s">
        <v>11</v>
      </c>
      <c r="B710" s="14">
        <f t="shared" ref="B710:L710" si="360">B728+B742+B756+B770+B784+B798+B812+B826+B840+B854+B868+B899+B913+B930+B944+B958+B972+B986+B1000+B1015</f>
        <v>96147492</v>
      </c>
      <c r="C710" s="14">
        <f t="shared" si="360"/>
        <v>2852917</v>
      </c>
      <c r="D710" s="14">
        <f t="shared" si="360"/>
        <v>476613</v>
      </c>
      <c r="E710" s="14">
        <f t="shared" si="360"/>
        <v>476613</v>
      </c>
      <c r="F710" s="14">
        <f t="shared" si="360"/>
        <v>0</v>
      </c>
      <c r="G710" s="14">
        <f t="shared" si="360"/>
        <v>17159669</v>
      </c>
      <c r="H710" s="14">
        <f t="shared" si="360"/>
        <v>19240336</v>
      </c>
      <c r="I710" s="14">
        <f t="shared" si="360"/>
        <v>15980336</v>
      </c>
      <c r="J710" s="14">
        <f t="shared" si="360"/>
        <v>13320336</v>
      </c>
      <c r="K710" s="14">
        <f t="shared" si="360"/>
        <v>13320336</v>
      </c>
      <c r="L710" s="15">
        <f t="shared" si="360"/>
        <v>13320336</v>
      </c>
    </row>
    <row r="711" spans="1:16" ht="18" customHeight="1" x14ac:dyDescent="0.25">
      <c r="A711" s="65" t="s">
        <v>104</v>
      </c>
      <c r="B711" s="14">
        <f>B1010</f>
        <v>7091661</v>
      </c>
      <c r="C711" s="14">
        <f t="shared" ref="C711:L711" si="361">C1010</f>
        <v>325448</v>
      </c>
      <c r="D711" s="14">
        <f t="shared" si="361"/>
        <v>343472</v>
      </c>
      <c r="E711" s="14">
        <f t="shared" si="361"/>
        <v>184014</v>
      </c>
      <c r="F711" s="14">
        <f t="shared" si="361"/>
        <v>0</v>
      </c>
      <c r="G711" s="14">
        <f t="shared" si="361"/>
        <v>1063452</v>
      </c>
      <c r="H711" s="14">
        <f t="shared" si="361"/>
        <v>1035055</v>
      </c>
      <c r="I711" s="14">
        <f t="shared" si="361"/>
        <v>1035055</v>
      </c>
      <c r="J711" s="14">
        <f t="shared" si="361"/>
        <v>1035055</v>
      </c>
      <c r="K711" s="14">
        <f t="shared" si="361"/>
        <v>1035055</v>
      </c>
      <c r="L711" s="15">
        <f t="shared" si="361"/>
        <v>1035055</v>
      </c>
    </row>
    <row r="712" spans="1:16" ht="40.5" customHeight="1" thickBot="1" x14ac:dyDescent="0.3">
      <c r="A712" s="7" t="s">
        <v>12</v>
      </c>
      <c r="B712" s="14">
        <f t="shared" ref="B712:L712" si="362">B724+B738+B752+B766+B780+B794+B808+B822+B836+B850+B864+B883+B895+B914+B926+B940+B954+B968+B982+B996+B1011</f>
        <v>15745640.5</v>
      </c>
      <c r="C712" s="14">
        <f t="shared" si="362"/>
        <v>3123076</v>
      </c>
      <c r="D712" s="14">
        <f t="shared" si="362"/>
        <v>1050679</v>
      </c>
      <c r="E712" s="14">
        <f t="shared" si="362"/>
        <v>331642</v>
      </c>
      <c r="F712" s="14">
        <f t="shared" si="362"/>
        <v>0</v>
      </c>
      <c r="G712" s="14">
        <f t="shared" si="362"/>
        <v>613953.5</v>
      </c>
      <c r="H712" s="14">
        <f t="shared" si="362"/>
        <v>1486784.49</v>
      </c>
      <c r="I712" s="14">
        <f t="shared" si="362"/>
        <v>1876584.45</v>
      </c>
      <c r="J712" s="14">
        <f t="shared" si="362"/>
        <v>1577384.3</v>
      </c>
      <c r="K712" s="14">
        <f t="shared" si="362"/>
        <v>1577384.3</v>
      </c>
      <c r="L712" s="15">
        <f t="shared" si="362"/>
        <v>4108152.46</v>
      </c>
    </row>
    <row r="713" spans="1:16" ht="27" x14ac:dyDescent="0.25">
      <c r="A713" s="35" t="s">
        <v>126</v>
      </c>
      <c r="B713" s="14">
        <f>B714+B715</f>
        <v>6200000</v>
      </c>
      <c r="C713" s="14">
        <f t="shared" ref="C713:L713" si="363">C714+C715</f>
        <v>0</v>
      </c>
      <c r="D713" s="14">
        <f t="shared" si="363"/>
        <v>0</v>
      </c>
      <c r="E713" s="14">
        <f t="shared" si="363"/>
        <v>0</v>
      </c>
      <c r="F713" s="14">
        <f t="shared" si="363"/>
        <v>0</v>
      </c>
      <c r="G713" s="14">
        <f t="shared" si="363"/>
        <v>0</v>
      </c>
      <c r="H713" s="14">
        <f t="shared" si="363"/>
        <v>450000</v>
      </c>
      <c r="I713" s="14">
        <f t="shared" si="363"/>
        <v>1750000</v>
      </c>
      <c r="J713" s="14">
        <f t="shared" si="363"/>
        <v>2500000</v>
      </c>
      <c r="K713" s="14">
        <f t="shared" si="363"/>
        <v>1500000</v>
      </c>
      <c r="L713" s="15">
        <f t="shared" si="363"/>
        <v>0</v>
      </c>
    </row>
    <row r="714" spans="1:16" x14ac:dyDescent="0.25">
      <c r="A714" s="6" t="s">
        <v>11</v>
      </c>
      <c r="B714" s="54">
        <f t="shared" ref="B714:L714" si="364">B885+B916</f>
        <v>0</v>
      </c>
      <c r="C714" s="54">
        <f t="shared" si="364"/>
        <v>0</v>
      </c>
      <c r="D714" s="54">
        <f t="shared" si="364"/>
        <v>0</v>
      </c>
      <c r="E714" s="54">
        <f t="shared" si="364"/>
        <v>0</v>
      </c>
      <c r="F714" s="54">
        <f t="shared" si="364"/>
        <v>0</v>
      </c>
      <c r="G714" s="54">
        <f t="shared" si="364"/>
        <v>0</v>
      </c>
      <c r="H714" s="54">
        <f t="shared" si="364"/>
        <v>0</v>
      </c>
      <c r="I714" s="54">
        <f t="shared" si="364"/>
        <v>0</v>
      </c>
      <c r="J714" s="54">
        <f t="shared" si="364"/>
        <v>0</v>
      </c>
      <c r="K714" s="54">
        <f t="shared" si="364"/>
        <v>0</v>
      </c>
      <c r="L714" s="17">
        <f t="shared" si="364"/>
        <v>0</v>
      </c>
    </row>
    <row r="715" spans="1:16" ht="37.5" customHeight="1" thickBot="1" x14ac:dyDescent="0.3">
      <c r="A715" s="7" t="s">
        <v>12</v>
      </c>
      <c r="B715" s="30">
        <f t="shared" ref="B715:L715" si="365">B886+B917</f>
        <v>6200000</v>
      </c>
      <c r="C715" s="30">
        <f t="shared" si="365"/>
        <v>0</v>
      </c>
      <c r="D715" s="30">
        <f t="shared" si="365"/>
        <v>0</v>
      </c>
      <c r="E715" s="30">
        <f t="shared" si="365"/>
        <v>0</v>
      </c>
      <c r="F715" s="30">
        <f t="shared" si="365"/>
        <v>0</v>
      </c>
      <c r="G715" s="30">
        <f t="shared" si="365"/>
        <v>0</v>
      </c>
      <c r="H715" s="30">
        <f t="shared" si="365"/>
        <v>450000</v>
      </c>
      <c r="I715" s="30">
        <f t="shared" si="365"/>
        <v>1750000</v>
      </c>
      <c r="J715" s="30">
        <f t="shared" si="365"/>
        <v>2500000</v>
      </c>
      <c r="K715" s="30">
        <f t="shared" si="365"/>
        <v>1500000</v>
      </c>
      <c r="L715" s="31">
        <f t="shared" si="365"/>
        <v>0</v>
      </c>
    </row>
    <row r="716" spans="1:16" ht="31.5" customHeight="1" x14ac:dyDescent="0.25">
      <c r="A716" s="219" t="s">
        <v>26</v>
      </c>
      <c r="B716" s="220"/>
      <c r="C716" s="220"/>
      <c r="D716" s="220"/>
      <c r="E716" s="220"/>
      <c r="F716" s="220"/>
      <c r="G716" s="220"/>
      <c r="H716" s="220"/>
      <c r="I716" s="220"/>
      <c r="J716" s="220"/>
      <c r="K716" s="220"/>
      <c r="L716" s="221"/>
      <c r="M716" s="216" t="s">
        <v>183</v>
      </c>
    </row>
    <row r="717" spans="1:16" x14ac:dyDescent="0.25">
      <c r="A717" s="38" t="s">
        <v>5</v>
      </c>
      <c r="B717" s="60">
        <f>B718+B719+B720+B721</f>
        <v>0</v>
      </c>
      <c r="C717" s="60">
        <f t="shared" ref="C717:L717" si="366">C718+C719+C720+C721</f>
        <v>0</v>
      </c>
      <c r="D717" s="60">
        <f t="shared" si="366"/>
        <v>0</v>
      </c>
      <c r="E717" s="60">
        <f t="shared" si="366"/>
        <v>0</v>
      </c>
      <c r="F717" s="60">
        <f t="shared" si="366"/>
        <v>0</v>
      </c>
      <c r="G717" s="60">
        <f t="shared" si="366"/>
        <v>0</v>
      </c>
      <c r="H717" s="60">
        <f t="shared" si="366"/>
        <v>0</v>
      </c>
      <c r="I717" s="60">
        <f t="shared" si="366"/>
        <v>0</v>
      </c>
      <c r="J717" s="60">
        <f t="shared" si="366"/>
        <v>0</v>
      </c>
      <c r="K717" s="60">
        <f t="shared" si="366"/>
        <v>0</v>
      </c>
      <c r="L717" s="61">
        <f t="shared" si="366"/>
        <v>0</v>
      </c>
      <c r="M717" s="216"/>
    </row>
    <row r="718" spans="1:16" x14ac:dyDescent="0.25">
      <c r="A718" s="39" t="s">
        <v>6</v>
      </c>
      <c r="B718" s="77">
        <f>SUM(C718:L718)</f>
        <v>0</v>
      </c>
      <c r="C718" s="77">
        <v>0</v>
      </c>
      <c r="D718" s="77">
        <v>0</v>
      </c>
      <c r="E718" s="77">
        <v>0</v>
      </c>
      <c r="F718" s="77">
        <v>0</v>
      </c>
      <c r="G718" s="77">
        <v>0</v>
      </c>
      <c r="H718" s="77">
        <v>0</v>
      </c>
      <c r="I718" s="77">
        <v>0</v>
      </c>
      <c r="J718" s="77">
        <v>0</v>
      </c>
      <c r="K718" s="77">
        <v>0</v>
      </c>
      <c r="L718" s="79">
        <v>0</v>
      </c>
      <c r="M718" s="216"/>
    </row>
    <row r="719" spans="1:16" x14ac:dyDescent="0.25">
      <c r="A719" s="39" t="s">
        <v>7</v>
      </c>
      <c r="B719" s="77">
        <f>SUM(C719:L719)</f>
        <v>0</v>
      </c>
      <c r="C719" s="77">
        <v>0</v>
      </c>
      <c r="D719" s="77">
        <v>0</v>
      </c>
      <c r="E719" s="77">
        <v>0</v>
      </c>
      <c r="F719" s="77">
        <v>0</v>
      </c>
      <c r="G719" s="77">
        <v>0</v>
      </c>
      <c r="H719" s="77">
        <v>0</v>
      </c>
      <c r="I719" s="77">
        <v>0</v>
      </c>
      <c r="J719" s="77">
        <v>0</v>
      </c>
      <c r="K719" s="77">
        <v>0</v>
      </c>
      <c r="L719" s="79">
        <v>0</v>
      </c>
      <c r="M719" s="216"/>
    </row>
    <row r="720" spans="1:16" ht="26.25" x14ac:dyDescent="0.25">
      <c r="A720" s="39" t="s">
        <v>8</v>
      </c>
      <c r="B720" s="77">
        <f>SUM(C720:L720)</f>
        <v>0</v>
      </c>
      <c r="C720" s="77">
        <v>0</v>
      </c>
      <c r="D720" s="77">
        <v>0</v>
      </c>
      <c r="E720" s="77">
        <v>0</v>
      </c>
      <c r="F720" s="77">
        <v>0</v>
      </c>
      <c r="G720" s="77">
        <v>0</v>
      </c>
      <c r="H720" s="77">
        <v>0</v>
      </c>
      <c r="I720" s="77">
        <v>0</v>
      </c>
      <c r="J720" s="77">
        <v>0</v>
      </c>
      <c r="K720" s="77">
        <v>0</v>
      </c>
      <c r="L720" s="79">
        <v>0</v>
      </c>
      <c r="M720" s="216"/>
    </row>
    <row r="721" spans="1:13" x14ac:dyDescent="0.25">
      <c r="A721" s="38" t="s">
        <v>9</v>
      </c>
      <c r="B721" s="60">
        <f>B727</f>
        <v>0</v>
      </c>
      <c r="C721" s="60">
        <f t="shared" ref="C721:L721" si="367">C727</f>
        <v>0</v>
      </c>
      <c r="D721" s="60">
        <f t="shared" si="367"/>
        <v>0</v>
      </c>
      <c r="E721" s="60">
        <f t="shared" si="367"/>
        <v>0</v>
      </c>
      <c r="F721" s="60">
        <f t="shared" si="367"/>
        <v>0</v>
      </c>
      <c r="G721" s="60">
        <f t="shared" si="367"/>
        <v>0</v>
      </c>
      <c r="H721" s="60">
        <f t="shared" si="367"/>
        <v>0</v>
      </c>
      <c r="I721" s="60">
        <f t="shared" si="367"/>
        <v>0</v>
      </c>
      <c r="J721" s="60">
        <f t="shared" si="367"/>
        <v>0</v>
      </c>
      <c r="K721" s="60">
        <f t="shared" si="367"/>
        <v>0</v>
      </c>
      <c r="L721" s="61">
        <f t="shared" si="367"/>
        <v>0</v>
      </c>
      <c r="M721" s="216"/>
    </row>
    <row r="722" spans="1:13" x14ac:dyDescent="0.25">
      <c r="A722" s="39" t="s">
        <v>10</v>
      </c>
      <c r="B722" s="77"/>
      <c r="C722" s="77"/>
      <c r="D722" s="77"/>
      <c r="E722" s="77"/>
      <c r="F722" s="77"/>
      <c r="G722" s="77"/>
      <c r="H722" s="77"/>
      <c r="I722" s="77"/>
      <c r="J722" s="77"/>
      <c r="K722" s="77"/>
      <c r="L722" s="79"/>
      <c r="M722" s="216"/>
    </row>
    <row r="723" spans="1:13" x14ac:dyDescent="0.25">
      <c r="A723" s="39" t="s">
        <v>11</v>
      </c>
      <c r="B723" s="40">
        <f>B728</f>
        <v>0</v>
      </c>
      <c r="C723" s="40">
        <f t="shared" ref="C723:L723" si="368">C728</f>
        <v>0</v>
      </c>
      <c r="D723" s="40">
        <f t="shared" si="368"/>
        <v>0</v>
      </c>
      <c r="E723" s="40">
        <f t="shared" si="368"/>
        <v>0</v>
      </c>
      <c r="F723" s="40">
        <f t="shared" si="368"/>
        <v>0</v>
      </c>
      <c r="G723" s="40">
        <f t="shared" si="368"/>
        <v>0</v>
      </c>
      <c r="H723" s="40">
        <f t="shared" si="368"/>
        <v>0</v>
      </c>
      <c r="I723" s="40">
        <f t="shared" si="368"/>
        <v>0</v>
      </c>
      <c r="J723" s="40">
        <f t="shared" si="368"/>
        <v>0</v>
      </c>
      <c r="K723" s="40">
        <f t="shared" si="368"/>
        <v>0</v>
      </c>
      <c r="L723" s="41">
        <f t="shared" si="368"/>
        <v>0</v>
      </c>
      <c r="M723" s="216"/>
    </row>
    <row r="724" spans="1:13" ht="39.75" thickBot="1" x14ac:dyDescent="0.3">
      <c r="A724" s="80" t="s">
        <v>12</v>
      </c>
      <c r="B724" s="81">
        <f>B729</f>
        <v>0</v>
      </c>
      <c r="C724" s="81">
        <f t="shared" ref="C724:L724" si="369">C729</f>
        <v>0</v>
      </c>
      <c r="D724" s="81">
        <f t="shared" si="369"/>
        <v>0</v>
      </c>
      <c r="E724" s="81">
        <f t="shared" si="369"/>
        <v>0</v>
      </c>
      <c r="F724" s="81">
        <f t="shared" si="369"/>
        <v>0</v>
      </c>
      <c r="G724" s="81">
        <f t="shared" si="369"/>
        <v>0</v>
      </c>
      <c r="H724" s="81">
        <f t="shared" si="369"/>
        <v>0</v>
      </c>
      <c r="I724" s="81">
        <f t="shared" si="369"/>
        <v>0</v>
      </c>
      <c r="J724" s="81">
        <f t="shared" si="369"/>
        <v>0</v>
      </c>
      <c r="K724" s="81">
        <f t="shared" si="369"/>
        <v>0</v>
      </c>
      <c r="L724" s="82">
        <f t="shared" si="369"/>
        <v>0</v>
      </c>
      <c r="M724" s="216"/>
    </row>
    <row r="725" spans="1:13" x14ac:dyDescent="0.25">
      <c r="A725" s="5" t="s">
        <v>13</v>
      </c>
      <c r="B725" s="12"/>
      <c r="C725" s="12"/>
      <c r="D725" s="12"/>
      <c r="E725" s="12"/>
      <c r="F725" s="12"/>
      <c r="G725" s="12"/>
      <c r="H725" s="12"/>
      <c r="I725" s="12"/>
      <c r="J725" s="12"/>
      <c r="K725" s="12"/>
      <c r="L725" s="13"/>
    </row>
    <row r="726" spans="1:13" x14ac:dyDescent="0.25">
      <c r="A726" s="6" t="s">
        <v>14</v>
      </c>
      <c r="B726" s="14"/>
      <c r="C726" s="14"/>
      <c r="D726" s="14"/>
      <c r="E726" s="14"/>
      <c r="F726" s="14"/>
      <c r="G726" s="14"/>
      <c r="H726" s="14"/>
      <c r="I726" s="14"/>
      <c r="J726" s="14"/>
      <c r="K726" s="14"/>
      <c r="L726" s="15"/>
    </row>
    <row r="727" spans="1:13" x14ac:dyDescent="0.25">
      <c r="A727" s="35" t="s">
        <v>27</v>
      </c>
      <c r="B727" s="14">
        <f>B728+B729</f>
        <v>0</v>
      </c>
      <c r="C727" s="14">
        <f t="shared" ref="C727:L727" si="370">C728+C729</f>
        <v>0</v>
      </c>
      <c r="D727" s="14">
        <f t="shared" si="370"/>
        <v>0</v>
      </c>
      <c r="E727" s="14">
        <f t="shared" si="370"/>
        <v>0</v>
      </c>
      <c r="F727" s="14">
        <f t="shared" si="370"/>
        <v>0</v>
      </c>
      <c r="G727" s="14">
        <f t="shared" si="370"/>
        <v>0</v>
      </c>
      <c r="H727" s="14">
        <f t="shared" si="370"/>
        <v>0</v>
      </c>
      <c r="I727" s="14">
        <f t="shared" si="370"/>
        <v>0</v>
      </c>
      <c r="J727" s="14">
        <f t="shared" si="370"/>
        <v>0</v>
      </c>
      <c r="K727" s="14">
        <f t="shared" si="370"/>
        <v>0</v>
      </c>
      <c r="L727" s="15">
        <f t="shared" si="370"/>
        <v>0</v>
      </c>
    </row>
    <row r="728" spans="1:13" x14ac:dyDescent="0.25">
      <c r="A728" s="6" t="s">
        <v>11</v>
      </c>
      <c r="B728" s="54">
        <f>SUM(C728:L728)</f>
        <v>0</v>
      </c>
      <c r="C728" s="54">
        <v>0</v>
      </c>
      <c r="D728" s="54">
        <v>0</v>
      </c>
      <c r="E728" s="54">
        <v>0</v>
      </c>
      <c r="F728" s="111">
        <v>0</v>
      </c>
      <c r="G728" s="111">
        <v>0</v>
      </c>
      <c r="H728" s="111">
        <v>0</v>
      </c>
      <c r="I728" s="111">
        <v>0</v>
      </c>
      <c r="J728" s="111">
        <v>0</v>
      </c>
      <c r="K728" s="111">
        <v>0</v>
      </c>
      <c r="L728" s="172">
        <v>0</v>
      </c>
    </row>
    <row r="729" spans="1:13" ht="37.5" customHeight="1" thickBot="1" x14ac:dyDescent="0.3">
      <c r="A729" s="7" t="s">
        <v>12</v>
      </c>
      <c r="B729" s="30">
        <f>SUM(C729:L729)</f>
        <v>0</v>
      </c>
      <c r="C729" s="30">
        <v>0</v>
      </c>
      <c r="D729" s="30">
        <v>0</v>
      </c>
      <c r="E729" s="30">
        <v>0</v>
      </c>
      <c r="F729" s="30">
        <v>0</v>
      </c>
      <c r="G729" s="117">
        <v>0</v>
      </c>
      <c r="H729" s="117">
        <v>0</v>
      </c>
      <c r="I729" s="117">
        <v>0</v>
      </c>
      <c r="J729" s="117">
        <v>0</v>
      </c>
      <c r="K729" s="117">
        <v>0</v>
      </c>
      <c r="L729" s="31">
        <v>0</v>
      </c>
    </row>
    <row r="730" spans="1:13" x14ac:dyDescent="0.25">
      <c r="A730" s="219" t="s">
        <v>99</v>
      </c>
      <c r="B730" s="220"/>
      <c r="C730" s="220"/>
      <c r="D730" s="220"/>
      <c r="E730" s="220"/>
      <c r="F730" s="220"/>
      <c r="G730" s="220"/>
      <c r="H730" s="220"/>
      <c r="I730" s="220"/>
      <c r="J730" s="220"/>
      <c r="K730" s="220"/>
      <c r="L730" s="221"/>
      <c r="M730" s="216" t="s">
        <v>182</v>
      </c>
    </row>
    <row r="731" spans="1:13" x14ac:dyDescent="0.25">
      <c r="A731" s="38" t="s">
        <v>5</v>
      </c>
      <c r="B731" s="60">
        <f>B732+B733+B734+B735</f>
        <v>0</v>
      </c>
      <c r="C731" s="60">
        <f t="shared" ref="C731:L731" si="371">C732+C733+C734+C735</f>
        <v>0</v>
      </c>
      <c r="D731" s="60">
        <f t="shared" si="371"/>
        <v>0</v>
      </c>
      <c r="E731" s="60">
        <f t="shared" si="371"/>
        <v>0</v>
      </c>
      <c r="F731" s="60">
        <f t="shared" si="371"/>
        <v>0</v>
      </c>
      <c r="G731" s="60">
        <f t="shared" si="371"/>
        <v>0</v>
      </c>
      <c r="H731" s="60">
        <f t="shared" si="371"/>
        <v>0</v>
      </c>
      <c r="I731" s="60">
        <f t="shared" si="371"/>
        <v>0</v>
      </c>
      <c r="J731" s="60">
        <f t="shared" si="371"/>
        <v>0</v>
      </c>
      <c r="K731" s="60">
        <f t="shared" si="371"/>
        <v>0</v>
      </c>
      <c r="L731" s="61">
        <f t="shared" si="371"/>
        <v>0</v>
      </c>
      <c r="M731" s="216"/>
    </row>
    <row r="732" spans="1:13" x14ac:dyDescent="0.25">
      <c r="A732" s="39" t="s">
        <v>6</v>
      </c>
      <c r="B732" s="77">
        <f>SUM(C732:L732)</f>
        <v>0</v>
      </c>
      <c r="C732" s="77">
        <f t="shared" ref="C732" si="372">SUM(D732:M732)</f>
        <v>0</v>
      </c>
      <c r="D732" s="77">
        <f>SUM(E732:M732)</f>
        <v>0</v>
      </c>
      <c r="E732" s="77">
        <f>SUM(F732:M732)</f>
        <v>0</v>
      </c>
      <c r="F732" s="77">
        <f>SUM(G732:M732)</f>
        <v>0</v>
      </c>
      <c r="G732" s="77">
        <f>SUM(H732:M732)</f>
        <v>0</v>
      </c>
      <c r="H732" s="77">
        <f>SUM(I732:M732)</f>
        <v>0</v>
      </c>
      <c r="I732" s="77">
        <f>SUM(J732:M732)</f>
        <v>0</v>
      </c>
      <c r="J732" s="77">
        <f>SUM(K732:M732)</f>
        <v>0</v>
      </c>
      <c r="K732" s="77">
        <f>SUM(L732:M732)</f>
        <v>0</v>
      </c>
      <c r="L732" s="79">
        <f>SUM(M732:M732)</f>
        <v>0</v>
      </c>
      <c r="M732" s="216"/>
    </row>
    <row r="733" spans="1:13" x14ac:dyDescent="0.25">
      <c r="A733" s="39" t="s">
        <v>7</v>
      </c>
      <c r="B733" s="77">
        <f>SUM(C733:L733)</f>
        <v>0</v>
      </c>
      <c r="C733" s="77">
        <f t="shared" ref="C733" si="373">SUM(D733:M733)</f>
        <v>0</v>
      </c>
      <c r="D733" s="77">
        <f>SUM(E733:M733)</f>
        <v>0</v>
      </c>
      <c r="E733" s="77">
        <f>SUM(F733:M733)</f>
        <v>0</v>
      </c>
      <c r="F733" s="77">
        <f>SUM(G733:M733)</f>
        <v>0</v>
      </c>
      <c r="G733" s="77">
        <f>SUM(H733:M733)</f>
        <v>0</v>
      </c>
      <c r="H733" s="77">
        <f>SUM(I733:M733)</f>
        <v>0</v>
      </c>
      <c r="I733" s="77">
        <f>SUM(J733:M733)</f>
        <v>0</v>
      </c>
      <c r="J733" s="77">
        <f>SUM(K733:M733)</f>
        <v>0</v>
      </c>
      <c r="K733" s="77">
        <f>SUM(L733:M733)</f>
        <v>0</v>
      </c>
      <c r="L733" s="79">
        <f>SUM(M733:M733)</f>
        <v>0</v>
      </c>
      <c r="M733" s="216"/>
    </row>
    <row r="734" spans="1:13" ht="26.25" x14ac:dyDescent="0.25">
      <c r="A734" s="39" t="s">
        <v>8</v>
      </c>
      <c r="B734" s="77">
        <f>SUM(C734:L734)</f>
        <v>0</v>
      </c>
      <c r="C734" s="77">
        <f t="shared" ref="C734" si="374">SUM(D734:M734)</f>
        <v>0</v>
      </c>
      <c r="D734" s="77">
        <f>SUM(E734:M734)</f>
        <v>0</v>
      </c>
      <c r="E734" s="77">
        <f>SUM(F734:M734)</f>
        <v>0</v>
      </c>
      <c r="F734" s="77">
        <f>SUM(G734:M734)</f>
        <v>0</v>
      </c>
      <c r="G734" s="77">
        <f>SUM(H734:M734)</f>
        <v>0</v>
      </c>
      <c r="H734" s="77">
        <f>SUM(I734:M734)</f>
        <v>0</v>
      </c>
      <c r="I734" s="77">
        <f>SUM(J734:M734)</f>
        <v>0</v>
      </c>
      <c r="J734" s="77">
        <f>SUM(K734:M734)</f>
        <v>0</v>
      </c>
      <c r="K734" s="77">
        <f>SUM(L734:M734)</f>
        <v>0</v>
      </c>
      <c r="L734" s="79">
        <f>SUM(M734:M734)</f>
        <v>0</v>
      </c>
      <c r="M734" s="216"/>
    </row>
    <row r="735" spans="1:13" x14ac:dyDescent="0.25">
      <c r="A735" s="38" t="s">
        <v>9</v>
      </c>
      <c r="B735" s="60">
        <f>B741</f>
        <v>0</v>
      </c>
      <c r="C735" s="60">
        <f t="shared" ref="C735:L735" si="375">C741</f>
        <v>0</v>
      </c>
      <c r="D735" s="60">
        <f t="shared" si="375"/>
        <v>0</v>
      </c>
      <c r="E735" s="60">
        <f t="shared" si="375"/>
        <v>0</v>
      </c>
      <c r="F735" s="60">
        <f t="shared" si="375"/>
        <v>0</v>
      </c>
      <c r="G735" s="60">
        <f t="shared" si="375"/>
        <v>0</v>
      </c>
      <c r="H735" s="60">
        <f t="shared" si="375"/>
        <v>0</v>
      </c>
      <c r="I735" s="60">
        <f t="shared" si="375"/>
        <v>0</v>
      </c>
      <c r="J735" s="60">
        <f t="shared" si="375"/>
        <v>0</v>
      </c>
      <c r="K735" s="60">
        <f t="shared" si="375"/>
        <v>0</v>
      </c>
      <c r="L735" s="61">
        <f t="shared" si="375"/>
        <v>0</v>
      </c>
      <c r="M735" s="216"/>
    </row>
    <row r="736" spans="1:13" x14ac:dyDescent="0.25">
      <c r="A736" s="39" t="s">
        <v>10</v>
      </c>
      <c r="B736" s="77"/>
      <c r="C736" s="77"/>
      <c r="D736" s="77"/>
      <c r="E736" s="77"/>
      <c r="F736" s="77"/>
      <c r="G736" s="77"/>
      <c r="H736" s="77"/>
      <c r="I736" s="77"/>
      <c r="J736" s="77"/>
      <c r="K736" s="77"/>
      <c r="L736" s="79"/>
      <c r="M736" s="216"/>
    </row>
    <row r="737" spans="1:13" x14ac:dyDescent="0.25">
      <c r="A737" s="39" t="s">
        <v>11</v>
      </c>
      <c r="B737" s="40">
        <f>B742</f>
        <v>0</v>
      </c>
      <c r="C737" s="40">
        <f t="shared" ref="C737:L737" si="376">C742</f>
        <v>0</v>
      </c>
      <c r="D737" s="40">
        <f t="shared" si="376"/>
        <v>0</v>
      </c>
      <c r="E737" s="40">
        <f t="shared" si="376"/>
        <v>0</v>
      </c>
      <c r="F737" s="40">
        <f t="shared" si="376"/>
        <v>0</v>
      </c>
      <c r="G737" s="40">
        <f t="shared" si="376"/>
        <v>0</v>
      </c>
      <c r="H737" s="40">
        <f t="shared" si="376"/>
        <v>0</v>
      </c>
      <c r="I737" s="40">
        <f t="shared" si="376"/>
        <v>0</v>
      </c>
      <c r="J737" s="40">
        <f t="shared" si="376"/>
        <v>0</v>
      </c>
      <c r="K737" s="40">
        <f t="shared" si="376"/>
        <v>0</v>
      </c>
      <c r="L737" s="41">
        <f t="shared" si="376"/>
        <v>0</v>
      </c>
      <c r="M737" s="216"/>
    </row>
    <row r="738" spans="1:13" ht="39.75" thickBot="1" x14ac:dyDescent="0.3">
      <c r="A738" s="80" t="s">
        <v>12</v>
      </c>
      <c r="B738" s="81">
        <f>B743</f>
        <v>0</v>
      </c>
      <c r="C738" s="81">
        <f t="shared" ref="C738:L738" si="377">C743</f>
        <v>0</v>
      </c>
      <c r="D738" s="81">
        <f t="shared" si="377"/>
        <v>0</v>
      </c>
      <c r="E738" s="81">
        <f t="shared" si="377"/>
        <v>0</v>
      </c>
      <c r="F738" s="81">
        <f t="shared" si="377"/>
        <v>0</v>
      </c>
      <c r="G738" s="81">
        <f t="shared" si="377"/>
        <v>0</v>
      </c>
      <c r="H738" s="81">
        <f t="shared" si="377"/>
        <v>0</v>
      </c>
      <c r="I738" s="81">
        <f t="shared" si="377"/>
        <v>0</v>
      </c>
      <c r="J738" s="81">
        <f t="shared" si="377"/>
        <v>0</v>
      </c>
      <c r="K738" s="81">
        <f t="shared" si="377"/>
        <v>0</v>
      </c>
      <c r="L738" s="82">
        <f t="shared" si="377"/>
        <v>0</v>
      </c>
      <c r="M738" s="216"/>
    </row>
    <row r="739" spans="1:13" x14ac:dyDescent="0.25">
      <c r="A739" s="5" t="s">
        <v>13</v>
      </c>
      <c r="B739" s="12"/>
      <c r="C739" s="12"/>
      <c r="D739" s="12"/>
      <c r="E739" s="12"/>
      <c r="F739" s="12"/>
      <c r="G739" s="12"/>
      <c r="H739" s="12"/>
      <c r="I739" s="12"/>
      <c r="J739" s="12"/>
      <c r="K739" s="12"/>
      <c r="L739" s="13"/>
    </row>
    <row r="740" spans="1:13" x14ac:dyDescent="0.25">
      <c r="A740" s="6" t="s">
        <v>14</v>
      </c>
      <c r="B740" s="14"/>
      <c r="C740" s="14"/>
      <c r="D740" s="14"/>
      <c r="E740" s="14"/>
      <c r="F740" s="14"/>
      <c r="G740" s="14"/>
      <c r="H740" s="14"/>
      <c r="I740" s="14"/>
      <c r="J740" s="14"/>
      <c r="K740" s="14"/>
      <c r="L740" s="15"/>
    </row>
    <row r="741" spans="1:13" x14ac:dyDescent="0.25">
      <c r="A741" s="35" t="s">
        <v>27</v>
      </c>
      <c r="B741" s="14">
        <f>B742+B743</f>
        <v>0</v>
      </c>
      <c r="C741" s="14">
        <f t="shared" ref="C741:L741" si="378">C742+C743</f>
        <v>0</v>
      </c>
      <c r="D741" s="14">
        <f t="shared" si="378"/>
        <v>0</v>
      </c>
      <c r="E741" s="14">
        <f t="shared" si="378"/>
        <v>0</v>
      </c>
      <c r="F741" s="14">
        <f t="shared" si="378"/>
        <v>0</v>
      </c>
      <c r="G741" s="14">
        <f t="shared" si="378"/>
        <v>0</v>
      </c>
      <c r="H741" s="14">
        <f t="shared" si="378"/>
        <v>0</v>
      </c>
      <c r="I741" s="14">
        <f t="shared" si="378"/>
        <v>0</v>
      </c>
      <c r="J741" s="14">
        <f t="shared" si="378"/>
        <v>0</v>
      </c>
      <c r="K741" s="14">
        <f t="shared" si="378"/>
        <v>0</v>
      </c>
      <c r="L741" s="15">
        <f t="shared" si="378"/>
        <v>0</v>
      </c>
    </row>
    <row r="742" spans="1:13" x14ac:dyDescent="0.25">
      <c r="A742" s="6" t="s">
        <v>11</v>
      </c>
      <c r="B742" s="54">
        <f>SUM(C742:L742)</f>
        <v>0</v>
      </c>
      <c r="C742" s="54">
        <v>0</v>
      </c>
      <c r="D742" s="54">
        <v>0</v>
      </c>
      <c r="E742" s="54">
        <v>0</v>
      </c>
      <c r="F742" s="54">
        <v>0</v>
      </c>
      <c r="G742" s="54">
        <v>0</v>
      </c>
      <c r="H742" s="54">
        <v>0</v>
      </c>
      <c r="I742" s="54">
        <v>0</v>
      </c>
      <c r="J742" s="54">
        <v>0</v>
      </c>
      <c r="K742" s="54">
        <v>0</v>
      </c>
      <c r="L742" s="17">
        <v>0</v>
      </c>
    </row>
    <row r="743" spans="1:13" ht="40.5" customHeight="1" thickBot="1" x14ac:dyDescent="0.3">
      <c r="A743" s="7" t="s">
        <v>12</v>
      </c>
      <c r="B743" s="30">
        <f>SUM(C743:L743)</f>
        <v>0</v>
      </c>
      <c r="C743" s="30">
        <v>0</v>
      </c>
      <c r="D743" s="30">
        <v>0</v>
      </c>
      <c r="E743" s="30">
        <v>0</v>
      </c>
      <c r="F743" s="30">
        <v>0</v>
      </c>
      <c r="G743" s="117">
        <v>0</v>
      </c>
      <c r="H743" s="117">
        <v>0</v>
      </c>
      <c r="I743" s="117">
        <v>0</v>
      </c>
      <c r="J743" s="117">
        <v>0</v>
      </c>
      <c r="K743" s="117">
        <v>0</v>
      </c>
      <c r="L743" s="31">
        <v>0</v>
      </c>
    </row>
    <row r="744" spans="1:13" x14ac:dyDescent="0.25">
      <c r="A744" s="219" t="s">
        <v>163</v>
      </c>
      <c r="B744" s="220"/>
      <c r="C744" s="220"/>
      <c r="D744" s="220"/>
      <c r="E744" s="220"/>
      <c r="F744" s="220"/>
      <c r="G744" s="220"/>
      <c r="H744" s="220"/>
      <c r="I744" s="220"/>
      <c r="J744" s="220"/>
      <c r="K744" s="220"/>
      <c r="L744" s="221"/>
      <c r="M744" s="216" t="s">
        <v>182</v>
      </c>
    </row>
    <row r="745" spans="1:13" x14ac:dyDescent="0.25">
      <c r="A745" s="38" t="s">
        <v>5</v>
      </c>
      <c r="B745" s="60">
        <f>B746+B747+B748+B749</f>
        <v>0</v>
      </c>
      <c r="C745" s="60">
        <f t="shared" ref="C745:L745" si="379">C746+C747+C748+C749</f>
        <v>0</v>
      </c>
      <c r="D745" s="60">
        <f t="shared" si="379"/>
        <v>0</v>
      </c>
      <c r="E745" s="60">
        <f t="shared" si="379"/>
        <v>0</v>
      </c>
      <c r="F745" s="60">
        <f t="shared" si="379"/>
        <v>0</v>
      </c>
      <c r="G745" s="60">
        <f t="shared" si="379"/>
        <v>0</v>
      </c>
      <c r="H745" s="60">
        <f t="shared" si="379"/>
        <v>0</v>
      </c>
      <c r="I745" s="60">
        <f t="shared" si="379"/>
        <v>0</v>
      </c>
      <c r="J745" s="60">
        <f t="shared" si="379"/>
        <v>0</v>
      </c>
      <c r="K745" s="60">
        <f t="shared" si="379"/>
        <v>0</v>
      </c>
      <c r="L745" s="61">
        <f t="shared" si="379"/>
        <v>0</v>
      </c>
      <c r="M745" s="216"/>
    </row>
    <row r="746" spans="1:13" x14ac:dyDescent="0.25">
      <c r="A746" s="39" t="s">
        <v>6</v>
      </c>
      <c r="B746" s="77">
        <f>SUM(C746:L746)</f>
        <v>0</v>
      </c>
      <c r="C746" s="77">
        <v>0</v>
      </c>
      <c r="D746" s="77">
        <v>0</v>
      </c>
      <c r="E746" s="77">
        <v>0</v>
      </c>
      <c r="F746" s="77">
        <v>0</v>
      </c>
      <c r="G746" s="77">
        <v>0</v>
      </c>
      <c r="H746" s="77">
        <v>0</v>
      </c>
      <c r="I746" s="77">
        <v>0</v>
      </c>
      <c r="J746" s="77">
        <v>0</v>
      </c>
      <c r="K746" s="77">
        <v>0</v>
      </c>
      <c r="L746" s="79">
        <v>0</v>
      </c>
      <c r="M746" s="216"/>
    </row>
    <row r="747" spans="1:13" x14ac:dyDescent="0.25">
      <c r="A747" s="39" t="s">
        <v>7</v>
      </c>
      <c r="B747" s="77">
        <f>SUM(C747:L747)</f>
        <v>0</v>
      </c>
      <c r="C747" s="77">
        <v>0</v>
      </c>
      <c r="D747" s="77">
        <v>0</v>
      </c>
      <c r="E747" s="77">
        <v>0</v>
      </c>
      <c r="F747" s="77">
        <v>0</v>
      </c>
      <c r="G747" s="77">
        <v>0</v>
      </c>
      <c r="H747" s="77">
        <v>0</v>
      </c>
      <c r="I747" s="77">
        <v>0</v>
      </c>
      <c r="J747" s="77">
        <v>0</v>
      </c>
      <c r="K747" s="77">
        <v>0</v>
      </c>
      <c r="L747" s="79">
        <v>0</v>
      </c>
      <c r="M747" s="216"/>
    </row>
    <row r="748" spans="1:13" ht="26.25" x14ac:dyDescent="0.25">
      <c r="A748" s="39" t="s">
        <v>8</v>
      </c>
      <c r="B748" s="77">
        <f>SUM(C748:L748)</f>
        <v>0</v>
      </c>
      <c r="C748" s="77">
        <v>0</v>
      </c>
      <c r="D748" s="77">
        <v>0</v>
      </c>
      <c r="E748" s="77">
        <v>0</v>
      </c>
      <c r="F748" s="77">
        <v>0</v>
      </c>
      <c r="G748" s="77">
        <v>0</v>
      </c>
      <c r="H748" s="77">
        <v>0</v>
      </c>
      <c r="I748" s="77">
        <v>0</v>
      </c>
      <c r="J748" s="77">
        <v>0</v>
      </c>
      <c r="K748" s="77">
        <v>0</v>
      </c>
      <c r="L748" s="79">
        <v>0</v>
      </c>
      <c r="M748" s="216"/>
    </row>
    <row r="749" spans="1:13" x14ac:dyDescent="0.25">
      <c r="A749" s="38" t="s">
        <v>9</v>
      </c>
      <c r="B749" s="60">
        <f>B755</f>
        <v>0</v>
      </c>
      <c r="C749" s="60">
        <f t="shared" ref="C749:L749" si="380">C755</f>
        <v>0</v>
      </c>
      <c r="D749" s="60">
        <f t="shared" si="380"/>
        <v>0</v>
      </c>
      <c r="E749" s="60">
        <f t="shared" si="380"/>
        <v>0</v>
      </c>
      <c r="F749" s="60">
        <f t="shared" si="380"/>
        <v>0</v>
      </c>
      <c r="G749" s="60">
        <f t="shared" si="380"/>
        <v>0</v>
      </c>
      <c r="H749" s="60">
        <f t="shared" si="380"/>
        <v>0</v>
      </c>
      <c r="I749" s="60">
        <f t="shared" si="380"/>
        <v>0</v>
      </c>
      <c r="J749" s="60">
        <f t="shared" si="380"/>
        <v>0</v>
      </c>
      <c r="K749" s="60">
        <f t="shared" si="380"/>
        <v>0</v>
      </c>
      <c r="L749" s="61">
        <f t="shared" si="380"/>
        <v>0</v>
      </c>
      <c r="M749" s="216"/>
    </row>
    <row r="750" spans="1:13" x14ac:dyDescent="0.25">
      <c r="A750" s="39" t="s">
        <v>10</v>
      </c>
      <c r="B750" s="77"/>
      <c r="C750" s="77"/>
      <c r="D750" s="77"/>
      <c r="E750" s="77"/>
      <c r="F750" s="77"/>
      <c r="G750" s="77"/>
      <c r="H750" s="77"/>
      <c r="I750" s="77"/>
      <c r="J750" s="77"/>
      <c r="K750" s="77"/>
      <c r="L750" s="79"/>
      <c r="M750" s="216"/>
    </row>
    <row r="751" spans="1:13" x14ac:dyDescent="0.25">
      <c r="A751" s="39" t="s">
        <v>11</v>
      </c>
      <c r="B751" s="40">
        <f>B756</f>
        <v>0</v>
      </c>
      <c r="C751" s="40">
        <f t="shared" ref="C751:L751" si="381">C756</f>
        <v>0</v>
      </c>
      <c r="D751" s="40">
        <f t="shared" si="381"/>
        <v>0</v>
      </c>
      <c r="E751" s="40">
        <f t="shared" si="381"/>
        <v>0</v>
      </c>
      <c r="F751" s="40">
        <f t="shared" si="381"/>
        <v>0</v>
      </c>
      <c r="G751" s="40">
        <f t="shared" si="381"/>
        <v>0</v>
      </c>
      <c r="H751" s="40">
        <f t="shared" si="381"/>
        <v>0</v>
      </c>
      <c r="I751" s="40">
        <f t="shared" si="381"/>
        <v>0</v>
      </c>
      <c r="J751" s="40">
        <f t="shared" si="381"/>
        <v>0</v>
      </c>
      <c r="K751" s="40">
        <f t="shared" si="381"/>
        <v>0</v>
      </c>
      <c r="L751" s="41">
        <f t="shared" si="381"/>
        <v>0</v>
      </c>
      <c r="M751" s="216"/>
    </row>
    <row r="752" spans="1:13" ht="39.75" thickBot="1" x14ac:dyDescent="0.3">
      <c r="A752" s="80" t="s">
        <v>12</v>
      </c>
      <c r="B752" s="81">
        <f>B757</f>
        <v>0</v>
      </c>
      <c r="C752" s="81">
        <f t="shared" ref="C752:L752" si="382">C757</f>
        <v>0</v>
      </c>
      <c r="D752" s="81">
        <f t="shared" si="382"/>
        <v>0</v>
      </c>
      <c r="E752" s="81">
        <f t="shared" si="382"/>
        <v>0</v>
      </c>
      <c r="F752" s="81">
        <f t="shared" si="382"/>
        <v>0</v>
      </c>
      <c r="G752" s="81">
        <f t="shared" si="382"/>
        <v>0</v>
      </c>
      <c r="H752" s="81">
        <f t="shared" si="382"/>
        <v>0</v>
      </c>
      <c r="I752" s="81">
        <f t="shared" si="382"/>
        <v>0</v>
      </c>
      <c r="J752" s="81">
        <f t="shared" si="382"/>
        <v>0</v>
      </c>
      <c r="K752" s="81">
        <f t="shared" si="382"/>
        <v>0</v>
      </c>
      <c r="L752" s="82">
        <f t="shared" si="382"/>
        <v>0</v>
      </c>
      <c r="M752" s="216"/>
    </row>
    <row r="753" spans="1:13" x14ac:dyDescent="0.25">
      <c r="A753" s="5" t="s">
        <v>13</v>
      </c>
      <c r="B753" s="12"/>
      <c r="C753" s="12"/>
      <c r="D753" s="12"/>
      <c r="E753" s="12"/>
      <c r="F753" s="12"/>
      <c r="G753" s="12"/>
      <c r="H753" s="12"/>
      <c r="I753" s="12"/>
      <c r="J753" s="12"/>
      <c r="K753" s="12"/>
      <c r="L753" s="13"/>
    </row>
    <row r="754" spans="1:13" x14ac:dyDescent="0.25">
      <c r="A754" s="6" t="s">
        <v>14</v>
      </c>
      <c r="B754" s="14"/>
      <c r="C754" s="14"/>
      <c r="D754" s="14"/>
      <c r="E754" s="14"/>
      <c r="F754" s="14"/>
      <c r="G754" s="14"/>
      <c r="H754" s="14"/>
      <c r="I754" s="14"/>
      <c r="J754" s="14"/>
      <c r="K754" s="14"/>
      <c r="L754" s="15"/>
    </row>
    <row r="755" spans="1:13" x14ac:dyDescent="0.25">
      <c r="A755" s="35" t="s">
        <v>27</v>
      </c>
      <c r="B755" s="14">
        <f>B756+B757</f>
        <v>0</v>
      </c>
      <c r="C755" s="14">
        <f t="shared" ref="C755:L755" si="383">C756+C757</f>
        <v>0</v>
      </c>
      <c r="D755" s="14">
        <f t="shared" si="383"/>
        <v>0</v>
      </c>
      <c r="E755" s="14">
        <f t="shared" si="383"/>
        <v>0</v>
      </c>
      <c r="F755" s="14">
        <f t="shared" si="383"/>
        <v>0</v>
      </c>
      <c r="G755" s="14">
        <f t="shared" si="383"/>
        <v>0</v>
      </c>
      <c r="H755" s="14">
        <f t="shared" si="383"/>
        <v>0</v>
      </c>
      <c r="I755" s="14">
        <f t="shared" si="383"/>
        <v>0</v>
      </c>
      <c r="J755" s="14">
        <f t="shared" si="383"/>
        <v>0</v>
      </c>
      <c r="K755" s="14">
        <f t="shared" si="383"/>
        <v>0</v>
      </c>
      <c r="L755" s="15">
        <f t="shared" si="383"/>
        <v>0</v>
      </c>
    </row>
    <row r="756" spans="1:13" x14ac:dyDescent="0.25">
      <c r="A756" s="6" t="s">
        <v>11</v>
      </c>
      <c r="B756" s="54">
        <f>SUM(C756:L756)</f>
        <v>0</v>
      </c>
      <c r="C756" s="54">
        <v>0</v>
      </c>
      <c r="D756" s="54">
        <v>0</v>
      </c>
      <c r="E756" s="54">
        <v>0</v>
      </c>
      <c r="F756" s="54">
        <v>0</v>
      </c>
      <c r="G756" s="54">
        <v>0</v>
      </c>
      <c r="H756" s="54">
        <v>0</v>
      </c>
      <c r="I756" s="54">
        <v>0</v>
      </c>
      <c r="J756" s="54">
        <v>0</v>
      </c>
      <c r="K756" s="54">
        <v>0</v>
      </c>
      <c r="L756" s="17">
        <v>0</v>
      </c>
    </row>
    <row r="757" spans="1:13" ht="36.75" customHeight="1" thickBot="1" x14ac:dyDescent="0.3">
      <c r="A757" s="7" t="s">
        <v>12</v>
      </c>
      <c r="B757" s="30">
        <f>SUM(C757:L757)</f>
        <v>0</v>
      </c>
      <c r="C757" s="30">
        <v>0</v>
      </c>
      <c r="D757" s="30">
        <v>0</v>
      </c>
      <c r="E757" s="30">
        <v>0</v>
      </c>
      <c r="F757" s="30">
        <v>0</v>
      </c>
      <c r="G757" s="30">
        <v>0</v>
      </c>
      <c r="H757" s="30">
        <v>0</v>
      </c>
      <c r="I757" s="30">
        <v>0</v>
      </c>
      <c r="J757" s="30">
        <v>0</v>
      </c>
      <c r="K757" s="30">
        <v>0</v>
      </c>
      <c r="L757" s="31">
        <v>0</v>
      </c>
    </row>
    <row r="758" spans="1:13" ht="29.25" customHeight="1" x14ac:dyDescent="0.25">
      <c r="A758" s="219" t="s">
        <v>164</v>
      </c>
      <c r="B758" s="220"/>
      <c r="C758" s="220"/>
      <c r="D758" s="220"/>
      <c r="E758" s="220"/>
      <c r="F758" s="220"/>
      <c r="G758" s="220"/>
      <c r="H758" s="220"/>
      <c r="I758" s="220"/>
      <c r="J758" s="220"/>
      <c r="K758" s="220"/>
      <c r="L758" s="221"/>
      <c r="M758" s="216" t="s">
        <v>182</v>
      </c>
    </row>
    <row r="759" spans="1:13" x14ac:dyDescent="0.25">
      <c r="A759" s="38" t="s">
        <v>5</v>
      </c>
      <c r="B759" s="60">
        <f>B760+B761+B762+B763</f>
        <v>0</v>
      </c>
      <c r="C759" s="60">
        <f t="shared" ref="C759:L759" si="384">C760+C761+C762+C763</f>
        <v>0</v>
      </c>
      <c r="D759" s="60">
        <f t="shared" si="384"/>
        <v>0</v>
      </c>
      <c r="E759" s="60">
        <f t="shared" si="384"/>
        <v>0</v>
      </c>
      <c r="F759" s="60">
        <f t="shared" si="384"/>
        <v>0</v>
      </c>
      <c r="G759" s="60">
        <f t="shared" si="384"/>
        <v>0</v>
      </c>
      <c r="H759" s="60">
        <f t="shared" si="384"/>
        <v>0</v>
      </c>
      <c r="I759" s="60">
        <f t="shared" si="384"/>
        <v>0</v>
      </c>
      <c r="J759" s="60">
        <f t="shared" si="384"/>
        <v>0</v>
      </c>
      <c r="K759" s="60">
        <f t="shared" si="384"/>
        <v>0</v>
      </c>
      <c r="L759" s="61">
        <f t="shared" si="384"/>
        <v>0</v>
      </c>
      <c r="M759" s="216"/>
    </row>
    <row r="760" spans="1:13" x14ac:dyDescent="0.25">
      <c r="A760" s="39" t="s">
        <v>6</v>
      </c>
      <c r="B760" s="77">
        <f>SUM(C760:L760)</f>
        <v>0</v>
      </c>
      <c r="C760" s="77">
        <v>0</v>
      </c>
      <c r="D760" s="77">
        <v>0</v>
      </c>
      <c r="E760" s="77">
        <v>0</v>
      </c>
      <c r="F760" s="77">
        <v>0</v>
      </c>
      <c r="G760" s="77">
        <v>0</v>
      </c>
      <c r="H760" s="77">
        <v>0</v>
      </c>
      <c r="I760" s="77">
        <v>0</v>
      </c>
      <c r="J760" s="77">
        <v>0</v>
      </c>
      <c r="K760" s="77">
        <v>0</v>
      </c>
      <c r="L760" s="79">
        <v>0</v>
      </c>
      <c r="M760" s="216"/>
    </row>
    <row r="761" spans="1:13" x14ac:dyDescent="0.25">
      <c r="A761" s="39" t="s">
        <v>7</v>
      </c>
      <c r="B761" s="77">
        <f>SUM(C761:L761)</f>
        <v>0</v>
      </c>
      <c r="C761" s="77">
        <v>0</v>
      </c>
      <c r="D761" s="77">
        <v>0</v>
      </c>
      <c r="E761" s="77">
        <v>0</v>
      </c>
      <c r="F761" s="77">
        <v>0</v>
      </c>
      <c r="G761" s="77">
        <v>0</v>
      </c>
      <c r="H761" s="77">
        <v>0</v>
      </c>
      <c r="I761" s="77">
        <v>0</v>
      </c>
      <c r="J761" s="77">
        <v>0</v>
      </c>
      <c r="K761" s="77">
        <v>0</v>
      </c>
      <c r="L761" s="79">
        <v>0</v>
      </c>
      <c r="M761" s="216"/>
    </row>
    <row r="762" spans="1:13" ht="26.25" x14ac:dyDescent="0.25">
      <c r="A762" s="39" t="s">
        <v>8</v>
      </c>
      <c r="B762" s="77">
        <f>SUM(C762:L762)</f>
        <v>0</v>
      </c>
      <c r="C762" s="77">
        <v>0</v>
      </c>
      <c r="D762" s="77">
        <v>0</v>
      </c>
      <c r="E762" s="77">
        <v>0</v>
      </c>
      <c r="F762" s="77">
        <v>0</v>
      </c>
      <c r="G762" s="77">
        <v>0</v>
      </c>
      <c r="H762" s="77">
        <v>0</v>
      </c>
      <c r="I762" s="77">
        <v>0</v>
      </c>
      <c r="J762" s="77">
        <v>0</v>
      </c>
      <c r="K762" s="77">
        <v>0</v>
      </c>
      <c r="L762" s="79">
        <v>0</v>
      </c>
      <c r="M762" s="216"/>
    </row>
    <row r="763" spans="1:13" x14ac:dyDescent="0.25">
      <c r="A763" s="38" t="s">
        <v>9</v>
      </c>
      <c r="B763" s="60">
        <f>B769</f>
        <v>0</v>
      </c>
      <c r="C763" s="60">
        <f t="shared" ref="C763:L763" si="385">C769</f>
        <v>0</v>
      </c>
      <c r="D763" s="60">
        <f t="shared" si="385"/>
        <v>0</v>
      </c>
      <c r="E763" s="60">
        <f t="shared" si="385"/>
        <v>0</v>
      </c>
      <c r="F763" s="60">
        <f t="shared" si="385"/>
        <v>0</v>
      </c>
      <c r="G763" s="60">
        <f t="shared" si="385"/>
        <v>0</v>
      </c>
      <c r="H763" s="60">
        <f t="shared" si="385"/>
        <v>0</v>
      </c>
      <c r="I763" s="60">
        <f t="shared" si="385"/>
        <v>0</v>
      </c>
      <c r="J763" s="60">
        <f t="shared" si="385"/>
        <v>0</v>
      </c>
      <c r="K763" s="60">
        <f t="shared" si="385"/>
        <v>0</v>
      </c>
      <c r="L763" s="61">
        <f t="shared" si="385"/>
        <v>0</v>
      </c>
      <c r="M763" s="216"/>
    </row>
    <row r="764" spans="1:13" x14ac:dyDescent="0.25">
      <c r="A764" s="39" t="s">
        <v>10</v>
      </c>
      <c r="B764" s="77"/>
      <c r="C764" s="77"/>
      <c r="D764" s="77"/>
      <c r="E764" s="77"/>
      <c r="F764" s="77"/>
      <c r="G764" s="77"/>
      <c r="H764" s="77"/>
      <c r="I764" s="77"/>
      <c r="J764" s="77"/>
      <c r="K764" s="77"/>
      <c r="L764" s="79"/>
      <c r="M764" s="216"/>
    </row>
    <row r="765" spans="1:13" x14ac:dyDescent="0.25">
      <c r="A765" s="39" t="s">
        <v>11</v>
      </c>
      <c r="B765" s="40">
        <f>B770</f>
        <v>0</v>
      </c>
      <c r="C765" s="40">
        <f t="shared" ref="C765:L765" si="386">C770</f>
        <v>0</v>
      </c>
      <c r="D765" s="40">
        <f t="shared" si="386"/>
        <v>0</v>
      </c>
      <c r="E765" s="40">
        <f t="shared" si="386"/>
        <v>0</v>
      </c>
      <c r="F765" s="40">
        <f t="shared" si="386"/>
        <v>0</v>
      </c>
      <c r="G765" s="40">
        <f t="shared" si="386"/>
        <v>0</v>
      </c>
      <c r="H765" s="40">
        <f t="shared" si="386"/>
        <v>0</v>
      </c>
      <c r="I765" s="40">
        <f t="shared" si="386"/>
        <v>0</v>
      </c>
      <c r="J765" s="40">
        <f t="shared" si="386"/>
        <v>0</v>
      </c>
      <c r="K765" s="40">
        <f t="shared" si="386"/>
        <v>0</v>
      </c>
      <c r="L765" s="41">
        <f t="shared" si="386"/>
        <v>0</v>
      </c>
      <c r="M765" s="216"/>
    </row>
    <row r="766" spans="1:13" ht="39.75" thickBot="1" x14ac:dyDescent="0.3">
      <c r="A766" s="80" t="s">
        <v>12</v>
      </c>
      <c r="B766" s="81">
        <f>B771</f>
        <v>0</v>
      </c>
      <c r="C766" s="81">
        <f t="shared" ref="C766:L766" si="387">C771</f>
        <v>0</v>
      </c>
      <c r="D766" s="81">
        <f t="shared" si="387"/>
        <v>0</v>
      </c>
      <c r="E766" s="81">
        <f t="shared" si="387"/>
        <v>0</v>
      </c>
      <c r="F766" s="81">
        <f t="shared" si="387"/>
        <v>0</v>
      </c>
      <c r="G766" s="81">
        <f t="shared" si="387"/>
        <v>0</v>
      </c>
      <c r="H766" s="81">
        <f t="shared" si="387"/>
        <v>0</v>
      </c>
      <c r="I766" s="81">
        <f t="shared" si="387"/>
        <v>0</v>
      </c>
      <c r="J766" s="81">
        <f t="shared" si="387"/>
        <v>0</v>
      </c>
      <c r="K766" s="81">
        <f t="shared" si="387"/>
        <v>0</v>
      </c>
      <c r="L766" s="82">
        <f t="shared" si="387"/>
        <v>0</v>
      </c>
      <c r="M766" s="216"/>
    </row>
    <row r="767" spans="1:13" x14ac:dyDescent="0.25">
      <c r="A767" s="5" t="s">
        <v>13</v>
      </c>
      <c r="B767" s="12"/>
      <c r="C767" s="12"/>
      <c r="D767" s="12"/>
      <c r="E767" s="12"/>
      <c r="F767" s="12"/>
      <c r="G767" s="12"/>
      <c r="H767" s="12"/>
      <c r="I767" s="12"/>
      <c r="J767" s="12"/>
      <c r="K767" s="12"/>
      <c r="L767" s="13"/>
    </row>
    <row r="768" spans="1:13" x14ac:dyDescent="0.25">
      <c r="A768" s="6" t="s">
        <v>14</v>
      </c>
      <c r="B768" s="14"/>
      <c r="C768" s="14"/>
      <c r="D768" s="14"/>
      <c r="E768" s="14"/>
      <c r="F768" s="14"/>
      <c r="G768" s="14"/>
      <c r="H768" s="14"/>
      <c r="I768" s="14"/>
      <c r="J768" s="14"/>
      <c r="K768" s="14"/>
      <c r="L768" s="15"/>
    </row>
    <row r="769" spans="1:13" x14ac:dyDescent="0.25">
      <c r="A769" s="35" t="s">
        <v>27</v>
      </c>
      <c r="B769" s="14">
        <f>B770+B771</f>
        <v>0</v>
      </c>
      <c r="C769" s="14">
        <f t="shared" ref="C769:L769" si="388">C770+C771</f>
        <v>0</v>
      </c>
      <c r="D769" s="14">
        <f t="shared" si="388"/>
        <v>0</v>
      </c>
      <c r="E769" s="14">
        <f t="shared" si="388"/>
        <v>0</v>
      </c>
      <c r="F769" s="14">
        <f t="shared" si="388"/>
        <v>0</v>
      </c>
      <c r="G769" s="14">
        <f t="shared" si="388"/>
        <v>0</v>
      </c>
      <c r="H769" s="14">
        <f t="shared" si="388"/>
        <v>0</v>
      </c>
      <c r="I769" s="14">
        <f t="shared" si="388"/>
        <v>0</v>
      </c>
      <c r="J769" s="14">
        <f t="shared" si="388"/>
        <v>0</v>
      </c>
      <c r="K769" s="14">
        <f t="shared" si="388"/>
        <v>0</v>
      </c>
      <c r="L769" s="15">
        <f t="shared" si="388"/>
        <v>0</v>
      </c>
    </row>
    <row r="770" spans="1:13" x14ac:dyDescent="0.25">
      <c r="A770" s="6" t="s">
        <v>11</v>
      </c>
      <c r="B770" s="54">
        <f>SUM(C770:L770)</f>
        <v>0</v>
      </c>
      <c r="C770" s="54">
        <v>0</v>
      </c>
      <c r="D770" s="54">
        <v>0</v>
      </c>
      <c r="E770" s="54">
        <v>0</v>
      </c>
      <c r="F770" s="54">
        <v>0</v>
      </c>
      <c r="G770" s="54">
        <v>0</v>
      </c>
      <c r="H770" s="54">
        <v>0</v>
      </c>
      <c r="I770" s="54">
        <v>0</v>
      </c>
      <c r="J770" s="54">
        <v>0</v>
      </c>
      <c r="K770" s="54">
        <v>0</v>
      </c>
      <c r="L770" s="17">
        <v>0</v>
      </c>
    </row>
    <row r="771" spans="1:13" ht="39" customHeight="1" thickBot="1" x14ac:dyDescent="0.3">
      <c r="A771" s="7" t="s">
        <v>12</v>
      </c>
      <c r="B771" s="30">
        <f>SUM(C771:L771)</f>
        <v>0</v>
      </c>
      <c r="C771" s="30">
        <v>0</v>
      </c>
      <c r="D771" s="30">
        <v>0</v>
      </c>
      <c r="E771" s="30">
        <v>0</v>
      </c>
      <c r="F771" s="30">
        <v>0</v>
      </c>
      <c r="G771" s="30">
        <v>0</v>
      </c>
      <c r="H771" s="30">
        <v>0</v>
      </c>
      <c r="I771" s="30">
        <v>0</v>
      </c>
      <c r="J771" s="30">
        <v>0</v>
      </c>
      <c r="K771" s="30">
        <v>0</v>
      </c>
      <c r="L771" s="31">
        <v>0</v>
      </c>
    </row>
    <row r="772" spans="1:13" x14ac:dyDescent="0.25">
      <c r="A772" s="219" t="s">
        <v>165</v>
      </c>
      <c r="B772" s="220"/>
      <c r="C772" s="220"/>
      <c r="D772" s="220"/>
      <c r="E772" s="220"/>
      <c r="F772" s="220"/>
      <c r="G772" s="220"/>
      <c r="H772" s="220"/>
      <c r="I772" s="220"/>
      <c r="J772" s="220"/>
      <c r="K772" s="220"/>
      <c r="L772" s="221"/>
      <c r="M772" s="216" t="s">
        <v>184</v>
      </c>
    </row>
    <row r="773" spans="1:13" x14ac:dyDescent="0.25">
      <c r="A773" s="38" t="s">
        <v>5</v>
      </c>
      <c r="B773" s="60">
        <f>B774+B775+B776+B777</f>
        <v>30000</v>
      </c>
      <c r="C773" s="60">
        <f t="shared" ref="C773:L773" si="389">C774+C775+C776+C777</f>
        <v>0</v>
      </c>
      <c r="D773" s="60">
        <f t="shared" si="389"/>
        <v>0</v>
      </c>
      <c r="E773" s="60">
        <f t="shared" si="389"/>
        <v>0</v>
      </c>
      <c r="F773" s="60">
        <f t="shared" si="389"/>
        <v>0</v>
      </c>
      <c r="G773" s="60">
        <f t="shared" si="389"/>
        <v>0</v>
      </c>
      <c r="H773" s="60">
        <f t="shared" si="389"/>
        <v>3000</v>
      </c>
      <c r="I773" s="60">
        <f t="shared" si="389"/>
        <v>6000</v>
      </c>
      <c r="J773" s="60">
        <f t="shared" si="389"/>
        <v>9000</v>
      </c>
      <c r="K773" s="60">
        <f t="shared" si="389"/>
        <v>9000</v>
      </c>
      <c r="L773" s="61">
        <f t="shared" si="389"/>
        <v>3000</v>
      </c>
      <c r="M773" s="216"/>
    </row>
    <row r="774" spans="1:13" x14ac:dyDescent="0.25">
      <c r="A774" s="39" t="s">
        <v>6</v>
      </c>
      <c r="B774" s="77">
        <f>SUM(C774:L774)</f>
        <v>0</v>
      </c>
      <c r="C774" s="77">
        <v>0</v>
      </c>
      <c r="D774" s="77">
        <v>0</v>
      </c>
      <c r="E774" s="77">
        <v>0</v>
      </c>
      <c r="F774" s="77">
        <v>0</v>
      </c>
      <c r="G774" s="77">
        <v>0</v>
      </c>
      <c r="H774" s="77">
        <v>0</v>
      </c>
      <c r="I774" s="77">
        <v>0</v>
      </c>
      <c r="J774" s="77">
        <v>0</v>
      </c>
      <c r="K774" s="77">
        <v>0</v>
      </c>
      <c r="L774" s="79">
        <v>0</v>
      </c>
      <c r="M774" s="216"/>
    </row>
    <row r="775" spans="1:13" ht="16.5" customHeight="1" x14ac:dyDescent="0.25">
      <c r="A775" s="39" t="s">
        <v>7</v>
      </c>
      <c r="B775" s="77">
        <f>SUM(C775:L775)</f>
        <v>0</v>
      </c>
      <c r="C775" s="77">
        <v>0</v>
      </c>
      <c r="D775" s="77">
        <v>0</v>
      </c>
      <c r="E775" s="77">
        <v>0</v>
      </c>
      <c r="F775" s="77">
        <v>0</v>
      </c>
      <c r="G775" s="77">
        <v>0</v>
      </c>
      <c r="H775" s="77">
        <v>0</v>
      </c>
      <c r="I775" s="77">
        <v>0</v>
      </c>
      <c r="J775" s="77">
        <v>0</v>
      </c>
      <c r="K775" s="77">
        <v>0</v>
      </c>
      <c r="L775" s="79">
        <v>0</v>
      </c>
      <c r="M775" s="216"/>
    </row>
    <row r="776" spans="1:13" ht="26.25" x14ac:dyDescent="0.25">
      <c r="A776" s="39" t="s">
        <v>8</v>
      </c>
      <c r="B776" s="77">
        <f>SUM(C776:L776)</f>
        <v>0</v>
      </c>
      <c r="C776" s="77">
        <v>0</v>
      </c>
      <c r="D776" s="77">
        <v>0</v>
      </c>
      <c r="E776" s="77">
        <v>0</v>
      </c>
      <c r="F776" s="77">
        <v>0</v>
      </c>
      <c r="G776" s="77">
        <v>0</v>
      </c>
      <c r="H776" s="77">
        <v>0</v>
      </c>
      <c r="I776" s="77">
        <v>0</v>
      </c>
      <c r="J776" s="77">
        <v>0</v>
      </c>
      <c r="K776" s="77">
        <v>0</v>
      </c>
      <c r="L776" s="79">
        <v>0</v>
      </c>
      <c r="M776" s="216"/>
    </row>
    <row r="777" spans="1:13" x14ac:dyDescent="0.25">
      <c r="A777" s="38" t="s">
        <v>9</v>
      </c>
      <c r="B777" s="60">
        <f>B783</f>
        <v>30000</v>
      </c>
      <c r="C777" s="60">
        <f t="shared" ref="C777:L777" si="390">C783</f>
        <v>0</v>
      </c>
      <c r="D777" s="60">
        <f t="shared" si="390"/>
        <v>0</v>
      </c>
      <c r="E777" s="60">
        <f t="shared" si="390"/>
        <v>0</v>
      </c>
      <c r="F777" s="60">
        <f t="shared" si="390"/>
        <v>0</v>
      </c>
      <c r="G777" s="60">
        <f t="shared" si="390"/>
        <v>0</v>
      </c>
      <c r="H777" s="60">
        <f t="shared" si="390"/>
        <v>3000</v>
      </c>
      <c r="I777" s="60">
        <f t="shared" si="390"/>
        <v>6000</v>
      </c>
      <c r="J777" s="60">
        <f t="shared" si="390"/>
        <v>9000</v>
      </c>
      <c r="K777" s="60">
        <f t="shared" si="390"/>
        <v>9000</v>
      </c>
      <c r="L777" s="61">
        <f t="shared" si="390"/>
        <v>3000</v>
      </c>
      <c r="M777" s="216"/>
    </row>
    <row r="778" spans="1:13" x14ac:dyDescent="0.25">
      <c r="A778" s="39" t="s">
        <v>10</v>
      </c>
      <c r="B778" s="77"/>
      <c r="C778" s="77"/>
      <c r="D778" s="77"/>
      <c r="E778" s="77"/>
      <c r="F778" s="77"/>
      <c r="G778" s="77"/>
      <c r="H778" s="77"/>
      <c r="I778" s="77"/>
      <c r="J778" s="77"/>
      <c r="K778" s="77"/>
      <c r="L778" s="79"/>
      <c r="M778" s="216"/>
    </row>
    <row r="779" spans="1:13" x14ac:dyDescent="0.25">
      <c r="A779" s="39" t="s">
        <v>11</v>
      </c>
      <c r="B779" s="40">
        <f>B784</f>
        <v>0</v>
      </c>
      <c r="C779" s="40">
        <f t="shared" ref="C779:L779" si="391">C784</f>
        <v>0</v>
      </c>
      <c r="D779" s="40">
        <f t="shared" si="391"/>
        <v>0</v>
      </c>
      <c r="E779" s="40">
        <f t="shared" si="391"/>
        <v>0</v>
      </c>
      <c r="F779" s="40">
        <f t="shared" si="391"/>
        <v>0</v>
      </c>
      <c r="G779" s="40">
        <f t="shared" si="391"/>
        <v>0</v>
      </c>
      <c r="H779" s="40">
        <f t="shared" si="391"/>
        <v>0</v>
      </c>
      <c r="I779" s="40">
        <f t="shared" si="391"/>
        <v>0</v>
      </c>
      <c r="J779" s="40">
        <f t="shared" si="391"/>
        <v>0</v>
      </c>
      <c r="K779" s="40">
        <f t="shared" si="391"/>
        <v>0</v>
      </c>
      <c r="L779" s="41">
        <f t="shared" si="391"/>
        <v>0</v>
      </c>
      <c r="M779" s="216"/>
    </row>
    <row r="780" spans="1:13" ht="39.75" thickBot="1" x14ac:dyDescent="0.3">
      <c r="A780" s="80" t="s">
        <v>12</v>
      </c>
      <c r="B780" s="81">
        <f>B785</f>
        <v>30000</v>
      </c>
      <c r="C780" s="81">
        <f t="shared" ref="C780:L780" si="392">C785</f>
        <v>0</v>
      </c>
      <c r="D780" s="81">
        <f t="shared" si="392"/>
        <v>0</v>
      </c>
      <c r="E780" s="81">
        <f t="shared" si="392"/>
        <v>0</v>
      </c>
      <c r="F780" s="81">
        <f t="shared" si="392"/>
        <v>0</v>
      </c>
      <c r="G780" s="81">
        <f t="shared" si="392"/>
        <v>0</v>
      </c>
      <c r="H780" s="81">
        <f t="shared" si="392"/>
        <v>3000</v>
      </c>
      <c r="I780" s="81">
        <f t="shared" si="392"/>
        <v>6000</v>
      </c>
      <c r="J780" s="81">
        <f t="shared" si="392"/>
        <v>9000</v>
      </c>
      <c r="K780" s="81">
        <f t="shared" si="392"/>
        <v>9000</v>
      </c>
      <c r="L780" s="82">
        <f t="shared" si="392"/>
        <v>3000</v>
      </c>
      <c r="M780" s="216"/>
    </row>
    <row r="781" spans="1:13" x14ac:dyDescent="0.25">
      <c r="A781" s="5" t="s">
        <v>13</v>
      </c>
      <c r="B781" s="12"/>
      <c r="C781" s="12"/>
      <c r="D781" s="12"/>
      <c r="E781" s="12"/>
      <c r="F781" s="12"/>
      <c r="G781" s="12"/>
      <c r="H781" s="12"/>
      <c r="I781" s="12"/>
      <c r="J781" s="12"/>
      <c r="K781" s="12"/>
      <c r="L781" s="13"/>
    </row>
    <row r="782" spans="1:13" x14ac:dyDescent="0.25">
      <c r="A782" s="6" t="s">
        <v>14</v>
      </c>
      <c r="B782" s="14"/>
      <c r="C782" s="14"/>
      <c r="D782" s="14"/>
      <c r="E782" s="14"/>
      <c r="F782" s="14"/>
      <c r="G782" s="14"/>
      <c r="H782" s="14"/>
      <c r="I782" s="14"/>
      <c r="J782" s="14"/>
      <c r="K782" s="14"/>
      <c r="L782" s="15"/>
    </row>
    <row r="783" spans="1:13" x14ac:dyDescent="0.25">
      <c r="A783" s="35" t="s">
        <v>27</v>
      </c>
      <c r="B783" s="14">
        <f>B784+B785</f>
        <v>30000</v>
      </c>
      <c r="C783" s="14">
        <f t="shared" ref="C783:L783" si="393">C784+C785</f>
        <v>0</v>
      </c>
      <c r="D783" s="14">
        <f t="shared" si="393"/>
        <v>0</v>
      </c>
      <c r="E783" s="14">
        <f t="shared" si="393"/>
        <v>0</v>
      </c>
      <c r="F783" s="14">
        <f t="shared" si="393"/>
        <v>0</v>
      </c>
      <c r="G783" s="14">
        <f t="shared" si="393"/>
        <v>0</v>
      </c>
      <c r="H783" s="14">
        <f t="shared" si="393"/>
        <v>3000</v>
      </c>
      <c r="I783" s="14">
        <f t="shared" si="393"/>
        <v>6000</v>
      </c>
      <c r="J783" s="14">
        <f t="shared" si="393"/>
        <v>9000</v>
      </c>
      <c r="K783" s="14">
        <f t="shared" si="393"/>
        <v>9000</v>
      </c>
      <c r="L783" s="15">
        <f t="shared" si="393"/>
        <v>3000</v>
      </c>
    </row>
    <row r="784" spans="1:13" x14ac:dyDescent="0.25">
      <c r="A784" s="6" t="s">
        <v>11</v>
      </c>
      <c r="B784" s="54">
        <f>SUM(C784:L784)</f>
        <v>0</v>
      </c>
      <c r="C784" s="54">
        <v>0</v>
      </c>
      <c r="D784" s="54">
        <v>0</v>
      </c>
      <c r="E784" s="54">
        <v>0</v>
      </c>
      <c r="F784" s="54">
        <v>0</v>
      </c>
      <c r="G784" s="54">
        <v>0</v>
      </c>
      <c r="H784" s="54">
        <v>0</v>
      </c>
      <c r="I784" s="54">
        <v>0</v>
      </c>
      <c r="J784" s="54">
        <v>0</v>
      </c>
      <c r="K784" s="54">
        <v>0</v>
      </c>
      <c r="L784" s="17">
        <v>0</v>
      </c>
    </row>
    <row r="785" spans="1:13" ht="38.25" customHeight="1" thickBot="1" x14ac:dyDescent="0.3">
      <c r="A785" s="7" t="s">
        <v>12</v>
      </c>
      <c r="B785" s="30">
        <f>SUM(C785:L785)</f>
        <v>30000</v>
      </c>
      <c r="C785" s="30">
        <v>0</v>
      </c>
      <c r="D785" s="30">
        <v>0</v>
      </c>
      <c r="E785" s="30">
        <v>0</v>
      </c>
      <c r="F785" s="30">
        <v>0</v>
      </c>
      <c r="G785" s="30">
        <v>0</v>
      </c>
      <c r="H785" s="30">
        <v>3000</v>
      </c>
      <c r="I785" s="30">
        <v>6000</v>
      </c>
      <c r="J785" s="30">
        <v>9000</v>
      </c>
      <c r="K785" s="30">
        <v>9000</v>
      </c>
      <c r="L785" s="31">
        <v>3000</v>
      </c>
    </row>
    <row r="786" spans="1:13" x14ac:dyDescent="0.25">
      <c r="A786" s="219" t="s">
        <v>166</v>
      </c>
      <c r="B786" s="220"/>
      <c r="C786" s="220"/>
      <c r="D786" s="220"/>
      <c r="E786" s="220"/>
      <c r="F786" s="220"/>
      <c r="G786" s="220"/>
      <c r="H786" s="220"/>
      <c r="I786" s="220"/>
      <c r="J786" s="220"/>
      <c r="K786" s="220"/>
      <c r="L786" s="221"/>
    </row>
    <row r="787" spans="1:13" x14ac:dyDescent="0.25">
      <c r="A787" s="38" t="s">
        <v>5</v>
      </c>
      <c r="B787" s="60">
        <f>B788+B789+B790+B791</f>
        <v>300000</v>
      </c>
      <c r="C787" s="60">
        <f t="shared" ref="C787:L787" si="394">C788+C789+C790+C791</f>
        <v>0</v>
      </c>
      <c r="D787" s="60">
        <f t="shared" si="394"/>
        <v>0</v>
      </c>
      <c r="E787" s="60">
        <f t="shared" si="394"/>
        <v>0</v>
      </c>
      <c r="F787" s="60">
        <f t="shared" si="394"/>
        <v>0</v>
      </c>
      <c r="G787" s="60">
        <f t="shared" si="394"/>
        <v>50000</v>
      </c>
      <c r="H787" s="60">
        <f t="shared" si="394"/>
        <v>50000</v>
      </c>
      <c r="I787" s="60">
        <f t="shared" si="394"/>
        <v>50000</v>
      </c>
      <c r="J787" s="60">
        <f t="shared" si="394"/>
        <v>50000</v>
      </c>
      <c r="K787" s="60">
        <f t="shared" si="394"/>
        <v>50000</v>
      </c>
      <c r="L787" s="61">
        <f t="shared" si="394"/>
        <v>50000</v>
      </c>
    </row>
    <row r="788" spans="1:13" x14ac:dyDescent="0.25">
      <c r="A788" s="39" t="s">
        <v>6</v>
      </c>
      <c r="B788" s="77">
        <f>SUM(C788:L788)</f>
        <v>0</v>
      </c>
      <c r="C788" s="77">
        <v>0</v>
      </c>
      <c r="D788" s="77">
        <v>0</v>
      </c>
      <c r="E788" s="77">
        <v>0</v>
      </c>
      <c r="F788" s="77">
        <v>0</v>
      </c>
      <c r="G788" s="77">
        <v>0</v>
      </c>
      <c r="H788" s="77">
        <v>0</v>
      </c>
      <c r="I788" s="77">
        <v>0</v>
      </c>
      <c r="J788" s="77">
        <v>0</v>
      </c>
      <c r="K788" s="77">
        <v>0</v>
      </c>
      <c r="L788" s="79">
        <v>0</v>
      </c>
    </row>
    <row r="789" spans="1:13" x14ac:dyDescent="0.25">
      <c r="A789" s="39" t="s">
        <v>7</v>
      </c>
      <c r="B789" s="77">
        <f>SUM(C789:L789)</f>
        <v>0</v>
      </c>
      <c r="C789" s="77">
        <v>0</v>
      </c>
      <c r="D789" s="77">
        <v>0</v>
      </c>
      <c r="E789" s="77">
        <v>0</v>
      </c>
      <c r="F789" s="77">
        <v>0</v>
      </c>
      <c r="G789" s="77">
        <v>0</v>
      </c>
      <c r="H789" s="77">
        <v>0</v>
      </c>
      <c r="I789" s="77">
        <v>0</v>
      </c>
      <c r="J789" s="77">
        <v>0</v>
      </c>
      <c r="K789" s="77">
        <v>0</v>
      </c>
      <c r="L789" s="79">
        <v>0</v>
      </c>
    </row>
    <row r="790" spans="1:13" ht="26.25" x14ac:dyDescent="0.25">
      <c r="A790" s="39" t="s">
        <v>8</v>
      </c>
      <c r="B790" s="77">
        <f>SUM(C790:L790)</f>
        <v>0</v>
      </c>
      <c r="C790" s="77">
        <v>0</v>
      </c>
      <c r="D790" s="77">
        <v>0</v>
      </c>
      <c r="E790" s="77">
        <v>0</v>
      </c>
      <c r="F790" s="77">
        <v>0</v>
      </c>
      <c r="G790" s="77">
        <v>0</v>
      </c>
      <c r="H790" s="77">
        <v>0</v>
      </c>
      <c r="I790" s="77">
        <v>0</v>
      </c>
      <c r="J790" s="77">
        <v>0</v>
      </c>
      <c r="K790" s="77">
        <v>0</v>
      </c>
      <c r="L790" s="79">
        <v>0</v>
      </c>
    </row>
    <row r="791" spans="1:13" x14ac:dyDescent="0.25">
      <c r="A791" s="38" t="s">
        <v>9</v>
      </c>
      <c r="B791" s="60">
        <f>B797</f>
        <v>300000</v>
      </c>
      <c r="C791" s="60">
        <f t="shared" ref="C791:L791" si="395">C797</f>
        <v>0</v>
      </c>
      <c r="D791" s="60">
        <f t="shared" si="395"/>
        <v>0</v>
      </c>
      <c r="E791" s="60">
        <f t="shared" si="395"/>
        <v>0</v>
      </c>
      <c r="F791" s="60">
        <f t="shared" si="395"/>
        <v>0</v>
      </c>
      <c r="G791" s="60">
        <f t="shared" si="395"/>
        <v>50000</v>
      </c>
      <c r="H791" s="60">
        <f t="shared" si="395"/>
        <v>50000</v>
      </c>
      <c r="I791" s="60">
        <f t="shared" si="395"/>
        <v>50000</v>
      </c>
      <c r="J791" s="60">
        <f t="shared" si="395"/>
        <v>50000</v>
      </c>
      <c r="K791" s="60">
        <f t="shared" si="395"/>
        <v>50000</v>
      </c>
      <c r="L791" s="61">
        <f t="shared" si="395"/>
        <v>50000</v>
      </c>
    </row>
    <row r="792" spans="1:13" x14ac:dyDescent="0.25">
      <c r="A792" s="39" t="s">
        <v>10</v>
      </c>
      <c r="B792" s="77"/>
      <c r="C792" s="77"/>
      <c r="D792" s="77"/>
      <c r="E792" s="77"/>
      <c r="F792" s="77"/>
      <c r="G792" s="77"/>
      <c r="H792" s="77"/>
      <c r="I792" s="77"/>
      <c r="J792" s="77"/>
      <c r="K792" s="77"/>
      <c r="L792" s="79"/>
    </row>
    <row r="793" spans="1:13" x14ac:dyDescent="0.25">
      <c r="A793" s="39" t="s">
        <v>11</v>
      </c>
      <c r="B793" s="40">
        <f>B798</f>
        <v>300000</v>
      </c>
      <c r="C793" s="40">
        <f t="shared" ref="C793:L793" si="396">C798</f>
        <v>0</v>
      </c>
      <c r="D793" s="40">
        <f t="shared" si="396"/>
        <v>0</v>
      </c>
      <c r="E793" s="40">
        <f t="shared" si="396"/>
        <v>0</v>
      </c>
      <c r="F793" s="40">
        <f t="shared" si="396"/>
        <v>0</v>
      </c>
      <c r="G793" s="40">
        <f t="shared" si="396"/>
        <v>50000</v>
      </c>
      <c r="H793" s="40">
        <f t="shared" si="396"/>
        <v>50000</v>
      </c>
      <c r="I793" s="40">
        <f t="shared" si="396"/>
        <v>50000</v>
      </c>
      <c r="J793" s="40">
        <f t="shared" si="396"/>
        <v>50000</v>
      </c>
      <c r="K793" s="40">
        <f t="shared" si="396"/>
        <v>50000</v>
      </c>
      <c r="L793" s="41">
        <f t="shared" si="396"/>
        <v>50000</v>
      </c>
    </row>
    <row r="794" spans="1:13" ht="39.75" thickBot="1" x14ac:dyDescent="0.3">
      <c r="A794" s="62" t="s">
        <v>12</v>
      </c>
      <c r="B794" s="63">
        <f>B799</f>
        <v>0</v>
      </c>
      <c r="C794" s="63">
        <f t="shared" ref="C794:L794" si="397">C799</f>
        <v>0</v>
      </c>
      <c r="D794" s="63">
        <f t="shared" si="397"/>
        <v>0</v>
      </c>
      <c r="E794" s="63">
        <f t="shared" si="397"/>
        <v>0</v>
      </c>
      <c r="F794" s="63">
        <f t="shared" si="397"/>
        <v>0</v>
      </c>
      <c r="G794" s="63">
        <f t="shared" si="397"/>
        <v>0</v>
      </c>
      <c r="H794" s="63">
        <f t="shared" si="397"/>
        <v>0</v>
      </c>
      <c r="I794" s="63">
        <f t="shared" si="397"/>
        <v>0</v>
      </c>
      <c r="J794" s="63">
        <f t="shared" si="397"/>
        <v>0</v>
      </c>
      <c r="K794" s="63">
        <f t="shared" si="397"/>
        <v>0</v>
      </c>
      <c r="L794" s="64">
        <f t="shared" si="397"/>
        <v>0</v>
      </c>
    </row>
    <row r="795" spans="1:13" x14ac:dyDescent="0.25">
      <c r="A795" s="5" t="s">
        <v>13</v>
      </c>
      <c r="B795" s="12"/>
      <c r="C795" s="12"/>
      <c r="D795" s="12"/>
      <c r="E795" s="12"/>
      <c r="F795" s="12"/>
      <c r="G795" s="12"/>
      <c r="H795" s="12"/>
      <c r="I795" s="12"/>
      <c r="J795" s="12"/>
      <c r="K795" s="12"/>
      <c r="L795" s="13"/>
    </row>
    <row r="796" spans="1:13" x14ac:dyDescent="0.25">
      <c r="A796" s="6" t="s">
        <v>14</v>
      </c>
      <c r="B796" s="14"/>
      <c r="C796" s="14"/>
      <c r="D796" s="14"/>
      <c r="E796" s="14"/>
      <c r="F796" s="14"/>
      <c r="G796" s="14"/>
      <c r="H796" s="14"/>
      <c r="I796" s="14"/>
      <c r="J796" s="14"/>
      <c r="K796" s="14"/>
      <c r="L796" s="15"/>
    </row>
    <row r="797" spans="1:13" x14ac:dyDescent="0.25">
      <c r="A797" s="35" t="s">
        <v>27</v>
      </c>
      <c r="B797" s="14">
        <f>B798+B799</f>
        <v>300000</v>
      </c>
      <c r="C797" s="14">
        <f t="shared" ref="C797:L797" si="398">C798+C799</f>
        <v>0</v>
      </c>
      <c r="D797" s="14">
        <f t="shared" si="398"/>
        <v>0</v>
      </c>
      <c r="E797" s="14">
        <f t="shared" si="398"/>
        <v>0</v>
      </c>
      <c r="F797" s="14">
        <f t="shared" si="398"/>
        <v>0</v>
      </c>
      <c r="G797" s="14">
        <f t="shared" si="398"/>
        <v>50000</v>
      </c>
      <c r="H797" s="14">
        <f t="shared" si="398"/>
        <v>50000</v>
      </c>
      <c r="I797" s="14">
        <f t="shared" si="398"/>
        <v>50000</v>
      </c>
      <c r="J797" s="14">
        <f t="shared" si="398"/>
        <v>50000</v>
      </c>
      <c r="K797" s="14">
        <f t="shared" si="398"/>
        <v>50000</v>
      </c>
      <c r="L797" s="15">
        <f t="shared" si="398"/>
        <v>50000</v>
      </c>
    </row>
    <row r="798" spans="1:13" x14ac:dyDescent="0.25">
      <c r="A798" s="6" t="s">
        <v>11</v>
      </c>
      <c r="B798" s="54">
        <f>SUM(C798:L798)</f>
        <v>300000</v>
      </c>
      <c r="C798" s="54">
        <v>0</v>
      </c>
      <c r="D798" s="54">
        <v>0</v>
      </c>
      <c r="E798" s="54">
        <v>0</v>
      </c>
      <c r="F798" s="54">
        <v>0</v>
      </c>
      <c r="G798" s="54">
        <v>50000</v>
      </c>
      <c r="H798" s="54">
        <f>G798</f>
        <v>50000</v>
      </c>
      <c r="I798" s="54">
        <f t="shared" ref="I798:L798" si="399">H798</f>
        <v>50000</v>
      </c>
      <c r="J798" s="54">
        <f t="shared" si="399"/>
        <v>50000</v>
      </c>
      <c r="K798" s="54">
        <f t="shared" si="399"/>
        <v>50000</v>
      </c>
      <c r="L798" s="17">
        <f t="shared" si="399"/>
        <v>50000</v>
      </c>
    </row>
    <row r="799" spans="1:13" ht="38.25" customHeight="1" thickBot="1" x14ac:dyDescent="0.3">
      <c r="A799" s="7" t="s">
        <v>12</v>
      </c>
      <c r="B799" s="30">
        <f>SUM(C799:L799)</f>
        <v>0</v>
      </c>
      <c r="C799" s="30">
        <v>0</v>
      </c>
      <c r="D799" s="30">
        <v>0</v>
      </c>
      <c r="E799" s="30">
        <v>0</v>
      </c>
      <c r="F799" s="30">
        <v>0</v>
      </c>
      <c r="G799" s="30">
        <v>0</v>
      </c>
      <c r="H799" s="30">
        <v>0</v>
      </c>
      <c r="I799" s="30">
        <v>0</v>
      </c>
      <c r="J799" s="30">
        <v>0</v>
      </c>
      <c r="K799" s="30">
        <v>0</v>
      </c>
      <c r="L799" s="31">
        <v>0</v>
      </c>
    </row>
    <row r="800" spans="1:13" ht="25.5" customHeight="1" x14ac:dyDescent="0.25">
      <c r="A800" s="219" t="s">
        <v>167</v>
      </c>
      <c r="B800" s="220"/>
      <c r="C800" s="220"/>
      <c r="D800" s="220"/>
      <c r="E800" s="220"/>
      <c r="F800" s="220"/>
      <c r="G800" s="220"/>
      <c r="H800" s="220"/>
      <c r="I800" s="220"/>
      <c r="J800" s="220"/>
      <c r="K800" s="220"/>
      <c r="L800" s="221"/>
      <c r="M800" s="216" t="s">
        <v>185</v>
      </c>
    </row>
    <row r="801" spans="1:13" x14ac:dyDescent="0.25">
      <c r="A801" s="38" t="s">
        <v>5</v>
      </c>
      <c r="B801" s="60">
        <f>B802+B803+B804+B805</f>
        <v>0</v>
      </c>
      <c r="C801" s="60">
        <f t="shared" ref="C801:L801" si="400">C802+C803+C804+C805</f>
        <v>0</v>
      </c>
      <c r="D801" s="60">
        <f t="shared" si="400"/>
        <v>0</v>
      </c>
      <c r="E801" s="60">
        <f t="shared" si="400"/>
        <v>0</v>
      </c>
      <c r="F801" s="60">
        <f t="shared" si="400"/>
        <v>0</v>
      </c>
      <c r="G801" s="60">
        <f t="shared" si="400"/>
        <v>0</v>
      </c>
      <c r="H801" s="60">
        <f t="shared" si="400"/>
        <v>0</v>
      </c>
      <c r="I801" s="60">
        <f t="shared" si="400"/>
        <v>0</v>
      </c>
      <c r="J801" s="60">
        <f t="shared" si="400"/>
        <v>0</v>
      </c>
      <c r="K801" s="60">
        <f t="shared" si="400"/>
        <v>0</v>
      </c>
      <c r="L801" s="61">
        <f t="shared" si="400"/>
        <v>0</v>
      </c>
      <c r="M801" s="216"/>
    </row>
    <row r="802" spans="1:13" x14ac:dyDescent="0.25">
      <c r="A802" s="39" t="s">
        <v>6</v>
      </c>
      <c r="B802" s="77">
        <f>SUM(C802:L802)</f>
        <v>0</v>
      </c>
      <c r="C802" s="77">
        <v>0</v>
      </c>
      <c r="D802" s="77">
        <v>0</v>
      </c>
      <c r="E802" s="77">
        <v>0</v>
      </c>
      <c r="F802" s="77">
        <v>0</v>
      </c>
      <c r="G802" s="77">
        <v>0</v>
      </c>
      <c r="H802" s="77">
        <v>0</v>
      </c>
      <c r="I802" s="77">
        <v>0</v>
      </c>
      <c r="J802" s="77">
        <v>0</v>
      </c>
      <c r="K802" s="77">
        <v>0</v>
      </c>
      <c r="L802" s="79">
        <v>0</v>
      </c>
      <c r="M802" s="216"/>
    </row>
    <row r="803" spans="1:13" x14ac:dyDescent="0.25">
      <c r="A803" s="39" t="s">
        <v>7</v>
      </c>
      <c r="B803" s="77">
        <f>SUM(C803:L803)</f>
        <v>0</v>
      </c>
      <c r="C803" s="77">
        <v>0</v>
      </c>
      <c r="D803" s="77">
        <v>0</v>
      </c>
      <c r="E803" s="77">
        <v>0</v>
      </c>
      <c r="F803" s="77">
        <v>0</v>
      </c>
      <c r="G803" s="77">
        <v>0</v>
      </c>
      <c r="H803" s="77">
        <v>0</v>
      </c>
      <c r="I803" s="77">
        <v>0</v>
      </c>
      <c r="J803" s="77">
        <v>0</v>
      </c>
      <c r="K803" s="77">
        <v>0</v>
      </c>
      <c r="L803" s="79">
        <v>0</v>
      </c>
      <c r="M803" s="216"/>
    </row>
    <row r="804" spans="1:13" ht="26.25" x14ac:dyDescent="0.25">
      <c r="A804" s="39" t="s">
        <v>8</v>
      </c>
      <c r="B804" s="77">
        <f>SUM(C804:L804)</f>
        <v>0</v>
      </c>
      <c r="C804" s="77">
        <v>0</v>
      </c>
      <c r="D804" s="77">
        <v>0</v>
      </c>
      <c r="E804" s="77">
        <v>0</v>
      </c>
      <c r="F804" s="77">
        <v>0</v>
      </c>
      <c r="G804" s="77">
        <v>0</v>
      </c>
      <c r="H804" s="77">
        <v>0</v>
      </c>
      <c r="I804" s="77">
        <v>0</v>
      </c>
      <c r="J804" s="77">
        <v>0</v>
      </c>
      <c r="K804" s="77">
        <v>0</v>
      </c>
      <c r="L804" s="79">
        <v>0</v>
      </c>
      <c r="M804" s="216"/>
    </row>
    <row r="805" spans="1:13" x14ac:dyDescent="0.25">
      <c r="A805" s="38" t="s">
        <v>9</v>
      </c>
      <c r="B805" s="60">
        <f>B811</f>
        <v>0</v>
      </c>
      <c r="C805" s="60">
        <f t="shared" ref="C805:L805" si="401">C811</f>
        <v>0</v>
      </c>
      <c r="D805" s="60">
        <f t="shared" si="401"/>
        <v>0</v>
      </c>
      <c r="E805" s="60">
        <f t="shared" si="401"/>
        <v>0</v>
      </c>
      <c r="F805" s="60">
        <f t="shared" si="401"/>
        <v>0</v>
      </c>
      <c r="G805" s="60">
        <f t="shared" si="401"/>
        <v>0</v>
      </c>
      <c r="H805" s="60">
        <f t="shared" si="401"/>
        <v>0</v>
      </c>
      <c r="I805" s="60">
        <f t="shared" si="401"/>
        <v>0</v>
      </c>
      <c r="J805" s="60">
        <f t="shared" si="401"/>
        <v>0</v>
      </c>
      <c r="K805" s="60">
        <f t="shared" si="401"/>
        <v>0</v>
      </c>
      <c r="L805" s="61">
        <f t="shared" si="401"/>
        <v>0</v>
      </c>
      <c r="M805" s="216"/>
    </row>
    <row r="806" spans="1:13" x14ac:dyDescent="0.25">
      <c r="A806" s="39" t="s">
        <v>10</v>
      </c>
      <c r="B806" s="77"/>
      <c r="C806" s="77"/>
      <c r="D806" s="77"/>
      <c r="E806" s="77"/>
      <c r="F806" s="77"/>
      <c r="G806" s="77"/>
      <c r="H806" s="77"/>
      <c r="I806" s="77"/>
      <c r="J806" s="77"/>
      <c r="K806" s="77"/>
      <c r="L806" s="79"/>
      <c r="M806" s="216"/>
    </row>
    <row r="807" spans="1:13" x14ac:dyDescent="0.25">
      <c r="A807" s="39" t="s">
        <v>11</v>
      </c>
      <c r="B807" s="40">
        <f>B812</f>
        <v>0</v>
      </c>
      <c r="C807" s="40">
        <f t="shared" ref="C807:L807" si="402">C812</f>
        <v>0</v>
      </c>
      <c r="D807" s="40">
        <f t="shared" si="402"/>
        <v>0</v>
      </c>
      <c r="E807" s="40">
        <f t="shared" si="402"/>
        <v>0</v>
      </c>
      <c r="F807" s="40">
        <f t="shared" si="402"/>
        <v>0</v>
      </c>
      <c r="G807" s="40">
        <f t="shared" si="402"/>
        <v>0</v>
      </c>
      <c r="H807" s="40">
        <f t="shared" si="402"/>
        <v>0</v>
      </c>
      <c r="I807" s="40">
        <f t="shared" si="402"/>
        <v>0</v>
      </c>
      <c r="J807" s="40">
        <f t="shared" si="402"/>
        <v>0</v>
      </c>
      <c r="K807" s="40">
        <f t="shared" si="402"/>
        <v>0</v>
      </c>
      <c r="L807" s="41">
        <f t="shared" si="402"/>
        <v>0</v>
      </c>
      <c r="M807" s="216"/>
    </row>
    <row r="808" spans="1:13" ht="39.75" thickBot="1" x14ac:dyDescent="0.3">
      <c r="A808" s="62" t="s">
        <v>12</v>
      </c>
      <c r="B808" s="63">
        <f>B813</f>
        <v>0</v>
      </c>
      <c r="C808" s="63">
        <f t="shared" ref="C808:L808" si="403">C813</f>
        <v>0</v>
      </c>
      <c r="D808" s="63">
        <f t="shared" si="403"/>
        <v>0</v>
      </c>
      <c r="E808" s="63">
        <f t="shared" si="403"/>
        <v>0</v>
      </c>
      <c r="F808" s="63">
        <f t="shared" si="403"/>
        <v>0</v>
      </c>
      <c r="G808" s="63">
        <f t="shared" si="403"/>
        <v>0</v>
      </c>
      <c r="H808" s="63">
        <f t="shared" si="403"/>
        <v>0</v>
      </c>
      <c r="I808" s="63">
        <f t="shared" si="403"/>
        <v>0</v>
      </c>
      <c r="J808" s="63">
        <f t="shared" si="403"/>
        <v>0</v>
      </c>
      <c r="K808" s="63">
        <f t="shared" si="403"/>
        <v>0</v>
      </c>
      <c r="L808" s="64">
        <f t="shared" si="403"/>
        <v>0</v>
      </c>
      <c r="M808" s="216"/>
    </row>
    <row r="809" spans="1:13" x14ac:dyDescent="0.25">
      <c r="A809" s="5" t="s">
        <v>13</v>
      </c>
      <c r="B809" s="12"/>
      <c r="C809" s="12"/>
      <c r="D809" s="12"/>
      <c r="E809" s="12"/>
      <c r="F809" s="12"/>
      <c r="G809" s="12"/>
      <c r="H809" s="12"/>
      <c r="I809" s="12"/>
      <c r="J809" s="12"/>
      <c r="K809" s="12"/>
      <c r="L809" s="13"/>
    </row>
    <row r="810" spans="1:13" x14ac:dyDescent="0.25">
      <c r="A810" s="6" t="s">
        <v>14</v>
      </c>
      <c r="B810" s="14"/>
      <c r="C810" s="14"/>
      <c r="D810" s="14"/>
      <c r="E810" s="14"/>
      <c r="F810" s="14"/>
      <c r="G810" s="14"/>
      <c r="H810" s="14"/>
      <c r="I810" s="14"/>
      <c r="J810" s="14"/>
      <c r="K810" s="14"/>
      <c r="L810" s="15"/>
    </row>
    <row r="811" spans="1:13" x14ac:dyDescent="0.25">
      <c r="A811" s="35" t="s">
        <v>27</v>
      </c>
      <c r="B811" s="14">
        <f>B812+B813</f>
        <v>0</v>
      </c>
      <c r="C811" s="14">
        <f t="shared" ref="C811:L811" si="404">C812+C813</f>
        <v>0</v>
      </c>
      <c r="D811" s="14">
        <f t="shared" si="404"/>
        <v>0</v>
      </c>
      <c r="E811" s="14">
        <f t="shared" si="404"/>
        <v>0</v>
      </c>
      <c r="F811" s="14">
        <f t="shared" si="404"/>
        <v>0</v>
      </c>
      <c r="G811" s="14">
        <f t="shared" si="404"/>
        <v>0</v>
      </c>
      <c r="H811" s="14">
        <f t="shared" si="404"/>
        <v>0</v>
      </c>
      <c r="I811" s="14">
        <f t="shared" si="404"/>
        <v>0</v>
      </c>
      <c r="J811" s="14">
        <f t="shared" si="404"/>
        <v>0</v>
      </c>
      <c r="K811" s="14">
        <f t="shared" si="404"/>
        <v>0</v>
      </c>
      <c r="L811" s="15">
        <f t="shared" si="404"/>
        <v>0</v>
      </c>
    </row>
    <row r="812" spans="1:13" x14ac:dyDescent="0.25">
      <c r="A812" s="6" t="s">
        <v>11</v>
      </c>
      <c r="B812" s="54">
        <f>SUM(C812:L812)</f>
        <v>0</v>
      </c>
      <c r="C812" s="54">
        <v>0</v>
      </c>
      <c r="D812" s="54">
        <v>0</v>
      </c>
      <c r="E812" s="54">
        <v>0</v>
      </c>
      <c r="F812" s="54">
        <v>0</v>
      </c>
      <c r="G812" s="54">
        <v>0</v>
      </c>
      <c r="H812" s="54">
        <v>0</v>
      </c>
      <c r="I812" s="54">
        <v>0</v>
      </c>
      <c r="J812" s="54">
        <v>0</v>
      </c>
      <c r="K812" s="54">
        <v>0</v>
      </c>
      <c r="L812" s="17">
        <v>0</v>
      </c>
    </row>
    <row r="813" spans="1:13" ht="39" customHeight="1" thickBot="1" x14ac:dyDescent="0.3">
      <c r="A813" s="7" t="s">
        <v>12</v>
      </c>
      <c r="B813" s="30">
        <f>SUM(C813:L813)</f>
        <v>0</v>
      </c>
      <c r="C813" s="30">
        <v>0</v>
      </c>
      <c r="D813" s="30">
        <v>0</v>
      </c>
      <c r="E813" s="30">
        <v>0</v>
      </c>
      <c r="F813" s="30">
        <v>0</v>
      </c>
      <c r="G813" s="30">
        <v>0</v>
      </c>
      <c r="H813" s="30">
        <v>0</v>
      </c>
      <c r="I813" s="30">
        <v>0</v>
      </c>
      <c r="J813" s="30">
        <v>0</v>
      </c>
      <c r="K813" s="30">
        <v>0</v>
      </c>
      <c r="L813" s="31">
        <v>0</v>
      </c>
    </row>
    <row r="814" spans="1:13" ht="29.25" customHeight="1" x14ac:dyDescent="0.25">
      <c r="A814" s="219" t="s">
        <v>168</v>
      </c>
      <c r="B814" s="220"/>
      <c r="C814" s="220"/>
      <c r="D814" s="220"/>
      <c r="E814" s="220"/>
      <c r="F814" s="220"/>
      <c r="G814" s="220"/>
      <c r="H814" s="220"/>
      <c r="I814" s="220"/>
      <c r="J814" s="220"/>
      <c r="K814" s="220"/>
      <c r="L814" s="221"/>
      <c r="M814" s="216" t="s">
        <v>186</v>
      </c>
    </row>
    <row r="815" spans="1:13" x14ac:dyDescent="0.25">
      <c r="A815" s="38" t="s">
        <v>5</v>
      </c>
      <c r="B815" s="60">
        <f>B816+B817+B818+B819</f>
        <v>0</v>
      </c>
      <c r="C815" s="60">
        <f t="shared" ref="C815:L815" si="405">C816+C817+C818+C819</f>
        <v>0</v>
      </c>
      <c r="D815" s="60">
        <f t="shared" si="405"/>
        <v>0</v>
      </c>
      <c r="E815" s="60">
        <f t="shared" si="405"/>
        <v>0</v>
      </c>
      <c r="F815" s="60">
        <f t="shared" si="405"/>
        <v>0</v>
      </c>
      <c r="G815" s="60">
        <f t="shared" si="405"/>
        <v>0</v>
      </c>
      <c r="H815" s="60">
        <f t="shared" si="405"/>
        <v>0</v>
      </c>
      <c r="I815" s="60">
        <f t="shared" si="405"/>
        <v>0</v>
      </c>
      <c r="J815" s="60">
        <f t="shared" si="405"/>
        <v>0</v>
      </c>
      <c r="K815" s="60">
        <f t="shared" si="405"/>
        <v>0</v>
      </c>
      <c r="L815" s="61">
        <f t="shared" si="405"/>
        <v>0</v>
      </c>
      <c r="M815" s="216"/>
    </row>
    <row r="816" spans="1:13" x14ac:dyDescent="0.25">
      <c r="A816" s="39" t="s">
        <v>6</v>
      </c>
      <c r="B816" s="77">
        <f>SUM(C816:L816)</f>
        <v>0</v>
      </c>
      <c r="C816" s="77">
        <v>0</v>
      </c>
      <c r="D816" s="77">
        <v>0</v>
      </c>
      <c r="E816" s="77">
        <v>0</v>
      </c>
      <c r="F816" s="77">
        <v>0</v>
      </c>
      <c r="G816" s="77">
        <v>0</v>
      </c>
      <c r="H816" s="77">
        <v>0</v>
      </c>
      <c r="I816" s="77">
        <v>0</v>
      </c>
      <c r="J816" s="77">
        <v>0</v>
      </c>
      <c r="K816" s="77">
        <v>0</v>
      </c>
      <c r="L816" s="79">
        <v>0</v>
      </c>
      <c r="M816" s="216"/>
    </row>
    <row r="817" spans="1:13" x14ac:dyDescent="0.25">
      <c r="A817" s="39" t="s">
        <v>7</v>
      </c>
      <c r="B817" s="77">
        <f>SUM(C817:L817)</f>
        <v>0</v>
      </c>
      <c r="C817" s="77">
        <v>0</v>
      </c>
      <c r="D817" s="77">
        <v>0</v>
      </c>
      <c r="E817" s="77">
        <v>0</v>
      </c>
      <c r="F817" s="77">
        <v>0</v>
      </c>
      <c r="G817" s="77">
        <v>0</v>
      </c>
      <c r="H817" s="77">
        <v>0</v>
      </c>
      <c r="I817" s="77">
        <v>0</v>
      </c>
      <c r="J817" s="77">
        <v>0</v>
      </c>
      <c r="K817" s="77">
        <v>0</v>
      </c>
      <c r="L817" s="79">
        <v>0</v>
      </c>
      <c r="M817" s="216"/>
    </row>
    <row r="818" spans="1:13" ht="26.25" x14ac:dyDescent="0.25">
      <c r="A818" s="39" t="s">
        <v>8</v>
      </c>
      <c r="B818" s="77">
        <f>SUM(C818:L818)</f>
        <v>0</v>
      </c>
      <c r="C818" s="77">
        <v>0</v>
      </c>
      <c r="D818" s="77">
        <v>0</v>
      </c>
      <c r="E818" s="77">
        <v>0</v>
      </c>
      <c r="F818" s="77">
        <v>0</v>
      </c>
      <c r="G818" s="77">
        <v>0</v>
      </c>
      <c r="H818" s="77">
        <v>0</v>
      </c>
      <c r="I818" s="77">
        <v>0</v>
      </c>
      <c r="J818" s="77">
        <v>0</v>
      </c>
      <c r="K818" s="77">
        <v>0</v>
      </c>
      <c r="L818" s="79">
        <v>0</v>
      </c>
      <c r="M818" s="216"/>
    </row>
    <row r="819" spans="1:13" x14ac:dyDescent="0.25">
      <c r="A819" s="38" t="s">
        <v>9</v>
      </c>
      <c r="B819" s="60">
        <f>B825</f>
        <v>0</v>
      </c>
      <c r="C819" s="60">
        <f t="shared" ref="C819:L819" si="406">C825</f>
        <v>0</v>
      </c>
      <c r="D819" s="60">
        <f t="shared" si="406"/>
        <v>0</v>
      </c>
      <c r="E819" s="60">
        <f t="shared" si="406"/>
        <v>0</v>
      </c>
      <c r="F819" s="60">
        <f t="shared" si="406"/>
        <v>0</v>
      </c>
      <c r="G819" s="60">
        <f t="shared" si="406"/>
        <v>0</v>
      </c>
      <c r="H819" s="60">
        <f t="shared" si="406"/>
        <v>0</v>
      </c>
      <c r="I819" s="60">
        <f t="shared" si="406"/>
        <v>0</v>
      </c>
      <c r="J819" s="60">
        <f t="shared" si="406"/>
        <v>0</v>
      </c>
      <c r="K819" s="60">
        <f t="shared" si="406"/>
        <v>0</v>
      </c>
      <c r="L819" s="61">
        <f t="shared" si="406"/>
        <v>0</v>
      </c>
      <c r="M819" s="216"/>
    </row>
    <row r="820" spans="1:13" x14ac:dyDescent="0.25">
      <c r="A820" s="39" t="s">
        <v>10</v>
      </c>
      <c r="B820" s="77"/>
      <c r="C820" s="77"/>
      <c r="D820" s="77"/>
      <c r="E820" s="77"/>
      <c r="F820" s="77"/>
      <c r="G820" s="77"/>
      <c r="H820" s="77"/>
      <c r="I820" s="77"/>
      <c r="J820" s="77"/>
      <c r="K820" s="77"/>
      <c r="L820" s="79"/>
      <c r="M820" s="216"/>
    </row>
    <row r="821" spans="1:13" x14ac:dyDescent="0.25">
      <c r="A821" s="39" t="s">
        <v>11</v>
      </c>
      <c r="B821" s="40">
        <f>B826</f>
        <v>0</v>
      </c>
      <c r="C821" s="40">
        <f t="shared" ref="C821:L821" si="407">C826</f>
        <v>0</v>
      </c>
      <c r="D821" s="40">
        <f t="shared" si="407"/>
        <v>0</v>
      </c>
      <c r="E821" s="40">
        <f t="shared" si="407"/>
        <v>0</v>
      </c>
      <c r="F821" s="40">
        <f t="shared" si="407"/>
        <v>0</v>
      </c>
      <c r="G821" s="40">
        <f t="shared" si="407"/>
        <v>0</v>
      </c>
      <c r="H821" s="40">
        <f t="shared" si="407"/>
        <v>0</v>
      </c>
      <c r="I821" s="40">
        <f t="shared" si="407"/>
        <v>0</v>
      </c>
      <c r="J821" s="40">
        <f t="shared" si="407"/>
        <v>0</v>
      </c>
      <c r="K821" s="40">
        <f t="shared" si="407"/>
        <v>0</v>
      </c>
      <c r="L821" s="41">
        <f t="shared" si="407"/>
        <v>0</v>
      </c>
      <c r="M821" s="216"/>
    </row>
    <row r="822" spans="1:13" ht="39.75" thickBot="1" x14ac:dyDescent="0.3">
      <c r="A822" s="62" t="s">
        <v>12</v>
      </c>
      <c r="B822" s="63">
        <f>B827</f>
        <v>0</v>
      </c>
      <c r="C822" s="63">
        <f t="shared" ref="C822:L822" si="408">C827</f>
        <v>0</v>
      </c>
      <c r="D822" s="63">
        <f t="shared" si="408"/>
        <v>0</v>
      </c>
      <c r="E822" s="63">
        <f t="shared" si="408"/>
        <v>0</v>
      </c>
      <c r="F822" s="63">
        <f t="shared" si="408"/>
        <v>0</v>
      </c>
      <c r="G822" s="63">
        <f t="shared" si="408"/>
        <v>0</v>
      </c>
      <c r="H822" s="63">
        <f t="shared" si="408"/>
        <v>0</v>
      </c>
      <c r="I822" s="63">
        <f t="shared" si="408"/>
        <v>0</v>
      </c>
      <c r="J822" s="63">
        <f t="shared" si="408"/>
        <v>0</v>
      </c>
      <c r="K822" s="63">
        <f t="shared" si="408"/>
        <v>0</v>
      </c>
      <c r="L822" s="64">
        <f t="shared" si="408"/>
        <v>0</v>
      </c>
      <c r="M822" s="216"/>
    </row>
    <row r="823" spans="1:13" x14ac:dyDescent="0.25">
      <c r="A823" s="5" t="s">
        <v>13</v>
      </c>
      <c r="B823" s="12"/>
      <c r="C823" s="12"/>
      <c r="D823" s="12"/>
      <c r="E823" s="12"/>
      <c r="F823" s="12"/>
      <c r="G823" s="12"/>
      <c r="H823" s="12"/>
      <c r="I823" s="12"/>
      <c r="J823" s="12"/>
      <c r="K823" s="12"/>
      <c r="L823" s="13"/>
    </row>
    <row r="824" spans="1:13" x14ac:dyDescent="0.25">
      <c r="A824" s="6" t="s">
        <v>14</v>
      </c>
      <c r="B824" s="14"/>
      <c r="C824" s="14"/>
      <c r="D824" s="14"/>
      <c r="E824" s="14"/>
      <c r="F824" s="14"/>
      <c r="G824" s="14"/>
      <c r="H824" s="14"/>
      <c r="I824" s="14"/>
      <c r="J824" s="14"/>
      <c r="K824" s="14"/>
      <c r="L824" s="15"/>
    </row>
    <row r="825" spans="1:13" x14ac:dyDescent="0.25">
      <c r="A825" s="35" t="s">
        <v>27</v>
      </c>
      <c r="B825" s="14">
        <f>B826+B827</f>
        <v>0</v>
      </c>
      <c r="C825" s="14">
        <f t="shared" ref="C825:L825" si="409">C826+C827</f>
        <v>0</v>
      </c>
      <c r="D825" s="14">
        <f t="shared" si="409"/>
        <v>0</v>
      </c>
      <c r="E825" s="14">
        <f t="shared" si="409"/>
        <v>0</v>
      </c>
      <c r="F825" s="14">
        <f t="shared" si="409"/>
        <v>0</v>
      </c>
      <c r="G825" s="14">
        <f t="shared" si="409"/>
        <v>0</v>
      </c>
      <c r="H825" s="14">
        <f t="shared" si="409"/>
        <v>0</v>
      </c>
      <c r="I825" s="14">
        <f t="shared" si="409"/>
        <v>0</v>
      </c>
      <c r="J825" s="14">
        <f t="shared" si="409"/>
        <v>0</v>
      </c>
      <c r="K825" s="14">
        <f t="shared" si="409"/>
        <v>0</v>
      </c>
      <c r="L825" s="15">
        <f t="shared" si="409"/>
        <v>0</v>
      </c>
    </row>
    <row r="826" spans="1:13" x14ac:dyDescent="0.25">
      <c r="A826" s="6" t="s">
        <v>11</v>
      </c>
      <c r="B826" s="54">
        <f>SUM(C826:L826)</f>
        <v>0</v>
      </c>
      <c r="C826" s="54">
        <v>0</v>
      </c>
      <c r="D826" s="54">
        <v>0</v>
      </c>
      <c r="E826" s="54">
        <v>0</v>
      </c>
      <c r="F826" s="54">
        <v>0</v>
      </c>
      <c r="G826" s="54">
        <v>0</v>
      </c>
      <c r="H826" s="54">
        <v>0</v>
      </c>
      <c r="I826" s="54">
        <v>0</v>
      </c>
      <c r="J826" s="54">
        <v>0</v>
      </c>
      <c r="K826" s="54">
        <v>0</v>
      </c>
      <c r="L826" s="17">
        <v>0</v>
      </c>
    </row>
    <row r="827" spans="1:13" ht="37.5" customHeight="1" thickBot="1" x14ac:dyDescent="0.3">
      <c r="A827" s="7" t="s">
        <v>12</v>
      </c>
      <c r="B827" s="30">
        <f>SUM(C827:L827)</f>
        <v>0</v>
      </c>
      <c r="C827" s="30">
        <v>0</v>
      </c>
      <c r="D827" s="30">
        <v>0</v>
      </c>
      <c r="E827" s="30">
        <v>0</v>
      </c>
      <c r="F827" s="30">
        <v>0</v>
      </c>
      <c r="G827" s="30">
        <v>0</v>
      </c>
      <c r="H827" s="30">
        <v>0</v>
      </c>
      <c r="I827" s="30">
        <v>0</v>
      </c>
      <c r="J827" s="30">
        <v>0</v>
      </c>
      <c r="K827" s="30">
        <v>0</v>
      </c>
      <c r="L827" s="31">
        <v>0</v>
      </c>
    </row>
    <row r="828" spans="1:13" ht="18" customHeight="1" x14ac:dyDescent="0.25">
      <c r="A828" s="235" t="s">
        <v>169</v>
      </c>
      <c r="B828" s="236"/>
      <c r="C828" s="236"/>
      <c r="D828" s="236"/>
      <c r="E828" s="236"/>
      <c r="F828" s="236"/>
      <c r="G828" s="236"/>
      <c r="H828" s="236"/>
      <c r="I828" s="236"/>
      <c r="J828" s="236"/>
      <c r="K828" s="236"/>
      <c r="L828" s="237"/>
      <c r="M828" s="216" t="s">
        <v>186</v>
      </c>
    </row>
    <row r="829" spans="1:13" x14ac:dyDescent="0.25">
      <c r="A829" s="38" t="s">
        <v>5</v>
      </c>
      <c r="B829" s="60">
        <f>B830+B831+B832+B833</f>
        <v>0</v>
      </c>
      <c r="C829" s="60">
        <f t="shared" ref="C829:L829" si="410">C830+C831+C832+C833</f>
        <v>0</v>
      </c>
      <c r="D829" s="60">
        <f t="shared" si="410"/>
        <v>0</v>
      </c>
      <c r="E829" s="60">
        <f t="shared" si="410"/>
        <v>0</v>
      </c>
      <c r="F829" s="60">
        <f t="shared" si="410"/>
        <v>0</v>
      </c>
      <c r="G829" s="60">
        <f t="shared" si="410"/>
        <v>0</v>
      </c>
      <c r="H829" s="60">
        <f t="shared" si="410"/>
        <v>0</v>
      </c>
      <c r="I829" s="60">
        <f t="shared" si="410"/>
        <v>0</v>
      </c>
      <c r="J829" s="60">
        <f t="shared" si="410"/>
        <v>0</v>
      </c>
      <c r="K829" s="60">
        <f t="shared" si="410"/>
        <v>0</v>
      </c>
      <c r="L829" s="61">
        <f t="shared" si="410"/>
        <v>0</v>
      </c>
      <c r="M829" s="216"/>
    </row>
    <row r="830" spans="1:13" x14ac:dyDescent="0.25">
      <c r="A830" s="39" t="s">
        <v>6</v>
      </c>
      <c r="B830" s="77">
        <f>SUM(C830:L830)</f>
        <v>0</v>
      </c>
      <c r="C830" s="77">
        <v>0</v>
      </c>
      <c r="D830" s="77">
        <v>0</v>
      </c>
      <c r="E830" s="77">
        <v>0</v>
      </c>
      <c r="F830" s="77">
        <v>0</v>
      </c>
      <c r="G830" s="77">
        <v>0</v>
      </c>
      <c r="H830" s="77">
        <v>0</v>
      </c>
      <c r="I830" s="77">
        <v>0</v>
      </c>
      <c r="J830" s="77">
        <v>0</v>
      </c>
      <c r="K830" s="77">
        <v>0</v>
      </c>
      <c r="L830" s="79">
        <v>0</v>
      </c>
      <c r="M830" s="216"/>
    </row>
    <row r="831" spans="1:13" x14ac:dyDescent="0.25">
      <c r="A831" s="39" t="s">
        <v>7</v>
      </c>
      <c r="B831" s="77">
        <f>SUM(C831:L831)</f>
        <v>0</v>
      </c>
      <c r="C831" s="77">
        <v>0</v>
      </c>
      <c r="D831" s="77">
        <v>0</v>
      </c>
      <c r="E831" s="77">
        <v>0</v>
      </c>
      <c r="F831" s="77">
        <v>0</v>
      </c>
      <c r="G831" s="77">
        <v>0</v>
      </c>
      <c r="H831" s="77">
        <v>0</v>
      </c>
      <c r="I831" s="77">
        <v>0</v>
      </c>
      <c r="J831" s="77">
        <v>0</v>
      </c>
      <c r="K831" s="77">
        <v>0</v>
      </c>
      <c r="L831" s="79">
        <v>0</v>
      </c>
      <c r="M831" s="216"/>
    </row>
    <row r="832" spans="1:13" ht="26.25" x14ac:dyDescent="0.25">
      <c r="A832" s="39" t="s">
        <v>8</v>
      </c>
      <c r="B832" s="77">
        <f>SUM(C832:L832)</f>
        <v>0</v>
      </c>
      <c r="C832" s="77">
        <v>0</v>
      </c>
      <c r="D832" s="77">
        <v>0</v>
      </c>
      <c r="E832" s="77">
        <v>0</v>
      </c>
      <c r="F832" s="77">
        <v>0</v>
      </c>
      <c r="G832" s="77">
        <v>0</v>
      </c>
      <c r="H832" s="77">
        <v>0</v>
      </c>
      <c r="I832" s="77">
        <v>0</v>
      </c>
      <c r="J832" s="77">
        <v>0</v>
      </c>
      <c r="K832" s="77">
        <v>0</v>
      </c>
      <c r="L832" s="79">
        <v>0</v>
      </c>
      <c r="M832" s="216"/>
    </row>
    <row r="833" spans="1:13" x14ac:dyDescent="0.25">
      <c r="A833" s="38" t="s">
        <v>9</v>
      </c>
      <c r="B833" s="60">
        <f>B839</f>
        <v>0</v>
      </c>
      <c r="C833" s="60">
        <f t="shared" ref="C833:L833" si="411">C839</f>
        <v>0</v>
      </c>
      <c r="D833" s="60">
        <f t="shared" si="411"/>
        <v>0</v>
      </c>
      <c r="E833" s="60">
        <f t="shared" si="411"/>
        <v>0</v>
      </c>
      <c r="F833" s="60">
        <f t="shared" si="411"/>
        <v>0</v>
      </c>
      <c r="G833" s="60">
        <f t="shared" si="411"/>
        <v>0</v>
      </c>
      <c r="H833" s="60">
        <f t="shared" si="411"/>
        <v>0</v>
      </c>
      <c r="I833" s="60">
        <f t="shared" si="411"/>
        <v>0</v>
      </c>
      <c r="J833" s="60">
        <f t="shared" si="411"/>
        <v>0</v>
      </c>
      <c r="K833" s="60">
        <f t="shared" si="411"/>
        <v>0</v>
      </c>
      <c r="L833" s="61">
        <f t="shared" si="411"/>
        <v>0</v>
      </c>
      <c r="M833" s="216"/>
    </row>
    <row r="834" spans="1:13" x14ac:dyDescent="0.25">
      <c r="A834" s="39" t="s">
        <v>10</v>
      </c>
      <c r="B834" s="77"/>
      <c r="C834" s="77"/>
      <c r="D834" s="77"/>
      <c r="E834" s="77"/>
      <c r="F834" s="77"/>
      <c r="G834" s="77"/>
      <c r="H834" s="77"/>
      <c r="I834" s="77"/>
      <c r="J834" s="77"/>
      <c r="K834" s="77"/>
      <c r="L834" s="79"/>
      <c r="M834" s="216"/>
    </row>
    <row r="835" spans="1:13" x14ac:dyDescent="0.25">
      <c r="A835" s="39" t="s">
        <v>11</v>
      </c>
      <c r="B835" s="40">
        <f>B840</f>
        <v>0</v>
      </c>
      <c r="C835" s="40">
        <f t="shared" ref="C835:L835" si="412">C840</f>
        <v>0</v>
      </c>
      <c r="D835" s="40">
        <f t="shared" si="412"/>
        <v>0</v>
      </c>
      <c r="E835" s="40">
        <f t="shared" si="412"/>
        <v>0</v>
      </c>
      <c r="F835" s="40">
        <f t="shared" si="412"/>
        <v>0</v>
      </c>
      <c r="G835" s="40">
        <f t="shared" si="412"/>
        <v>0</v>
      </c>
      <c r="H835" s="40">
        <f t="shared" si="412"/>
        <v>0</v>
      </c>
      <c r="I835" s="40">
        <f t="shared" si="412"/>
        <v>0</v>
      </c>
      <c r="J835" s="40">
        <f t="shared" si="412"/>
        <v>0</v>
      </c>
      <c r="K835" s="40">
        <f t="shared" si="412"/>
        <v>0</v>
      </c>
      <c r="L835" s="41">
        <f t="shared" si="412"/>
        <v>0</v>
      </c>
      <c r="M835" s="216"/>
    </row>
    <row r="836" spans="1:13" ht="39.75" thickBot="1" x14ac:dyDescent="0.3">
      <c r="A836" s="62" t="s">
        <v>12</v>
      </c>
      <c r="B836" s="63">
        <f>B841</f>
        <v>0</v>
      </c>
      <c r="C836" s="63">
        <f t="shared" ref="C836:L836" si="413">C841</f>
        <v>0</v>
      </c>
      <c r="D836" s="63">
        <f t="shared" si="413"/>
        <v>0</v>
      </c>
      <c r="E836" s="63">
        <f t="shared" si="413"/>
        <v>0</v>
      </c>
      <c r="F836" s="63">
        <f t="shared" si="413"/>
        <v>0</v>
      </c>
      <c r="G836" s="63">
        <f t="shared" si="413"/>
        <v>0</v>
      </c>
      <c r="H836" s="63">
        <f t="shared" si="413"/>
        <v>0</v>
      </c>
      <c r="I836" s="63">
        <f t="shared" si="413"/>
        <v>0</v>
      </c>
      <c r="J836" s="63">
        <f t="shared" si="413"/>
        <v>0</v>
      </c>
      <c r="K836" s="63">
        <f t="shared" si="413"/>
        <v>0</v>
      </c>
      <c r="L836" s="64">
        <f t="shared" si="413"/>
        <v>0</v>
      </c>
      <c r="M836" s="216"/>
    </row>
    <row r="837" spans="1:13" x14ac:dyDescent="0.25">
      <c r="A837" s="5" t="s">
        <v>13</v>
      </c>
      <c r="B837" s="12"/>
      <c r="C837" s="12"/>
      <c r="D837" s="12"/>
      <c r="E837" s="12"/>
      <c r="F837" s="12"/>
      <c r="G837" s="12"/>
      <c r="H837" s="12"/>
      <c r="I837" s="12"/>
      <c r="J837" s="12"/>
      <c r="K837" s="12"/>
      <c r="L837" s="13"/>
    </row>
    <row r="838" spans="1:13" x14ac:dyDescent="0.25">
      <c r="A838" s="6" t="s">
        <v>14</v>
      </c>
      <c r="B838" s="14"/>
      <c r="C838" s="14"/>
      <c r="D838" s="14"/>
      <c r="E838" s="14"/>
      <c r="F838" s="14"/>
      <c r="G838" s="14"/>
      <c r="H838" s="14"/>
      <c r="I838" s="14"/>
      <c r="J838" s="14"/>
      <c r="K838" s="14"/>
      <c r="L838" s="15"/>
    </row>
    <row r="839" spans="1:13" x14ac:dyDescent="0.25">
      <c r="A839" s="35" t="s">
        <v>27</v>
      </c>
      <c r="B839" s="14">
        <f>B840+B841</f>
        <v>0</v>
      </c>
      <c r="C839" s="14">
        <f t="shared" ref="C839:L839" si="414">C840+C841</f>
        <v>0</v>
      </c>
      <c r="D839" s="14">
        <f t="shared" si="414"/>
        <v>0</v>
      </c>
      <c r="E839" s="14">
        <f t="shared" si="414"/>
        <v>0</v>
      </c>
      <c r="F839" s="14">
        <f t="shared" si="414"/>
        <v>0</v>
      </c>
      <c r="G839" s="14">
        <f t="shared" si="414"/>
        <v>0</v>
      </c>
      <c r="H839" s="14">
        <f t="shared" si="414"/>
        <v>0</v>
      </c>
      <c r="I839" s="14">
        <f t="shared" si="414"/>
        <v>0</v>
      </c>
      <c r="J839" s="14">
        <f t="shared" si="414"/>
        <v>0</v>
      </c>
      <c r="K839" s="14">
        <f t="shared" si="414"/>
        <v>0</v>
      </c>
      <c r="L839" s="15">
        <f t="shared" si="414"/>
        <v>0</v>
      </c>
    </row>
    <row r="840" spans="1:13" x14ac:dyDescent="0.25">
      <c r="A840" s="6" t="s">
        <v>11</v>
      </c>
      <c r="B840" s="54">
        <f>SUM(C840:L840)</f>
        <v>0</v>
      </c>
      <c r="C840" s="54">
        <v>0</v>
      </c>
      <c r="D840" s="54">
        <v>0</v>
      </c>
      <c r="E840" s="54">
        <v>0</v>
      </c>
      <c r="F840" s="54">
        <v>0</v>
      </c>
      <c r="G840" s="54">
        <v>0</v>
      </c>
      <c r="H840" s="54">
        <v>0</v>
      </c>
      <c r="I840" s="54">
        <v>0</v>
      </c>
      <c r="J840" s="54">
        <v>0</v>
      </c>
      <c r="K840" s="54">
        <v>0</v>
      </c>
      <c r="L840" s="17">
        <v>0</v>
      </c>
    </row>
    <row r="841" spans="1:13" ht="39" customHeight="1" thickBot="1" x14ac:dyDescent="0.3">
      <c r="A841" s="7" t="s">
        <v>12</v>
      </c>
      <c r="B841" s="30">
        <f>SUM(C841:L841)</f>
        <v>0</v>
      </c>
      <c r="C841" s="30">
        <v>0</v>
      </c>
      <c r="D841" s="30">
        <v>0</v>
      </c>
      <c r="E841" s="30">
        <v>0</v>
      </c>
      <c r="F841" s="30">
        <v>0</v>
      </c>
      <c r="G841" s="30">
        <v>0</v>
      </c>
      <c r="H841" s="30">
        <v>0</v>
      </c>
      <c r="I841" s="30">
        <v>0</v>
      </c>
      <c r="J841" s="30">
        <v>0</v>
      </c>
      <c r="K841" s="30">
        <v>0</v>
      </c>
      <c r="L841" s="31">
        <v>0</v>
      </c>
    </row>
    <row r="842" spans="1:13" x14ac:dyDescent="0.25">
      <c r="A842" s="219" t="s">
        <v>170</v>
      </c>
      <c r="B842" s="220"/>
      <c r="C842" s="220"/>
      <c r="D842" s="220"/>
      <c r="E842" s="220"/>
      <c r="F842" s="220"/>
      <c r="G842" s="220"/>
      <c r="H842" s="220"/>
      <c r="I842" s="220"/>
      <c r="J842" s="220"/>
      <c r="K842" s="220"/>
      <c r="L842" s="221"/>
    </row>
    <row r="843" spans="1:13" x14ac:dyDescent="0.25">
      <c r="A843" s="38" t="s">
        <v>5</v>
      </c>
      <c r="B843" s="60">
        <f>B844+B845+B846+B847</f>
        <v>5161349</v>
      </c>
      <c r="C843" s="60">
        <f t="shared" ref="C843:L843" si="415">C844+C845+C846+C847</f>
        <v>74067</v>
      </c>
      <c r="D843" s="60">
        <f t="shared" si="415"/>
        <v>51128</v>
      </c>
      <c r="E843" s="60">
        <f t="shared" si="415"/>
        <v>36155</v>
      </c>
      <c r="F843" s="60">
        <f t="shared" si="415"/>
        <v>0</v>
      </c>
      <c r="G843" s="60">
        <f t="shared" si="415"/>
        <v>0</v>
      </c>
      <c r="H843" s="60">
        <f t="shared" si="415"/>
        <v>49999.99</v>
      </c>
      <c r="I843" s="60">
        <f t="shared" si="415"/>
        <v>249999.95</v>
      </c>
      <c r="J843" s="60">
        <f t="shared" si="415"/>
        <v>999999.8</v>
      </c>
      <c r="K843" s="60">
        <f t="shared" si="415"/>
        <v>999999.8</v>
      </c>
      <c r="L843" s="61">
        <f t="shared" si="415"/>
        <v>2699999.46</v>
      </c>
    </row>
    <row r="844" spans="1:13" x14ac:dyDescent="0.25">
      <c r="A844" s="39" t="s">
        <v>6</v>
      </c>
      <c r="B844" s="77">
        <f>SUM(C844:L844)</f>
        <v>0</v>
      </c>
      <c r="C844" s="77">
        <v>0</v>
      </c>
      <c r="D844" s="77">
        <v>0</v>
      </c>
      <c r="E844" s="77">
        <v>0</v>
      </c>
      <c r="F844" s="77">
        <v>0</v>
      </c>
      <c r="G844" s="77">
        <v>0</v>
      </c>
      <c r="H844" s="77">
        <v>0</v>
      </c>
      <c r="I844" s="77">
        <v>0</v>
      </c>
      <c r="J844" s="77">
        <v>0</v>
      </c>
      <c r="K844" s="77">
        <v>0</v>
      </c>
      <c r="L844" s="79">
        <v>0</v>
      </c>
    </row>
    <row r="845" spans="1:13" x14ac:dyDescent="0.25">
      <c r="A845" s="39" t="s">
        <v>7</v>
      </c>
      <c r="B845" s="77">
        <f>SUM(C845:L845)</f>
        <v>0</v>
      </c>
      <c r="C845" s="77">
        <v>0</v>
      </c>
      <c r="D845" s="77">
        <v>0</v>
      </c>
      <c r="E845" s="77">
        <v>0</v>
      </c>
      <c r="F845" s="77">
        <v>0</v>
      </c>
      <c r="G845" s="77">
        <v>0</v>
      </c>
      <c r="H845" s="77">
        <v>0</v>
      </c>
      <c r="I845" s="77">
        <v>0</v>
      </c>
      <c r="J845" s="77">
        <v>0</v>
      </c>
      <c r="K845" s="77">
        <v>0</v>
      </c>
      <c r="L845" s="79">
        <v>0</v>
      </c>
    </row>
    <row r="846" spans="1:13" ht="26.25" x14ac:dyDescent="0.25">
      <c r="A846" s="39" t="s">
        <v>8</v>
      </c>
      <c r="B846" s="77">
        <f>SUM(C846:L846)</f>
        <v>0</v>
      </c>
      <c r="C846" s="77">
        <v>0</v>
      </c>
      <c r="D846" s="77">
        <v>0</v>
      </c>
      <c r="E846" s="77">
        <v>0</v>
      </c>
      <c r="F846" s="77">
        <v>0</v>
      </c>
      <c r="G846" s="77">
        <v>0</v>
      </c>
      <c r="H846" s="77">
        <v>0</v>
      </c>
      <c r="I846" s="77">
        <v>0</v>
      </c>
      <c r="J846" s="77">
        <v>0</v>
      </c>
      <c r="K846" s="77">
        <v>0</v>
      </c>
      <c r="L846" s="79">
        <v>0</v>
      </c>
    </row>
    <row r="847" spans="1:13" x14ac:dyDescent="0.25">
      <c r="A847" s="38" t="s">
        <v>9</v>
      </c>
      <c r="B847" s="60">
        <f>B853</f>
        <v>5161349</v>
      </c>
      <c r="C847" s="60">
        <f t="shared" ref="C847:L847" si="416">C853</f>
        <v>74067</v>
      </c>
      <c r="D847" s="60">
        <f t="shared" si="416"/>
        <v>51128</v>
      </c>
      <c r="E847" s="60">
        <f t="shared" si="416"/>
        <v>36155</v>
      </c>
      <c r="F847" s="60">
        <f t="shared" si="416"/>
        <v>0</v>
      </c>
      <c r="G847" s="60">
        <f t="shared" si="416"/>
        <v>0</v>
      </c>
      <c r="H847" s="60">
        <f t="shared" si="416"/>
        <v>49999.99</v>
      </c>
      <c r="I847" s="60">
        <f t="shared" si="416"/>
        <v>249999.95</v>
      </c>
      <c r="J847" s="60">
        <f t="shared" si="416"/>
        <v>999999.8</v>
      </c>
      <c r="K847" s="60">
        <f t="shared" si="416"/>
        <v>999999.8</v>
      </c>
      <c r="L847" s="61">
        <f t="shared" si="416"/>
        <v>2699999.46</v>
      </c>
    </row>
    <row r="848" spans="1:13" x14ac:dyDescent="0.25">
      <c r="A848" s="39" t="s">
        <v>10</v>
      </c>
      <c r="B848" s="77"/>
      <c r="C848" s="77"/>
      <c r="D848" s="77"/>
      <c r="E848" s="77"/>
      <c r="F848" s="77"/>
      <c r="G848" s="77"/>
      <c r="H848" s="77"/>
      <c r="I848" s="77"/>
      <c r="J848" s="77"/>
      <c r="K848" s="77"/>
      <c r="L848" s="79"/>
    </row>
    <row r="849" spans="1:13" x14ac:dyDescent="0.25">
      <c r="A849" s="39" t="s">
        <v>11</v>
      </c>
      <c r="B849" s="40">
        <f>B854</f>
        <v>0</v>
      </c>
      <c r="C849" s="40">
        <f t="shared" ref="C849:L849" si="417">C854</f>
        <v>0</v>
      </c>
      <c r="D849" s="40">
        <f t="shared" si="417"/>
        <v>0</v>
      </c>
      <c r="E849" s="40">
        <f t="shared" si="417"/>
        <v>0</v>
      </c>
      <c r="F849" s="40">
        <f t="shared" si="417"/>
        <v>0</v>
      </c>
      <c r="G849" s="40">
        <f t="shared" si="417"/>
        <v>0</v>
      </c>
      <c r="H849" s="40">
        <f t="shared" si="417"/>
        <v>0</v>
      </c>
      <c r="I849" s="40">
        <f t="shared" si="417"/>
        <v>0</v>
      </c>
      <c r="J849" s="40">
        <f t="shared" si="417"/>
        <v>0</v>
      </c>
      <c r="K849" s="40">
        <f t="shared" si="417"/>
        <v>0</v>
      </c>
      <c r="L849" s="41">
        <f t="shared" si="417"/>
        <v>0</v>
      </c>
    </row>
    <row r="850" spans="1:13" ht="39.75" thickBot="1" x14ac:dyDescent="0.3">
      <c r="A850" s="62" t="s">
        <v>12</v>
      </c>
      <c r="B850" s="63">
        <f>B855</f>
        <v>5161349</v>
      </c>
      <c r="C850" s="63">
        <f t="shared" ref="C850:L850" si="418">C855</f>
        <v>74067</v>
      </c>
      <c r="D850" s="63">
        <f t="shared" si="418"/>
        <v>51128</v>
      </c>
      <c r="E850" s="63">
        <f t="shared" si="418"/>
        <v>36155</v>
      </c>
      <c r="F850" s="63">
        <f t="shared" si="418"/>
        <v>0</v>
      </c>
      <c r="G850" s="63">
        <f t="shared" si="418"/>
        <v>0</v>
      </c>
      <c r="H850" s="63">
        <f t="shared" si="418"/>
        <v>49999.99</v>
      </c>
      <c r="I850" s="63">
        <f t="shared" si="418"/>
        <v>249999.95</v>
      </c>
      <c r="J850" s="63">
        <f t="shared" si="418"/>
        <v>999999.8</v>
      </c>
      <c r="K850" s="63">
        <f t="shared" si="418"/>
        <v>999999.8</v>
      </c>
      <c r="L850" s="64">
        <f t="shared" si="418"/>
        <v>2699999.46</v>
      </c>
    </row>
    <row r="851" spans="1:13" x14ac:dyDescent="0.25">
      <c r="A851" s="5" t="s">
        <v>13</v>
      </c>
      <c r="B851" s="12"/>
      <c r="C851" s="12"/>
      <c r="D851" s="12"/>
      <c r="E851" s="12"/>
      <c r="F851" s="12"/>
      <c r="G851" s="12"/>
      <c r="H851" s="12"/>
      <c r="I851" s="12"/>
      <c r="J851" s="12"/>
      <c r="K851" s="12"/>
      <c r="L851" s="13"/>
    </row>
    <row r="852" spans="1:13" x14ac:dyDescent="0.25">
      <c r="A852" s="6" t="s">
        <v>14</v>
      </c>
      <c r="B852" s="14"/>
      <c r="C852" s="14"/>
      <c r="D852" s="14"/>
      <c r="E852" s="14"/>
      <c r="F852" s="14"/>
      <c r="G852" s="14"/>
      <c r="H852" s="14"/>
      <c r="I852" s="14"/>
      <c r="J852" s="14"/>
      <c r="K852" s="14"/>
      <c r="L852" s="15"/>
    </row>
    <row r="853" spans="1:13" x14ac:dyDescent="0.25">
      <c r="A853" s="35" t="s">
        <v>27</v>
      </c>
      <c r="B853" s="14">
        <f>B854+B855</f>
        <v>5161349</v>
      </c>
      <c r="C853" s="14">
        <f t="shared" ref="C853:L853" si="419">C854+C855</f>
        <v>74067</v>
      </c>
      <c r="D853" s="14">
        <f t="shared" si="419"/>
        <v>51128</v>
      </c>
      <c r="E853" s="14">
        <f t="shared" si="419"/>
        <v>36155</v>
      </c>
      <c r="F853" s="14">
        <f t="shared" si="419"/>
        <v>0</v>
      </c>
      <c r="G853" s="14">
        <f t="shared" si="419"/>
        <v>0</v>
      </c>
      <c r="H853" s="14">
        <f t="shared" si="419"/>
        <v>49999.99</v>
      </c>
      <c r="I853" s="14">
        <f t="shared" si="419"/>
        <v>249999.95</v>
      </c>
      <c r="J853" s="14">
        <f t="shared" si="419"/>
        <v>999999.8</v>
      </c>
      <c r="K853" s="14">
        <f t="shared" si="419"/>
        <v>999999.8</v>
      </c>
      <c r="L853" s="15">
        <f t="shared" si="419"/>
        <v>2699999.46</v>
      </c>
    </row>
    <row r="854" spans="1:13" x14ac:dyDescent="0.25">
      <c r="A854" s="6" t="s">
        <v>11</v>
      </c>
      <c r="B854" s="54">
        <f>SUM(C854:L854)</f>
        <v>0</v>
      </c>
      <c r="C854" s="54">
        <v>0</v>
      </c>
      <c r="D854" s="54">
        <v>0</v>
      </c>
      <c r="E854" s="54">
        <v>0</v>
      </c>
      <c r="F854" s="54">
        <v>0</v>
      </c>
      <c r="G854" s="54">
        <v>0</v>
      </c>
      <c r="H854" s="54">
        <v>0</v>
      </c>
      <c r="I854" s="54">
        <v>0</v>
      </c>
      <c r="J854" s="54">
        <v>0</v>
      </c>
      <c r="K854" s="54">
        <v>0</v>
      </c>
      <c r="L854" s="17">
        <v>0</v>
      </c>
    </row>
    <row r="855" spans="1:13" ht="39" customHeight="1" thickBot="1" x14ac:dyDescent="0.3">
      <c r="A855" s="7" t="s">
        <v>12</v>
      </c>
      <c r="B855" s="30">
        <f>SUM(C855:L855)</f>
        <v>5161349</v>
      </c>
      <c r="C855" s="30">
        <v>74067</v>
      </c>
      <c r="D855" s="30">
        <v>51128</v>
      </c>
      <c r="E855" s="30">
        <v>36155</v>
      </c>
      <c r="F855" s="30">
        <v>0</v>
      </c>
      <c r="G855" s="30">
        <v>0</v>
      </c>
      <c r="H855" s="30">
        <f>0.01*4999999</f>
        <v>49999.99</v>
      </c>
      <c r="I855" s="30">
        <f>0.05*4999999</f>
        <v>249999.95</v>
      </c>
      <c r="J855" s="30">
        <f>0.2*4999999</f>
        <v>999999.8</v>
      </c>
      <c r="K855" s="30">
        <f>0.2*4999999</f>
        <v>999999.8</v>
      </c>
      <c r="L855" s="31">
        <f>0.54*4999999</f>
        <v>2699999.46</v>
      </c>
    </row>
    <row r="856" spans="1:13" x14ac:dyDescent="0.25">
      <c r="A856" s="219" t="s">
        <v>171</v>
      </c>
      <c r="B856" s="220"/>
      <c r="C856" s="220"/>
      <c r="D856" s="220"/>
      <c r="E856" s="220"/>
      <c r="F856" s="220"/>
      <c r="G856" s="220"/>
      <c r="H856" s="220"/>
      <c r="I856" s="220"/>
      <c r="J856" s="220"/>
      <c r="K856" s="220"/>
      <c r="L856" s="221"/>
      <c r="M856" s="216" t="s">
        <v>187</v>
      </c>
    </row>
    <row r="857" spans="1:13" x14ac:dyDescent="0.25">
      <c r="A857" s="38" t="s">
        <v>5</v>
      </c>
      <c r="B857" s="60">
        <f>B858+B859+B860+B861</f>
        <v>89216409</v>
      </c>
      <c r="C857" s="60">
        <f t="shared" ref="C857:L857" si="420">C858+C859+C860+C861</f>
        <v>881425</v>
      </c>
      <c r="D857" s="60">
        <f t="shared" si="420"/>
        <v>0</v>
      </c>
      <c r="E857" s="60">
        <f t="shared" si="420"/>
        <v>0</v>
      </c>
      <c r="F857" s="60">
        <f t="shared" si="420"/>
        <v>0</v>
      </c>
      <c r="G857" s="60">
        <f t="shared" si="420"/>
        <v>17069064</v>
      </c>
      <c r="H857" s="60">
        <f t="shared" si="420"/>
        <v>18739064</v>
      </c>
      <c r="I857" s="60">
        <f t="shared" si="420"/>
        <v>15165864</v>
      </c>
      <c r="J857" s="60">
        <f t="shared" si="420"/>
        <v>12453664</v>
      </c>
      <c r="K857" s="60">
        <f t="shared" si="420"/>
        <v>12453664</v>
      </c>
      <c r="L857" s="61">
        <f t="shared" si="420"/>
        <v>12453664</v>
      </c>
      <c r="M857" s="216"/>
    </row>
    <row r="858" spans="1:13" x14ac:dyDescent="0.25">
      <c r="A858" s="39" t="s">
        <v>6</v>
      </c>
      <c r="B858" s="77">
        <f>SUM(C858:L858)</f>
        <v>0</v>
      </c>
      <c r="C858" s="77">
        <v>0</v>
      </c>
      <c r="D858" s="77">
        <v>0</v>
      </c>
      <c r="E858" s="77">
        <v>0</v>
      </c>
      <c r="F858" s="77">
        <v>0</v>
      </c>
      <c r="G858" s="77">
        <v>0</v>
      </c>
      <c r="H858" s="77">
        <v>0</v>
      </c>
      <c r="I858" s="77">
        <v>0</v>
      </c>
      <c r="J858" s="77">
        <v>0</v>
      </c>
      <c r="K858" s="77">
        <v>0</v>
      </c>
      <c r="L858" s="79">
        <v>0</v>
      </c>
      <c r="M858" s="216"/>
    </row>
    <row r="859" spans="1:13" x14ac:dyDescent="0.25">
      <c r="A859" s="39" t="s">
        <v>7</v>
      </c>
      <c r="B859" s="77">
        <f>SUM(C859:L859)</f>
        <v>0</v>
      </c>
      <c r="C859" s="77">
        <v>0</v>
      </c>
      <c r="D859" s="77">
        <v>0</v>
      </c>
      <c r="E859" s="77">
        <v>0</v>
      </c>
      <c r="F859" s="77">
        <v>0</v>
      </c>
      <c r="G859" s="77">
        <v>0</v>
      </c>
      <c r="H859" s="77">
        <v>0</v>
      </c>
      <c r="I859" s="77">
        <v>0</v>
      </c>
      <c r="J859" s="77">
        <v>0</v>
      </c>
      <c r="K859" s="77">
        <v>0</v>
      </c>
      <c r="L859" s="79">
        <v>0</v>
      </c>
      <c r="M859" s="216"/>
    </row>
    <row r="860" spans="1:13" ht="26.25" x14ac:dyDescent="0.25">
      <c r="A860" s="39" t="s">
        <v>8</v>
      </c>
      <c r="B860" s="77">
        <f>SUM(C860:L860)</f>
        <v>0</v>
      </c>
      <c r="C860" s="77">
        <v>0</v>
      </c>
      <c r="D860" s="77">
        <v>0</v>
      </c>
      <c r="E860" s="77">
        <v>0</v>
      </c>
      <c r="F860" s="77">
        <v>0</v>
      </c>
      <c r="G860" s="77">
        <v>0</v>
      </c>
      <c r="H860" s="77">
        <v>0</v>
      </c>
      <c r="I860" s="77">
        <v>0</v>
      </c>
      <c r="J860" s="77">
        <v>0</v>
      </c>
      <c r="K860" s="77">
        <v>0</v>
      </c>
      <c r="L860" s="79">
        <v>0</v>
      </c>
      <c r="M860" s="216"/>
    </row>
    <row r="861" spans="1:13" x14ac:dyDescent="0.25">
      <c r="A861" s="38" t="s">
        <v>9</v>
      </c>
      <c r="B861" s="60">
        <f>B867</f>
        <v>89216409</v>
      </c>
      <c r="C861" s="60">
        <f t="shared" ref="C861:L861" si="421">C867</f>
        <v>881425</v>
      </c>
      <c r="D861" s="60">
        <f t="shared" si="421"/>
        <v>0</v>
      </c>
      <c r="E861" s="60">
        <f t="shared" si="421"/>
        <v>0</v>
      </c>
      <c r="F861" s="60">
        <f t="shared" si="421"/>
        <v>0</v>
      </c>
      <c r="G861" s="60">
        <f t="shared" si="421"/>
        <v>17069064</v>
      </c>
      <c r="H861" s="60">
        <f t="shared" si="421"/>
        <v>18739064</v>
      </c>
      <c r="I861" s="60">
        <f t="shared" si="421"/>
        <v>15165864</v>
      </c>
      <c r="J861" s="60">
        <f t="shared" si="421"/>
        <v>12453664</v>
      </c>
      <c r="K861" s="60">
        <f t="shared" si="421"/>
        <v>12453664</v>
      </c>
      <c r="L861" s="61">
        <f t="shared" si="421"/>
        <v>12453664</v>
      </c>
      <c r="M861" s="216"/>
    </row>
    <row r="862" spans="1:13" x14ac:dyDescent="0.25">
      <c r="A862" s="39" t="s">
        <v>10</v>
      </c>
      <c r="B862" s="77"/>
      <c r="C862" s="77"/>
      <c r="D862" s="77"/>
      <c r="E862" s="77"/>
      <c r="F862" s="77"/>
      <c r="G862" s="77"/>
      <c r="H862" s="77"/>
      <c r="I862" s="77"/>
      <c r="J862" s="77"/>
      <c r="K862" s="77"/>
      <c r="L862" s="79"/>
      <c r="M862" s="216"/>
    </row>
    <row r="863" spans="1:13" x14ac:dyDescent="0.25">
      <c r="A863" s="39" t="s">
        <v>11</v>
      </c>
      <c r="B863" s="40">
        <f>B868</f>
        <v>88694409</v>
      </c>
      <c r="C863" s="40">
        <f t="shared" ref="C863:L863" si="422">C868</f>
        <v>881425</v>
      </c>
      <c r="D863" s="40">
        <f t="shared" si="422"/>
        <v>0</v>
      </c>
      <c r="E863" s="40">
        <f t="shared" si="422"/>
        <v>0</v>
      </c>
      <c r="F863" s="40">
        <f t="shared" si="422"/>
        <v>0</v>
      </c>
      <c r="G863" s="40">
        <f t="shared" si="422"/>
        <v>16964664</v>
      </c>
      <c r="H863" s="40">
        <f t="shared" si="422"/>
        <v>18373664</v>
      </c>
      <c r="I863" s="40">
        <f t="shared" si="422"/>
        <v>15113664</v>
      </c>
      <c r="J863" s="40">
        <f t="shared" si="422"/>
        <v>12453664</v>
      </c>
      <c r="K863" s="40">
        <f t="shared" si="422"/>
        <v>12453664</v>
      </c>
      <c r="L863" s="41">
        <f t="shared" si="422"/>
        <v>12453664</v>
      </c>
      <c r="M863" s="216"/>
    </row>
    <row r="864" spans="1:13" ht="39.75" thickBot="1" x14ac:dyDescent="0.3">
      <c r="A864" s="62" t="s">
        <v>12</v>
      </c>
      <c r="B864" s="63">
        <f>B869</f>
        <v>522000</v>
      </c>
      <c r="C864" s="63">
        <f t="shared" ref="C864:L864" si="423">C869</f>
        <v>0</v>
      </c>
      <c r="D864" s="63">
        <f t="shared" si="423"/>
        <v>0</v>
      </c>
      <c r="E864" s="63">
        <f t="shared" si="423"/>
        <v>0</v>
      </c>
      <c r="F864" s="63">
        <f t="shared" si="423"/>
        <v>0</v>
      </c>
      <c r="G864" s="63">
        <f t="shared" si="423"/>
        <v>104400</v>
      </c>
      <c r="H864" s="63">
        <f t="shared" si="423"/>
        <v>365400</v>
      </c>
      <c r="I864" s="63">
        <f t="shared" si="423"/>
        <v>52200</v>
      </c>
      <c r="J864" s="63">
        <f t="shared" si="423"/>
        <v>0</v>
      </c>
      <c r="K864" s="63">
        <f t="shared" si="423"/>
        <v>0</v>
      </c>
      <c r="L864" s="64">
        <f t="shared" si="423"/>
        <v>0</v>
      </c>
      <c r="M864" s="216"/>
    </row>
    <row r="865" spans="1:13" x14ac:dyDescent="0.25">
      <c r="A865" s="5" t="s">
        <v>13</v>
      </c>
      <c r="B865" s="12"/>
      <c r="C865" s="12"/>
      <c r="D865" s="12"/>
      <c r="E865" s="12"/>
      <c r="F865" s="12"/>
      <c r="G865" s="12"/>
      <c r="H865" s="12"/>
      <c r="I865" s="12"/>
      <c r="J865" s="12"/>
      <c r="K865" s="12"/>
      <c r="L865" s="13"/>
    </row>
    <row r="866" spans="1:13" ht="15.75" customHeight="1" x14ac:dyDescent="0.25">
      <c r="A866" s="6" t="s">
        <v>14</v>
      </c>
      <c r="B866" s="14"/>
      <c r="C866" s="14"/>
      <c r="D866" s="14"/>
      <c r="E866" s="14"/>
      <c r="F866" s="14"/>
      <c r="G866" s="14"/>
      <c r="H866" s="14"/>
      <c r="I866" s="14"/>
      <c r="J866" s="14"/>
      <c r="K866" s="14"/>
      <c r="L866" s="15"/>
    </row>
    <row r="867" spans="1:13" x14ac:dyDescent="0.25">
      <c r="A867" s="35" t="s">
        <v>27</v>
      </c>
      <c r="B867" s="14">
        <f t="shared" ref="B867:L867" si="424">B868+B869</f>
        <v>89216409</v>
      </c>
      <c r="C867" s="14">
        <f t="shared" si="424"/>
        <v>881425</v>
      </c>
      <c r="D867" s="14">
        <f t="shared" si="424"/>
        <v>0</v>
      </c>
      <c r="E867" s="14">
        <f t="shared" si="424"/>
        <v>0</v>
      </c>
      <c r="F867" s="14">
        <f t="shared" si="424"/>
        <v>0</v>
      </c>
      <c r="G867" s="14">
        <f t="shared" si="424"/>
        <v>17069064</v>
      </c>
      <c r="H867" s="14">
        <f t="shared" si="424"/>
        <v>18739064</v>
      </c>
      <c r="I867" s="14">
        <f t="shared" si="424"/>
        <v>15165864</v>
      </c>
      <c r="J867" s="14">
        <f t="shared" si="424"/>
        <v>12453664</v>
      </c>
      <c r="K867" s="14">
        <f t="shared" si="424"/>
        <v>12453664</v>
      </c>
      <c r="L867" s="15">
        <f t="shared" si="424"/>
        <v>12453664</v>
      </c>
    </row>
    <row r="868" spans="1:13" x14ac:dyDescent="0.25">
      <c r="A868" s="6" t="s">
        <v>11</v>
      </c>
      <c r="B868" s="54">
        <f>SUM(C868:L868)</f>
        <v>88694409</v>
      </c>
      <c r="C868" s="54">
        <v>881425</v>
      </c>
      <c r="D868" s="54">
        <v>0</v>
      </c>
      <c r="E868" s="54">
        <v>0</v>
      </c>
      <c r="F868" s="54">
        <v>0</v>
      </c>
      <c r="G868" s="54">
        <f>9190673+7511000+262991</f>
        <v>16964664</v>
      </c>
      <c r="H868" s="54">
        <f>9190673+8920000+262991</f>
        <v>18373664</v>
      </c>
      <c r="I868" s="54">
        <f>9190673+5660000+262991</f>
        <v>15113664</v>
      </c>
      <c r="J868" s="54">
        <f>9190673+3000000+262991</f>
        <v>12453664</v>
      </c>
      <c r="K868" s="54">
        <f>9190673+3000000+262991</f>
        <v>12453664</v>
      </c>
      <c r="L868" s="17">
        <f>9190673+3000000+262991</f>
        <v>12453664</v>
      </c>
    </row>
    <row r="869" spans="1:13" ht="38.25" customHeight="1" thickBot="1" x14ac:dyDescent="0.3">
      <c r="A869" s="7" t="s">
        <v>12</v>
      </c>
      <c r="B869" s="30">
        <f>SUM(C869:L869)</f>
        <v>522000</v>
      </c>
      <c r="C869" s="30">
        <v>0</v>
      </c>
      <c r="D869" s="30">
        <v>0</v>
      </c>
      <c r="E869" s="30">
        <v>0</v>
      </c>
      <c r="F869" s="30">
        <v>0</v>
      </c>
      <c r="G869" s="117">
        <v>104400</v>
      </c>
      <c r="H869" s="117">
        <v>365400</v>
      </c>
      <c r="I869" s="117">
        <v>52200</v>
      </c>
      <c r="J869" s="117">
        <v>0</v>
      </c>
      <c r="K869" s="117">
        <v>0</v>
      </c>
      <c r="L869" s="212">
        <v>0</v>
      </c>
      <c r="M869" s="115"/>
    </row>
    <row r="870" spans="1:13" ht="27" customHeight="1" x14ac:dyDescent="0.25">
      <c r="A870" s="219" t="s">
        <v>172</v>
      </c>
      <c r="B870" s="220"/>
      <c r="C870" s="220"/>
      <c r="D870" s="220"/>
      <c r="E870" s="220"/>
      <c r="F870" s="220"/>
      <c r="G870" s="220"/>
      <c r="H870" s="220"/>
      <c r="I870" s="220"/>
      <c r="J870" s="220"/>
      <c r="K870" s="220"/>
      <c r="L870" s="221"/>
    </row>
    <row r="871" spans="1:13" x14ac:dyDescent="0.25">
      <c r="A871" s="38" t="s">
        <v>5</v>
      </c>
      <c r="B871" s="60">
        <f>B872+B873+B874+B875</f>
        <v>5285426.5</v>
      </c>
      <c r="C871" s="60">
        <f t="shared" ref="C871:L871" si="425">C872+C873+C874+C875</f>
        <v>120000</v>
      </c>
      <c r="D871" s="60">
        <f t="shared" si="425"/>
        <v>187857</v>
      </c>
      <c r="E871" s="60">
        <f t="shared" si="425"/>
        <v>0</v>
      </c>
      <c r="F871" s="60">
        <f t="shared" si="425"/>
        <v>0</v>
      </c>
      <c r="G871" s="60">
        <f t="shared" si="425"/>
        <v>98878.5</v>
      </c>
      <c r="H871" s="60">
        <f t="shared" si="425"/>
        <v>518384.5</v>
      </c>
      <c r="I871" s="60">
        <f t="shared" si="425"/>
        <v>1018384.5</v>
      </c>
      <c r="J871" s="60">
        <f t="shared" si="425"/>
        <v>1268384.5</v>
      </c>
      <c r="K871" s="60">
        <f t="shared" si="425"/>
        <v>1268384.5</v>
      </c>
      <c r="L871" s="61">
        <f t="shared" si="425"/>
        <v>805153</v>
      </c>
    </row>
    <row r="872" spans="1:13" x14ac:dyDescent="0.25">
      <c r="A872" s="39" t="s">
        <v>6</v>
      </c>
      <c r="B872" s="77">
        <f>SUM(C872:L872)</f>
        <v>0</v>
      </c>
      <c r="C872" s="77">
        <v>0</v>
      </c>
      <c r="D872" s="77">
        <v>0</v>
      </c>
      <c r="E872" s="77">
        <v>0</v>
      </c>
      <c r="F872" s="77">
        <v>0</v>
      </c>
      <c r="G872" s="77">
        <v>0</v>
      </c>
      <c r="H872" s="77">
        <v>0</v>
      </c>
      <c r="I872" s="77">
        <v>0</v>
      </c>
      <c r="J872" s="77">
        <v>0</v>
      </c>
      <c r="K872" s="77">
        <v>0</v>
      </c>
      <c r="L872" s="79">
        <v>0</v>
      </c>
    </row>
    <row r="873" spans="1:13" x14ac:dyDescent="0.25">
      <c r="A873" s="39" t="s">
        <v>7</v>
      </c>
      <c r="B873" s="77">
        <f>SUM(C873:L873)</f>
        <v>0</v>
      </c>
      <c r="C873" s="77">
        <v>0</v>
      </c>
      <c r="D873" s="77">
        <v>0</v>
      </c>
      <c r="E873" s="77">
        <v>0</v>
      </c>
      <c r="F873" s="77">
        <v>0</v>
      </c>
      <c r="G873" s="77">
        <v>0</v>
      </c>
      <c r="H873" s="77">
        <v>0</v>
      </c>
      <c r="I873" s="77">
        <v>0</v>
      </c>
      <c r="J873" s="77">
        <v>0</v>
      </c>
      <c r="K873" s="77">
        <v>0</v>
      </c>
      <c r="L873" s="79">
        <v>0</v>
      </c>
    </row>
    <row r="874" spans="1:13" ht="26.25" x14ac:dyDescent="0.25">
      <c r="A874" s="39" t="s">
        <v>8</v>
      </c>
      <c r="B874" s="77">
        <f>SUM(C874:L874)</f>
        <v>0</v>
      </c>
      <c r="C874" s="77">
        <v>0</v>
      </c>
      <c r="D874" s="77">
        <v>0</v>
      </c>
      <c r="E874" s="77">
        <v>0</v>
      </c>
      <c r="F874" s="77">
        <v>0</v>
      </c>
      <c r="G874" s="77">
        <v>0</v>
      </c>
      <c r="H874" s="77">
        <v>0</v>
      </c>
      <c r="I874" s="77">
        <v>0</v>
      </c>
      <c r="J874" s="77">
        <v>0</v>
      </c>
      <c r="K874" s="77">
        <v>0</v>
      </c>
      <c r="L874" s="79">
        <v>0</v>
      </c>
    </row>
    <row r="875" spans="1:13" x14ac:dyDescent="0.25">
      <c r="A875" s="38" t="s">
        <v>9</v>
      </c>
      <c r="B875" s="60">
        <f>B878</f>
        <v>5285426.5</v>
      </c>
      <c r="C875" s="60">
        <f t="shared" ref="C875:L875" si="426">C878</f>
        <v>120000</v>
      </c>
      <c r="D875" s="60">
        <f t="shared" si="426"/>
        <v>187857</v>
      </c>
      <c r="E875" s="60">
        <f t="shared" si="426"/>
        <v>0</v>
      </c>
      <c r="F875" s="60">
        <f t="shared" si="426"/>
        <v>0</v>
      </c>
      <c r="G875" s="60">
        <f t="shared" si="426"/>
        <v>98878.5</v>
      </c>
      <c r="H875" s="60">
        <f t="shared" si="426"/>
        <v>518384.5</v>
      </c>
      <c r="I875" s="60">
        <f t="shared" si="426"/>
        <v>1018384.5</v>
      </c>
      <c r="J875" s="60">
        <f t="shared" si="426"/>
        <v>1268384.5</v>
      </c>
      <c r="K875" s="60">
        <f t="shared" si="426"/>
        <v>1268384.5</v>
      </c>
      <c r="L875" s="61">
        <f t="shared" si="426"/>
        <v>805153</v>
      </c>
    </row>
    <row r="876" spans="1:13" x14ac:dyDescent="0.25">
      <c r="A876" s="39" t="s">
        <v>10</v>
      </c>
      <c r="B876" s="77"/>
      <c r="C876" s="77"/>
      <c r="D876" s="77"/>
      <c r="E876" s="77"/>
      <c r="F876" s="77"/>
      <c r="G876" s="77"/>
      <c r="H876" s="77"/>
      <c r="I876" s="77"/>
      <c r="J876" s="77"/>
      <c r="K876" s="77"/>
      <c r="L876" s="79"/>
    </row>
    <row r="877" spans="1:13" x14ac:dyDescent="0.25">
      <c r="A877" s="39" t="s">
        <v>11</v>
      </c>
      <c r="B877" s="77" t="s">
        <v>101</v>
      </c>
      <c r="C877" s="77">
        <v>0</v>
      </c>
      <c r="D877" s="77">
        <v>0</v>
      </c>
      <c r="E877" s="77">
        <v>0</v>
      </c>
      <c r="F877" s="77">
        <v>0</v>
      </c>
      <c r="G877" s="77">
        <v>0</v>
      </c>
      <c r="H877" s="77" t="s">
        <v>101</v>
      </c>
      <c r="I877" s="77" t="s">
        <v>101</v>
      </c>
      <c r="J877" s="77" t="s">
        <v>101</v>
      </c>
      <c r="K877" s="77" t="s">
        <v>101</v>
      </c>
      <c r="L877" s="79" t="s">
        <v>101</v>
      </c>
    </row>
    <row r="878" spans="1:13" ht="39.75" thickBot="1" x14ac:dyDescent="0.3">
      <c r="A878" s="62" t="s">
        <v>12</v>
      </c>
      <c r="B878" s="63">
        <f>B883+B886</f>
        <v>5285426.5</v>
      </c>
      <c r="C878" s="63">
        <f t="shared" ref="C878:L878" si="427">C883+C886</f>
        <v>120000</v>
      </c>
      <c r="D878" s="63">
        <f t="shared" si="427"/>
        <v>187857</v>
      </c>
      <c r="E878" s="63">
        <f t="shared" si="427"/>
        <v>0</v>
      </c>
      <c r="F878" s="63">
        <f t="shared" si="427"/>
        <v>0</v>
      </c>
      <c r="G878" s="63">
        <f t="shared" si="427"/>
        <v>98878.5</v>
      </c>
      <c r="H878" s="63">
        <f t="shared" si="427"/>
        <v>518384.5</v>
      </c>
      <c r="I878" s="63">
        <f t="shared" si="427"/>
        <v>1018384.5</v>
      </c>
      <c r="J878" s="63">
        <f t="shared" si="427"/>
        <v>1268384.5</v>
      </c>
      <c r="K878" s="63">
        <f t="shared" si="427"/>
        <v>1268384.5</v>
      </c>
      <c r="L878" s="64">
        <f t="shared" si="427"/>
        <v>805153</v>
      </c>
    </row>
    <row r="879" spans="1:13" x14ac:dyDescent="0.25">
      <c r="A879" s="5" t="s">
        <v>13</v>
      </c>
      <c r="B879" s="12"/>
      <c r="C879" s="12"/>
      <c r="D879" s="12"/>
      <c r="E879" s="12"/>
      <c r="F879" s="12"/>
      <c r="G879" s="12"/>
      <c r="H879" s="12"/>
      <c r="I879" s="12"/>
      <c r="J879" s="12"/>
      <c r="K879" s="12"/>
      <c r="L879" s="13"/>
    </row>
    <row r="880" spans="1:13" x14ac:dyDescent="0.25">
      <c r="A880" s="6" t="s">
        <v>14</v>
      </c>
      <c r="B880" s="14"/>
      <c r="C880" s="14"/>
      <c r="D880" s="14"/>
      <c r="E880" s="14"/>
      <c r="F880" s="14"/>
      <c r="G880" s="14"/>
      <c r="H880" s="14"/>
      <c r="I880" s="14"/>
      <c r="J880" s="14"/>
      <c r="K880" s="14"/>
      <c r="L880" s="15"/>
    </row>
    <row r="881" spans="1:13" x14ac:dyDescent="0.25">
      <c r="A881" s="35" t="s">
        <v>27</v>
      </c>
      <c r="B881" s="14">
        <f>B883</f>
        <v>2285426.5</v>
      </c>
      <c r="C881" s="14">
        <f t="shared" ref="C881:L881" si="428">C883</f>
        <v>120000</v>
      </c>
      <c r="D881" s="14">
        <f t="shared" si="428"/>
        <v>187857</v>
      </c>
      <c r="E881" s="14">
        <f t="shared" si="428"/>
        <v>0</v>
      </c>
      <c r="F881" s="14">
        <f t="shared" si="428"/>
        <v>0</v>
      </c>
      <c r="G881" s="14">
        <f t="shared" si="428"/>
        <v>98878.5</v>
      </c>
      <c r="H881" s="14">
        <f t="shared" si="428"/>
        <v>268384.5</v>
      </c>
      <c r="I881" s="14">
        <f t="shared" si="428"/>
        <v>268384.5</v>
      </c>
      <c r="J881" s="14">
        <f t="shared" si="428"/>
        <v>268384.5</v>
      </c>
      <c r="K881" s="14">
        <f t="shared" si="428"/>
        <v>268384.5</v>
      </c>
      <c r="L881" s="15">
        <f t="shared" si="428"/>
        <v>805153</v>
      </c>
    </row>
    <row r="882" spans="1:13" x14ac:dyDescent="0.25">
      <c r="A882" s="6" t="s">
        <v>11</v>
      </c>
      <c r="B882" s="54" t="s">
        <v>101</v>
      </c>
      <c r="C882" s="54">
        <v>0</v>
      </c>
      <c r="D882" s="54">
        <v>0</v>
      </c>
      <c r="E882" s="54">
        <v>0</v>
      </c>
      <c r="F882" s="54">
        <v>0</v>
      </c>
      <c r="G882" s="54">
        <v>0</v>
      </c>
      <c r="H882" s="54" t="s">
        <v>101</v>
      </c>
      <c r="I882" s="54" t="s">
        <v>101</v>
      </c>
      <c r="J882" s="54" t="s">
        <v>101</v>
      </c>
      <c r="K882" s="54" t="s">
        <v>101</v>
      </c>
      <c r="L882" s="17" t="s">
        <v>101</v>
      </c>
    </row>
    <row r="883" spans="1:13" ht="39.75" customHeight="1" thickBot="1" x14ac:dyDescent="0.3">
      <c r="A883" s="7" t="s">
        <v>12</v>
      </c>
      <c r="B883" s="30">
        <f>SUM(C883:L883)</f>
        <v>2285426.5</v>
      </c>
      <c r="C883" s="30">
        <v>120000</v>
      </c>
      <c r="D883" s="30">
        <v>187857</v>
      </c>
      <c r="E883" s="30">
        <v>0</v>
      </c>
      <c r="F883" s="30">
        <v>0</v>
      </c>
      <c r="G883" s="30">
        <v>98878.5</v>
      </c>
      <c r="H883" s="30">
        <v>268384.5</v>
      </c>
      <c r="I883" s="30">
        <v>268384.5</v>
      </c>
      <c r="J883" s="30">
        <v>268384.5</v>
      </c>
      <c r="K883" s="30">
        <v>268384.5</v>
      </c>
      <c r="L883" s="31">
        <v>805153</v>
      </c>
    </row>
    <row r="884" spans="1:13" ht="24.75" customHeight="1" x14ac:dyDescent="0.25">
      <c r="A884" s="5" t="s">
        <v>126</v>
      </c>
      <c r="B884" s="143">
        <f>B885+B886</f>
        <v>3000000</v>
      </c>
      <c r="C884" s="143">
        <f t="shared" ref="C884:L884" si="429">C885+C886</f>
        <v>0</v>
      </c>
      <c r="D884" s="143">
        <f t="shared" si="429"/>
        <v>0</v>
      </c>
      <c r="E884" s="143">
        <f t="shared" si="429"/>
        <v>0</v>
      </c>
      <c r="F884" s="143">
        <f t="shared" si="429"/>
        <v>0</v>
      </c>
      <c r="G884" s="143">
        <f t="shared" si="429"/>
        <v>0</v>
      </c>
      <c r="H884" s="143">
        <f t="shared" si="429"/>
        <v>250000</v>
      </c>
      <c r="I884" s="143">
        <f t="shared" si="429"/>
        <v>750000</v>
      </c>
      <c r="J884" s="143">
        <f t="shared" si="429"/>
        <v>1000000</v>
      </c>
      <c r="K884" s="143">
        <f t="shared" si="429"/>
        <v>1000000</v>
      </c>
      <c r="L884" s="144">
        <f t="shared" si="429"/>
        <v>0</v>
      </c>
    </row>
    <row r="885" spans="1:13" ht="15" customHeight="1" x14ac:dyDescent="0.25">
      <c r="A885" s="6" t="s">
        <v>11</v>
      </c>
      <c r="B885" s="54">
        <f>SUM(C885:L885)</f>
        <v>0</v>
      </c>
      <c r="C885" s="54">
        <v>0</v>
      </c>
      <c r="D885" s="54">
        <v>0</v>
      </c>
      <c r="E885" s="54">
        <v>0</v>
      </c>
      <c r="F885" s="54">
        <v>0</v>
      </c>
      <c r="G885" s="54">
        <v>0</v>
      </c>
      <c r="H885" s="54">
        <v>0</v>
      </c>
      <c r="I885" s="54">
        <v>0</v>
      </c>
      <c r="J885" s="54">
        <v>0</v>
      </c>
      <c r="K885" s="54">
        <v>0</v>
      </c>
      <c r="L885" s="17">
        <v>0</v>
      </c>
    </row>
    <row r="886" spans="1:13" ht="39.75" customHeight="1" thickBot="1" x14ac:dyDescent="0.3">
      <c r="A886" s="7" t="s">
        <v>12</v>
      </c>
      <c r="B886" s="30">
        <f>SUM(C886:L886)</f>
        <v>3000000</v>
      </c>
      <c r="C886" s="30">
        <v>0</v>
      </c>
      <c r="D886" s="30">
        <v>0</v>
      </c>
      <c r="E886" s="30">
        <v>0</v>
      </c>
      <c r="F886" s="30">
        <v>0</v>
      </c>
      <c r="G886" s="30">
        <v>0</v>
      </c>
      <c r="H886" s="30">
        <v>250000</v>
      </c>
      <c r="I886" s="30">
        <v>750000</v>
      </c>
      <c r="J886" s="30">
        <v>1000000</v>
      </c>
      <c r="K886" s="30">
        <v>1000000</v>
      </c>
      <c r="L886" s="31">
        <v>0</v>
      </c>
    </row>
    <row r="887" spans="1:13" x14ac:dyDescent="0.25">
      <c r="A887" s="219" t="s">
        <v>173</v>
      </c>
      <c r="B887" s="220"/>
      <c r="C887" s="220"/>
      <c r="D887" s="220"/>
      <c r="E887" s="220"/>
      <c r="F887" s="220"/>
      <c r="G887" s="220"/>
      <c r="H887" s="220"/>
      <c r="I887" s="220"/>
      <c r="J887" s="220"/>
      <c r="K887" s="220"/>
      <c r="L887" s="221"/>
      <c r="M887" s="86"/>
    </row>
    <row r="888" spans="1:13" x14ac:dyDescent="0.25">
      <c r="A888" s="38" t="s">
        <v>5</v>
      </c>
      <c r="B888" s="60">
        <f>B889+B890+B891+B892</f>
        <v>1578654</v>
      </c>
      <c r="C888" s="60">
        <f t="shared" ref="C888:L888" si="430">C889+C890+C891+C892</f>
        <v>0</v>
      </c>
      <c r="D888" s="60">
        <f t="shared" si="430"/>
        <v>0</v>
      </c>
      <c r="E888" s="60">
        <f t="shared" si="430"/>
        <v>0</v>
      </c>
      <c r="F888" s="60">
        <f t="shared" si="430"/>
        <v>0</v>
      </c>
      <c r="G888" s="60">
        <f t="shared" si="430"/>
        <v>78654</v>
      </c>
      <c r="H888" s="60">
        <f t="shared" si="430"/>
        <v>500000</v>
      </c>
      <c r="I888" s="60">
        <f t="shared" si="430"/>
        <v>1000000</v>
      </c>
      <c r="J888" s="60">
        <f t="shared" si="430"/>
        <v>0</v>
      </c>
      <c r="K888" s="60">
        <f t="shared" si="430"/>
        <v>0</v>
      </c>
      <c r="L888" s="61">
        <f t="shared" si="430"/>
        <v>0</v>
      </c>
    </row>
    <row r="889" spans="1:13" x14ac:dyDescent="0.25">
      <c r="A889" s="39" t="s">
        <v>6</v>
      </c>
      <c r="B889" s="77">
        <f>SUM(C889:L889)</f>
        <v>0</v>
      </c>
      <c r="C889" s="77">
        <v>0</v>
      </c>
      <c r="D889" s="77">
        <v>0</v>
      </c>
      <c r="E889" s="77">
        <v>0</v>
      </c>
      <c r="F889" s="77">
        <v>0</v>
      </c>
      <c r="G889" s="77">
        <v>0</v>
      </c>
      <c r="H889" s="77">
        <v>0</v>
      </c>
      <c r="I889" s="77">
        <v>0</v>
      </c>
      <c r="J889" s="77">
        <v>0</v>
      </c>
      <c r="K889" s="77">
        <v>0</v>
      </c>
      <c r="L889" s="79">
        <v>0</v>
      </c>
    </row>
    <row r="890" spans="1:13" x14ac:dyDescent="0.25">
      <c r="A890" s="39" t="s">
        <v>7</v>
      </c>
      <c r="B890" s="77">
        <f>SUM(C890:L890)</f>
        <v>0</v>
      </c>
      <c r="C890" s="77">
        <v>0</v>
      </c>
      <c r="D890" s="77">
        <v>0</v>
      </c>
      <c r="E890" s="77">
        <v>0</v>
      </c>
      <c r="F890" s="77">
        <v>0</v>
      </c>
      <c r="G890" s="77">
        <v>0</v>
      </c>
      <c r="H890" s="77">
        <v>0</v>
      </c>
      <c r="I890" s="77">
        <v>0</v>
      </c>
      <c r="J890" s="77">
        <v>0</v>
      </c>
      <c r="K890" s="77">
        <v>0</v>
      </c>
      <c r="L890" s="79">
        <v>0</v>
      </c>
    </row>
    <row r="891" spans="1:13" ht="26.25" x14ac:dyDescent="0.25">
      <c r="A891" s="39" t="s">
        <v>8</v>
      </c>
      <c r="B891" s="77">
        <f>SUM(C891:L891)</f>
        <v>0</v>
      </c>
      <c r="C891" s="77">
        <v>0</v>
      </c>
      <c r="D891" s="77">
        <v>0</v>
      </c>
      <c r="E891" s="77">
        <v>0</v>
      </c>
      <c r="F891" s="77">
        <v>0</v>
      </c>
      <c r="G891" s="77">
        <v>0</v>
      </c>
      <c r="H891" s="77">
        <v>0</v>
      </c>
      <c r="I891" s="77">
        <v>0</v>
      </c>
      <c r="J891" s="77">
        <v>0</v>
      </c>
      <c r="K891" s="77">
        <v>0</v>
      </c>
      <c r="L891" s="79">
        <v>0</v>
      </c>
    </row>
    <row r="892" spans="1:13" x14ac:dyDescent="0.25">
      <c r="A892" s="38" t="s">
        <v>9</v>
      </c>
      <c r="B892" s="60">
        <f>B898</f>
        <v>1578654</v>
      </c>
      <c r="C892" s="60">
        <f t="shared" ref="C892:L892" si="431">C898</f>
        <v>0</v>
      </c>
      <c r="D892" s="60">
        <f t="shared" si="431"/>
        <v>0</v>
      </c>
      <c r="E892" s="60">
        <f t="shared" si="431"/>
        <v>0</v>
      </c>
      <c r="F892" s="60">
        <f t="shared" si="431"/>
        <v>0</v>
      </c>
      <c r="G892" s="60">
        <f t="shared" si="431"/>
        <v>78654</v>
      </c>
      <c r="H892" s="60">
        <f t="shared" si="431"/>
        <v>500000</v>
      </c>
      <c r="I892" s="60">
        <f t="shared" si="431"/>
        <v>1000000</v>
      </c>
      <c r="J892" s="60">
        <f t="shared" si="431"/>
        <v>0</v>
      </c>
      <c r="K892" s="60">
        <f t="shared" si="431"/>
        <v>0</v>
      </c>
      <c r="L892" s="61">
        <f t="shared" si="431"/>
        <v>0</v>
      </c>
    </row>
    <row r="893" spans="1:13" x14ac:dyDescent="0.25">
      <c r="A893" s="39" t="s">
        <v>10</v>
      </c>
      <c r="B893" s="77"/>
      <c r="C893" s="77"/>
      <c r="D893" s="77"/>
      <c r="E893" s="77"/>
      <c r="F893" s="77"/>
      <c r="G893" s="77"/>
      <c r="H893" s="77"/>
      <c r="I893" s="77"/>
      <c r="J893" s="77"/>
      <c r="K893" s="77"/>
      <c r="L893" s="79"/>
    </row>
    <row r="894" spans="1:13" x14ac:dyDescent="0.25">
      <c r="A894" s="39" t="s">
        <v>11</v>
      </c>
      <c r="B894" s="40">
        <f>B899</f>
        <v>0</v>
      </c>
      <c r="C894" s="40">
        <f t="shared" ref="C894:L894" si="432">C899</f>
        <v>0</v>
      </c>
      <c r="D894" s="40">
        <f t="shared" si="432"/>
        <v>0</v>
      </c>
      <c r="E894" s="40">
        <f t="shared" si="432"/>
        <v>0</v>
      </c>
      <c r="F894" s="40">
        <f t="shared" si="432"/>
        <v>0</v>
      </c>
      <c r="G894" s="40">
        <f t="shared" si="432"/>
        <v>0</v>
      </c>
      <c r="H894" s="40">
        <f t="shared" si="432"/>
        <v>0</v>
      </c>
      <c r="I894" s="40">
        <f t="shared" si="432"/>
        <v>0</v>
      </c>
      <c r="J894" s="40">
        <f t="shared" si="432"/>
        <v>0</v>
      </c>
      <c r="K894" s="40">
        <f t="shared" si="432"/>
        <v>0</v>
      </c>
      <c r="L894" s="41">
        <f t="shared" si="432"/>
        <v>0</v>
      </c>
    </row>
    <row r="895" spans="1:13" ht="39.75" thickBot="1" x14ac:dyDescent="0.3">
      <c r="A895" s="62" t="s">
        <v>12</v>
      </c>
      <c r="B895" s="63">
        <f>B900</f>
        <v>1578654</v>
      </c>
      <c r="C895" s="63">
        <f t="shared" ref="C895:L895" si="433">C900</f>
        <v>0</v>
      </c>
      <c r="D895" s="63">
        <f t="shared" si="433"/>
        <v>0</v>
      </c>
      <c r="E895" s="63">
        <f t="shared" si="433"/>
        <v>0</v>
      </c>
      <c r="F895" s="63">
        <f t="shared" si="433"/>
        <v>0</v>
      </c>
      <c r="G895" s="63">
        <f t="shared" si="433"/>
        <v>78654</v>
      </c>
      <c r="H895" s="63">
        <f t="shared" si="433"/>
        <v>500000</v>
      </c>
      <c r="I895" s="63">
        <f t="shared" si="433"/>
        <v>1000000</v>
      </c>
      <c r="J895" s="63">
        <f t="shared" si="433"/>
        <v>0</v>
      </c>
      <c r="K895" s="63">
        <f t="shared" si="433"/>
        <v>0</v>
      </c>
      <c r="L895" s="64">
        <f t="shared" si="433"/>
        <v>0</v>
      </c>
    </row>
    <row r="896" spans="1:13" x14ac:dyDescent="0.25">
      <c r="A896" s="5" t="s">
        <v>13</v>
      </c>
      <c r="B896" s="12"/>
      <c r="C896" s="12"/>
      <c r="D896" s="12"/>
      <c r="E896" s="12"/>
      <c r="F896" s="12"/>
      <c r="G896" s="12"/>
      <c r="H896" s="12"/>
      <c r="I896" s="12"/>
      <c r="J896" s="12"/>
      <c r="K896" s="12"/>
      <c r="L896" s="13"/>
    </row>
    <row r="897" spans="1:13" x14ac:dyDescent="0.25">
      <c r="A897" s="6" t="s">
        <v>14</v>
      </c>
      <c r="B897" s="14"/>
      <c r="C897" s="14"/>
      <c r="D897" s="14"/>
      <c r="E897" s="14"/>
      <c r="F897" s="14"/>
      <c r="G897" s="14"/>
      <c r="H897" s="14"/>
      <c r="I897" s="14"/>
      <c r="J897" s="14"/>
      <c r="K897" s="14"/>
      <c r="L897" s="15"/>
    </row>
    <row r="898" spans="1:13" x14ac:dyDescent="0.25">
      <c r="A898" s="35" t="s">
        <v>27</v>
      </c>
      <c r="B898" s="14">
        <f>B899+B900</f>
        <v>1578654</v>
      </c>
      <c r="C898" s="14">
        <f t="shared" ref="C898:L898" si="434">C899+C900</f>
        <v>0</v>
      </c>
      <c r="D898" s="14">
        <f t="shared" si="434"/>
        <v>0</v>
      </c>
      <c r="E898" s="14">
        <f t="shared" si="434"/>
        <v>0</v>
      </c>
      <c r="F898" s="14">
        <f t="shared" si="434"/>
        <v>0</v>
      </c>
      <c r="G898" s="14">
        <f t="shared" si="434"/>
        <v>78654</v>
      </c>
      <c r="H898" s="14">
        <f t="shared" si="434"/>
        <v>500000</v>
      </c>
      <c r="I898" s="14">
        <f t="shared" si="434"/>
        <v>1000000</v>
      </c>
      <c r="J898" s="14">
        <f t="shared" si="434"/>
        <v>0</v>
      </c>
      <c r="K898" s="14">
        <f t="shared" si="434"/>
        <v>0</v>
      </c>
      <c r="L898" s="15">
        <f t="shared" si="434"/>
        <v>0</v>
      </c>
    </row>
    <row r="899" spans="1:13" x14ac:dyDescent="0.25">
      <c r="A899" s="6" t="s">
        <v>11</v>
      </c>
      <c r="B899" s="54">
        <f>SUM(C899:L899)</f>
        <v>0</v>
      </c>
      <c r="C899" s="54">
        <v>0</v>
      </c>
      <c r="D899" s="54">
        <v>0</v>
      </c>
      <c r="E899" s="54">
        <v>0</v>
      </c>
      <c r="F899" s="54">
        <v>0</v>
      </c>
      <c r="G899" s="54">
        <v>0</v>
      </c>
      <c r="H899" s="132">
        <v>0</v>
      </c>
      <c r="I899" s="132">
        <v>0</v>
      </c>
      <c r="J899" s="132">
        <v>0</v>
      </c>
      <c r="K899" s="132">
        <v>0</v>
      </c>
      <c r="L899" s="133">
        <v>0</v>
      </c>
    </row>
    <row r="900" spans="1:13" ht="38.25" customHeight="1" thickBot="1" x14ac:dyDescent="0.3">
      <c r="A900" s="7" t="s">
        <v>12</v>
      </c>
      <c r="B900" s="30">
        <f>SUM(C900:L900)</f>
        <v>1578654</v>
      </c>
      <c r="C900" s="30">
        <v>0</v>
      </c>
      <c r="D900" s="30">
        <v>0</v>
      </c>
      <c r="E900" s="30">
        <v>0</v>
      </c>
      <c r="F900" s="30">
        <v>0</v>
      </c>
      <c r="G900" s="117">
        <v>78654</v>
      </c>
      <c r="H900" s="117">
        <v>500000</v>
      </c>
      <c r="I900" s="117">
        <v>1000000</v>
      </c>
      <c r="J900" s="117">
        <v>0</v>
      </c>
      <c r="K900" s="30">
        <v>0</v>
      </c>
      <c r="L900" s="31">
        <v>0</v>
      </c>
    </row>
    <row r="901" spans="1:13" x14ac:dyDescent="0.25">
      <c r="A901" s="219" t="s">
        <v>174</v>
      </c>
      <c r="B901" s="220"/>
      <c r="C901" s="220"/>
      <c r="D901" s="220"/>
      <c r="E901" s="220"/>
      <c r="F901" s="220"/>
      <c r="G901" s="220"/>
      <c r="H901" s="220"/>
      <c r="I901" s="220"/>
      <c r="J901" s="220"/>
      <c r="K901" s="220"/>
      <c r="L901" s="221"/>
      <c r="M901" s="216" t="s">
        <v>188</v>
      </c>
    </row>
    <row r="902" spans="1:13" x14ac:dyDescent="0.25">
      <c r="A902" s="38" t="s">
        <v>5</v>
      </c>
      <c r="B902" s="60">
        <f>B903+B904+B905+B906</f>
        <v>4141205</v>
      </c>
      <c r="C902" s="60">
        <f t="shared" ref="C902:L902" si="435">C903+C904+C905+C906</f>
        <v>289401</v>
      </c>
      <c r="D902" s="60">
        <f t="shared" si="435"/>
        <v>75902</v>
      </c>
      <c r="E902" s="60">
        <f t="shared" si="435"/>
        <v>75902</v>
      </c>
      <c r="F902" s="60">
        <f t="shared" si="435"/>
        <v>0</v>
      </c>
      <c r="G902" s="60">
        <f t="shared" si="435"/>
        <v>0</v>
      </c>
      <c r="H902" s="60">
        <f t="shared" si="435"/>
        <v>300000</v>
      </c>
      <c r="I902" s="60">
        <f t="shared" si="435"/>
        <v>1100000</v>
      </c>
      <c r="J902" s="60">
        <f t="shared" si="435"/>
        <v>1600000</v>
      </c>
      <c r="K902" s="60">
        <f t="shared" si="435"/>
        <v>600000</v>
      </c>
      <c r="L902" s="61">
        <f t="shared" si="435"/>
        <v>100000</v>
      </c>
      <c r="M902" s="216"/>
    </row>
    <row r="903" spans="1:13" x14ac:dyDescent="0.25">
      <c r="A903" s="39" t="s">
        <v>6</v>
      </c>
      <c r="B903" s="77">
        <f>SUM(C903:L903)</f>
        <v>0</v>
      </c>
      <c r="C903" s="77">
        <v>0</v>
      </c>
      <c r="D903" s="77">
        <v>0</v>
      </c>
      <c r="E903" s="77">
        <v>0</v>
      </c>
      <c r="F903" s="77">
        <v>0</v>
      </c>
      <c r="G903" s="77">
        <v>0</v>
      </c>
      <c r="H903" s="77">
        <v>0</v>
      </c>
      <c r="I903" s="77">
        <v>0</v>
      </c>
      <c r="J903" s="77">
        <v>0</v>
      </c>
      <c r="K903" s="77">
        <v>0</v>
      </c>
      <c r="L903" s="79">
        <v>0</v>
      </c>
      <c r="M903" s="216"/>
    </row>
    <row r="904" spans="1:13" x14ac:dyDescent="0.25">
      <c r="A904" s="39" t="s">
        <v>7</v>
      </c>
      <c r="B904" s="77">
        <f>SUM(C904:L904)</f>
        <v>0</v>
      </c>
      <c r="C904" s="77">
        <v>0</v>
      </c>
      <c r="D904" s="77">
        <v>0</v>
      </c>
      <c r="E904" s="77">
        <v>0</v>
      </c>
      <c r="F904" s="77">
        <v>0</v>
      </c>
      <c r="G904" s="77">
        <v>0</v>
      </c>
      <c r="H904" s="77">
        <v>0</v>
      </c>
      <c r="I904" s="77">
        <v>0</v>
      </c>
      <c r="J904" s="77">
        <v>0</v>
      </c>
      <c r="K904" s="77">
        <v>0</v>
      </c>
      <c r="L904" s="79">
        <v>0</v>
      </c>
      <c r="M904" s="216"/>
    </row>
    <row r="905" spans="1:13" ht="26.25" x14ac:dyDescent="0.25">
      <c r="A905" s="39" t="s">
        <v>8</v>
      </c>
      <c r="B905" s="77">
        <f>SUM(C905:L905)</f>
        <v>0</v>
      </c>
      <c r="C905" s="77">
        <v>0</v>
      </c>
      <c r="D905" s="77">
        <v>0</v>
      </c>
      <c r="E905" s="77">
        <v>0</v>
      </c>
      <c r="F905" s="77">
        <v>0</v>
      </c>
      <c r="G905" s="77">
        <v>0</v>
      </c>
      <c r="H905" s="77">
        <v>0</v>
      </c>
      <c r="I905" s="77">
        <v>0</v>
      </c>
      <c r="J905" s="77">
        <v>0</v>
      </c>
      <c r="K905" s="77">
        <v>0</v>
      </c>
      <c r="L905" s="79">
        <v>0</v>
      </c>
      <c r="M905" s="216"/>
    </row>
    <row r="906" spans="1:13" x14ac:dyDescent="0.25">
      <c r="A906" s="38" t="s">
        <v>9</v>
      </c>
      <c r="B906" s="60">
        <f>B912+B915</f>
        <v>4141205</v>
      </c>
      <c r="C906" s="60">
        <f t="shared" ref="C906:L906" si="436">C912+C915</f>
        <v>289401</v>
      </c>
      <c r="D906" s="60">
        <f t="shared" si="436"/>
        <v>75902</v>
      </c>
      <c r="E906" s="60">
        <f t="shared" si="436"/>
        <v>75902</v>
      </c>
      <c r="F906" s="60">
        <f t="shared" si="436"/>
        <v>0</v>
      </c>
      <c r="G906" s="60">
        <f t="shared" si="436"/>
        <v>0</v>
      </c>
      <c r="H906" s="60">
        <f t="shared" si="436"/>
        <v>300000</v>
      </c>
      <c r="I906" s="60">
        <f t="shared" si="436"/>
        <v>1100000</v>
      </c>
      <c r="J906" s="60">
        <f t="shared" si="436"/>
        <v>1600000</v>
      </c>
      <c r="K906" s="60">
        <f t="shared" si="436"/>
        <v>600000</v>
      </c>
      <c r="L906" s="61">
        <f t="shared" si="436"/>
        <v>100000</v>
      </c>
      <c r="M906" s="216"/>
    </row>
    <row r="907" spans="1:13" x14ac:dyDescent="0.25">
      <c r="A907" s="39" t="s">
        <v>10</v>
      </c>
      <c r="B907" s="77"/>
      <c r="C907" s="77"/>
      <c r="D907" s="77"/>
      <c r="E907" s="77"/>
      <c r="F907" s="77"/>
      <c r="G907" s="77"/>
      <c r="H907" s="77"/>
      <c r="I907" s="77"/>
      <c r="J907" s="77"/>
      <c r="K907" s="77"/>
      <c r="L907" s="79"/>
      <c r="M907" s="216"/>
    </row>
    <row r="908" spans="1:13" x14ac:dyDescent="0.25">
      <c r="A908" s="39" t="s">
        <v>11</v>
      </c>
      <c r="B908" s="40">
        <f>B913+B916</f>
        <v>941205</v>
      </c>
      <c r="C908" s="40">
        <f t="shared" ref="C908:L908" si="437">C913+C916</f>
        <v>289401</v>
      </c>
      <c r="D908" s="40">
        <f t="shared" si="437"/>
        <v>75902</v>
      </c>
      <c r="E908" s="40">
        <f t="shared" si="437"/>
        <v>75902</v>
      </c>
      <c r="F908" s="40">
        <f t="shared" si="437"/>
        <v>0</v>
      </c>
      <c r="G908" s="40">
        <f t="shared" si="437"/>
        <v>0</v>
      </c>
      <c r="H908" s="166">
        <f t="shared" si="437"/>
        <v>100000</v>
      </c>
      <c r="I908" s="166">
        <f t="shared" si="437"/>
        <v>100000</v>
      </c>
      <c r="J908" s="166">
        <f t="shared" si="437"/>
        <v>100000</v>
      </c>
      <c r="K908" s="166">
        <f t="shared" si="437"/>
        <v>100000</v>
      </c>
      <c r="L908" s="167">
        <f t="shared" si="437"/>
        <v>100000</v>
      </c>
      <c r="M908" s="216"/>
    </row>
    <row r="909" spans="1:13" ht="39.75" thickBot="1" x14ac:dyDescent="0.3">
      <c r="A909" s="62" t="s">
        <v>12</v>
      </c>
      <c r="B909" s="63">
        <f>B914+B917</f>
        <v>3200000</v>
      </c>
      <c r="C909" s="63">
        <f t="shared" ref="C909:L909" si="438">C914+C917</f>
        <v>0</v>
      </c>
      <c r="D909" s="63">
        <f t="shared" si="438"/>
        <v>0</v>
      </c>
      <c r="E909" s="63">
        <f t="shared" si="438"/>
        <v>0</v>
      </c>
      <c r="F909" s="63">
        <f t="shared" si="438"/>
        <v>0</v>
      </c>
      <c r="G909" s="63">
        <f t="shared" si="438"/>
        <v>0</v>
      </c>
      <c r="H909" s="63">
        <f t="shared" si="438"/>
        <v>200000</v>
      </c>
      <c r="I909" s="63">
        <f t="shared" si="438"/>
        <v>1000000</v>
      </c>
      <c r="J909" s="63">
        <f t="shared" si="438"/>
        <v>1500000</v>
      </c>
      <c r="K909" s="63">
        <f t="shared" si="438"/>
        <v>500000</v>
      </c>
      <c r="L909" s="64">
        <f t="shared" si="438"/>
        <v>0</v>
      </c>
      <c r="M909" s="216"/>
    </row>
    <row r="910" spans="1:13" x14ac:dyDescent="0.25">
      <c r="A910" s="5" t="s">
        <v>13</v>
      </c>
      <c r="B910" s="12"/>
      <c r="C910" s="12"/>
      <c r="D910" s="12"/>
      <c r="E910" s="12"/>
      <c r="F910" s="12"/>
      <c r="G910" s="12"/>
      <c r="H910" s="12"/>
      <c r="I910" s="12"/>
      <c r="J910" s="12"/>
      <c r="K910" s="12"/>
      <c r="L910" s="13"/>
    </row>
    <row r="911" spans="1:13" x14ac:dyDescent="0.25">
      <c r="A911" s="6" t="s">
        <v>14</v>
      </c>
      <c r="B911" s="14"/>
      <c r="C911" s="14"/>
      <c r="D911" s="14"/>
      <c r="E911" s="14"/>
      <c r="F911" s="14"/>
      <c r="G911" s="14"/>
      <c r="H911" s="14"/>
      <c r="I911" s="14"/>
      <c r="J911" s="14"/>
      <c r="K911" s="14"/>
      <c r="L911" s="15"/>
    </row>
    <row r="912" spans="1:13" x14ac:dyDescent="0.25">
      <c r="A912" s="35" t="s">
        <v>27</v>
      </c>
      <c r="B912" s="14">
        <f>B913+B914</f>
        <v>941205</v>
      </c>
      <c r="C912" s="14">
        <f t="shared" ref="C912:L912" si="439">C913+C914</f>
        <v>289401</v>
      </c>
      <c r="D912" s="14">
        <f t="shared" si="439"/>
        <v>75902</v>
      </c>
      <c r="E912" s="14">
        <f t="shared" si="439"/>
        <v>75902</v>
      </c>
      <c r="F912" s="14">
        <f t="shared" si="439"/>
        <v>0</v>
      </c>
      <c r="G912" s="14">
        <f t="shared" si="439"/>
        <v>0</v>
      </c>
      <c r="H912" s="14">
        <f t="shared" si="439"/>
        <v>100000</v>
      </c>
      <c r="I912" s="14">
        <f t="shared" si="439"/>
        <v>100000</v>
      </c>
      <c r="J912" s="14">
        <f t="shared" si="439"/>
        <v>100000</v>
      </c>
      <c r="K912" s="14">
        <f t="shared" si="439"/>
        <v>100000</v>
      </c>
      <c r="L912" s="15">
        <f t="shared" si="439"/>
        <v>100000</v>
      </c>
    </row>
    <row r="913" spans="1:13" x14ac:dyDescent="0.25">
      <c r="A913" s="6" t="s">
        <v>11</v>
      </c>
      <c r="B913" s="54">
        <f>SUM(C913:L913)</f>
        <v>941205</v>
      </c>
      <c r="C913" s="54">
        <v>289401</v>
      </c>
      <c r="D913" s="54">
        <v>75902</v>
      </c>
      <c r="E913" s="54">
        <v>75902</v>
      </c>
      <c r="F913" s="54">
        <v>0</v>
      </c>
      <c r="G913" s="54">
        <v>0</v>
      </c>
      <c r="H913" s="111">
        <v>100000</v>
      </c>
      <c r="I913" s="111">
        <v>100000</v>
      </c>
      <c r="J913" s="111">
        <v>100000</v>
      </c>
      <c r="K913" s="111">
        <v>100000</v>
      </c>
      <c r="L913" s="172">
        <v>100000</v>
      </c>
    </row>
    <row r="914" spans="1:13" ht="42" customHeight="1" thickBot="1" x14ac:dyDescent="0.3">
      <c r="A914" s="7" t="s">
        <v>12</v>
      </c>
      <c r="B914" s="30">
        <f>SUM(C914:L914)</f>
        <v>0</v>
      </c>
      <c r="C914" s="30">
        <v>0</v>
      </c>
      <c r="D914" s="30">
        <v>0</v>
      </c>
      <c r="E914" s="30">
        <v>0</v>
      </c>
      <c r="F914" s="30">
        <v>0</v>
      </c>
      <c r="G914" s="30">
        <v>0</v>
      </c>
      <c r="H914" s="30">
        <v>0</v>
      </c>
      <c r="I914" s="30">
        <v>0</v>
      </c>
      <c r="J914" s="30">
        <v>0</v>
      </c>
      <c r="K914" s="30">
        <v>0</v>
      </c>
      <c r="L914" s="31">
        <v>0</v>
      </c>
    </row>
    <row r="915" spans="1:13" ht="24" customHeight="1" x14ac:dyDescent="0.25">
      <c r="A915" s="5" t="s">
        <v>126</v>
      </c>
      <c r="B915" s="143">
        <f>B916+B917</f>
        <v>3200000</v>
      </c>
      <c r="C915" s="143">
        <f t="shared" ref="C915:L915" si="440">C916+C917</f>
        <v>0</v>
      </c>
      <c r="D915" s="143">
        <f t="shared" si="440"/>
        <v>0</v>
      </c>
      <c r="E915" s="143">
        <f t="shared" si="440"/>
        <v>0</v>
      </c>
      <c r="F915" s="143">
        <f t="shared" si="440"/>
        <v>0</v>
      </c>
      <c r="G915" s="143">
        <f t="shared" si="440"/>
        <v>0</v>
      </c>
      <c r="H915" s="143">
        <f t="shared" si="440"/>
        <v>200000</v>
      </c>
      <c r="I915" s="143">
        <f t="shared" si="440"/>
        <v>1000000</v>
      </c>
      <c r="J915" s="143">
        <f t="shared" si="440"/>
        <v>1500000</v>
      </c>
      <c r="K915" s="143">
        <f t="shared" si="440"/>
        <v>500000</v>
      </c>
      <c r="L915" s="144">
        <f t="shared" si="440"/>
        <v>0</v>
      </c>
    </row>
    <row r="916" spans="1:13" ht="13.5" customHeight="1" x14ac:dyDescent="0.25">
      <c r="A916" s="6" t="s">
        <v>11</v>
      </c>
      <c r="B916" s="54">
        <f>SUM(C916:L916)</f>
        <v>0</v>
      </c>
      <c r="C916" s="54">
        <v>0</v>
      </c>
      <c r="D916" s="54">
        <v>0</v>
      </c>
      <c r="E916" s="54">
        <v>0</v>
      </c>
      <c r="F916" s="54">
        <v>0</v>
      </c>
      <c r="G916" s="54">
        <v>0</v>
      </c>
      <c r="H916" s="54">
        <v>0</v>
      </c>
      <c r="I916" s="54">
        <v>0</v>
      </c>
      <c r="J916" s="54">
        <v>0</v>
      </c>
      <c r="K916" s="54">
        <v>0</v>
      </c>
      <c r="L916" s="17">
        <v>0</v>
      </c>
    </row>
    <row r="917" spans="1:13" ht="39" customHeight="1" thickBot="1" x14ac:dyDescent="0.3">
      <c r="A917" s="7" t="s">
        <v>12</v>
      </c>
      <c r="B917" s="30">
        <f>SUM(C917:L917)</f>
        <v>3200000</v>
      </c>
      <c r="C917" s="30">
        <v>0</v>
      </c>
      <c r="D917" s="30">
        <v>0</v>
      </c>
      <c r="E917" s="30">
        <v>0</v>
      </c>
      <c r="F917" s="30">
        <v>0</v>
      </c>
      <c r="G917" s="30">
        <v>0</v>
      </c>
      <c r="H917" s="30">
        <v>200000</v>
      </c>
      <c r="I917" s="30">
        <v>1000000</v>
      </c>
      <c r="J917" s="30">
        <v>1500000</v>
      </c>
      <c r="K917" s="30">
        <v>500000</v>
      </c>
      <c r="L917" s="31">
        <v>0</v>
      </c>
    </row>
    <row r="918" spans="1:13" ht="32.25" customHeight="1" x14ac:dyDescent="0.25">
      <c r="A918" s="219" t="s">
        <v>175</v>
      </c>
      <c r="B918" s="220"/>
      <c r="C918" s="220"/>
      <c r="D918" s="220"/>
      <c r="E918" s="220"/>
      <c r="F918" s="220"/>
      <c r="G918" s="220"/>
      <c r="H918" s="220"/>
      <c r="I918" s="220"/>
      <c r="J918" s="220"/>
      <c r="K918" s="220"/>
      <c r="L918" s="221"/>
      <c r="M918" s="216" t="s">
        <v>191</v>
      </c>
    </row>
    <row r="919" spans="1:13" x14ac:dyDescent="0.25">
      <c r="A919" s="38" t="s">
        <v>5</v>
      </c>
      <c r="B919" s="60">
        <f>B920+B921+B922+B923</f>
        <v>133479</v>
      </c>
      <c r="C919" s="60">
        <f t="shared" ref="C919:L919" si="441">C920+C921+C922+C923</f>
        <v>44493</v>
      </c>
      <c r="D919" s="60">
        <f t="shared" si="441"/>
        <v>44493</v>
      </c>
      <c r="E919" s="60">
        <f t="shared" si="441"/>
        <v>44493</v>
      </c>
      <c r="F919" s="60">
        <f t="shared" si="441"/>
        <v>0</v>
      </c>
      <c r="G919" s="60">
        <f t="shared" si="441"/>
        <v>0</v>
      </c>
      <c r="H919" s="60">
        <f t="shared" si="441"/>
        <v>0</v>
      </c>
      <c r="I919" s="60">
        <f t="shared" si="441"/>
        <v>0</v>
      </c>
      <c r="J919" s="60">
        <f t="shared" si="441"/>
        <v>0</v>
      </c>
      <c r="K919" s="60">
        <f t="shared" si="441"/>
        <v>0</v>
      </c>
      <c r="L919" s="61">
        <f t="shared" si="441"/>
        <v>0</v>
      </c>
      <c r="M919" s="216"/>
    </row>
    <row r="920" spans="1:13" x14ac:dyDescent="0.25">
      <c r="A920" s="39" t="s">
        <v>6</v>
      </c>
      <c r="B920" s="77">
        <f>SUM(C920:L920)</f>
        <v>0</v>
      </c>
      <c r="C920" s="77">
        <v>0</v>
      </c>
      <c r="D920" s="77">
        <v>0</v>
      </c>
      <c r="E920" s="77">
        <v>0</v>
      </c>
      <c r="F920" s="77">
        <v>0</v>
      </c>
      <c r="G920" s="77">
        <v>0</v>
      </c>
      <c r="H920" s="77">
        <v>0</v>
      </c>
      <c r="I920" s="77">
        <v>0</v>
      </c>
      <c r="J920" s="77">
        <v>0</v>
      </c>
      <c r="K920" s="77">
        <v>0</v>
      </c>
      <c r="L920" s="79">
        <v>0</v>
      </c>
      <c r="M920" s="216"/>
    </row>
    <row r="921" spans="1:13" x14ac:dyDescent="0.25">
      <c r="A921" s="39" t="s">
        <v>7</v>
      </c>
      <c r="B921" s="77">
        <f>SUM(C921:L921)</f>
        <v>0</v>
      </c>
      <c r="C921" s="77">
        <v>0</v>
      </c>
      <c r="D921" s="77">
        <v>0</v>
      </c>
      <c r="E921" s="77">
        <v>0</v>
      </c>
      <c r="F921" s="77">
        <v>0</v>
      </c>
      <c r="G921" s="77">
        <v>0</v>
      </c>
      <c r="H921" s="77">
        <v>0</v>
      </c>
      <c r="I921" s="77">
        <v>0</v>
      </c>
      <c r="J921" s="77">
        <v>0</v>
      </c>
      <c r="K921" s="77">
        <v>0</v>
      </c>
      <c r="L921" s="79">
        <v>0</v>
      </c>
      <c r="M921" s="216"/>
    </row>
    <row r="922" spans="1:13" ht="26.25" x14ac:dyDescent="0.25">
      <c r="A922" s="39" t="s">
        <v>8</v>
      </c>
      <c r="B922" s="77">
        <f>+SUM(C922:L922)</f>
        <v>0</v>
      </c>
      <c r="C922" s="77">
        <v>0</v>
      </c>
      <c r="D922" s="77">
        <v>0</v>
      </c>
      <c r="E922" s="77">
        <v>0</v>
      </c>
      <c r="F922" s="77">
        <v>0</v>
      </c>
      <c r="G922" s="77">
        <v>0</v>
      </c>
      <c r="H922" s="77">
        <v>0</v>
      </c>
      <c r="I922" s="77">
        <v>0</v>
      </c>
      <c r="J922" s="77">
        <v>0</v>
      </c>
      <c r="K922" s="77">
        <v>0</v>
      </c>
      <c r="L922" s="79">
        <v>0</v>
      </c>
      <c r="M922" s="216"/>
    </row>
    <row r="923" spans="1:13" x14ac:dyDescent="0.25">
      <c r="A923" s="38" t="s">
        <v>9</v>
      </c>
      <c r="B923" s="60">
        <f>B929</f>
        <v>133479</v>
      </c>
      <c r="C923" s="60">
        <f t="shared" ref="C923:L923" si="442">C929</f>
        <v>44493</v>
      </c>
      <c r="D923" s="60">
        <f t="shared" si="442"/>
        <v>44493</v>
      </c>
      <c r="E923" s="60">
        <f t="shared" si="442"/>
        <v>44493</v>
      </c>
      <c r="F923" s="60">
        <f t="shared" si="442"/>
        <v>0</v>
      </c>
      <c r="G923" s="60">
        <f t="shared" si="442"/>
        <v>0</v>
      </c>
      <c r="H923" s="60">
        <f t="shared" si="442"/>
        <v>0</v>
      </c>
      <c r="I923" s="60">
        <f t="shared" si="442"/>
        <v>0</v>
      </c>
      <c r="J923" s="60">
        <f t="shared" si="442"/>
        <v>0</v>
      </c>
      <c r="K923" s="60">
        <f t="shared" si="442"/>
        <v>0</v>
      </c>
      <c r="L923" s="61">
        <f t="shared" si="442"/>
        <v>0</v>
      </c>
      <c r="M923" s="216"/>
    </row>
    <row r="924" spans="1:13" x14ac:dyDescent="0.25">
      <c r="A924" s="39" t="s">
        <v>10</v>
      </c>
      <c r="B924" s="77"/>
      <c r="C924" s="77"/>
      <c r="D924" s="77"/>
      <c r="E924" s="77"/>
      <c r="F924" s="77"/>
      <c r="G924" s="77"/>
      <c r="H924" s="77"/>
      <c r="I924" s="77"/>
      <c r="J924" s="77"/>
      <c r="K924" s="77"/>
      <c r="L924" s="79"/>
      <c r="M924" s="216"/>
    </row>
    <row r="925" spans="1:13" x14ac:dyDescent="0.25">
      <c r="A925" s="39" t="s">
        <v>11</v>
      </c>
      <c r="B925" s="40">
        <f>B930:L930</f>
        <v>133479</v>
      </c>
      <c r="C925" s="40">
        <f t="shared" ref="C925" si="443">C930:M930</f>
        <v>44493</v>
      </c>
      <c r="D925" s="40">
        <f>D930:M930</f>
        <v>44493</v>
      </c>
      <c r="E925" s="40">
        <f>E930:M930</f>
        <v>44493</v>
      </c>
      <c r="F925" s="40">
        <f>F930:M930</f>
        <v>0</v>
      </c>
      <c r="G925" s="40">
        <f>G930:M930</f>
        <v>0</v>
      </c>
      <c r="H925" s="40">
        <f>H930:M930</f>
        <v>0</v>
      </c>
      <c r="I925" s="40">
        <f>I930:M930</f>
        <v>0</v>
      </c>
      <c r="J925" s="40">
        <f>J930:M930</f>
        <v>0</v>
      </c>
      <c r="K925" s="40">
        <f>K930:M930</f>
        <v>0</v>
      </c>
      <c r="L925" s="41">
        <f>L930:M930</f>
        <v>0</v>
      </c>
      <c r="M925" s="216"/>
    </row>
    <row r="926" spans="1:13" ht="39.75" thickBot="1" x14ac:dyDescent="0.3">
      <c r="A926" s="62" t="s">
        <v>12</v>
      </c>
      <c r="B926" s="63">
        <f>B931</f>
        <v>0</v>
      </c>
      <c r="C926" s="63">
        <f t="shared" ref="C926:L926" si="444">C931</f>
        <v>0</v>
      </c>
      <c r="D926" s="63">
        <f t="shared" si="444"/>
        <v>0</v>
      </c>
      <c r="E926" s="63">
        <f t="shared" si="444"/>
        <v>0</v>
      </c>
      <c r="F926" s="63">
        <f t="shared" si="444"/>
        <v>0</v>
      </c>
      <c r="G926" s="63">
        <f t="shared" si="444"/>
        <v>0</v>
      </c>
      <c r="H926" s="63">
        <f t="shared" si="444"/>
        <v>0</v>
      </c>
      <c r="I926" s="63">
        <f t="shared" si="444"/>
        <v>0</v>
      </c>
      <c r="J926" s="63">
        <f t="shared" si="444"/>
        <v>0</v>
      </c>
      <c r="K926" s="63">
        <f t="shared" si="444"/>
        <v>0</v>
      </c>
      <c r="L926" s="64">
        <f t="shared" si="444"/>
        <v>0</v>
      </c>
      <c r="M926" s="216"/>
    </row>
    <row r="927" spans="1:13" x14ac:dyDescent="0.25">
      <c r="A927" s="5" t="s">
        <v>13</v>
      </c>
      <c r="B927" s="12"/>
      <c r="C927" s="12"/>
      <c r="D927" s="12"/>
      <c r="E927" s="12"/>
      <c r="F927" s="12"/>
      <c r="G927" s="12"/>
      <c r="H927" s="12"/>
      <c r="I927" s="12"/>
      <c r="J927" s="12"/>
      <c r="K927" s="12"/>
      <c r="L927" s="13"/>
    </row>
    <row r="928" spans="1:13" x14ac:dyDescent="0.25">
      <c r="A928" s="6" t="s">
        <v>14</v>
      </c>
      <c r="B928" s="14"/>
      <c r="C928" s="14"/>
      <c r="D928" s="14"/>
      <c r="E928" s="14"/>
      <c r="F928" s="14"/>
      <c r="G928" s="14"/>
      <c r="H928" s="14"/>
      <c r="I928" s="14"/>
      <c r="J928" s="14"/>
      <c r="K928" s="14"/>
      <c r="L928" s="15"/>
    </row>
    <row r="929" spans="1:13" x14ac:dyDescent="0.25">
      <c r="A929" s="35" t="s">
        <v>27</v>
      </c>
      <c r="B929" s="14">
        <f>B930+B931</f>
        <v>133479</v>
      </c>
      <c r="C929" s="14">
        <f t="shared" ref="C929:L929" si="445">C930+C931</f>
        <v>44493</v>
      </c>
      <c r="D929" s="14">
        <f t="shared" si="445"/>
        <v>44493</v>
      </c>
      <c r="E929" s="14">
        <f t="shared" si="445"/>
        <v>44493</v>
      </c>
      <c r="F929" s="14">
        <f t="shared" si="445"/>
        <v>0</v>
      </c>
      <c r="G929" s="14">
        <f t="shared" si="445"/>
        <v>0</v>
      </c>
      <c r="H929" s="14">
        <f t="shared" si="445"/>
        <v>0</v>
      </c>
      <c r="I929" s="14">
        <f t="shared" si="445"/>
        <v>0</v>
      </c>
      <c r="J929" s="14">
        <f t="shared" si="445"/>
        <v>0</v>
      </c>
      <c r="K929" s="14">
        <f t="shared" si="445"/>
        <v>0</v>
      </c>
      <c r="L929" s="15">
        <f t="shared" si="445"/>
        <v>0</v>
      </c>
    </row>
    <row r="930" spans="1:13" x14ac:dyDescent="0.25">
      <c r="A930" s="6" t="s">
        <v>11</v>
      </c>
      <c r="B930" s="54">
        <f>SUM(C930:L930)</f>
        <v>133479</v>
      </c>
      <c r="C930" s="54">
        <v>44493</v>
      </c>
      <c r="D930" s="54">
        <v>44493</v>
      </c>
      <c r="E930" s="54">
        <v>44493</v>
      </c>
      <c r="F930" s="54">
        <v>0</v>
      </c>
      <c r="G930" s="111">
        <v>0</v>
      </c>
      <c r="H930" s="111">
        <v>0</v>
      </c>
      <c r="I930" s="111">
        <v>0</v>
      </c>
      <c r="J930" s="111">
        <v>0</v>
      </c>
      <c r="K930" s="111">
        <v>0</v>
      </c>
      <c r="L930" s="172">
        <v>0</v>
      </c>
    </row>
    <row r="931" spans="1:13" ht="40.5" customHeight="1" thickBot="1" x14ac:dyDescent="0.3">
      <c r="A931" s="7" t="s">
        <v>12</v>
      </c>
      <c r="B931" s="30">
        <f>SUM(C931:L931)</f>
        <v>0</v>
      </c>
      <c r="C931" s="30">
        <v>0</v>
      </c>
      <c r="D931" s="30">
        <v>0</v>
      </c>
      <c r="E931" s="30">
        <v>0</v>
      </c>
      <c r="F931" s="30">
        <v>0</v>
      </c>
      <c r="G931" s="193">
        <v>0</v>
      </c>
      <c r="H931" s="193">
        <v>0</v>
      </c>
      <c r="I931" s="193">
        <v>0</v>
      </c>
      <c r="J931" s="193">
        <v>0</v>
      </c>
      <c r="K931" s="193">
        <v>0</v>
      </c>
      <c r="L931" s="134">
        <v>0</v>
      </c>
      <c r="M931" s="213"/>
    </row>
    <row r="932" spans="1:13" ht="31.5" customHeight="1" x14ac:dyDescent="0.25">
      <c r="A932" s="219" t="s">
        <v>176</v>
      </c>
      <c r="B932" s="220"/>
      <c r="C932" s="220"/>
      <c r="D932" s="220"/>
      <c r="E932" s="220"/>
      <c r="F932" s="220"/>
      <c r="G932" s="220"/>
      <c r="H932" s="220"/>
      <c r="I932" s="220"/>
      <c r="J932" s="220"/>
      <c r="K932" s="220"/>
      <c r="L932" s="221"/>
      <c r="M932" s="216" t="s">
        <v>190</v>
      </c>
    </row>
    <row r="933" spans="1:13" x14ac:dyDescent="0.25">
      <c r="A933" s="38" t="s">
        <v>5</v>
      </c>
      <c r="B933" s="60">
        <f>B934+B935+B936+B937</f>
        <v>2078028</v>
      </c>
      <c r="C933" s="60">
        <f t="shared" ref="C933:L933" si="446">C934+C935+C936+C937</f>
        <v>78028</v>
      </c>
      <c r="D933" s="60">
        <f t="shared" si="446"/>
        <v>0</v>
      </c>
      <c r="E933" s="60">
        <f t="shared" si="446"/>
        <v>0</v>
      </c>
      <c r="F933" s="60">
        <f t="shared" si="446"/>
        <v>0</v>
      </c>
      <c r="G933" s="60">
        <f t="shared" si="446"/>
        <v>200000</v>
      </c>
      <c r="H933" s="60">
        <f t="shared" si="446"/>
        <v>300000</v>
      </c>
      <c r="I933" s="60">
        <f t="shared" si="446"/>
        <v>300000</v>
      </c>
      <c r="J933" s="60">
        <f t="shared" si="446"/>
        <v>300000</v>
      </c>
      <c r="K933" s="60">
        <f t="shared" si="446"/>
        <v>300000</v>
      </c>
      <c r="L933" s="61">
        <f t="shared" si="446"/>
        <v>600000</v>
      </c>
      <c r="M933" s="216"/>
    </row>
    <row r="934" spans="1:13" x14ac:dyDescent="0.25">
      <c r="A934" s="39" t="s">
        <v>6</v>
      </c>
      <c r="B934" s="77">
        <f>SUM(C934:L934)</f>
        <v>0</v>
      </c>
      <c r="C934" s="77">
        <v>0</v>
      </c>
      <c r="D934" s="77">
        <v>0</v>
      </c>
      <c r="E934" s="77">
        <v>0</v>
      </c>
      <c r="F934" s="77">
        <v>0</v>
      </c>
      <c r="G934" s="77">
        <v>0</v>
      </c>
      <c r="H934" s="77">
        <v>0</v>
      </c>
      <c r="I934" s="77">
        <v>0</v>
      </c>
      <c r="J934" s="77">
        <v>0</v>
      </c>
      <c r="K934" s="77">
        <v>0</v>
      </c>
      <c r="L934" s="79">
        <v>0</v>
      </c>
      <c r="M934" s="216"/>
    </row>
    <row r="935" spans="1:13" x14ac:dyDescent="0.25">
      <c r="A935" s="39" t="s">
        <v>7</v>
      </c>
      <c r="B935" s="77">
        <f>SUM(C935:L935)</f>
        <v>0</v>
      </c>
      <c r="C935" s="77">
        <v>0</v>
      </c>
      <c r="D935" s="77">
        <v>0</v>
      </c>
      <c r="E935" s="77">
        <v>0</v>
      </c>
      <c r="F935" s="77">
        <v>0</v>
      </c>
      <c r="G935" s="77">
        <v>0</v>
      </c>
      <c r="H935" s="77">
        <v>0</v>
      </c>
      <c r="I935" s="77">
        <v>0</v>
      </c>
      <c r="J935" s="77">
        <v>0</v>
      </c>
      <c r="K935" s="77">
        <v>0</v>
      </c>
      <c r="L935" s="79">
        <v>0</v>
      </c>
      <c r="M935" s="216"/>
    </row>
    <row r="936" spans="1:13" ht="26.25" x14ac:dyDescent="0.25">
      <c r="A936" s="39" t="s">
        <v>8</v>
      </c>
      <c r="B936" s="77">
        <f>SUM(C936:L936)</f>
        <v>0</v>
      </c>
      <c r="C936" s="77">
        <v>0</v>
      </c>
      <c r="D936" s="77">
        <v>0</v>
      </c>
      <c r="E936" s="77">
        <v>0</v>
      </c>
      <c r="F936" s="77">
        <v>0</v>
      </c>
      <c r="G936" s="77">
        <v>0</v>
      </c>
      <c r="H936" s="77">
        <v>0</v>
      </c>
      <c r="I936" s="77">
        <v>0</v>
      </c>
      <c r="J936" s="77">
        <v>0</v>
      </c>
      <c r="K936" s="77">
        <v>0</v>
      </c>
      <c r="L936" s="79">
        <v>0</v>
      </c>
      <c r="M936" s="216"/>
    </row>
    <row r="937" spans="1:13" x14ac:dyDescent="0.25">
      <c r="A937" s="38" t="s">
        <v>9</v>
      </c>
      <c r="B937" s="60">
        <f>B939+B940</f>
        <v>2078028</v>
      </c>
      <c r="C937" s="60">
        <f t="shared" ref="C937:L937" si="447">C939+C940</f>
        <v>78028</v>
      </c>
      <c r="D937" s="60">
        <f t="shared" si="447"/>
        <v>0</v>
      </c>
      <c r="E937" s="60">
        <f t="shared" si="447"/>
        <v>0</v>
      </c>
      <c r="F937" s="60">
        <f t="shared" si="447"/>
        <v>0</v>
      </c>
      <c r="G937" s="60">
        <f t="shared" si="447"/>
        <v>200000</v>
      </c>
      <c r="H937" s="60">
        <f t="shared" si="447"/>
        <v>300000</v>
      </c>
      <c r="I937" s="60">
        <f t="shared" si="447"/>
        <v>300000</v>
      </c>
      <c r="J937" s="60">
        <f t="shared" si="447"/>
        <v>300000</v>
      </c>
      <c r="K937" s="60">
        <f t="shared" si="447"/>
        <v>300000</v>
      </c>
      <c r="L937" s="61">
        <f t="shared" si="447"/>
        <v>600000</v>
      </c>
      <c r="M937" s="216"/>
    </row>
    <row r="938" spans="1:13" x14ac:dyDescent="0.25">
      <c r="A938" s="39" t="s">
        <v>10</v>
      </c>
      <c r="B938" s="77"/>
      <c r="C938" s="77"/>
      <c r="D938" s="77"/>
      <c r="E938" s="77"/>
      <c r="F938" s="77"/>
      <c r="G938" s="77"/>
      <c r="H938" s="77"/>
      <c r="I938" s="77"/>
      <c r="J938" s="77"/>
      <c r="K938" s="77"/>
      <c r="L938" s="79"/>
      <c r="M938" s="216"/>
    </row>
    <row r="939" spans="1:13" x14ac:dyDescent="0.25">
      <c r="A939" s="39" t="s">
        <v>11</v>
      </c>
      <c r="B939" s="40">
        <f>B944</f>
        <v>0</v>
      </c>
      <c r="C939" s="40">
        <f t="shared" ref="C939:L939" si="448">C944</f>
        <v>0</v>
      </c>
      <c r="D939" s="40">
        <f t="shared" si="448"/>
        <v>0</v>
      </c>
      <c r="E939" s="40">
        <f t="shared" si="448"/>
        <v>0</v>
      </c>
      <c r="F939" s="40">
        <f t="shared" si="448"/>
        <v>0</v>
      </c>
      <c r="G939" s="40">
        <f t="shared" si="448"/>
        <v>0</v>
      </c>
      <c r="H939" s="40">
        <f t="shared" si="448"/>
        <v>0</v>
      </c>
      <c r="I939" s="40">
        <f t="shared" si="448"/>
        <v>0</v>
      </c>
      <c r="J939" s="40">
        <f t="shared" si="448"/>
        <v>0</v>
      </c>
      <c r="K939" s="40">
        <f t="shared" si="448"/>
        <v>0</v>
      </c>
      <c r="L939" s="41">
        <f t="shared" si="448"/>
        <v>0</v>
      </c>
      <c r="M939" s="216"/>
    </row>
    <row r="940" spans="1:13" ht="39.75" thickBot="1" x14ac:dyDescent="0.3">
      <c r="A940" s="62" t="s">
        <v>12</v>
      </c>
      <c r="B940" s="63">
        <f>B945</f>
        <v>2078028</v>
      </c>
      <c r="C940" s="63">
        <f t="shared" ref="C940:L940" si="449">C945</f>
        <v>78028</v>
      </c>
      <c r="D940" s="63">
        <f t="shared" si="449"/>
        <v>0</v>
      </c>
      <c r="E940" s="63">
        <f t="shared" si="449"/>
        <v>0</v>
      </c>
      <c r="F940" s="63">
        <f t="shared" si="449"/>
        <v>0</v>
      </c>
      <c r="G940" s="63">
        <f t="shared" si="449"/>
        <v>200000</v>
      </c>
      <c r="H940" s="63">
        <f t="shared" si="449"/>
        <v>300000</v>
      </c>
      <c r="I940" s="63">
        <f t="shared" si="449"/>
        <v>300000</v>
      </c>
      <c r="J940" s="63">
        <f t="shared" si="449"/>
        <v>300000</v>
      </c>
      <c r="K940" s="63">
        <f t="shared" si="449"/>
        <v>300000</v>
      </c>
      <c r="L940" s="64">
        <f t="shared" si="449"/>
        <v>600000</v>
      </c>
      <c r="M940" s="216"/>
    </row>
    <row r="941" spans="1:13" x14ac:dyDescent="0.25">
      <c r="A941" s="5" t="s">
        <v>13</v>
      </c>
      <c r="B941" s="12"/>
      <c r="C941" s="12"/>
      <c r="D941" s="12"/>
      <c r="E941" s="12"/>
      <c r="F941" s="12"/>
      <c r="G941" s="12"/>
      <c r="H941" s="12"/>
      <c r="I941" s="12"/>
      <c r="J941" s="12"/>
      <c r="K941" s="12"/>
      <c r="L941" s="13"/>
    </row>
    <row r="942" spans="1:13" x14ac:dyDescent="0.25">
      <c r="A942" s="6" t="s">
        <v>14</v>
      </c>
      <c r="B942" s="14"/>
      <c r="C942" s="14"/>
      <c r="D942" s="14"/>
      <c r="E942" s="14"/>
      <c r="F942" s="14"/>
      <c r="G942" s="14"/>
      <c r="H942" s="14"/>
      <c r="I942" s="14"/>
      <c r="J942" s="14"/>
      <c r="K942" s="14"/>
      <c r="L942" s="15"/>
    </row>
    <row r="943" spans="1:13" x14ac:dyDescent="0.25">
      <c r="A943" s="35" t="s">
        <v>27</v>
      </c>
      <c r="B943" s="14">
        <f>B944+B945</f>
        <v>2078028</v>
      </c>
      <c r="C943" s="14">
        <f t="shared" ref="C943:L943" si="450">C944+C945</f>
        <v>78028</v>
      </c>
      <c r="D943" s="14">
        <f t="shared" si="450"/>
        <v>0</v>
      </c>
      <c r="E943" s="14">
        <f t="shared" si="450"/>
        <v>0</v>
      </c>
      <c r="F943" s="14">
        <f t="shared" si="450"/>
        <v>0</v>
      </c>
      <c r="G943" s="14">
        <f t="shared" si="450"/>
        <v>200000</v>
      </c>
      <c r="H943" s="14">
        <f t="shared" si="450"/>
        <v>300000</v>
      </c>
      <c r="I943" s="14">
        <f t="shared" si="450"/>
        <v>300000</v>
      </c>
      <c r="J943" s="14">
        <f t="shared" si="450"/>
        <v>300000</v>
      </c>
      <c r="K943" s="14">
        <f t="shared" si="450"/>
        <v>300000</v>
      </c>
      <c r="L943" s="15">
        <f t="shared" si="450"/>
        <v>600000</v>
      </c>
    </row>
    <row r="944" spans="1:13" x14ac:dyDescent="0.25">
      <c r="A944" s="6" t="s">
        <v>11</v>
      </c>
      <c r="B944" s="54">
        <f>SUM(C944:L944)</f>
        <v>0</v>
      </c>
      <c r="C944" s="54">
        <v>0</v>
      </c>
      <c r="D944" s="54">
        <v>0</v>
      </c>
      <c r="E944" s="54">
        <v>0</v>
      </c>
      <c r="F944" s="54">
        <v>0</v>
      </c>
      <c r="G944" s="54">
        <v>0</v>
      </c>
      <c r="H944" s="54">
        <v>0</v>
      </c>
      <c r="I944" s="54">
        <v>0</v>
      </c>
      <c r="J944" s="54">
        <v>0</v>
      </c>
      <c r="K944" s="54">
        <v>0</v>
      </c>
      <c r="L944" s="17">
        <v>0</v>
      </c>
    </row>
    <row r="945" spans="1:12" ht="37.5" customHeight="1" thickBot="1" x14ac:dyDescent="0.3">
      <c r="A945" s="7" t="s">
        <v>12</v>
      </c>
      <c r="B945" s="30">
        <f>SUM(C945:L945)</f>
        <v>2078028</v>
      </c>
      <c r="C945" s="30">
        <v>78028</v>
      </c>
      <c r="D945" s="30">
        <v>0</v>
      </c>
      <c r="E945" s="30">
        <v>0</v>
      </c>
      <c r="F945" s="30">
        <v>0</v>
      </c>
      <c r="G945" s="30">
        <v>200000</v>
      </c>
      <c r="H945" s="30">
        <v>300000</v>
      </c>
      <c r="I945" s="30">
        <v>300000</v>
      </c>
      <c r="J945" s="30">
        <v>300000</v>
      </c>
      <c r="K945" s="30">
        <v>300000</v>
      </c>
      <c r="L945" s="31">
        <v>600000</v>
      </c>
    </row>
    <row r="946" spans="1:12" x14ac:dyDescent="0.25">
      <c r="A946" s="219" t="s">
        <v>177</v>
      </c>
      <c r="B946" s="220"/>
      <c r="C946" s="220"/>
      <c r="D946" s="220"/>
      <c r="E946" s="220"/>
      <c r="F946" s="220"/>
      <c r="G946" s="220"/>
      <c r="H946" s="220"/>
      <c r="I946" s="220"/>
      <c r="J946" s="220"/>
      <c r="K946" s="220"/>
      <c r="L946" s="221"/>
    </row>
    <row r="947" spans="1:12" x14ac:dyDescent="0.25">
      <c r="A947" s="38" t="s">
        <v>5</v>
      </c>
      <c r="B947" s="60">
        <f>B948+B949+B950+B951</f>
        <v>700000</v>
      </c>
      <c r="C947" s="60">
        <f t="shared" ref="C947:L947" si="451">C948+C949+C950+C951</f>
        <v>0</v>
      </c>
      <c r="D947" s="60">
        <f t="shared" si="451"/>
        <v>0</v>
      </c>
      <c r="E947" s="60">
        <f t="shared" si="451"/>
        <v>0</v>
      </c>
      <c r="F947" s="60">
        <f t="shared" si="451"/>
        <v>0</v>
      </c>
      <c r="G947" s="60">
        <f t="shared" si="451"/>
        <v>0</v>
      </c>
      <c r="H947" s="60">
        <f t="shared" si="451"/>
        <v>140000</v>
      </c>
      <c r="I947" s="60">
        <f t="shared" si="451"/>
        <v>140000</v>
      </c>
      <c r="J947" s="60">
        <f t="shared" si="451"/>
        <v>140000</v>
      </c>
      <c r="K947" s="60">
        <f t="shared" si="451"/>
        <v>140000</v>
      </c>
      <c r="L947" s="61">
        <f t="shared" si="451"/>
        <v>140000</v>
      </c>
    </row>
    <row r="948" spans="1:12" x14ac:dyDescent="0.25">
      <c r="A948" s="39" t="s">
        <v>6</v>
      </c>
      <c r="B948" s="77">
        <f>SUM(C948:L948)</f>
        <v>0</v>
      </c>
      <c r="C948" s="77">
        <v>0</v>
      </c>
      <c r="D948" s="77">
        <v>0</v>
      </c>
      <c r="E948" s="77">
        <v>0</v>
      </c>
      <c r="F948" s="77">
        <v>0</v>
      </c>
      <c r="G948" s="77">
        <v>0</v>
      </c>
      <c r="H948" s="77">
        <v>0</v>
      </c>
      <c r="I948" s="77">
        <v>0</v>
      </c>
      <c r="J948" s="77">
        <v>0</v>
      </c>
      <c r="K948" s="77">
        <v>0</v>
      </c>
      <c r="L948" s="79">
        <v>0</v>
      </c>
    </row>
    <row r="949" spans="1:12" x14ac:dyDescent="0.25">
      <c r="A949" s="39" t="s">
        <v>7</v>
      </c>
      <c r="B949" s="77">
        <f>SUM(C949:L949)</f>
        <v>0</v>
      </c>
      <c r="C949" s="77">
        <v>0</v>
      </c>
      <c r="D949" s="77">
        <v>0</v>
      </c>
      <c r="E949" s="77">
        <v>0</v>
      </c>
      <c r="F949" s="77">
        <v>0</v>
      </c>
      <c r="G949" s="77">
        <v>0</v>
      </c>
      <c r="H949" s="77">
        <v>0</v>
      </c>
      <c r="I949" s="77">
        <v>0</v>
      </c>
      <c r="J949" s="77">
        <v>0</v>
      </c>
      <c r="K949" s="77">
        <v>0</v>
      </c>
      <c r="L949" s="79">
        <v>0</v>
      </c>
    </row>
    <row r="950" spans="1:12" ht="26.25" x14ac:dyDescent="0.25">
      <c r="A950" s="39" t="s">
        <v>8</v>
      </c>
      <c r="B950" s="77">
        <f>SUM(C950:L950)</f>
        <v>0</v>
      </c>
      <c r="C950" s="77">
        <v>0</v>
      </c>
      <c r="D950" s="77">
        <v>0</v>
      </c>
      <c r="E950" s="77">
        <v>0</v>
      </c>
      <c r="F950" s="77">
        <v>0</v>
      </c>
      <c r="G950" s="77">
        <v>0</v>
      </c>
      <c r="H950" s="77">
        <v>0</v>
      </c>
      <c r="I950" s="77">
        <v>0</v>
      </c>
      <c r="J950" s="77">
        <v>0</v>
      </c>
      <c r="K950" s="77">
        <v>0</v>
      </c>
      <c r="L950" s="79">
        <v>0</v>
      </c>
    </row>
    <row r="951" spans="1:12" x14ac:dyDescent="0.25">
      <c r="A951" s="38" t="s">
        <v>9</v>
      </c>
      <c r="B951" s="60">
        <f>B957</f>
        <v>700000</v>
      </c>
      <c r="C951" s="60">
        <f t="shared" ref="C951:L951" si="452">C957</f>
        <v>0</v>
      </c>
      <c r="D951" s="60">
        <f t="shared" si="452"/>
        <v>0</v>
      </c>
      <c r="E951" s="60">
        <f t="shared" si="452"/>
        <v>0</v>
      </c>
      <c r="F951" s="60">
        <f t="shared" si="452"/>
        <v>0</v>
      </c>
      <c r="G951" s="60">
        <f t="shared" si="452"/>
        <v>0</v>
      </c>
      <c r="H951" s="60">
        <f t="shared" si="452"/>
        <v>140000</v>
      </c>
      <c r="I951" s="60">
        <f t="shared" si="452"/>
        <v>140000</v>
      </c>
      <c r="J951" s="60">
        <f t="shared" si="452"/>
        <v>140000</v>
      </c>
      <c r="K951" s="60">
        <f t="shared" si="452"/>
        <v>140000</v>
      </c>
      <c r="L951" s="61">
        <f t="shared" si="452"/>
        <v>140000</v>
      </c>
    </row>
    <row r="952" spans="1:12" x14ac:dyDescent="0.25">
      <c r="A952" s="39" t="s">
        <v>10</v>
      </c>
      <c r="B952" s="77"/>
      <c r="C952" s="77"/>
      <c r="D952" s="77"/>
      <c r="E952" s="77"/>
      <c r="F952" s="77"/>
      <c r="G952" s="77"/>
      <c r="H952" s="77"/>
      <c r="I952" s="77"/>
      <c r="J952" s="77"/>
      <c r="K952" s="77"/>
      <c r="L952" s="79"/>
    </row>
    <row r="953" spans="1:12" x14ac:dyDescent="0.25">
      <c r="A953" s="39" t="s">
        <v>11</v>
      </c>
      <c r="B953" s="40">
        <f>B958</f>
        <v>700000</v>
      </c>
      <c r="C953" s="40">
        <f t="shared" ref="C953:L953" si="453">C958</f>
        <v>0</v>
      </c>
      <c r="D953" s="40">
        <f t="shared" si="453"/>
        <v>0</v>
      </c>
      <c r="E953" s="40">
        <f t="shared" si="453"/>
        <v>0</v>
      </c>
      <c r="F953" s="40">
        <f t="shared" si="453"/>
        <v>0</v>
      </c>
      <c r="G953" s="40">
        <f t="shared" si="453"/>
        <v>0</v>
      </c>
      <c r="H953" s="40">
        <f t="shared" si="453"/>
        <v>140000</v>
      </c>
      <c r="I953" s="40">
        <f t="shared" si="453"/>
        <v>140000</v>
      </c>
      <c r="J953" s="40">
        <f t="shared" si="453"/>
        <v>140000</v>
      </c>
      <c r="K953" s="40">
        <f t="shared" si="453"/>
        <v>140000</v>
      </c>
      <c r="L953" s="41">
        <f t="shared" si="453"/>
        <v>140000</v>
      </c>
    </row>
    <row r="954" spans="1:12" ht="39.75" thickBot="1" x14ac:dyDescent="0.3">
      <c r="A954" s="62" t="s">
        <v>12</v>
      </c>
      <c r="B954" s="63">
        <f>B959</f>
        <v>0</v>
      </c>
      <c r="C954" s="63">
        <f t="shared" ref="C954:L954" si="454">C959</f>
        <v>0</v>
      </c>
      <c r="D954" s="63">
        <f t="shared" si="454"/>
        <v>0</v>
      </c>
      <c r="E954" s="63">
        <f t="shared" si="454"/>
        <v>0</v>
      </c>
      <c r="F954" s="63">
        <f t="shared" si="454"/>
        <v>0</v>
      </c>
      <c r="G954" s="63">
        <f t="shared" si="454"/>
        <v>0</v>
      </c>
      <c r="H954" s="63">
        <f t="shared" si="454"/>
        <v>0</v>
      </c>
      <c r="I954" s="63">
        <f t="shared" si="454"/>
        <v>0</v>
      </c>
      <c r="J954" s="63">
        <f t="shared" si="454"/>
        <v>0</v>
      </c>
      <c r="K954" s="63">
        <f t="shared" si="454"/>
        <v>0</v>
      </c>
      <c r="L954" s="64">
        <f t="shared" si="454"/>
        <v>0</v>
      </c>
    </row>
    <row r="955" spans="1:12" x14ac:dyDescent="0.25">
      <c r="A955" s="5" t="s">
        <v>13</v>
      </c>
      <c r="B955" s="12"/>
      <c r="C955" s="12"/>
      <c r="D955" s="12"/>
      <c r="E955" s="12"/>
      <c r="F955" s="12"/>
      <c r="G955" s="12"/>
      <c r="H955" s="12"/>
      <c r="I955" s="12"/>
      <c r="J955" s="12"/>
      <c r="K955" s="12"/>
      <c r="L955" s="13"/>
    </row>
    <row r="956" spans="1:12" x14ac:dyDescent="0.25">
      <c r="A956" s="6" t="s">
        <v>14</v>
      </c>
      <c r="B956" s="14"/>
      <c r="C956" s="14"/>
      <c r="D956" s="14"/>
      <c r="E956" s="14"/>
      <c r="F956" s="14"/>
      <c r="G956" s="14"/>
      <c r="H956" s="14"/>
      <c r="I956" s="14"/>
      <c r="J956" s="14"/>
      <c r="K956" s="14"/>
      <c r="L956" s="15"/>
    </row>
    <row r="957" spans="1:12" x14ac:dyDescent="0.25">
      <c r="A957" s="35" t="s">
        <v>27</v>
      </c>
      <c r="B957" s="14">
        <f>B958+B959</f>
        <v>700000</v>
      </c>
      <c r="C957" s="14">
        <f t="shared" ref="C957:L957" si="455">C958+C959</f>
        <v>0</v>
      </c>
      <c r="D957" s="14">
        <f t="shared" si="455"/>
        <v>0</v>
      </c>
      <c r="E957" s="14">
        <f t="shared" si="455"/>
        <v>0</v>
      </c>
      <c r="F957" s="14">
        <f t="shared" si="455"/>
        <v>0</v>
      </c>
      <c r="G957" s="14">
        <f t="shared" si="455"/>
        <v>0</v>
      </c>
      <c r="H957" s="14">
        <f t="shared" si="455"/>
        <v>140000</v>
      </c>
      <c r="I957" s="14">
        <f t="shared" si="455"/>
        <v>140000</v>
      </c>
      <c r="J957" s="14">
        <f t="shared" si="455"/>
        <v>140000</v>
      </c>
      <c r="K957" s="14">
        <f t="shared" si="455"/>
        <v>140000</v>
      </c>
      <c r="L957" s="15">
        <f t="shared" si="455"/>
        <v>140000</v>
      </c>
    </row>
    <row r="958" spans="1:12" x14ac:dyDescent="0.25">
      <c r="A958" s="6" t="s">
        <v>11</v>
      </c>
      <c r="B958" s="54">
        <f>SUM(C958:L958)</f>
        <v>700000</v>
      </c>
      <c r="C958" s="54">
        <v>0</v>
      </c>
      <c r="D958" s="54">
        <v>0</v>
      </c>
      <c r="E958" s="54">
        <v>0</v>
      </c>
      <c r="F958" s="54">
        <v>0</v>
      </c>
      <c r="G958" s="54">
        <v>0</v>
      </c>
      <c r="H958" s="54">
        <v>140000</v>
      </c>
      <c r="I958" s="54">
        <v>140000</v>
      </c>
      <c r="J958" s="54">
        <v>140000</v>
      </c>
      <c r="K958" s="54">
        <v>140000</v>
      </c>
      <c r="L958" s="17">
        <v>140000</v>
      </c>
    </row>
    <row r="959" spans="1:12" ht="39" customHeight="1" thickBot="1" x14ac:dyDescent="0.3">
      <c r="A959" s="7" t="s">
        <v>12</v>
      </c>
      <c r="B959" s="30">
        <f>SUM(C959:L959)</f>
        <v>0</v>
      </c>
      <c r="C959" s="30">
        <v>0</v>
      </c>
      <c r="D959" s="30">
        <v>0</v>
      </c>
      <c r="E959" s="30">
        <v>0</v>
      </c>
      <c r="F959" s="30">
        <v>0</v>
      </c>
      <c r="G959" s="30">
        <v>0</v>
      </c>
      <c r="H959" s="30">
        <v>0</v>
      </c>
      <c r="I959" s="30">
        <v>0</v>
      </c>
      <c r="J959" s="30">
        <v>0</v>
      </c>
      <c r="K959" s="30">
        <v>0</v>
      </c>
      <c r="L959" s="31">
        <v>0</v>
      </c>
    </row>
    <row r="960" spans="1:12" x14ac:dyDescent="0.25">
      <c r="A960" s="219" t="s">
        <v>178</v>
      </c>
      <c r="B960" s="220"/>
      <c r="C960" s="220"/>
      <c r="D960" s="220"/>
      <c r="E960" s="220"/>
      <c r="F960" s="220"/>
      <c r="G960" s="220"/>
      <c r="H960" s="220"/>
      <c r="I960" s="220"/>
      <c r="J960" s="220"/>
      <c r="K960" s="220"/>
      <c r="L960" s="221"/>
    </row>
    <row r="961" spans="1:13" x14ac:dyDescent="0.25">
      <c r="A961" s="38" t="s">
        <v>5</v>
      </c>
      <c r="B961" s="60">
        <f>B962+B963+B964+B965</f>
        <v>700000</v>
      </c>
      <c r="C961" s="60">
        <f t="shared" ref="C961:L961" si="456">C962+C963+C964+C965</f>
        <v>0</v>
      </c>
      <c r="D961" s="60">
        <f t="shared" si="456"/>
        <v>0</v>
      </c>
      <c r="E961" s="60">
        <f t="shared" si="456"/>
        <v>0</v>
      </c>
      <c r="F961" s="60">
        <f t="shared" si="456"/>
        <v>0</v>
      </c>
      <c r="G961" s="60">
        <f t="shared" si="456"/>
        <v>0</v>
      </c>
      <c r="H961" s="60">
        <f t="shared" si="456"/>
        <v>140000</v>
      </c>
      <c r="I961" s="60">
        <f t="shared" si="456"/>
        <v>140000</v>
      </c>
      <c r="J961" s="60">
        <f t="shared" si="456"/>
        <v>140000</v>
      </c>
      <c r="K961" s="60">
        <f t="shared" si="456"/>
        <v>140000</v>
      </c>
      <c r="L961" s="61">
        <f t="shared" si="456"/>
        <v>140000</v>
      </c>
    </row>
    <row r="962" spans="1:13" x14ac:dyDescent="0.25">
      <c r="A962" s="39" t="s">
        <v>6</v>
      </c>
      <c r="B962" s="77">
        <f>SUM(C962:L962)</f>
        <v>0</v>
      </c>
      <c r="C962" s="77">
        <v>0</v>
      </c>
      <c r="D962" s="77">
        <v>0</v>
      </c>
      <c r="E962" s="77">
        <v>0</v>
      </c>
      <c r="F962" s="77">
        <v>0</v>
      </c>
      <c r="G962" s="77">
        <v>0</v>
      </c>
      <c r="H962" s="77">
        <v>0</v>
      </c>
      <c r="I962" s="77">
        <v>0</v>
      </c>
      <c r="J962" s="77">
        <v>0</v>
      </c>
      <c r="K962" s="77">
        <v>0</v>
      </c>
      <c r="L962" s="79">
        <v>0</v>
      </c>
    </row>
    <row r="963" spans="1:13" x14ac:dyDescent="0.25">
      <c r="A963" s="39" t="s">
        <v>7</v>
      </c>
      <c r="B963" s="77">
        <f>SUM(C963:L963)</f>
        <v>0</v>
      </c>
      <c r="C963" s="77">
        <v>0</v>
      </c>
      <c r="D963" s="77">
        <v>0</v>
      </c>
      <c r="E963" s="77">
        <v>0</v>
      </c>
      <c r="F963" s="77">
        <v>0</v>
      </c>
      <c r="G963" s="77">
        <v>0</v>
      </c>
      <c r="H963" s="77">
        <v>0</v>
      </c>
      <c r="I963" s="77">
        <v>0</v>
      </c>
      <c r="J963" s="77">
        <v>0</v>
      </c>
      <c r="K963" s="77">
        <v>0</v>
      </c>
      <c r="L963" s="79">
        <v>0</v>
      </c>
    </row>
    <row r="964" spans="1:13" ht="26.25" x14ac:dyDescent="0.25">
      <c r="A964" s="39" t="s">
        <v>8</v>
      </c>
      <c r="B964" s="77">
        <f>SUM(C964:L964)</f>
        <v>0</v>
      </c>
      <c r="C964" s="77">
        <v>0</v>
      </c>
      <c r="D964" s="77">
        <v>0</v>
      </c>
      <c r="E964" s="77">
        <v>0</v>
      </c>
      <c r="F964" s="77">
        <v>0</v>
      </c>
      <c r="G964" s="77">
        <v>0</v>
      </c>
      <c r="H964" s="77">
        <v>0</v>
      </c>
      <c r="I964" s="77">
        <v>0</v>
      </c>
      <c r="J964" s="77">
        <v>0</v>
      </c>
      <c r="K964" s="77">
        <v>0</v>
      </c>
      <c r="L964" s="79">
        <v>0</v>
      </c>
    </row>
    <row r="965" spans="1:13" x14ac:dyDescent="0.25">
      <c r="A965" s="38" t="s">
        <v>9</v>
      </c>
      <c r="B965" s="60">
        <f>B971</f>
        <v>700000</v>
      </c>
      <c r="C965" s="60">
        <f t="shared" ref="C965:L965" si="457">C971</f>
        <v>0</v>
      </c>
      <c r="D965" s="60">
        <f t="shared" si="457"/>
        <v>0</v>
      </c>
      <c r="E965" s="60">
        <f t="shared" si="457"/>
        <v>0</v>
      </c>
      <c r="F965" s="60">
        <f t="shared" si="457"/>
        <v>0</v>
      </c>
      <c r="G965" s="60">
        <f t="shared" si="457"/>
        <v>0</v>
      </c>
      <c r="H965" s="60">
        <f t="shared" si="457"/>
        <v>140000</v>
      </c>
      <c r="I965" s="60">
        <f t="shared" si="457"/>
        <v>140000</v>
      </c>
      <c r="J965" s="60">
        <f t="shared" si="457"/>
        <v>140000</v>
      </c>
      <c r="K965" s="60">
        <f t="shared" si="457"/>
        <v>140000</v>
      </c>
      <c r="L965" s="61">
        <f t="shared" si="457"/>
        <v>140000</v>
      </c>
    </row>
    <row r="966" spans="1:13" x14ac:dyDescent="0.25">
      <c r="A966" s="39" t="s">
        <v>10</v>
      </c>
      <c r="B966" s="77"/>
      <c r="C966" s="77"/>
      <c r="D966" s="77"/>
      <c r="E966" s="77"/>
      <c r="F966" s="77"/>
      <c r="G966" s="77"/>
      <c r="H966" s="77"/>
      <c r="I966" s="77"/>
      <c r="J966" s="77"/>
      <c r="K966" s="77"/>
      <c r="L966" s="79"/>
    </row>
    <row r="967" spans="1:13" x14ac:dyDescent="0.25">
      <c r="A967" s="39" t="s">
        <v>11</v>
      </c>
      <c r="B967" s="40">
        <f>B972</f>
        <v>700000</v>
      </c>
      <c r="C967" s="40">
        <f t="shared" ref="C967:L967" si="458">C972</f>
        <v>0</v>
      </c>
      <c r="D967" s="40">
        <f t="shared" si="458"/>
        <v>0</v>
      </c>
      <c r="E967" s="40">
        <f t="shared" si="458"/>
        <v>0</v>
      </c>
      <c r="F967" s="40">
        <f t="shared" si="458"/>
        <v>0</v>
      </c>
      <c r="G967" s="40">
        <f t="shared" si="458"/>
        <v>0</v>
      </c>
      <c r="H967" s="40">
        <f t="shared" si="458"/>
        <v>140000</v>
      </c>
      <c r="I967" s="40">
        <f t="shared" si="458"/>
        <v>140000</v>
      </c>
      <c r="J967" s="40">
        <f t="shared" si="458"/>
        <v>140000</v>
      </c>
      <c r="K967" s="40">
        <f t="shared" si="458"/>
        <v>140000</v>
      </c>
      <c r="L967" s="41">
        <f t="shared" si="458"/>
        <v>140000</v>
      </c>
    </row>
    <row r="968" spans="1:13" ht="39.75" thickBot="1" x14ac:dyDescent="0.3">
      <c r="A968" s="62" t="s">
        <v>12</v>
      </c>
      <c r="B968" s="63">
        <f>B973</f>
        <v>0</v>
      </c>
      <c r="C968" s="63">
        <f t="shared" ref="C968:L968" si="459">C973</f>
        <v>0</v>
      </c>
      <c r="D968" s="63">
        <f t="shared" si="459"/>
        <v>0</v>
      </c>
      <c r="E968" s="63">
        <f t="shared" si="459"/>
        <v>0</v>
      </c>
      <c r="F968" s="63">
        <f t="shared" si="459"/>
        <v>0</v>
      </c>
      <c r="G968" s="63">
        <f t="shared" si="459"/>
        <v>0</v>
      </c>
      <c r="H968" s="63">
        <f t="shared" si="459"/>
        <v>0</v>
      </c>
      <c r="I968" s="63">
        <f t="shared" si="459"/>
        <v>0</v>
      </c>
      <c r="J968" s="63">
        <f t="shared" si="459"/>
        <v>0</v>
      </c>
      <c r="K968" s="63">
        <f t="shared" si="459"/>
        <v>0</v>
      </c>
      <c r="L968" s="64">
        <f t="shared" si="459"/>
        <v>0</v>
      </c>
    </row>
    <row r="969" spans="1:13" x14ac:dyDescent="0.25">
      <c r="A969" s="5" t="s">
        <v>13</v>
      </c>
      <c r="B969" s="12"/>
      <c r="C969" s="12"/>
      <c r="D969" s="12"/>
      <c r="E969" s="12"/>
      <c r="F969" s="12"/>
      <c r="G969" s="12"/>
      <c r="H969" s="12"/>
      <c r="I969" s="12"/>
      <c r="J969" s="12"/>
      <c r="K969" s="12"/>
      <c r="L969" s="13"/>
    </row>
    <row r="970" spans="1:13" x14ac:dyDescent="0.25">
      <c r="A970" s="6" t="s">
        <v>14</v>
      </c>
      <c r="B970" s="14"/>
      <c r="C970" s="14"/>
      <c r="D970" s="14"/>
      <c r="E970" s="14"/>
      <c r="F970" s="14"/>
      <c r="G970" s="14"/>
      <c r="H970" s="14"/>
      <c r="I970" s="14"/>
      <c r="J970" s="14"/>
      <c r="K970" s="14"/>
      <c r="L970" s="15"/>
    </row>
    <row r="971" spans="1:13" x14ac:dyDescent="0.25">
      <c r="A971" s="35" t="s">
        <v>27</v>
      </c>
      <c r="B971" s="14">
        <f>B972+B973</f>
        <v>700000</v>
      </c>
      <c r="C971" s="14">
        <f t="shared" ref="C971:L971" si="460">C972+C973</f>
        <v>0</v>
      </c>
      <c r="D971" s="14">
        <f t="shared" si="460"/>
        <v>0</v>
      </c>
      <c r="E971" s="14">
        <f t="shared" si="460"/>
        <v>0</v>
      </c>
      <c r="F971" s="14">
        <f t="shared" si="460"/>
        <v>0</v>
      </c>
      <c r="G971" s="14">
        <f t="shared" si="460"/>
        <v>0</v>
      </c>
      <c r="H971" s="14">
        <f t="shared" si="460"/>
        <v>140000</v>
      </c>
      <c r="I971" s="14">
        <f t="shared" si="460"/>
        <v>140000</v>
      </c>
      <c r="J971" s="14">
        <f t="shared" si="460"/>
        <v>140000</v>
      </c>
      <c r="K971" s="14">
        <f t="shared" si="460"/>
        <v>140000</v>
      </c>
      <c r="L971" s="15">
        <f t="shared" si="460"/>
        <v>140000</v>
      </c>
    </row>
    <row r="972" spans="1:13" x14ac:dyDescent="0.25">
      <c r="A972" s="6" t="s">
        <v>11</v>
      </c>
      <c r="B972" s="54">
        <f>SUM(C972:L972)</f>
        <v>700000</v>
      </c>
      <c r="C972" s="54">
        <v>0</v>
      </c>
      <c r="D972" s="54">
        <v>0</v>
      </c>
      <c r="E972" s="54">
        <v>0</v>
      </c>
      <c r="F972" s="54">
        <v>0</v>
      </c>
      <c r="G972" s="54">
        <v>0</v>
      </c>
      <c r="H972" s="54">
        <v>140000</v>
      </c>
      <c r="I972" s="54">
        <v>140000</v>
      </c>
      <c r="J972" s="54">
        <v>140000</v>
      </c>
      <c r="K972" s="54">
        <v>140000</v>
      </c>
      <c r="L972" s="17">
        <v>140000</v>
      </c>
    </row>
    <row r="973" spans="1:13" ht="38.25" customHeight="1" thickBot="1" x14ac:dyDescent="0.3">
      <c r="A973" s="7" t="s">
        <v>12</v>
      </c>
      <c r="B973" s="30">
        <f>SUM(C973:L973)</f>
        <v>0</v>
      </c>
      <c r="C973" s="30">
        <v>0</v>
      </c>
      <c r="D973" s="30">
        <v>0</v>
      </c>
      <c r="E973" s="30">
        <v>0</v>
      </c>
      <c r="F973" s="30">
        <v>0</v>
      </c>
      <c r="G973" s="30">
        <v>0</v>
      </c>
      <c r="H973" s="30">
        <v>0</v>
      </c>
      <c r="I973" s="30">
        <v>0</v>
      </c>
      <c r="J973" s="30">
        <v>0</v>
      </c>
      <c r="K973" s="30">
        <v>0</v>
      </c>
      <c r="L973" s="31">
        <v>0</v>
      </c>
    </row>
    <row r="974" spans="1:13" x14ac:dyDescent="0.25">
      <c r="A974" s="219" t="s">
        <v>179</v>
      </c>
      <c r="B974" s="220"/>
      <c r="C974" s="220"/>
      <c r="D974" s="220"/>
      <c r="E974" s="220"/>
      <c r="F974" s="220"/>
      <c r="G974" s="220"/>
      <c r="H974" s="220"/>
      <c r="I974" s="220"/>
      <c r="J974" s="220"/>
      <c r="K974" s="220"/>
      <c r="L974" s="221"/>
      <c r="M974" s="216" t="s">
        <v>186</v>
      </c>
    </row>
    <row r="975" spans="1:13" x14ac:dyDescent="0.25">
      <c r="A975" s="38" t="s">
        <v>5</v>
      </c>
      <c r="B975" s="60">
        <f>B976+B977+B978+B979</f>
        <v>0</v>
      </c>
      <c r="C975" s="60">
        <f t="shared" ref="C975:L975" si="461">C976+C977+C978+C979</f>
        <v>0</v>
      </c>
      <c r="D975" s="60">
        <f t="shared" si="461"/>
        <v>0</v>
      </c>
      <c r="E975" s="60">
        <f t="shared" si="461"/>
        <v>0</v>
      </c>
      <c r="F975" s="60">
        <f t="shared" si="461"/>
        <v>0</v>
      </c>
      <c r="G975" s="60">
        <f t="shared" si="461"/>
        <v>0</v>
      </c>
      <c r="H975" s="60">
        <f t="shared" si="461"/>
        <v>0</v>
      </c>
      <c r="I975" s="60">
        <f t="shared" si="461"/>
        <v>0</v>
      </c>
      <c r="J975" s="60">
        <f t="shared" si="461"/>
        <v>0</v>
      </c>
      <c r="K975" s="60">
        <f t="shared" si="461"/>
        <v>0</v>
      </c>
      <c r="L975" s="61">
        <f t="shared" si="461"/>
        <v>0</v>
      </c>
      <c r="M975" s="216"/>
    </row>
    <row r="976" spans="1:13" x14ac:dyDescent="0.25">
      <c r="A976" s="39" t="s">
        <v>6</v>
      </c>
      <c r="B976" s="77">
        <f>SUM(C976:L976)</f>
        <v>0</v>
      </c>
      <c r="C976" s="77">
        <v>0</v>
      </c>
      <c r="D976" s="77">
        <v>0</v>
      </c>
      <c r="E976" s="77">
        <v>0</v>
      </c>
      <c r="F976" s="77">
        <v>0</v>
      </c>
      <c r="G976" s="77">
        <v>0</v>
      </c>
      <c r="H976" s="77">
        <v>0</v>
      </c>
      <c r="I976" s="77">
        <v>0</v>
      </c>
      <c r="J976" s="77">
        <v>0</v>
      </c>
      <c r="K976" s="77">
        <v>0</v>
      </c>
      <c r="L976" s="79">
        <v>0</v>
      </c>
      <c r="M976" s="216"/>
    </row>
    <row r="977" spans="1:13" x14ac:dyDescent="0.25">
      <c r="A977" s="39" t="s">
        <v>7</v>
      </c>
      <c r="B977" s="77">
        <f>SUM(C977:L977)</f>
        <v>0</v>
      </c>
      <c r="C977" s="77">
        <v>0</v>
      </c>
      <c r="D977" s="77">
        <v>0</v>
      </c>
      <c r="E977" s="77">
        <v>0</v>
      </c>
      <c r="F977" s="77">
        <v>0</v>
      </c>
      <c r="G977" s="77">
        <v>0</v>
      </c>
      <c r="H977" s="77">
        <v>0</v>
      </c>
      <c r="I977" s="77">
        <v>0</v>
      </c>
      <c r="J977" s="77">
        <v>0</v>
      </c>
      <c r="K977" s="77">
        <v>0</v>
      </c>
      <c r="L977" s="79">
        <v>0</v>
      </c>
      <c r="M977" s="216"/>
    </row>
    <row r="978" spans="1:13" ht="26.25" x14ac:dyDescent="0.25">
      <c r="A978" s="39" t="s">
        <v>8</v>
      </c>
      <c r="B978" s="77">
        <f>SUM(C978:L978)</f>
        <v>0</v>
      </c>
      <c r="C978" s="77">
        <v>0</v>
      </c>
      <c r="D978" s="77">
        <v>0</v>
      </c>
      <c r="E978" s="77">
        <v>0</v>
      </c>
      <c r="F978" s="77">
        <v>0</v>
      </c>
      <c r="G978" s="77">
        <v>0</v>
      </c>
      <c r="H978" s="77">
        <v>0</v>
      </c>
      <c r="I978" s="77">
        <v>0</v>
      </c>
      <c r="J978" s="77">
        <v>0</v>
      </c>
      <c r="K978" s="77">
        <v>0</v>
      </c>
      <c r="L978" s="79">
        <v>0</v>
      </c>
      <c r="M978" s="216"/>
    </row>
    <row r="979" spans="1:13" x14ac:dyDescent="0.25">
      <c r="A979" s="38" t="s">
        <v>9</v>
      </c>
      <c r="B979" s="60">
        <f>B985</f>
        <v>0</v>
      </c>
      <c r="C979" s="60">
        <f t="shared" ref="C979:L979" si="462">C985</f>
        <v>0</v>
      </c>
      <c r="D979" s="60">
        <f t="shared" si="462"/>
        <v>0</v>
      </c>
      <c r="E979" s="60">
        <f t="shared" si="462"/>
        <v>0</v>
      </c>
      <c r="F979" s="60">
        <f t="shared" si="462"/>
        <v>0</v>
      </c>
      <c r="G979" s="60">
        <f t="shared" si="462"/>
        <v>0</v>
      </c>
      <c r="H979" s="60">
        <f t="shared" si="462"/>
        <v>0</v>
      </c>
      <c r="I979" s="60">
        <f t="shared" si="462"/>
        <v>0</v>
      </c>
      <c r="J979" s="60">
        <f t="shared" si="462"/>
        <v>0</v>
      </c>
      <c r="K979" s="60">
        <f t="shared" si="462"/>
        <v>0</v>
      </c>
      <c r="L979" s="61">
        <f t="shared" si="462"/>
        <v>0</v>
      </c>
      <c r="M979" s="216"/>
    </row>
    <row r="980" spans="1:13" x14ac:dyDescent="0.25">
      <c r="A980" s="39" t="s">
        <v>10</v>
      </c>
      <c r="B980" s="77"/>
      <c r="C980" s="77"/>
      <c r="D980" s="77"/>
      <c r="E980" s="77"/>
      <c r="F980" s="77"/>
      <c r="G980" s="77"/>
      <c r="H980" s="77"/>
      <c r="I980" s="77"/>
      <c r="J980" s="77"/>
      <c r="K980" s="77"/>
      <c r="L980" s="79"/>
      <c r="M980" s="216"/>
    </row>
    <row r="981" spans="1:13" x14ac:dyDescent="0.25">
      <c r="A981" s="39" t="s">
        <v>11</v>
      </c>
      <c r="B981" s="40">
        <f>B986</f>
        <v>0</v>
      </c>
      <c r="C981" s="40">
        <f t="shared" ref="C981:L981" si="463">C986</f>
        <v>0</v>
      </c>
      <c r="D981" s="40">
        <f t="shared" si="463"/>
        <v>0</v>
      </c>
      <c r="E981" s="40">
        <f t="shared" si="463"/>
        <v>0</v>
      </c>
      <c r="F981" s="40">
        <f t="shared" si="463"/>
        <v>0</v>
      </c>
      <c r="G981" s="40">
        <f t="shared" si="463"/>
        <v>0</v>
      </c>
      <c r="H981" s="40">
        <f t="shared" si="463"/>
        <v>0</v>
      </c>
      <c r="I981" s="40">
        <f t="shared" si="463"/>
        <v>0</v>
      </c>
      <c r="J981" s="40">
        <f t="shared" si="463"/>
        <v>0</v>
      </c>
      <c r="K981" s="40">
        <f t="shared" si="463"/>
        <v>0</v>
      </c>
      <c r="L981" s="41">
        <f t="shared" si="463"/>
        <v>0</v>
      </c>
      <c r="M981" s="216"/>
    </row>
    <row r="982" spans="1:13" ht="39.75" thickBot="1" x14ac:dyDescent="0.3">
      <c r="A982" s="62" t="s">
        <v>12</v>
      </c>
      <c r="B982" s="63">
        <f>B987</f>
        <v>0</v>
      </c>
      <c r="C982" s="63">
        <f t="shared" ref="C982:L982" si="464">C987</f>
        <v>0</v>
      </c>
      <c r="D982" s="63">
        <f t="shared" si="464"/>
        <v>0</v>
      </c>
      <c r="E982" s="63">
        <f t="shared" si="464"/>
        <v>0</v>
      </c>
      <c r="F982" s="63">
        <f t="shared" si="464"/>
        <v>0</v>
      </c>
      <c r="G982" s="63">
        <f t="shared" si="464"/>
        <v>0</v>
      </c>
      <c r="H982" s="63">
        <f t="shared" si="464"/>
        <v>0</v>
      </c>
      <c r="I982" s="63">
        <f t="shared" si="464"/>
        <v>0</v>
      </c>
      <c r="J982" s="63">
        <f t="shared" si="464"/>
        <v>0</v>
      </c>
      <c r="K982" s="63">
        <f t="shared" si="464"/>
        <v>0</v>
      </c>
      <c r="L982" s="64">
        <f t="shared" si="464"/>
        <v>0</v>
      </c>
      <c r="M982" s="216"/>
    </row>
    <row r="983" spans="1:13" x14ac:dyDescent="0.25">
      <c r="A983" s="5" t="s">
        <v>13</v>
      </c>
      <c r="B983" s="12"/>
      <c r="C983" s="12"/>
      <c r="D983" s="12"/>
      <c r="E983" s="12"/>
      <c r="F983" s="12"/>
      <c r="G983" s="12"/>
      <c r="H983" s="12"/>
      <c r="I983" s="12"/>
      <c r="J983" s="12"/>
      <c r="K983" s="12"/>
      <c r="L983" s="13"/>
    </row>
    <row r="984" spans="1:13" x14ac:dyDescent="0.25">
      <c r="A984" s="6" t="s">
        <v>14</v>
      </c>
      <c r="B984" s="14"/>
      <c r="C984" s="14"/>
      <c r="D984" s="14"/>
      <c r="E984" s="14"/>
      <c r="F984" s="14"/>
      <c r="G984" s="14"/>
      <c r="H984" s="14"/>
      <c r="I984" s="14"/>
      <c r="J984" s="14"/>
      <c r="K984" s="14"/>
      <c r="L984" s="15"/>
    </row>
    <row r="985" spans="1:13" x14ac:dyDescent="0.25">
      <c r="A985" s="35" t="s">
        <v>27</v>
      </c>
      <c r="B985" s="14">
        <f>B986+B987</f>
        <v>0</v>
      </c>
      <c r="C985" s="14">
        <f t="shared" ref="C985:L985" si="465">C986+C987</f>
        <v>0</v>
      </c>
      <c r="D985" s="14">
        <f t="shared" si="465"/>
        <v>0</v>
      </c>
      <c r="E985" s="14">
        <f t="shared" si="465"/>
        <v>0</v>
      </c>
      <c r="F985" s="14">
        <f t="shared" si="465"/>
        <v>0</v>
      </c>
      <c r="G985" s="14">
        <f t="shared" si="465"/>
        <v>0</v>
      </c>
      <c r="H985" s="14">
        <f t="shared" si="465"/>
        <v>0</v>
      </c>
      <c r="I985" s="14">
        <f t="shared" si="465"/>
        <v>0</v>
      </c>
      <c r="J985" s="14">
        <f t="shared" si="465"/>
        <v>0</v>
      </c>
      <c r="K985" s="14">
        <f t="shared" si="465"/>
        <v>0</v>
      </c>
      <c r="L985" s="15">
        <f t="shared" si="465"/>
        <v>0</v>
      </c>
    </row>
    <row r="986" spans="1:13" x14ac:dyDescent="0.25">
      <c r="A986" s="6" t="s">
        <v>11</v>
      </c>
      <c r="B986" s="54">
        <f>SUM(C986:L986)</f>
        <v>0</v>
      </c>
      <c r="C986" s="54">
        <v>0</v>
      </c>
      <c r="D986" s="54">
        <v>0</v>
      </c>
      <c r="E986" s="54">
        <v>0</v>
      </c>
      <c r="F986" s="54">
        <v>0</v>
      </c>
      <c r="G986" s="54">
        <v>0</v>
      </c>
      <c r="H986" s="54">
        <v>0</v>
      </c>
      <c r="I986" s="54">
        <v>0</v>
      </c>
      <c r="J986" s="54">
        <v>0</v>
      </c>
      <c r="K986" s="54">
        <v>0</v>
      </c>
      <c r="L986" s="17">
        <v>0</v>
      </c>
    </row>
    <row r="987" spans="1:13" ht="37.5" customHeight="1" thickBot="1" x14ac:dyDescent="0.3">
      <c r="A987" s="7" t="s">
        <v>12</v>
      </c>
      <c r="B987" s="30">
        <f>SUM(C987:L987)</f>
        <v>0</v>
      </c>
      <c r="C987" s="30">
        <v>0</v>
      </c>
      <c r="D987" s="30">
        <v>0</v>
      </c>
      <c r="E987" s="30">
        <v>0</v>
      </c>
      <c r="F987" s="30">
        <v>0</v>
      </c>
      <c r="G987" s="30">
        <v>0</v>
      </c>
      <c r="H987" s="30">
        <v>0</v>
      </c>
      <c r="I987" s="30">
        <v>0</v>
      </c>
      <c r="J987" s="30">
        <v>0</v>
      </c>
      <c r="K987" s="30">
        <v>0</v>
      </c>
      <c r="L987" s="31">
        <v>0</v>
      </c>
    </row>
    <row r="988" spans="1:13" ht="31.5" customHeight="1" x14ac:dyDescent="0.25">
      <c r="A988" s="219" t="s">
        <v>180</v>
      </c>
      <c r="B988" s="220"/>
      <c r="C988" s="220"/>
      <c r="D988" s="220"/>
      <c r="E988" s="220"/>
      <c r="F988" s="220"/>
      <c r="G988" s="220"/>
      <c r="H988" s="220"/>
      <c r="I988" s="220"/>
      <c r="J988" s="220"/>
      <c r="K988" s="220"/>
      <c r="L988" s="221"/>
      <c r="M988" s="216" t="s">
        <v>186</v>
      </c>
    </row>
    <row r="989" spans="1:13" x14ac:dyDescent="0.25">
      <c r="A989" s="38" t="s">
        <v>5</v>
      </c>
      <c r="B989" s="60">
        <f>B990+B991+B992+B993</f>
        <v>0</v>
      </c>
      <c r="C989" s="60">
        <f t="shared" ref="C989:L989" si="466">C990+C991+C992+C993</f>
        <v>0</v>
      </c>
      <c r="D989" s="60">
        <f t="shared" si="466"/>
        <v>0</v>
      </c>
      <c r="E989" s="60">
        <f t="shared" si="466"/>
        <v>0</v>
      </c>
      <c r="F989" s="60">
        <f t="shared" si="466"/>
        <v>0</v>
      </c>
      <c r="G989" s="60">
        <f t="shared" si="466"/>
        <v>0</v>
      </c>
      <c r="H989" s="60">
        <f t="shared" si="466"/>
        <v>0</v>
      </c>
      <c r="I989" s="60">
        <f t="shared" si="466"/>
        <v>0</v>
      </c>
      <c r="J989" s="60">
        <f t="shared" si="466"/>
        <v>0</v>
      </c>
      <c r="K989" s="60">
        <f t="shared" si="466"/>
        <v>0</v>
      </c>
      <c r="L989" s="61">
        <f t="shared" si="466"/>
        <v>0</v>
      </c>
      <c r="M989" s="216"/>
    </row>
    <row r="990" spans="1:13" x14ac:dyDescent="0.25">
      <c r="A990" s="39" t="s">
        <v>6</v>
      </c>
      <c r="B990" s="77">
        <f>SUM(C990:L990)</f>
        <v>0</v>
      </c>
      <c r="C990" s="77">
        <v>0</v>
      </c>
      <c r="D990" s="77">
        <v>0</v>
      </c>
      <c r="E990" s="77">
        <v>0</v>
      </c>
      <c r="F990" s="77">
        <v>0</v>
      </c>
      <c r="G990" s="77">
        <v>0</v>
      </c>
      <c r="H990" s="77">
        <v>0</v>
      </c>
      <c r="I990" s="77">
        <v>0</v>
      </c>
      <c r="J990" s="77">
        <v>0</v>
      </c>
      <c r="K990" s="77">
        <v>0</v>
      </c>
      <c r="L990" s="79">
        <v>0</v>
      </c>
      <c r="M990" s="216"/>
    </row>
    <row r="991" spans="1:13" x14ac:dyDescent="0.25">
      <c r="A991" s="39" t="s">
        <v>7</v>
      </c>
      <c r="B991" s="77">
        <f>SUM(C991:L991)</f>
        <v>0</v>
      </c>
      <c r="C991" s="77">
        <v>0</v>
      </c>
      <c r="D991" s="77">
        <v>0</v>
      </c>
      <c r="E991" s="77">
        <v>0</v>
      </c>
      <c r="F991" s="77">
        <v>0</v>
      </c>
      <c r="G991" s="77">
        <v>0</v>
      </c>
      <c r="H991" s="77">
        <v>0</v>
      </c>
      <c r="I991" s="77">
        <v>0</v>
      </c>
      <c r="J991" s="77">
        <v>0</v>
      </c>
      <c r="K991" s="77">
        <v>0</v>
      </c>
      <c r="L991" s="79">
        <v>0</v>
      </c>
      <c r="M991" s="216"/>
    </row>
    <row r="992" spans="1:13" ht="26.25" x14ac:dyDescent="0.25">
      <c r="A992" s="39" t="s">
        <v>8</v>
      </c>
      <c r="B992" s="77">
        <f>SUM(C992:L992)</f>
        <v>0</v>
      </c>
      <c r="C992" s="77">
        <v>0</v>
      </c>
      <c r="D992" s="77">
        <v>0</v>
      </c>
      <c r="E992" s="77">
        <v>0</v>
      </c>
      <c r="F992" s="77">
        <v>0</v>
      </c>
      <c r="G992" s="77">
        <v>0</v>
      </c>
      <c r="H992" s="77">
        <v>0</v>
      </c>
      <c r="I992" s="77">
        <v>0</v>
      </c>
      <c r="J992" s="77">
        <v>0</v>
      </c>
      <c r="K992" s="77">
        <v>0</v>
      </c>
      <c r="L992" s="79">
        <v>0</v>
      </c>
      <c r="M992" s="216"/>
    </row>
    <row r="993" spans="1:13" x14ac:dyDescent="0.25">
      <c r="A993" s="38" t="s">
        <v>9</v>
      </c>
      <c r="B993" s="60">
        <f>B999</f>
        <v>0</v>
      </c>
      <c r="C993" s="60">
        <f t="shared" ref="C993:L993" si="467">C999</f>
        <v>0</v>
      </c>
      <c r="D993" s="60">
        <f t="shared" si="467"/>
        <v>0</v>
      </c>
      <c r="E993" s="60">
        <f t="shared" si="467"/>
        <v>0</v>
      </c>
      <c r="F993" s="60">
        <f t="shared" si="467"/>
        <v>0</v>
      </c>
      <c r="G993" s="60">
        <f t="shared" si="467"/>
        <v>0</v>
      </c>
      <c r="H993" s="60">
        <f t="shared" si="467"/>
        <v>0</v>
      </c>
      <c r="I993" s="60">
        <f t="shared" si="467"/>
        <v>0</v>
      </c>
      <c r="J993" s="60">
        <f t="shared" si="467"/>
        <v>0</v>
      </c>
      <c r="K993" s="60">
        <f t="shared" si="467"/>
        <v>0</v>
      </c>
      <c r="L993" s="61">
        <f t="shared" si="467"/>
        <v>0</v>
      </c>
      <c r="M993" s="216"/>
    </row>
    <row r="994" spans="1:13" x14ac:dyDescent="0.25">
      <c r="A994" s="39" t="s">
        <v>10</v>
      </c>
      <c r="B994" s="77"/>
      <c r="C994" s="77"/>
      <c r="D994" s="77"/>
      <c r="E994" s="77"/>
      <c r="F994" s="77"/>
      <c r="G994" s="77"/>
      <c r="H994" s="77"/>
      <c r="I994" s="77"/>
      <c r="J994" s="77"/>
      <c r="K994" s="77"/>
      <c r="L994" s="79"/>
      <c r="M994" s="216"/>
    </row>
    <row r="995" spans="1:13" x14ac:dyDescent="0.25">
      <c r="A995" s="39" t="s">
        <v>11</v>
      </c>
      <c r="B995" s="40">
        <f>B1000</f>
        <v>0</v>
      </c>
      <c r="C995" s="40">
        <f t="shared" ref="C995:L995" si="468">C1000</f>
        <v>0</v>
      </c>
      <c r="D995" s="40">
        <f t="shared" si="468"/>
        <v>0</v>
      </c>
      <c r="E995" s="40">
        <f t="shared" si="468"/>
        <v>0</v>
      </c>
      <c r="F995" s="40">
        <f t="shared" si="468"/>
        <v>0</v>
      </c>
      <c r="G995" s="40">
        <f t="shared" si="468"/>
        <v>0</v>
      </c>
      <c r="H995" s="40">
        <f t="shared" si="468"/>
        <v>0</v>
      </c>
      <c r="I995" s="40">
        <f t="shared" si="468"/>
        <v>0</v>
      </c>
      <c r="J995" s="40">
        <f t="shared" si="468"/>
        <v>0</v>
      </c>
      <c r="K995" s="40">
        <f t="shared" si="468"/>
        <v>0</v>
      </c>
      <c r="L995" s="41">
        <f t="shared" si="468"/>
        <v>0</v>
      </c>
      <c r="M995" s="216"/>
    </row>
    <row r="996" spans="1:13" ht="39.75" thickBot="1" x14ac:dyDescent="0.3">
      <c r="A996" s="62" t="s">
        <v>12</v>
      </c>
      <c r="B996" s="63">
        <f>B1001</f>
        <v>0</v>
      </c>
      <c r="C996" s="63">
        <f t="shared" ref="C996:L996" si="469">C1001</f>
        <v>0</v>
      </c>
      <c r="D996" s="63">
        <f t="shared" si="469"/>
        <v>0</v>
      </c>
      <c r="E996" s="63">
        <f t="shared" si="469"/>
        <v>0</v>
      </c>
      <c r="F996" s="63">
        <f t="shared" si="469"/>
        <v>0</v>
      </c>
      <c r="G996" s="63">
        <f t="shared" si="469"/>
        <v>0</v>
      </c>
      <c r="H996" s="63">
        <f t="shared" si="469"/>
        <v>0</v>
      </c>
      <c r="I996" s="63">
        <f t="shared" si="469"/>
        <v>0</v>
      </c>
      <c r="J996" s="63">
        <f t="shared" si="469"/>
        <v>0</v>
      </c>
      <c r="K996" s="63">
        <f t="shared" si="469"/>
        <v>0</v>
      </c>
      <c r="L996" s="64">
        <f t="shared" si="469"/>
        <v>0</v>
      </c>
      <c r="M996" s="216"/>
    </row>
    <row r="997" spans="1:13" x14ac:dyDescent="0.25">
      <c r="A997" s="5" t="s">
        <v>13</v>
      </c>
      <c r="B997" s="12"/>
      <c r="C997" s="12"/>
      <c r="D997" s="12"/>
      <c r="E997" s="12"/>
      <c r="F997" s="12"/>
      <c r="G997" s="12"/>
      <c r="H997" s="12"/>
      <c r="I997" s="12"/>
      <c r="J997" s="12"/>
      <c r="K997" s="12"/>
      <c r="L997" s="13"/>
    </row>
    <row r="998" spans="1:13" x14ac:dyDescent="0.25">
      <c r="A998" s="6" t="s">
        <v>14</v>
      </c>
      <c r="B998" s="14"/>
      <c r="C998" s="14"/>
      <c r="D998" s="14"/>
      <c r="E998" s="14"/>
      <c r="F998" s="14"/>
      <c r="G998" s="14"/>
      <c r="H998" s="14"/>
      <c r="I998" s="14"/>
      <c r="J998" s="14"/>
      <c r="K998" s="14"/>
      <c r="L998" s="15"/>
    </row>
    <row r="999" spans="1:13" x14ac:dyDescent="0.25">
      <c r="A999" s="35" t="s">
        <v>27</v>
      </c>
      <c r="B999" s="14">
        <f>B1000+B1001</f>
        <v>0</v>
      </c>
      <c r="C999" s="14">
        <f t="shared" ref="C999:L999" si="470">C1000+C1001</f>
        <v>0</v>
      </c>
      <c r="D999" s="14">
        <f t="shared" si="470"/>
        <v>0</v>
      </c>
      <c r="E999" s="14">
        <f t="shared" si="470"/>
        <v>0</v>
      </c>
      <c r="F999" s="14">
        <f t="shared" si="470"/>
        <v>0</v>
      </c>
      <c r="G999" s="14">
        <f t="shared" si="470"/>
        <v>0</v>
      </c>
      <c r="H999" s="14">
        <f t="shared" si="470"/>
        <v>0</v>
      </c>
      <c r="I999" s="14">
        <f t="shared" si="470"/>
        <v>0</v>
      </c>
      <c r="J999" s="14">
        <f t="shared" si="470"/>
        <v>0</v>
      </c>
      <c r="K999" s="14">
        <f t="shared" si="470"/>
        <v>0</v>
      </c>
      <c r="L999" s="15">
        <f t="shared" si="470"/>
        <v>0</v>
      </c>
    </row>
    <row r="1000" spans="1:13" x14ac:dyDescent="0.25">
      <c r="A1000" s="6" t="s">
        <v>11</v>
      </c>
      <c r="B1000" s="54">
        <f>SUM(C1000:L1000)</f>
        <v>0</v>
      </c>
      <c r="C1000" s="54">
        <v>0</v>
      </c>
      <c r="D1000" s="54">
        <v>0</v>
      </c>
      <c r="E1000" s="54">
        <v>0</v>
      </c>
      <c r="F1000" s="54">
        <v>0</v>
      </c>
      <c r="G1000" s="54">
        <v>0</v>
      </c>
      <c r="H1000" s="54">
        <v>0</v>
      </c>
      <c r="I1000" s="54">
        <v>0</v>
      </c>
      <c r="J1000" s="54">
        <v>0</v>
      </c>
      <c r="K1000" s="54">
        <v>0</v>
      </c>
      <c r="L1000" s="17">
        <v>0</v>
      </c>
    </row>
    <row r="1001" spans="1:13" ht="38.25" customHeight="1" thickBot="1" x14ac:dyDescent="0.3">
      <c r="A1001" s="7" t="s">
        <v>12</v>
      </c>
      <c r="B1001" s="30">
        <f>SUM(C1001:L1001)</f>
        <v>0</v>
      </c>
      <c r="C1001" s="30">
        <v>0</v>
      </c>
      <c r="D1001" s="30">
        <v>0</v>
      </c>
      <c r="E1001" s="30">
        <v>0</v>
      </c>
      <c r="F1001" s="30">
        <v>0</v>
      </c>
      <c r="G1001" s="30">
        <v>0</v>
      </c>
      <c r="H1001" s="30">
        <v>0</v>
      </c>
      <c r="I1001" s="30">
        <v>0</v>
      </c>
      <c r="J1001" s="30">
        <v>0</v>
      </c>
      <c r="K1001" s="30">
        <v>0</v>
      </c>
      <c r="L1001" s="31">
        <v>0</v>
      </c>
    </row>
    <row r="1002" spans="1:13" ht="28.5" customHeight="1" x14ac:dyDescent="0.25">
      <c r="A1002" s="219" t="s">
        <v>181</v>
      </c>
      <c r="B1002" s="220"/>
      <c r="C1002" s="220"/>
      <c r="D1002" s="220"/>
      <c r="E1002" s="220"/>
      <c r="F1002" s="220"/>
      <c r="G1002" s="220"/>
      <c r="H1002" s="220"/>
      <c r="I1002" s="220"/>
      <c r="J1002" s="220"/>
      <c r="K1002" s="220"/>
      <c r="L1002" s="221"/>
      <c r="M1002" s="216" t="s">
        <v>188</v>
      </c>
    </row>
    <row r="1003" spans="1:13" x14ac:dyDescent="0.25">
      <c r="A1003" s="38" t="s">
        <v>5</v>
      </c>
      <c r="B1003" s="60">
        <f>B1004+B1005+B1006+B1007</f>
        <v>15860243</v>
      </c>
      <c r="C1003" s="60">
        <f t="shared" ref="C1003:L1003" si="471">C1004+C1005+C1006+C1007</f>
        <v>4814027</v>
      </c>
      <c r="D1003" s="60">
        <f t="shared" si="471"/>
        <v>1511384</v>
      </c>
      <c r="E1003" s="60">
        <f t="shared" si="471"/>
        <v>835719</v>
      </c>
      <c r="F1003" s="60">
        <f t="shared" si="471"/>
        <v>0</v>
      </c>
      <c r="G1003" s="60">
        <f t="shared" si="471"/>
        <v>1340478</v>
      </c>
      <c r="H1003" s="60">
        <f t="shared" si="471"/>
        <v>1471727</v>
      </c>
      <c r="I1003" s="60">
        <f t="shared" si="471"/>
        <v>1471727</v>
      </c>
      <c r="J1003" s="60">
        <f t="shared" si="471"/>
        <v>1471727</v>
      </c>
      <c r="K1003" s="60">
        <f t="shared" si="471"/>
        <v>1471727</v>
      </c>
      <c r="L1003" s="61">
        <f t="shared" si="471"/>
        <v>1471727</v>
      </c>
      <c r="M1003" s="216"/>
    </row>
    <row r="1004" spans="1:13" x14ac:dyDescent="0.25">
      <c r="A1004" s="39" t="s">
        <v>6</v>
      </c>
      <c r="B1004" s="77">
        <f>SUM(C1004:L1004)</f>
        <v>0</v>
      </c>
      <c r="C1004" s="77">
        <v>0</v>
      </c>
      <c r="D1004" s="77">
        <v>0</v>
      </c>
      <c r="E1004" s="77">
        <v>0</v>
      </c>
      <c r="F1004" s="77">
        <v>0</v>
      </c>
      <c r="G1004" s="77">
        <v>0</v>
      </c>
      <c r="H1004" s="77">
        <v>0</v>
      </c>
      <c r="I1004" s="77">
        <v>0</v>
      </c>
      <c r="J1004" s="77">
        <v>0</v>
      </c>
      <c r="K1004" s="77">
        <v>0</v>
      </c>
      <c r="L1004" s="79">
        <v>0</v>
      </c>
      <c r="M1004" s="216"/>
    </row>
    <row r="1005" spans="1:13" x14ac:dyDescent="0.25">
      <c r="A1005" s="39" t="s">
        <v>7</v>
      </c>
      <c r="B1005" s="77">
        <f>SUM(C1005:L1005)</f>
        <v>0</v>
      </c>
      <c r="C1005" s="77">
        <v>0</v>
      </c>
      <c r="D1005" s="77">
        <v>0</v>
      </c>
      <c r="E1005" s="77">
        <v>0</v>
      </c>
      <c r="F1005" s="77">
        <v>0</v>
      </c>
      <c r="G1005" s="77">
        <v>0</v>
      </c>
      <c r="H1005" s="77">
        <v>0</v>
      </c>
      <c r="I1005" s="77">
        <v>0</v>
      </c>
      <c r="J1005" s="77">
        <v>0</v>
      </c>
      <c r="K1005" s="77">
        <v>0</v>
      </c>
      <c r="L1005" s="79">
        <v>0</v>
      </c>
      <c r="M1005" s="216"/>
    </row>
    <row r="1006" spans="1:13" ht="26.25" x14ac:dyDescent="0.25">
      <c r="A1006" s="39" t="s">
        <v>8</v>
      </c>
      <c r="B1006" s="77">
        <f>SUM(C1006:L1006)</f>
        <v>0</v>
      </c>
      <c r="C1006" s="77">
        <v>0</v>
      </c>
      <c r="D1006" s="77">
        <v>0</v>
      </c>
      <c r="E1006" s="77">
        <v>0</v>
      </c>
      <c r="F1006" s="77">
        <v>0</v>
      </c>
      <c r="G1006" s="77">
        <v>0</v>
      </c>
      <c r="H1006" s="77">
        <v>0</v>
      </c>
      <c r="I1006" s="77">
        <v>0</v>
      </c>
      <c r="J1006" s="77">
        <v>0</v>
      </c>
      <c r="K1006" s="77">
        <v>0</v>
      </c>
      <c r="L1006" s="79">
        <v>0</v>
      </c>
      <c r="M1006" s="216"/>
    </row>
    <row r="1007" spans="1:13" x14ac:dyDescent="0.25">
      <c r="A1007" s="38" t="s">
        <v>9</v>
      </c>
      <c r="B1007" s="60">
        <f>B1014</f>
        <v>15860243</v>
      </c>
      <c r="C1007" s="60">
        <f t="shared" ref="C1007:L1007" si="472">C1014</f>
        <v>4814027</v>
      </c>
      <c r="D1007" s="60">
        <f t="shared" si="472"/>
        <v>1511384</v>
      </c>
      <c r="E1007" s="60">
        <f t="shared" si="472"/>
        <v>835719</v>
      </c>
      <c r="F1007" s="60">
        <f t="shared" si="472"/>
        <v>0</v>
      </c>
      <c r="G1007" s="60">
        <f t="shared" si="472"/>
        <v>1340478</v>
      </c>
      <c r="H1007" s="60">
        <f t="shared" si="472"/>
        <v>1471727</v>
      </c>
      <c r="I1007" s="60">
        <f t="shared" si="472"/>
        <v>1471727</v>
      </c>
      <c r="J1007" s="60">
        <f t="shared" si="472"/>
        <v>1471727</v>
      </c>
      <c r="K1007" s="60">
        <f t="shared" si="472"/>
        <v>1471727</v>
      </c>
      <c r="L1007" s="61">
        <f t="shared" si="472"/>
        <v>1471727</v>
      </c>
      <c r="M1007" s="216"/>
    </row>
    <row r="1008" spans="1:13" x14ac:dyDescent="0.25">
      <c r="A1008" s="39" t="s">
        <v>10</v>
      </c>
      <c r="B1008" s="77"/>
      <c r="C1008" s="77"/>
      <c r="D1008" s="77"/>
      <c r="E1008" s="77"/>
      <c r="F1008" s="77"/>
      <c r="G1008" s="77"/>
      <c r="H1008" s="77"/>
      <c r="I1008" s="77"/>
      <c r="J1008" s="77"/>
      <c r="K1008" s="77"/>
      <c r="L1008" s="79"/>
      <c r="M1008" s="216"/>
    </row>
    <row r="1009" spans="1:13" x14ac:dyDescent="0.25">
      <c r="A1009" s="39" t="s">
        <v>11</v>
      </c>
      <c r="B1009" s="40">
        <f>B1015</f>
        <v>4678399</v>
      </c>
      <c r="C1009" s="40">
        <f t="shared" ref="C1009:L1009" si="473">C1015</f>
        <v>1637598</v>
      </c>
      <c r="D1009" s="40">
        <f t="shared" si="473"/>
        <v>356218</v>
      </c>
      <c r="E1009" s="40">
        <f t="shared" si="473"/>
        <v>356218</v>
      </c>
      <c r="F1009" s="40">
        <f t="shared" si="473"/>
        <v>0</v>
      </c>
      <c r="G1009" s="40">
        <f t="shared" si="473"/>
        <v>145005</v>
      </c>
      <c r="H1009" s="40">
        <f t="shared" si="473"/>
        <v>436672</v>
      </c>
      <c r="I1009" s="40">
        <f t="shared" si="473"/>
        <v>436672</v>
      </c>
      <c r="J1009" s="40">
        <f t="shared" si="473"/>
        <v>436672</v>
      </c>
      <c r="K1009" s="40">
        <f t="shared" si="473"/>
        <v>436672</v>
      </c>
      <c r="L1009" s="41">
        <f t="shared" si="473"/>
        <v>436672</v>
      </c>
      <c r="M1009" s="216"/>
    </row>
    <row r="1010" spans="1:13" ht="15.75" customHeight="1" x14ac:dyDescent="0.25">
      <c r="A1010" s="62" t="s">
        <v>104</v>
      </c>
      <c r="B1010" s="63">
        <f>B1016</f>
        <v>7091661</v>
      </c>
      <c r="C1010" s="63">
        <f t="shared" ref="C1010:L1010" si="474">C1016</f>
        <v>325448</v>
      </c>
      <c r="D1010" s="63">
        <f t="shared" si="474"/>
        <v>343472</v>
      </c>
      <c r="E1010" s="63">
        <f t="shared" si="474"/>
        <v>184014</v>
      </c>
      <c r="F1010" s="63">
        <f t="shared" si="474"/>
        <v>0</v>
      </c>
      <c r="G1010" s="63">
        <f t="shared" si="474"/>
        <v>1063452</v>
      </c>
      <c r="H1010" s="63">
        <f t="shared" si="474"/>
        <v>1035055</v>
      </c>
      <c r="I1010" s="63">
        <f t="shared" si="474"/>
        <v>1035055</v>
      </c>
      <c r="J1010" s="63">
        <f t="shared" si="474"/>
        <v>1035055</v>
      </c>
      <c r="K1010" s="63">
        <f t="shared" si="474"/>
        <v>1035055</v>
      </c>
      <c r="L1010" s="64">
        <f t="shared" si="474"/>
        <v>1035055</v>
      </c>
      <c r="M1010" s="216"/>
    </row>
    <row r="1011" spans="1:13" ht="39.75" thickBot="1" x14ac:dyDescent="0.3">
      <c r="A1011" s="62" t="s">
        <v>12</v>
      </c>
      <c r="B1011" s="63">
        <f>B1017</f>
        <v>4090183</v>
      </c>
      <c r="C1011" s="63">
        <f t="shared" ref="C1011:L1011" si="475">C1017</f>
        <v>2850981</v>
      </c>
      <c r="D1011" s="63">
        <f t="shared" si="475"/>
        <v>811694</v>
      </c>
      <c r="E1011" s="63">
        <f t="shared" si="475"/>
        <v>295487</v>
      </c>
      <c r="F1011" s="63">
        <f t="shared" si="475"/>
        <v>0</v>
      </c>
      <c r="G1011" s="63">
        <f t="shared" si="475"/>
        <v>132021</v>
      </c>
      <c r="H1011" s="63">
        <f t="shared" si="475"/>
        <v>0</v>
      </c>
      <c r="I1011" s="63">
        <f t="shared" si="475"/>
        <v>0</v>
      </c>
      <c r="J1011" s="63">
        <f t="shared" si="475"/>
        <v>0</v>
      </c>
      <c r="K1011" s="63">
        <f t="shared" si="475"/>
        <v>0</v>
      </c>
      <c r="L1011" s="64">
        <f t="shared" si="475"/>
        <v>0</v>
      </c>
      <c r="M1011" s="216"/>
    </row>
    <row r="1012" spans="1:13" x14ac:dyDescent="0.25">
      <c r="A1012" s="5" t="s">
        <v>13</v>
      </c>
      <c r="B1012" s="12"/>
      <c r="C1012" s="12"/>
      <c r="D1012" s="12"/>
      <c r="E1012" s="12"/>
      <c r="F1012" s="12"/>
      <c r="G1012" s="12"/>
      <c r="H1012" s="12"/>
      <c r="I1012" s="12"/>
      <c r="J1012" s="12"/>
      <c r="K1012" s="12"/>
      <c r="L1012" s="13"/>
    </row>
    <row r="1013" spans="1:13" x14ac:dyDescent="0.25">
      <c r="A1013" s="6" t="s">
        <v>14</v>
      </c>
      <c r="B1013" s="14"/>
      <c r="C1013" s="14"/>
      <c r="D1013" s="14"/>
      <c r="E1013" s="14"/>
      <c r="F1013" s="14"/>
      <c r="G1013" s="14"/>
      <c r="H1013" s="14"/>
      <c r="I1013" s="14"/>
      <c r="J1013" s="14"/>
      <c r="K1013" s="14"/>
      <c r="L1013" s="15"/>
    </row>
    <row r="1014" spans="1:13" x14ac:dyDescent="0.25">
      <c r="A1014" s="35" t="s">
        <v>27</v>
      </c>
      <c r="B1014" s="14">
        <f t="shared" ref="B1014:L1014" si="476">B1015+B1016+B1017</f>
        <v>15860243</v>
      </c>
      <c r="C1014" s="14">
        <f t="shared" si="476"/>
        <v>4814027</v>
      </c>
      <c r="D1014" s="14">
        <f t="shared" si="476"/>
        <v>1511384</v>
      </c>
      <c r="E1014" s="14">
        <f t="shared" si="476"/>
        <v>835719</v>
      </c>
      <c r="F1014" s="14">
        <f t="shared" si="476"/>
        <v>0</v>
      </c>
      <c r="G1014" s="14">
        <f t="shared" si="476"/>
        <v>1340478</v>
      </c>
      <c r="H1014" s="14">
        <f t="shared" si="476"/>
        <v>1471727</v>
      </c>
      <c r="I1014" s="14">
        <f t="shared" si="476"/>
        <v>1471727</v>
      </c>
      <c r="J1014" s="14">
        <f t="shared" si="476"/>
        <v>1471727</v>
      </c>
      <c r="K1014" s="14">
        <f t="shared" si="476"/>
        <v>1471727</v>
      </c>
      <c r="L1014" s="15">
        <f t="shared" si="476"/>
        <v>1471727</v>
      </c>
    </row>
    <row r="1015" spans="1:13" x14ac:dyDescent="0.25">
      <c r="A1015" s="6" t="s">
        <v>11</v>
      </c>
      <c r="B1015" s="54">
        <f>SUM(C1015:L1015)</f>
        <v>4678399</v>
      </c>
      <c r="C1015" s="54">
        <f>125598+12000+1500000</f>
        <v>1637598</v>
      </c>
      <c r="D1015" s="54">
        <f>12000+344218</f>
        <v>356218</v>
      </c>
      <c r="E1015" s="54">
        <f>12000+344218</f>
        <v>356218</v>
      </c>
      <c r="F1015" s="54">
        <v>0</v>
      </c>
      <c r="G1015" s="54">
        <f>100000+26672+18333</f>
        <v>145005</v>
      </c>
      <c r="H1015" s="54">
        <f>26672+100000+200000+110000</f>
        <v>436672</v>
      </c>
      <c r="I1015" s="54">
        <f>100000+26672+200000+110000</f>
        <v>436672</v>
      </c>
      <c r="J1015" s="54">
        <f>100000+26672+200000+110000</f>
        <v>436672</v>
      </c>
      <c r="K1015" s="54">
        <f>100000+26672+200000+110000</f>
        <v>436672</v>
      </c>
      <c r="L1015" s="17">
        <f>100000+26672+200000+110000</f>
        <v>436672</v>
      </c>
    </row>
    <row r="1016" spans="1:13" ht="25.5" customHeight="1" x14ac:dyDescent="0.25">
      <c r="A1016" s="124" t="s">
        <v>104</v>
      </c>
      <c r="B1016" s="112">
        <f>SUM(C1016:L1016)</f>
        <v>7091661</v>
      </c>
      <c r="C1016" s="54">
        <v>325448</v>
      </c>
      <c r="D1016" s="54">
        <v>343472</v>
      </c>
      <c r="E1016" s="54">
        <v>184014</v>
      </c>
      <c r="F1016" s="112">
        <v>0</v>
      </c>
      <c r="G1016" s="112">
        <f>271203+792249</f>
        <v>1063452</v>
      </c>
      <c r="H1016" s="112">
        <f>242806+792249</f>
        <v>1035055</v>
      </c>
      <c r="I1016" s="112">
        <f>242806+792249</f>
        <v>1035055</v>
      </c>
      <c r="J1016" s="112">
        <f>242806+792249</f>
        <v>1035055</v>
      </c>
      <c r="K1016" s="112">
        <f>242806+792249</f>
        <v>1035055</v>
      </c>
      <c r="L1016" s="113">
        <f>242806+792249</f>
        <v>1035055</v>
      </c>
    </row>
    <row r="1017" spans="1:13" ht="45.75" customHeight="1" x14ac:dyDescent="0.25">
      <c r="A1017" s="6" t="s">
        <v>12</v>
      </c>
      <c r="B1017" s="54">
        <f>SUM(C1017:L1017)</f>
        <v>4090183</v>
      </c>
      <c r="C1017" s="54">
        <f>212359+2376977+261645</f>
        <v>2850981</v>
      </c>
      <c r="D1017" s="54">
        <f>410460+272554+128680</f>
        <v>811694</v>
      </c>
      <c r="E1017" s="54">
        <f>295487</f>
        <v>295487</v>
      </c>
      <c r="F1017" s="54">
        <v>0</v>
      </c>
      <c r="G1017" s="54">
        <v>132021</v>
      </c>
      <c r="H1017" s="54">
        <v>0</v>
      </c>
      <c r="I1017" s="54">
        <v>0</v>
      </c>
      <c r="J1017" s="54">
        <v>0</v>
      </c>
      <c r="K1017" s="54">
        <v>0</v>
      </c>
      <c r="L1017" s="17">
        <v>0</v>
      </c>
    </row>
    <row r="1020" spans="1:13" x14ac:dyDescent="0.25">
      <c r="A1020" s="108" t="s">
        <v>106</v>
      </c>
      <c r="B1020" s="50" t="s">
        <v>107</v>
      </c>
    </row>
  </sheetData>
  <mergeCells count="84">
    <mergeCell ref="M772:M780"/>
    <mergeCell ref="M800:M808"/>
    <mergeCell ref="M814:M822"/>
    <mergeCell ref="M828:M836"/>
    <mergeCell ref="M856:M864"/>
    <mergeCell ref="A155:L155"/>
    <mergeCell ref="A125:L125"/>
    <mergeCell ref="A111:L111"/>
    <mergeCell ref="A605:L605"/>
    <mergeCell ref="A340:L340"/>
    <mergeCell ref="A370:L370"/>
    <mergeCell ref="A183:L183"/>
    <mergeCell ref="A169:L169"/>
    <mergeCell ref="A442:L442"/>
    <mergeCell ref="A456:L456"/>
    <mergeCell ref="A1:L1"/>
    <mergeCell ref="A3:L3"/>
    <mergeCell ref="A5:A6"/>
    <mergeCell ref="B5:B6"/>
    <mergeCell ref="C5:E5"/>
    <mergeCell ref="F5:L5"/>
    <mergeCell ref="A1002:L1002"/>
    <mergeCell ref="A633:L633"/>
    <mergeCell ref="A647:L647"/>
    <mergeCell ref="A669:L669"/>
    <mergeCell ref="A683:L683"/>
    <mergeCell ref="A932:L932"/>
    <mergeCell ref="A946:L946"/>
    <mergeCell ref="A960:L960"/>
    <mergeCell ref="A974:L974"/>
    <mergeCell ref="A988:L988"/>
    <mergeCell ref="A828:L828"/>
    <mergeCell ref="A842:L842"/>
    <mergeCell ref="A856:L856"/>
    <mergeCell ref="A870:L870"/>
    <mergeCell ref="A887:L887"/>
    <mergeCell ref="A901:L901"/>
    <mergeCell ref="A918:L918"/>
    <mergeCell ref="A786:L786"/>
    <mergeCell ref="A800:L800"/>
    <mergeCell ref="A814:L814"/>
    <mergeCell ref="A772:L772"/>
    <mergeCell ref="M456:M464"/>
    <mergeCell ref="A503:L503"/>
    <mergeCell ref="A551:L551"/>
    <mergeCell ref="A591:L591"/>
    <mergeCell ref="M5:M6"/>
    <mergeCell ref="A56:L56"/>
    <mergeCell ref="A75:L75"/>
    <mergeCell ref="A206:L206"/>
    <mergeCell ref="A236:L236"/>
    <mergeCell ref="A272:L272"/>
    <mergeCell ref="A286:L286"/>
    <mergeCell ref="A470:L470"/>
    <mergeCell ref="A37:L37"/>
    <mergeCell ref="A487:L487"/>
    <mergeCell ref="A411:L411"/>
    <mergeCell ref="A139:L139"/>
    <mergeCell ref="M56:M65"/>
    <mergeCell ref="M111:M119"/>
    <mergeCell ref="M125:M133"/>
    <mergeCell ref="M155:M163"/>
    <mergeCell ref="M169:M177"/>
    <mergeCell ref="M470:M478"/>
    <mergeCell ref="M605:M613"/>
    <mergeCell ref="M591:M599"/>
    <mergeCell ref="A744:L744"/>
    <mergeCell ref="A758:L758"/>
    <mergeCell ref="M716:M724"/>
    <mergeCell ref="M730:M738"/>
    <mergeCell ref="M744:M752"/>
    <mergeCell ref="M758:M766"/>
    <mergeCell ref="A730:L730"/>
    <mergeCell ref="A716:L716"/>
    <mergeCell ref="A697:L697"/>
    <mergeCell ref="A619:L619"/>
    <mergeCell ref="M633:M641"/>
    <mergeCell ref="M683:M691"/>
    <mergeCell ref="M901:M909"/>
    <mergeCell ref="M1002:M1011"/>
    <mergeCell ref="M988:M996"/>
    <mergeCell ref="M974:M982"/>
    <mergeCell ref="M932:M940"/>
    <mergeCell ref="M918:M926"/>
  </mergeCells>
  <phoneticPr fontId="11" type="noConversion"/>
  <pageMargins left="0.25" right="0.25" top="0.75" bottom="0.75" header="0.3" footer="0.3"/>
  <pageSetup paperSize="8" scale="98" fitToHeight="0" orientation="landscape" verticalDpi="300" r:id="rId1"/>
  <ignoredErrors>
    <ignoredError sqref="L92"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Sanita Vasiljeva</cp:lastModifiedBy>
  <cp:lastPrinted>2021-05-06T07:48:39Z</cp:lastPrinted>
  <dcterms:created xsi:type="dcterms:W3CDTF">2021-03-23T12:25:15Z</dcterms:created>
  <dcterms:modified xsi:type="dcterms:W3CDTF">2021-05-06T08:12:16Z</dcterms:modified>
</cp:coreProperties>
</file>