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GEO\Tiesibu aktu projekti\LIDAR zinojums\Uz MK\"/>
    </mc:Choice>
  </mc:AlternateContent>
  <bookViews>
    <workbookView xWindow="0" yWindow="0" windowWidth="25600" windowHeight="10650"/>
  </bookViews>
  <sheets>
    <sheet name="2.pielikum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E48" i="1" s="1"/>
  <c r="C48" i="1"/>
  <c r="C47" i="1"/>
  <c r="D47" i="1" s="1"/>
  <c r="E47" i="1" s="1"/>
  <c r="B45" i="1"/>
  <c r="B46" i="1" s="1"/>
  <c r="D44" i="1"/>
  <c r="C44" i="1"/>
  <c r="E44" i="1" s="1"/>
  <c r="C43" i="1"/>
  <c r="C45" i="1" s="1"/>
  <c r="C46" i="1" s="1"/>
  <c r="C49" i="1" s="1"/>
  <c r="H39" i="1"/>
  <c r="C38" i="1"/>
  <c r="F36" i="1"/>
  <c r="F37" i="1" s="1"/>
  <c r="B36" i="1"/>
  <c r="B37" i="1" s="1"/>
  <c r="F34" i="1"/>
  <c r="F35" i="1" s="1"/>
  <c r="F26" i="1" s="1"/>
  <c r="D34" i="1"/>
  <c r="D35" i="1" s="1"/>
  <c r="D26" i="1" s="1"/>
  <c r="B34" i="1"/>
  <c r="B35" i="1" s="1"/>
  <c r="F29" i="1"/>
  <c r="K25" i="1"/>
  <c r="G34" i="1" s="1"/>
  <c r="J25" i="1"/>
  <c r="J27" i="1" s="1"/>
  <c r="I25" i="1"/>
  <c r="I27" i="1" s="1"/>
  <c r="H25" i="1"/>
  <c r="H27" i="1" s="1"/>
  <c r="G25" i="1"/>
  <c r="G27" i="1" s="1"/>
  <c r="F25" i="1"/>
  <c r="F27" i="1" s="1"/>
  <c r="F28" i="1" s="1"/>
  <c r="F31" i="1" s="1"/>
  <c r="E25" i="1"/>
  <c r="E27" i="1" s="1"/>
  <c r="D25" i="1"/>
  <c r="D27" i="1" s="1"/>
  <c r="D28" i="1" s="1"/>
  <c r="D31" i="1" s="1"/>
  <c r="C25" i="1"/>
  <c r="C27" i="1" s="1"/>
  <c r="B25" i="1"/>
  <c r="B27" i="1" s="1"/>
  <c r="B22" i="1"/>
  <c r="B21" i="1"/>
  <c r="C13" i="1"/>
  <c r="C12" i="1"/>
  <c r="E12" i="1" s="1"/>
  <c r="E11" i="1"/>
  <c r="E10" i="1"/>
  <c r="H9" i="1"/>
  <c r="D9" i="1"/>
  <c r="C9" i="1"/>
  <c r="E9" i="1" s="1"/>
  <c r="K8" i="1"/>
  <c r="J8" i="1"/>
  <c r="H8" i="1"/>
  <c r="I8" i="1" s="1"/>
  <c r="E8" i="1"/>
  <c r="K7" i="1"/>
  <c r="J7" i="1"/>
  <c r="I7" i="1"/>
  <c r="H7" i="1"/>
  <c r="D7" i="1"/>
  <c r="D13" i="1" s="1"/>
  <c r="C7" i="1"/>
  <c r="C14" i="1" s="1"/>
  <c r="E14" i="1" s="1"/>
  <c r="K6" i="1"/>
  <c r="J6" i="1"/>
  <c r="H6" i="1"/>
  <c r="I6" i="1" s="1"/>
  <c r="B40" i="1" l="1"/>
  <c r="B26" i="1"/>
  <c r="K27" i="1"/>
  <c r="B28" i="1"/>
  <c r="G35" i="1"/>
  <c r="G26" i="1" s="1"/>
  <c r="H26" i="1" s="1"/>
  <c r="I26" i="1" s="1"/>
  <c r="J26" i="1" s="1"/>
  <c r="J28" i="1" s="1"/>
  <c r="G36" i="1"/>
  <c r="E46" i="1"/>
  <c r="B49" i="1"/>
  <c r="E49" i="1" s="1"/>
  <c r="E34" i="1"/>
  <c r="D43" i="1"/>
  <c r="D45" i="1" s="1"/>
  <c r="D46" i="1" s="1"/>
  <c r="D49" i="1" s="1"/>
  <c r="E45" i="1"/>
  <c r="E7" i="1"/>
  <c r="E43" i="1"/>
  <c r="D36" i="1"/>
  <c r="D37" i="1" s="1"/>
  <c r="G29" i="1"/>
  <c r="C34" i="1"/>
  <c r="D38" i="1"/>
  <c r="H29" i="1" l="1"/>
  <c r="E36" i="1"/>
  <c r="E37" i="1" s="1"/>
  <c r="E35" i="1"/>
  <c r="E26" i="1" s="1"/>
  <c r="E28" i="1" s="1"/>
  <c r="E31" i="1" s="1"/>
  <c r="G28" i="1"/>
  <c r="G31" i="1" s="1"/>
  <c r="B31" i="1"/>
  <c r="I28" i="1"/>
  <c r="D40" i="1"/>
  <c r="E38" i="1"/>
  <c r="H28" i="1"/>
  <c r="C35" i="1"/>
  <c r="C36" i="1"/>
  <c r="H34" i="1"/>
  <c r="G37" i="1"/>
  <c r="C37" i="1" l="1"/>
  <c r="H36" i="1"/>
  <c r="C26" i="1"/>
  <c r="H35" i="1"/>
  <c r="H31" i="1"/>
  <c r="I29" i="1"/>
  <c r="F38" i="1"/>
  <c r="E40" i="1"/>
  <c r="G38" i="1" l="1"/>
  <c r="G40" i="1" s="1"/>
  <c r="F40" i="1"/>
  <c r="H38" i="1"/>
  <c r="C28" i="1"/>
  <c r="K26" i="1"/>
  <c r="C40" i="1"/>
  <c r="H40" i="1" s="1"/>
  <c r="H37" i="1"/>
  <c r="I31" i="1"/>
  <c r="J29" i="1"/>
  <c r="J31" i="1" s="1"/>
  <c r="K29" i="1"/>
  <c r="C31" i="1" l="1"/>
  <c r="K31" i="1" s="1"/>
  <c r="K28" i="1"/>
</calcChain>
</file>

<file path=xl/sharedStrings.xml><?xml version="1.0" encoding="utf-8"?>
<sst xmlns="http://schemas.openxmlformats.org/spreadsheetml/2006/main" count="86" uniqueCount="58">
  <si>
    <t>DATU uzglabāšana + papildu izmaksas infrakstruktūras uzturēšanai:</t>
  </si>
  <si>
    <t>EUR</t>
  </si>
  <si>
    <t>Kapitālie izdevumi</t>
  </si>
  <si>
    <t>Gads</t>
  </si>
  <si>
    <t>Samaksātā summa, euro</t>
  </si>
  <si>
    <r>
      <t>Noskenētie km</t>
    </r>
    <r>
      <rPr>
        <vertAlign val="superscript"/>
        <sz val="11"/>
        <color theme="1"/>
        <rFont val="Times New Roman"/>
        <family val="1"/>
        <charset val="186"/>
      </rPr>
      <t>2</t>
    </r>
  </si>
  <si>
    <r>
      <t>Cena par 1 km</t>
    </r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 xml:space="preserve">, cena ar PVN, euro </t>
    </r>
  </si>
  <si>
    <t>3 gadu cikls</t>
  </si>
  <si>
    <t>2013-2014</t>
  </si>
  <si>
    <t>6 gadu cikls</t>
  </si>
  <si>
    <t>9 gadu cikls</t>
  </si>
  <si>
    <t>vidēji</t>
  </si>
  <si>
    <t>kopā:</t>
  </si>
  <si>
    <t>Ārpakalpojumu izmaksas:</t>
  </si>
  <si>
    <t>ārpakalpojuma vidējā cena, 2014-2019.gads</t>
  </si>
  <si>
    <t>ārpakalpojuma cena, 2021.gada cenās, skenējot 3 un 6 gadu ciklā</t>
  </si>
  <si>
    <t>ārpakalpojuma cena, 2021.gada cenās, skenējot  9 gadu ciklā</t>
  </si>
  <si>
    <t>Izmaksu sadārdzinājums 3 un 6 gadu ciklam</t>
  </si>
  <si>
    <t>Izmaksu sadārdzinājums 9 gadu ciklam</t>
  </si>
  <si>
    <t>2022.gads</t>
  </si>
  <si>
    <t>2023.gads</t>
  </si>
  <si>
    <t>2024.gads</t>
  </si>
  <si>
    <t>2025.gads</t>
  </si>
  <si>
    <t>2026.gads</t>
  </si>
  <si>
    <t>2027.gads</t>
  </si>
  <si>
    <t>2028.gads</t>
  </si>
  <si>
    <t>2029.gads</t>
  </si>
  <si>
    <t>2030.gads</t>
  </si>
  <si>
    <t>Kopā</t>
  </si>
  <si>
    <t>Piezīmes</t>
  </si>
  <si>
    <r>
      <t xml:space="preserve">Skenēšanas platība, vidēji gadā km </t>
    </r>
    <r>
      <rPr>
        <vertAlign val="superscript"/>
        <sz val="11"/>
        <color theme="1"/>
        <rFont val="Times New Roman"/>
        <family val="1"/>
        <charset val="186"/>
      </rPr>
      <t>2</t>
    </r>
  </si>
  <si>
    <t>Skenēšanas platība ir neliela; pakalpojuma veicēji labprātīgāk izpilda lielākas platības</t>
  </si>
  <si>
    <r>
      <t xml:space="preserve">Izmaksas pēc ārpakalpojuma 2014-2019.gada vidējās cenas, 20,05 euro ar PVN  - </t>
    </r>
    <r>
      <rPr>
        <b/>
        <sz val="12"/>
        <color theme="1"/>
        <rFont val="Times New Roman"/>
        <family val="1"/>
        <charset val="186"/>
      </rPr>
      <t>budžeta pakalpojumu bāze</t>
    </r>
  </si>
  <si>
    <t>Bāze - iepriekšējā datu iegūšanas perioda izmaksas. Finansējums tika piešķirts.</t>
  </si>
  <si>
    <t>Izmaksas pēc ārpakalpojuma cenām, veicot tirgus izpēti 2021.gadā, 33,27 euro ar PVN</t>
  </si>
  <si>
    <r>
      <t>Cena par 1km</t>
    </r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 xml:space="preserve"> ir lielāka, salīdzinot ar 3 un 6 gadu ciklu</t>
    </r>
  </si>
  <si>
    <t>Izmaksu sadārdzinājums ārpakalpojumam</t>
  </si>
  <si>
    <t>Papildus SSD diskiem datu uzglabāšanai (kapitālie)</t>
  </si>
  <si>
    <t>Papildus nepieciešamie atlīdzības izdevumi cilvēkresursiem</t>
  </si>
  <si>
    <t>Papildus nepieciešamie resursi virs bāzes:</t>
  </si>
  <si>
    <t>Skenēšanas platība optimāla pakalpojuma veicējiem</t>
  </si>
  <si>
    <r>
      <t xml:space="preserve">Izmaksas pēc ārpakalpojuma 2014-2019.gada vidējās cenas, 20,05 euro ar PVN - </t>
    </r>
    <r>
      <rPr>
        <b/>
        <sz val="12"/>
        <color theme="1"/>
        <rFont val="Times New Roman"/>
        <family val="1"/>
        <charset val="186"/>
      </rPr>
      <t>budžeta pakalpojumu bāze</t>
    </r>
  </si>
  <si>
    <t>Izmaksas pēc ārpakalpojuma cenām, veicot tirgus izpēti 2021.gadā, 30,25 euro ar PVN</t>
  </si>
  <si>
    <t>Papildus nepieciešamie atlīdzības izdevumi cilvēkresursiem, salīdzinot ar 9 gadu ciklu</t>
  </si>
  <si>
    <r>
      <t xml:space="preserve">Izmaksas pēc ārpakalpojuma 2014-2019.gada vidējās cenas, 20,05 euro ar PVN </t>
    </r>
    <r>
      <rPr>
        <b/>
        <sz val="11"/>
        <color theme="1"/>
        <rFont val="Times New Roman"/>
        <family val="1"/>
        <charset val="186"/>
      </rPr>
      <t xml:space="preserve"> - </t>
    </r>
    <r>
      <rPr>
        <b/>
        <sz val="12"/>
        <color theme="1"/>
        <rFont val="Times New Roman"/>
        <family val="1"/>
        <charset val="186"/>
      </rPr>
      <t>budžeta pakalpojumu bāze</t>
    </r>
  </si>
  <si>
    <t>Papildus nepieciešamie atlīdzības izdevumi  cilvēkresursiem, salīdzinot ar 9 gadu ciklu</t>
  </si>
  <si>
    <t>Skenējamā platība ir ļoti liela, 1/3 daļa no Latvijas teritorijas</t>
  </si>
  <si>
    <t>Darbs tiek nodrošināts piešķirto līdzekļu (bāzes) ietvaros, papildu izdevumi atlīdzībai netiek pieprasīti</t>
  </si>
  <si>
    <t>Papildus atvērto datu nodrošināšanas izpildei infrastruktūras nomai, VAS Latvijas Valsts radio un televīzijas centram - šie līdzekļi tiek nodrošināti piešķirtās bāzes ietvaros</t>
  </si>
  <si>
    <t>Infrastruktūras atjaunošanai (diskmasīvu, serveru papildināšana, fiziskais nolietojums) - šie līdzekļi tiek nodrošināti piešķirtās bāzes ietvaros</t>
  </si>
  <si>
    <t>Materiālu izmaksas, šie līdzekļi tiek nodrošināti piešķirtās bāzes ietvaros</t>
  </si>
  <si>
    <r>
      <t xml:space="preserve">tikai kapitālie izdevumi, ar noapaļošanu </t>
    </r>
    <r>
      <rPr>
        <b/>
        <sz val="11"/>
        <color theme="1"/>
        <rFont val="Times New Roman"/>
        <family val="1"/>
        <charset val="186"/>
      </rPr>
      <t>75 300</t>
    </r>
    <r>
      <rPr>
        <sz val="11"/>
        <color theme="1"/>
        <rFont val="Times New Roman"/>
        <family val="1"/>
        <charset val="186"/>
      </rPr>
      <t xml:space="preserve"> jebkuram ciklam</t>
    </r>
  </si>
  <si>
    <t>Sakarā ar intensīvāku datu apstrādi, darbiniekiem nepieciešams paaugstināt mēnešalgas (skat.detalizētu aprēķinu 3.pielikumā)</t>
  </si>
  <si>
    <t xml:space="preserve">Papildus nepieciešamā finansējuma aprēķins (izmaksas virs bāzes izdevumiem) Latvijas teritorijas vienlaidu aerolāzerskenēšanas un digitālā augstuma modeļa pamatdatu atjaunošanai trīs, sešu un deviņu gadu ciklā </t>
  </si>
  <si>
    <t>Datu kopējais apjoms vienam ciklam - 50 TB</t>
  </si>
  <si>
    <r>
      <t>2013.-2019. gadu perioda Latvijas teritorijas</t>
    </r>
    <r>
      <rPr>
        <b/>
        <sz val="12"/>
        <color rgb="FF000000"/>
        <rFont val="Times New Roman"/>
        <family val="1"/>
        <charset val="186"/>
      </rPr>
      <t xml:space="preserve"> 
aerolāzerskenēšanas ārpakalpojuma izmaksas </t>
    </r>
  </si>
  <si>
    <t>2. pielikums</t>
  </si>
  <si>
    <t>AiMpiel2_110821_VSS_655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</si>
</sst>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00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3"/>
      <color rgb="FF000000"/>
      <name val="Times New Roman"/>
      <family val="1"/>
      <charset val="186"/>
    </font>
    <font>
      <sz val="13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164" fontId="2" fillId="0" borderId="1" xfId="1" applyNumberFormat="1" applyFont="1" applyFill="1" applyBorder="1"/>
    <xf numFmtId="2" fontId="2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164" fontId="5" fillId="0" borderId="1" xfId="1" applyNumberFormat="1" applyFont="1" applyFill="1" applyBorder="1"/>
    <xf numFmtId="165" fontId="5" fillId="0" borderId="1" xfId="0" applyNumberFormat="1" applyFont="1" applyFill="1" applyBorder="1"/>
    <xf numFmtId="166" fontId="5" fillId="0" borderId="1" xfId="0" applyNumberFormat="1" applyFont="1" applyFill="1" applyBorder="1"/>
    <xf numFmtId="0" fontId="2" fillId="0" borderId="0" xfId="0" applyFont="1" applyFill="1" applyBorder="1"/>
    <xf numFmtId="0" fontId="6" fillId="0" borderId="1" xfId="0" applyFont="1" applyFill="1" applyBorder="1" applyAlignment="1">
      <alignment horizontal="right"/>
    </xf>
    <xf numFmtId="164" fontId="6" fillId="0" borderId="1" xfId="0" applyNumberFormat="1" applyFont="1" applyFill="1" applyBorder="1"/>
    <xf numFmtId="0" fontId="6" fillId="0" borderId="1" xfId="0" applyFont="1" applyFill="1" applyBorder="1"/>
    <xf numFmtId="43" fontId="6" fillId="0" borderId="1" xfId="0" applyNumberFormat="1" applyFont="1" applyFill="1" applyBorder="1"/>
    <xf numFmtId="0" fontId="2" fillId="0" borderId="0" xfId="0" applyFont="1"/>
    <xf numFmtId="164" fontId="2" fillId="0" borderId="0" xfId="1" applyNumberFormat="1" applyFont="1" applyFill="1" applyBorder="1"/>
    <xf numFmtId="0" fontId="7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2" xfId="0" applyFont="1" applyFill="1" applyBorder="1"/>
    <xf numFmtId="164" fontId="2" fillId="0" borderId="2" xfId="1" applyNumberFormat="1" applyFont="1" applyFill="1" applyBorder="1"/>
    <xf numFmtId="0" fontId="2" fillId="0" borderId="3" xfId="0" applyFont="1" applyFill="1" applyBorder="1" applyAlignment="1">
      <alignment wrapText="1"/>
    </xf>
    <xf numFmtId="164" fontId="2" fillId="0" borderId="3" xfId="1" applyNumberFormat="1" applyFont="1" applyFill="1" applyBorder="1"/>
    <xf numFmtId="164" fontId="2" fillId="0" borderId="3" xfId="0" applyNumberFormat="1" applyFont="1" applyFill="1" applyBorder="1"/>
    <xf numFmtId="164" fontId="2" fillId="0" borderId="0" xfId="0" applyNumberFormat="1" applyFont="1" applyFill="1"/>
    <xf numFmtId="0" fontId="4" fillId="0" borderId="3" xfId="0" applyFont="1" applyFill="1" applyBorder="1"/>
    <xf numFmtId="164" fontId="4" fillId="0" borderId="3" xfId="0" applyNumberFormat="1" applyFont="1" applyFill="1" applyBorder="1"/>
    <xf numFmtId="0" fontId="4" fillId="0" borderId="3" xfId="0" applyFont="1" applyFill="1" applyBorder="1" applyAlignment="1">
      <alignment wrapText="1"/>
    </xf>
    <xf numFmtId="0" fontId="8" fillId="0" borderId="0" xfId="0" applyFont="1" applyFill="1"/>
    <xf numFmtId="0" fontId="4" fillId="0" borderId="4" xfId="0" applyFont="1" applyFill="1" applyBorder="1" applyAlignment="1">
      <alignment wrapText="1"/>
    </xf>
    <xf numFmtId="164" fontId="4" fillId="2" borderId="4" xfId="0" applyNumberFormat="1" applyFont="1" applyFill="1" applyBorder="1"/>
    <xf numFmtId="0" fontId="9" fillId="0" borderId="5" xfId="0" applyFont="1" applyFill="1" applyBorder="1"/>
    <xf numFmtId="164" fontId="9" fillId="0" borderId="5" xfId="0" applyNumberFormat="1" applyFont="1" applyFill="1" applyBorder="1"/>
    <xf numFmtId="0" fontId="10" fillId="0" borderId="0" xfId="0" applyFont="1" applyFill="1"/>
    <xf numFmtId="164" fontId="4" fillId="0" borderId="3" xfId="1" applyNumberFormat="1" applyFont="1" applyFill="1" applyBorder="1"/>
    <xf numFmtId="164" fontId="4" fillId="2" borderId="4" xfId="1" applyNumberFormat="1" applyFont="1" applyFill="1" applyBorder="1"/>
    <xf numFmtId="164" fontId="6" fillId="0" borderId="5" xfId="1" applyNumberFormat="1" applyFont="1" applyFill="1" applyBorder="1"/>
    <xf numFmtId="0" fontId="2" fillId="0" borderId="6" xfId="0" applyFont="1" applyFill="1" applyBorder="1"/>
    <xf numFmtId="164" fontId="2" fillId="0" borderId="6" xfId="1" applyNumberFormat="1" applyFont="1" applyFill="1" applyBorder="1"/>
    <xf numFmtId="0" fontId="11" fillId="0" borderId="3" xfId="0" applyFont="1" applyFill="1" applyBorder="1" applyAlignment="1">
      <alignment wrapText="1"/>
    </xf>
    <xf numFmtId="164" fontId="4" fillId="2" borderId="3" xfId="1" applyNumberFormat="1" applyFont="1" applyFill="1" applyBorder="1"/>
    <xf numFmtId="164" fontId="2" fillId="2" borderId="3" xfId="1" applyNumberFormat="1" applyFont="1" applyFill="1" applyBorder="1"/>
    <xf numFmtId="0" fontId="4" fillId="0" borderId="0" xfId="0" applyFont="1" applyFill="1"/>
    <xf numFmtId="164" fontId="2" fillId="0" borderId="0" xfId="0" applyNumberFormat="1" applyFont="1"/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2" fillId="0" borderId="0" xfId="0" applyFont="1" applyFill="1" applyBorder="1" applyAlignment="1">
      <alignment horizontal="left" vertical="center"/>
    </xf>
    <xf numFmtId="164" fontId="2" fillId="0" borderId="0" xfId="1" applyNumberFormat="1" applyFont="1"/>
    <xf numFmtId="0" fontId="2" fillId="0" borderId="0" xfId="0" applyFont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0" borderId="1" xfId="0" applyNumberFormat="1" applyFont="1" applyBorder="1"/>
    <xf numFmtId="1" fontId="2" fillId="0" borderId="1" xfId="0" applyNumberFormat="1" applyFont="1" applyBorder="1"/>
    <xf numFmtId="164" fontId="2" fillId="2" borderId="1" xfId="0" applyNumberFormat="1" applyFont="1" applyFill="1" applyBorder="1"/>
    <xf numFmtId="164" fontId="2" fillId="2" borderId="0" xfId="1" applyNumberFormat="1" applyFont="1" applyFill="1"/>
    <xf numFmtId="0" fontId="2" fillId="2" borderId="0" xfId="0" applyFont="1" applyFill="1"/>
    <xf numFmtId="164" fontId="2" fillId="2" borderId="1" xfId="1" applyNumberFormat="1" applyFont="1" applyFill="1" applyBorder="1"/>
    <xf numFmtId="164" fontId="2" fillId="2" borderId="0" xfId="1" applyNumberFormat="1" applyFont="1" applyFill="1" applyBorder="1"/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6" fontId="2" fillId="2" borderId="0" xfId="0" applyNumberFormat="1" applyFont="1" applyFill="1"/>
    <xf numFmtId="9" fontId="2" fillId="2" borderId="1" xfId="2" applyFont="1" applyFill="1" applyBorder="1"/>
    <xf numFmtId="0" fontId="6" fillId="2" borderId="0" xfId="0" applyFont="1" applyFill="1"/>
    <xf numFmtId="9" fontId="6" fillId="2" borderId="0" xfId="2" applyFont="1" applyFill="1"/>
    <xf numFmtId="0" fontId="10" fillId="0" borderId="0" xfId="0" applyFont="1"/>
    <xf numFmtId="0" fontId="4" fillId="0" borderId="0" xfId="0" applyFont="1"/>
    <xf numFmtId="0" fontId="14" fillId="0" borderId="0" xfId="0" applyFont="1"/>
    <xf numFmtId="164" fontId="2" fillId="0" borderId="0" xfId="1" applyNumberFormat="1" applyFont="1" applyFill="1" applyBorder="1" applyAlignment="1">
      <alignment horizontal="center" wrapText="1"/>
    </xf>
    <xf numFmtId="0" fontId="15" fillId="2" borderId="0" xfId="0" applyFont="1" applyFill="1"/>
    <xf numFmtId="0" fontId="16" fillId="0" borderId="0" xfId="0" applyFont="1"/>
    <xf numFmtId="0" fontId="6" fillId="0" borderId="7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71"/>
  <sheetViews>
    <sheetView tabSelected="1" zoomScaleNormal="100" workbookViewId="0">
      <selection activeCell="A2" sqref="A2:O2"/>
    </sheetView>
  </sheetViews>
  <sheetFormatPr defaultColWidth="9.1796875" defaultRowHeight="14" x14ac:dyDescent="0.3"/>
  <cols>
    <col min="1" max="1" width="41.54296875" style="14" customWidth="1"/>
    <col min="2" max="2" width="10.7265625" style="14" customWidth="1"/>
    <col min="3" max="3" width="11.26953125" style="14" customWidth="1"/>
    <col min="4" max="4" width="10.7265625" style="14" customWidth="1"/>
    <col min="5" max="5" width="11.453125" style="14" customWidth="1"/>
    <col min="6" max="7" width="10.7265625" style="14" customWidth="1"/>
    <col min="8" max="8" width="12.54296875" style="14" customWidth="1"/>
    <col min="9" max="10" width="10.7265625" style="14" customWidth="1"/>
    <col min="11" max="11" width="12.54296875" style="14" customWidth="1"/>
    <col min="12" max="12" width="5.1796875" style="14" customWidth="1"/>
    <col min="13" max="13" width="5.54296875" style="14" customWidth="1"/>
    <col min="14" max="14" width="1.54296875" style="14" customWidth="1"/>
    <col min="15" max="15" width="11.453125" style="14" customWidth="1"/>
    <col min="16" max="16" width="24.1796875" style="14" customWidth="1"/>
    <col min="17" max="17" width="12.26953125" style="14" customWidth="1"/>
    <col min="18" max="18" width="9.81640625" style="14" customWidth="1"/>
    <col min="19" max="19" width="10.54296875" style="14" bestFit="1" customWidth="1"/>
    <col min="20" max="20" width="20" style="14" customWidth="1"/>
    <col min="21" max="16384" width="9.1796875" style="14"/>
  </cols>
  <sheetData>
    <row r="1" spans="1:15" x14ac:dyDescent="0.3">
      <c r="L1" s="14" t="s">
        <v>56</v>
      </c>
    </row>
    <row r="2" spans="1:15" ht="30.75" customHeight="1" x14ac:dyDescent="0.35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9" customHeight="1" x14ac:dyDescent="0.35">
      <c r="B3" s="73"/>
    </row>
    <row r="4" spans="1:15" ht="18" customHeight="1" x14ac:dyDescent="0.3">
      <c r="A4" s="9"/>
      <c r="B4" s="44"/>
      <c r="C4" s="45"/>
      <c r="D4" s="45"/>
      <c r="E4" s="45"/>
      <c r="F4" s="45"/>
      <c r="G4" s="47" t="s">
        <v>0</v>
      </c>
      <c r="H4" s="48"/>
      <c r="O4" s="46"/>
    </row>
    <row r="5" spans="1:15" ht="84" customHeight="1" x14ac:dyDescent="0.3">
      <c r="A5" s="80" t="s">
        <v>55</v>
      </c>
      <c r="B5" s="81"/>
      <c r="C5" s="81"/>
      <c r="D5" s="81"/>
      <c r="E5" s="81"/>
      <c r="F5" s="15"/>
      <c r="H5" s="49" t="s">
        <v>54</v>
      </c>
      <c r="I5" s="50" t="s">
        <v>1</v>
      </c>
      <c r="J5" s="51" t="s">
        <v>2</v>
      </c>
      <c r="K5" s="51" t="s">
        <v>50</v>
      </c>
    </row>
    <row r="6" spans="1:15" ht="51" customHeight="1" x14ac:dyDescent="0.3">
      <c r="A6" s="52"/>
      <c r="B6" s="1" t="s">
        <v>3</v>
      </c>
      <c r="C6" s="1" t="s">
        <v>4</v>
      </c>
      <c r="D6" s="1" t="s">
        <v>5</v>
      </c>
      <c r="E6" s="1" t="s">
        <v>6</v>
      </c>
      <c r="F6" s="15"/>
      <c r="G6" s="54" t="s">
        <v>7</v>
      </c>
      <c r="H6" s="55">
        <f>(10757*7)+(133*20)</f>
        <v>77959</v>
      </c>
      <c r="I6" s="56">
        <f>H6/3</f>
        <v>25986.333333333332</v>
      </c>
      <c r="J6" s="57">
        <f>(10757*7)/3</f>
        <v>25099.666666666668</v>
      </c>
      <c r="K6" s="57">
        <f>(133*20)/3</f>
        <v>886.66666666666663</v>
      </c>
      <c r="N6" s="53"/>
    </row>
    <row r="7" spans="1:15" ht="21" customHeight="1" x14ac:dyDescent="0.3">
      <c r="A7" s="52"/>
      <c r="B7" s="2" t="s">
        <v>8</v>
      </c>
      <c r="C7" s="3">
        <f>152819+81571</f>
        <v>234390</v>
      </c>
      <c r="D7" s="2">
        <f>6411+2364</f>
        <v>8775</v>
      </c>
      <c r="E7" s="4">
        <f t="shared" ref="E7:E12" si="0">C7/D7</f>
        <v>26.711111111111112</v>
      </c>
      <c r="F7" s="74"/>
      <c r="G7" s="54" t="s">
        <v>9</v>
      </c>
      <c r="H7" s="55">
        <f>(10757*7)+(133*20)</f>
        <v>77959</v>
      </c>
      <c r="I7" s="56">
        <f>H7/6</f>
        <v>12993.166666666666</v>
      </c>
      <c r="J7" s="57">
        <f>(10757*7)/6</f>
        <v>12549.833333333334</v>
      </c>
      <c r="K7" s="57">
        <f>(133*20)/6</f>
        <v>443.33333333333331</v>
      </c>
      <c r="N7" s="53"/>
    </row>
    <row r="8" spans="1:15" ht="16.5" customHeight="1" x14ac:dyDescent="0.3">
      <c r="A8" s="9"/>
      <c r="B8" s="2">
        <v>2015</v>
      </c>
      <c r="C8" s="3">
        <v>132161</v>
      </c>
      <c r="D8" s="2">
        <v>7564</v>
      </c>
      <c r="E8" s="4">
        <f t="shared" si="0"/>
        <v>17.47236911686938</v>
      </c>
      <c r="F8" s="15"/>
      <c r="G8" s="54" t="s">
        <v>10</v>
      </c>
      <c r="H8" s="55">
        <f>(10757*7)+(133*20)</f>
        <v>77959</v>
      </c>
      <c r="I8" s="58">
        <f>H8/9</f>
        <v>8662.1111111111113</v>
      </c>
      <c r="J8" s="57">
        <f>(10757*7)/9</f>
        <v>8366.5555555555547</v>
      </c>
      <c r="K8" s="57">
        <f>(133*20)/9</f>
        <v>295.55555555555554</v>
      </c>
      <c r="N8" s="53"/>
    </row>
    <row r="9" spans="1:15" ht="18.75" customHeight="1" x14ac:dyDescent="0.3">
      <c r="A9" s="52"/>
      <c r="B9" s="2">
        <v>2016</v>
      </c>
      <c r="C9" s="3">
        <f>43406+265581</f>
        <v>308987</v>
      </c>
      <c r="D9" s="2">
        <f>1237+15200</f>
        <v>16437</v>
      </c>
      <c r="E9" s="4">
        <f t="shared" si="0"/>
        <v>18.798260023118573</v>
      </c>
      <c r="F9" s="15"/>
      <c r="G9" s="60"/>
      <c r="H9" s="61">
        <f>10757*7</f>
        <v>75299</v>
      </c>
      <c r="I9" s="60" t="s">
        <v>51</v>
      </c>
      <c r="N9" s="59"/>
      <c r="O9" s="60"/>
    </row>
    <row r="10" spans="1:15" x14ac:dyDescent="0.3">
      <c r="A10" s="52"/>
      <c r="B10" s="2">
        <v>2017</v>
      </c>
      <c r="C10" s="3">
        <v>180402</v>
      </c>
      <c r="D10" s="2">
        <v>10325</v>
      </c>
      <c r="E10" s="4">
        <f t="shared" si="0"/>
        <v>17.472348668280873</v>
      </c>
      <c r="F10" s="15"/>
      <c r="G10" s="60"/>
      <c r="H10" s="62"/>
      <c r="I10" s="60"/>
      <c r="N10" s="60"/>
      <c r="O10" s="60"/>
    </row>
    <row r="11" spans="1:15" x14ac:dyDescent="0.3">
      <c r="A11" s="52"/>
      <c r="B11" s="2">
        <v>2018</v>
      </c>
      <c r="C11" s="3">
        <v>176471</v>
      </c>
      <c r="D11" s="2">
        <v>10100</v>
      </c>
      <c r="E11" s="4">
        <f t="shared" si="0"/>
        <v>17.472376237623763</v>
      </c>
      <c r="F11" s="15"/>
      <c r="G11" s="59">
        <v>20000</v>
      </c>
      <c r="H11" s="60" t="s">
        <v>48</v>
      </c>
      <c r="N11" s="53"/>
    </row>
    <row r="12" spans="1:15" x14ac:dyDescent="0.3">
      <c r="A12" s="63"/>
      <c r="B12" s="2">
        <v>2019</v>
      </c>
      <c r="C12" s="3">
        <f>267489</f>
        <v>267489</v>
      </c>
      <c r="D12" s="2">
        <v>11635</v>
      </c>
      <c r="E12" s="4">
        <f t="shared" si="0"/>
        <v>22.990030081650193</v>
      </c>
      <c r="F12" s="15"/>
      <c r="G12" s="53">
        <v>50000</v>
      </c>
      <c r="H12" s="53" t="s">
        <v>49</v>
      </c>
      <c r="N12" s="53"/>
    </row>
    <row r="13" spans="1:15" x14ac:dyDescent="0.3">
      <c r="A13" s="64"/>
      <c r="B13" s="5" t="s">
        <v>11</v>
      </c>
      <c r="C13" s="6">
        <f>AVERAGE(C7:C12)</f>
        <v>216650</v>
      </c>
      <c r="D13" s="7">
        <f>AVERAGE(D7:D12)</f>
        <v>10806</v>
      </c>
      <c r="E13" s="8"/>
      <c r="F13" s="9"/>
      <c r="G13" s="9"/>
      <c r="H13" s="9"/>
      <c r="I13" s="9"/>
      <c r="J13" s="9"/>
    </row>
    <row r="14" spans="1:15" x14ac:dyDescent="0.3">
      <c r="A14" s="9"/>
      <c r="B14" s="10" t="s">
        <v>12</v>
      </c>
      <c r="C14" s="11">
        <f>SUM(C7:C12)</f>
        <v>1299900</v>
      </c>
      <c r="D14" s="12">
        <v>64836</v>
      </c>
      <c r="E14" s="13">
        <f>C14/D14</f>
        <v>20.049046825837497</v>
      </c>
      <c r="F14" s="9"/>
      <c r="G14" s="9"/>
      <c r="H14" s="9"/>
      <c r="I14" s="9"/>
      <c r="J14" s="9"/>
    </row>
    <row r="15" spans="1:15" x14ac:dyDescent="0.3">
      <c r="A15" s="9"/>
      <c r="B15" s="15"/>
      <c r="C15" s="9"/>
      <c r="D15" s="9"/>
      <c r="E15" s="9"/>
      <c r="F15" s="9"/>
      <c r="G15" s="9"/>
      <c r="H15" s="9"/>
      <c r="I15" s="9"/>
      <c r="J15" s="9"/>
    </row>
    <row r="16" spans="1:15" ht="9" customHeight="1" x14ac:dyDescent="0.3">
      <c r="B16" s="53"/>
    </row>
    <row r="17" spans="1:24" ht="16.5" x14ac:dyDescent="0.35">
      <c r="A17" s="69" t="s">
        <v>13</v>
      </c>
      <c r="B17" s="75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24" x14ac:dyDescent="0.3">
      <c r="A18" s="65" t="s">
        <v>14</v>
      </c>
      <c r="B18" s="66">
        <v>20.05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24" ht="28" x14ac:dyDescent="0.3">
      <c r="A19" s="65" t="s">
        <v>15</v>
      </c>
      <c r="B19" s="66">
        <v>30.25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24" ht="28" x14ac:dyDescent="0.3">
      <c r="A20" s="65" t="s">
        <v>16</v>
      </c>
      <c r="B20" s="66">
        <v>33.270000000000003</v>
      </c>
      <c r="C20" s="60"/>
      <c r="D20" s="60"/>
      <c r="E20" s="60"/>
      <c r="F20" s="60"/>
      <c r="G20" s="60"/>
      <c r="H20" s="60"/>
      <c r="I20" s="60"/>
      <c r="J20" s="60"/>
      <c r="K20" s="60"/>
      <c r="L20" s="67"/>
      <c r="M20" s="60"/>
      <c r="N20" s="60"/>
    </row>
    <row r="21" spans="1:24" x14ac:dyDescent="0.3">
      <c r="A21" s="66" t="s">
        <v>17</v>
      </c>
      <c r="B21" s="68">
        <f>B19/B18-1</f>
        <v>0.50872817955112204</v>
      </c>
      <c r="C21" s="60"/>
      <c r="D21" s="60"/>
      <c r="E21" s="60"/>
      <c r="F21" s="60"/>
      <c r="G21" s="60"/>
      <c r="H21" s="60"/>
      <c r="I21" s="60"/>
      <c r="J21" s="60"/>
      <c r="K21" s="60"/>
      <c r="L21" s="67"/>
      <c r="M21" s="60"/>
      <c r="N21" s="60"/>
    </row>
    <row r="22" spans="1:24" x14ac:dyDescent="0.3">
      <c r="A22" s="66" t="s">
        <v>18</v>
      </c>
      <c r="B22" s="68">
        <f>B20/B18-1</f>
        <v>0.65935162094763111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24" ht="21" customHeight="1" x14ac:dyDescent="0.3">
      <c r="A23" s="69"/>
      <c r="B23" s="7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24" ht="23.25" customHeight="1" x14ac:dyDescent="0.3">
      <c r="A24" s="16" t="s">
        <v>10</v>
      </c>
      <c r="B24" s="17" t="s">
        <v>19</v>
      </c>
      <c r="C24" s="17" t="s">
        <v>20</v>
      </c>
      <c r="D24" s="17" t="s">
        <v>21</v>
      </c>
      <c r="E24" s="17" t="s">
        <v>22</v>
      </c>
      <c r="F24" s="17" t="s">
        <v>23</v>
      </c>
      <c r="G24" s="17" t="s">
        <v>24</v>
      </c>
      <c r="H24" s="17" t="s">
        <v>25</v>
      </c>
      <c r="I24" s="17" t="s">
        <v>26</v>
      </c>
      <c r="J24" s="17" t="s">
        <v>27</v>
      </c>
      <c r="K24" s="17" t="s">
        <v>28</v>
      </c>
      <c r="L24" s="77" t="s">
        <v>29</v>
      </c>
      <c r="M24" s="78"/>
      <c r="N24" s="78"/>
      <c r="O24" s="78"/>
      <c r="P24" s="78"/>
      <c r="Q24" s="78"/>
      <c r="R24" s="78"/>
      <c r="S24" s="78"/>
      <c r="T24" s="78"/>
    </row>
    <row r="25" spans="1:24" ht="16" x14ac:dyDescent="0.3">
      <c r="A25" s="19" t="s">
        <v>30</v>
      </c>
      <c r="B25" s="20">
        <f>$K$25/9</f>
        <v>7204</v>
      </c>
      <c r="C25" s="20">
        <f t="shared" ref="C25:J25" si="1">$K$25/9</f>
        <v>7204</v>
      </c>
      <c r="D25" s="20">
        <f t="shared" si="1"/>
        <v>7204</v>
      </c>
      <c r="E25" s="20">
        <f t="shared" si="1"/>
        <v>7204</v>
      </c>
      <c r="F25" s="20">
        <f t="shared" si="1"/>
        <v>7204</v>
      </c>
      <c r="G25" s="20">
        <f t="shared" si="1"/>
        <v>7204</v>
      </c>
      <c r="H25" s="20">
        <f t="shared" si="1"/>
        <v>7204</v>
      </c>
      <c r="I25" s="20">
        <f t="shared" si="1"/>
        <v>7204</v>
      </c>
      <c r="J25" s="20">
        <f t="shared" si="1"/>
        <v>7204</v>
      </c>
      <c r="K25" s="20">
        <f>64836</f>
        <v>64836</v>
      </c>
      <c r="L25" s="18" t="s">
        <v>31</v>
      </c>
      <c r="M25" s="18"/>
      <c r="N25" s="18"/>
      <c r="O25" s="18"/>
    </row>
    <row r="26" spans="1:24" ht="44" x14ac:dyDescent="0.3">
      <c r="A26" s="21" t="s">
        <v>32</v>
      </c>
      <c r="B26" s="22">
        <f>B35</f>
        <v>216660.30000000002</v>
      </c>
      <c r="C26" s="22">
        <f t="shared" ref="C26:G26" si="2">C35</f>
        <v>216660.30000000002</v>
      </c>
      <c r="D26" s="22">
        <f t="shared" si="2"/>
        <v>216660.30000000002</v>
      </c>
      <c r="E26" s="22">
        <f t="shared" si="2"/>
        <v>216660.30000000002</v>
      </c>
      <c r="F26" s="22">
        <f t="shared" si="2"/>
        <v>216660.30000000002</v>
      </c>
      <c r="G26" s="22">
        <f t="shared" si="2"/>
        <v>216660.30000000002</v>
      </c>
      <c r="H26" s="22">
        <f>G26</f>
        <v>216660.30000000002</v>
      </c>
      <c r="I26" s="22">
        <f>H26</f>
        <v>216660.30000000002</v>
      </c>
      <c r="J26" s="22">
        <f>I26</f>
        <v>216660.30000000002</v>
      </c>
      <c r="K26" s="23">
        <f>SUM(B26:J26)</f>
        <v>1949942.7000000002</v>
      </c>
      <c r="L26" s="18" t="s">
        <v>33</v>
      </c>
      <c r="M26" s="18"/>
      <c r="N26" s="18"/>
      <c r="O26" s="18"/>
    </row>
    <row r="27" spans="1:24" ht="28" x14ac:dyDescent="0.3">
      <c r="A27" s="21" t="s">
        <v>34</v>
      </c>
      <c r="B27" s="22">
        <f t="shared" ref="B27:J27" si="3">B25*$B$20</f>
        <v>239677.08000000002</v>
      </c>
      <c r="C27" s="22">
        <f t="shared" si="3"/>
        <v>239677.08000000002</v>
      </c>
      <c r="D27" s="22">
        <f t="shared" si="3"/>
        <v>239677.08000000002</v>
      </c>
      <c r="E27" s="22">
        <f t="shared" si="3"/>
        <v>239677.08000000002</v>
      </c>
      <c r="F27" s="22">
        <f t="shared" si="3"/>
        <v>239677.08000000002</v>
      </c>
      <c r="G27" s="22">
        <f t="shared" si="3"/>
        <v>239677.08000000002</v>
      </c>
      <c r="H27" s="22">
        <f t="shared" si="3"/>
        <v>239677.08000000002</v>
      </c>
      <c r="I27" s="22">
        <f t="shared" si="3"/>
        <v>239677.08000000002</v>
      </c>
      <c r="J27" s="22">
        <f t="shared" si="3"/>
        <v>239677.08000000002</v>
      </c>
      <c r="K27" s="23">
        <f>SUM(B27:J27)</f>
        <v>2157093.7200000002</v>
      </c>
      <c r="L27" s="18" t="s">
        <v>35</v>
      </c>
      <c r="M27" s="18"/>
      <c r="N27" s="24"/>
      <c r="O27" s="18"/>
    </row>
    <row r="28" spans="1:24" ht="23.25" customHeight="1" x14ac:dyDescent="0.3">
      <c r="A28" s="25" t="s">
        <v>36</v>
      </c>
      <c r="B28" s="26">
        <f t="shared" ref="B28:J28" si="4">B27-B26</f>
        <v>23016.78</v>
      </c>
      <c r="C28" s="26">
        <f t="shared" si="4"/>
        <v>23016.78</v>
      </c>
      <c r="D28" s="26">
        <f t="shared" si="4"/>
        <v>23016.78</v>
      </c>
      <c r="E28" s="26">
        <f t="shared" si="4"/>
        <v>23016.78</v>
      </c>
      <c r="F28" s="26">
        <f t="shared" si="4"/>
        <v>23016.78</v>
      </c>
      <c r="G28" s="26">
        <f t="shared" si="4"/>
        <v>23016.78</v>
      </c>
      <c r="H28" s="26">
        <f t="shared" si="4"/>
        <v>23016.78</v>
      </c>
      <c r="I28" s="26">
        <f t="shared" si="4"/>
        <v>23016.78</v>
      </c>
      <c r="J28" s="26">
        <f t="shared" si="4"/>
        <v>23016.78</v>
      </c>
      <c r="K28" s="26">
        <f>SUM(B28:J28)</f>
        <v>207151.02</v>
      </c>
      <c r="L28" s="18" t="s">
        <v>36</v>
      </c>
      <c r="M28" s="18"/>
      <c r="N28" s="24"/>
      <c r="O28" s="18"/>
    </row>
    <row r="29" spans="1:24" ht="28" x14ac:dyDescent="0.3">
      <c r="A29" s="27" t="s">
        <v>37</v>
      </c>
      <c r="B29" s="26">
        <v>8366</v>
      </c>
      <c r="C29" s="26">
        <v>8366</v>
      </c>
      <c r="D29" s="26">
        <v>8366</v>
      </c>
      <c r="E29" s="26">
        <v>8367</v>
      </c>
      <c r="F29" s="26">
        <f t="shared" ref="F29:G29" si="5">E29</f>
        <v>8367</v>
      </c>
      <c r="G29" s="26">
        <f t="shared" si="5"/>
        <v>8367</v>
      </c>
      <c r="H29" s="26">
        <f>G29</f>
        <v>8367</v>
      </c>
      <c r="I29" s="26">
        <f>H29</f>
        <v>8367</v>
      </c>
      <c r="J29" s="26">
        <f t="shared" ref="J29" si="6">I29</f>
        <v>8367</v>
      </c>
      <c r="K29" s="26">
        <f>SUM(B29:J29)</f>
        <v>75300</v>
      </c>
      <c r="L29" s="18"/>
      <c r="M29" s="28"/>
      <c r="N29" s="28"/>
      <c r="O29" s="18"/>
    </row>
    <row r="30" spans="1:24" ht="29.25" customHeight="1" x14ac:dyDescent="0.3">
      <c r="A30" s="29" t="s">
        <v>38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18" t="s">
        <v>47</v>
      </c>
      <c r="M30" s="28"/>
      <c r="N30" s="28"/>
      <c r="O30" s="18"/>
    </row>
    <row r="31" spans="1:24" s="71" customFormat="1" ht="20.25" customHeight="1" x14ac:dyDescent="0.3">
      <c r="A31" s="31" t="s">
        <v>39</v>
      </c>
      <c r="B31" s="32">
        <f t="shared" ref="B31:J31" si="7">B29+B28</f>
        <v>31382.78</v>
      </c>
      <c r="C31" s="32">
        <f t="shared" si="7"/>
        <v>31382.78</v>
      </c>
      <c r="D31" s="32">
        <f t="shared" si="7"/>
        <v>31382.78</v>
      </c>
      <c r="E31" s="32">
        <f t="shared" si="7"/>
        <v>31383.78</v>
      </c>
      <c r="F31" s="32">
        <f t="shared" si="7"/>
        <v>31383.78</v>
      </c>
      <c r="G31" s="32">
        <f t="shared" si="7"/>
        <v>31383.78</v>
      </c>
      <c r="H31" s="32">
        <f t="shared" si="7"/>
        <v>31383.78</v>
      </c>
      <c r="I31" s="32">
        <f t="shared" si="7"/>
        <v>31383.78</v>
      </c>
      <c r="J31" s="32">
        <f t="shared" si="7"/>
        <v>31383.78</v>
      </c>
      <c r="K31" s="32">
        <f>SUM(B31:J31)</f>
        <v>282451.02</v>
      </c>
      <c r="L31" s="33"/>
      <c r="M31" s="33"/>
      <c r="N31" s="33"/>
      <c r="O31" s="33"/>
      <c r="U31" s="14"/>
      <c r="V31" s="14"/>
      <c r="W31" s="14"/>
      <c r="X31" s="14"/>
    </row>
    <row r="32" spans="1:24" ht="30.75" customHeight="1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43"/>
      <c r="Q32" s="43"/>
      <c r="U32" s="71"/>
      <c r="V32" s="71"/>
      <c r="W32" s="71"/>
      <c r="X32" s="71"/>
    </row>
    <row r="33" spans="1:24" ht="21" customHeight="1" x14ac:dyDescent="0.3">
      <c r="A33" s="16" t="s">
        <v>9</v>
      </c>
      <c r="B33" s="17" t="s">
        <v>19</v>
      </c>
      <c r="C33" s="17" t="s">
        <v>20</v>
      </c>
      <c r="D33" s="17" t="s">
        <v>21</v>
      </c>
      <c r="E33" s="17" t="s">
        <v>22</v>
      </c>
      <c r="F33" s="17" t="s">
        <v>23</v>
      </c>
      <c r="G33" s="17" t="s">
        <v>24</v>
      </c>
      <c r="H33" s="17" t="s">
        <v>28</v>
      </c>
      <c r="I33" s="18"/>
      <c r="J33" s="18"/>
      <c r="K33" s="18"/>
      <c r="L33" s="18"/>
      <c r="M33" s="18"/>
      <c r="N33" s="18"/>
      <c r="O33" s="18"/>
    </row>
    <row r="34" spans="1:24" ht="22.5" customHeight="1" x14ac:dyDescent="0.3">
      <c r="A34" s="19" t="s">
        <v>30</v>
      </c>
      <c r="B34" s="20">
        <f>$K$25/6</f>
        <v>10806</v>
      </c>
      <c r="C34" s="20">
        <f t="shared" ref="C34:G34" si="8">$K$25/6</f>
        <v>10806</v>
      </c>
      <c r="D34" s="20">
        <f t="shared" si="8"/>
        <v>10806</v>
      </c>
      <c r="E34" s="20">
        <f t="shared" si="8"/>
        <v>10806</v>
      </c>
      <c r="F34" s="20">
        <f t="shared" si="8"/>
        <v>10806</v>
      </c>
      <c r="G34" s="20">
        <f t="shared" si="8"/>
        <v>10806</v>
      </c>
      <c r="H34" s="20">
        <f>SUM(B34:G34)</f>
        <v>64836</v>
      </c>
      <c r="I34" s="18"/>
      <c r="J34" s="18"/>
      <c r="K34" s="18"/>
      <c r="L34" s="18" t="s">
        <v>40</v>
      </c>
      <c r="M34" s="18"/>
      <c r="N34" s="18"/>
      <c r="O34" s="18"/>
    </row>
    <row r="35" spans="1:24" ht="44" x14ac:dyDescent="0.3">
      <c r="A35" s="21" t="s">
        <v>41</v>
      </c>
      <c r="B35" s="22">
        <f>B34*$B$18</f>
        <v>216660.30000000002</v>
      </c>
      <c r="C35" s="22">
        <f t="shared" ref="C35:G35" si="9">C34*$B$18</f>
        <v>216660.30000000002</v>
      </c>
      <c r="D35" s="22">
        <f t="shared" si="9"/>
        <v>216660.30000000002</v>
      </c>
      <c r="E35" s="22">
        <f t="shared" si="9"/>
        <v>216660.30000000002</v>
      </c>
      <c r="F35" s="22">
        <f t="shared" si="9"/>
        <v>216660.30000000002</v>
      </c>
      <c r="G35" s="22">
        <f t="shared" si="9"/>
        <v>216660.30000000002</v>
      </c>
      <c r="H35" s="22">
        <f>SUM(B35:G35)</f>
        <v>1299961.8</v>
      </c>
      <c r="I35" s="18"/>
      <c r="J35" s="18"/>
      <c r="K35" s="18"/>
      <c r="L35" s="18" t="s">
        <v>33</v>
      </c>
      <c r="M35" s="18"/>
      <c r="N35" s="18"/>
      <c r="O35" s="18"/>
    </row>
    <row r="36" spans="1:24" ht="28" x14ac:dyDescent="0.3">
      <c r="A36" s="21" t="s">
        <v>42</v>
      </c>
      <c r="B36" s="22">
        <f>B34*$B$19</f>
        <v>326881.5</v>
      </c>
      <c r="C36" s="22">
        <f t="shared" ref="C36:G36" si="10">C34*$B$19</f>
        <v>326881.5</v>
      </c>
      <c r="D36" s="22">
        <f t="shared" si="10"/>
        <v>326881.5</v>
      </c>
      <c r="E36" s="22">
        <f t="shared" si="10"/>
        <v>326881.5</v>
      </c>
      <c r="F36" s="22">
        <f t="shared" si="10"/>
        <v>326881.5</v>
      </c>
      <c r="G36" s="22">
        <f t="shared" si="10"/>
        <v>326881.5</v>
      </c>
      <c r="H36" s="22">
        <f t="shared" ref="H36:H40" si="11">SUM(B36:G36)</f>
        <v>1961289</v>
      </c>
      <c r="I36" s="18"/>
      <c r="J36" s="18"/>
      <c r="K36" s="18"/>
      <c r="L36" s="18"/>
      <c r="M36" s="18"/>
      <c r="N36" s="18"/>
      <c r="O36" s="18"/>
    </row>
    <row r="37" spans="1:24" ht="18.75" customHeight="1" x14ac:dyDescent="0.3">
      <c r="A37" s="25" t="s">
        <v>36</v>
      </c>
      <c r="B37" s="26">
        <f>B36-B35</f>
        <v>110221.19999999998</v>
      </c>
      <c r="C37" s="26">
        <f t="shared" ref="C37:G37" si="12">C36-C35</f>
        <v>110221.19999999998</v>
      </c>
      <c r="D37" s="26">
        <f t="shared" si="12"/>
        <v>110221.19999999998</v>
      </c>
      <c r="E37" s="26">
        <f t="shared" si="12"/>
        <v>110221.19999999998</v>
      </c>
      <c r="F37" s="26">
        <f t="shared" si="12"/>
        <v>110221.19999999998</v>
      </c>
      <c r="G37" s="26">
        <f t="shared" si="12"/>
        <v>110221.19999999998</v>
      </c>
      <c r="H37" s="34">
        <f t="shared" si="11"/>
        <v>661327.19999999984</v>
      </c>
      <c r="I37" s="18"/>
      <c r="J37" s="18"/>
      <c r="K37" s="18"/>
      <c r="L37" s="18" t="s">
        <v>36</v>
      </c>
      <c r="M37" s="18"/>
      <c r="N37" s="18"/>
      <c r="O37" s="18"/>
    </row>
    <row r="38" spans="1:24" ht="28" x14ac:dyDescent="0.3">
      <c r="A38" s="27" t="s">
        <v>37</v>
      </c>
      <c r="B38" s="34">
        <v>12550</v>
      </c>
      <c r="C38" s="34">
        <f>B38</f>
        <v>12550</v>
      </c>
      <c r="D38" s="34">
        <f>C38</f>
        <v>12550</v>
      </c>
      <c r="E38" s="34">
        <f>D38</f>
        <v>12550</v>
      </c>
      <c r="F38" s="34">
        <f>E38</f>
        <v>12550</v>
      </c>
      <c r="G38" s="34">
        <f>F38</f>
        <v>12550</v>
      </c>
      <c r="H38" s="34">
        <f t="shared" si="11"/>
        <v>75300</v>
      </c>
      <c r="I38" s="18"/>
      <c r="J38" s="18"/>
      <c r="K38" s="18"/>
      <c r="L38" s="18"/>
      <c r="M38" s="18"/>
      <c r="N38" s="18"/>
      <c r="O38" s="18"/>
    </row>
    <row r="39" spans="1:24" ht="33.75" customHeight="1" x14ac:dyDescent="0.3">
      <c r="A39" s="27" t="s">
        <v>43</v>
      </c>
      <c r="B39" s="35">
        <v>108748</v>
      </c>
      <c r="C39" s="35">
        <v>108748</v>
      </c>
      <c r="D39" s="35">
        <v>108748</v>
      </c>
      <c r="E39" s="35">
        <v>108748</v>
      </c>
      <c r="F39" s="35">
        <v>108748</v>
      </c>
      <c r="G39" s="35">
        <v>108748</v>
      </c>
      <c r="H39" s="34">
        <f t="shared" si="11"/>
        <v>652488</v>
      </c>
      <c r="I39" s="18"/>
      <c r="J39" s="18"/>
      <c r="K39" s="24"/>
      <c r="L39" s="18" t="s">
        <v>52</v>
      </c>
      <c r="M39" s="18"/>
      <c r="N39" s="18"/>
      <c r="O39" s="18"/>
    </row>
    <row r="40" spans="1:24" ht="23.25" customHeight="1" x14ac:dyDescent="0.3">
      <c r="A40" s="31" t="s">
        <v>39</v>
      </c>
      <c r="B40" s="32">
        <f>B38+B37+B39</f>
        <v>231519.19999999998</v>
      </c>
      <c r="C40" s="32">
        <f t="shared" ref="C40:G40" si="13">C38+C37+C39</f>
        <v>231519.19999999998</v>
      </c>
      <c r="D40" s="32">
        <f t="shared" si="13"/>
        <v>231519.19999999998</v>
      </c>
      <c r="E40" s="32">
        <f t="shared" si="13"/>
        <v>231519.19999999998</v>
      </c>
      <c r="F40" s="32">
        <f t="shared" si="13"/>
        <v>231519.19999999998</v>
      </c>
      <c r="G40" s="32">
        <f t="shared" si="13"/>
        <v>231519.19999999998</v>
      </c>
      <c r="H40" s="36">
        <f t="shared" si="11"/>
        <v>1389115.2</v>
      </c>
      <c r="I40" s="18"/>
      <c r="J40" s="18"/>
      <c r="K40" s="18"/>
      <c r="L40" s="33"/>
      <c r="M40" s="33"/>
      <c r="N40" s="33"/>
      <c r="O40" s="18"/>
    </row>
    <row r="41" spans="1:24" ht="26.25" customHeight="1" x14ac:dyDescent="0.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24" ht="30.75" customHeight="1" x14ac:dyDescent="0.3">
      <c r="A42" s="16" t="s">
        <v>7</v>
      </c>
      <c r="B42" s="17" t="s">
        <v>19</v>
      </c>
      <c r="C42" s="17" t="s">
        <v>20</v>
      </c>
      <c r="D42" s="17" t="s">
        <v>21</v>
      </c>
      <c r="E42" s="17" t="s">
        <v>28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24" ht="24" customHeight="1" x14ac:dyDescent="0.3">
      <c r="A43" s="37" t="s">
        <v>30</v>
      </c>
      <c r="B43" s="38">
        <v>21612</v>
      </c>
      <c r="C43" s="38">
        <f>B43</f>
        <v>21612</v>
      </c>
      <c r="D43" s="38">
        <f>C43</f>
        <v>21612</v>
      </c>
      <c r="E43" s="38">
        <f>SUM(B43:D43)</f>
        <v>64836</v>
      </c>
      <c r="F43" s="18"/>
      <c r="G43" s="18"/>
      <c r="H43" s="18"/>
      <c r="I43" s="18"/>
      <c r="J43" s="18"/>
      <c r="K43" s="18"/>
      <c r="L43" s="18" t="s">
        <v>46</v>
      </c>
      <c r="M43" s="18"/>
      <c r="N43" s="18"/>
      <c r="O43" s="18"/>
    </row>
    <row r="44" spans="1:24" ht="44" x14ac:dyDescent="0.3">
      <c r="A44" s="21" t="s">
        <v>44</v>
      </c>
      <c r="B44" s="22">
        <v>216660</v>
      </c>
      <c r="C44" s="22">
        <f>B44</f>
        <v>216660</v>
      </c>
      <c r="D44" s="22">
        <f>C44</f>
        <v>216660</v>
      </c>
      <c r="E44" s="22">
        <f>SUM(B44:D44)</f>
        <v>649980</v>
      </c>
      <c r="F44" s="18"/>
      <c r="G44" s="18"/>
      <c r="H44" s="18"/>
      <c r="I44" s="18"/>
      <c r="J44" s="18"/>
      <c r="K44" s="18"/>
      <c r="L44" s="18" t="s">
        <v>33</v>
      </c>
      <c r="M44" s="18"/>
      <c r="N44" s="18"/>
      <c r="O44" s="18"/>
    </row>
    <row r="45" spans="1:24" ht="29.25" customHeight="1" x14ac:dyDescent="0.3">
      <c r="A45" s="21" t="s">
        <v>42</v>
      </c>
      <c r="B45" s="22">
        <f>B43*$B$19</f>
        <v>653763</v>
      </c>
      <c r="C45" s="22">
        <f>C43*$B$19</f>
        <v>653763</v>
      </c>
      <c r="D45" s="22">
        <f>D43*$B$19</f>
        <v>653763</v>
      </c>
      <c r="E45" s="22">
        <f t="shared" ref="E45:E49" si="14">SUM(B45:D45)</f>
        <v>1961289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24" ht="24" customHeight="1" x14ac:dyDescent="0.3">
      <c r="A46" s="25" t="s">
        <v>36</v>
      </c>
      <c r="B46" s="26">
        <f>B45-B44</f>
        <v>437103</v>
      </c>
      <c r="C46" s="26">
        <f t="shared" ref="C46:D46" si="15">C45-C44</f>
        <v>437103</v>
      </c>
      <c r="D46" s="26">
        <f t="shared" si="15"/>
        <v>437103</v>
      </c>
      <c r="E46" s="22">
        <f t="shared" si="14"/>
        <v>1311309</v>
      </c>
      <c r="F46" s="18"/>
      <c r="G46" s="24"/>
      <c r="H46" s="18"/>
      <c r="I46" s="18"/>
      <c r="J46" s="18"/>
      <c r="K46" s="18"/>
      <c r="L46" s="18" t="s">
        <v>36</v>
      </c>
      <c r="M46" s="18"/>
      <c r="N46" s="18"/>
      <c r="O46" s="18"/>
    </row>
    <row r="47" spans="1:24" ht="29.25" customHeight="1" x14ac:dyDescent="0.3">
      <c r="A47" s="27" t="s">
        <v>37</v>
      </c>
      <c r="B47" s="34">
        <v>25100</v>
      </c>
      <c r="C47" s="34">
        <f>B47</f>
        <v>25100</v>
      </c>
      <c r="D47" s="34">
        <f>C47</f>
        <v>25100</v>
      </c>
      <c r="E47" s="22">
        <f t="shared" si="14"/>
        <v>75300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24" s="72" customFormat="1" ht="28" x14ac:dyDescent="0.3">
      <c r="A48" s="39" t="s">
        <v>45</v>
      </c>
      <c r="B48" s="40">
        <v>217496</v>
      </c>
      <c r="C48" s="40">
        <f>B48</f>
        <v>217496</v>
      </c>
      <c r="D48" s="40">
        <f>C48</f>
        <v>217496</v>
      </c>
      <c r="E48" s="41">
        <f t="shared" si="14"/>
        <v>652488</v>
      </c>
      <c r="F48" s="18"/>
      <c r="G48" s="18"/>
      <c r="H48" s="18"/>
      <c r="I48" s="18"/>
      <c r="J48" s="24"/>
      <c r="K48" s="18"/>
      <c r="L48" s="42"/>
      <c r="M48" s="42"/>
      <c r="N48" s="42"/>
      <c r="O48" s="42"/>
      <c r="U48" s="14"/>
      <c r="V48" s="14"/>
      <c r="W48" s="14"/>
      <c r="X48" s="14"/>
    </row>
    <row r="49" spans="1:24" ht="18" customHeight="1" x14ac:dyDescent="0.3">
      <c r="A49" s="31" t="s">
        <v>39</v>
      </c>
      <c r="B49" s="32">
        <f>B46+B47+B48</f>
        <v>679699</v>
      </c>
      <c r="C49" s="32">
        <f t="shared" ref="C49:D49" si="16">C46+C47+C48</f>
        <v>679699</v>
      </c>
      <c r="D49" s="32">
        <f t="shared" si="16"/>
        <v>679699</v>
      </c>
      <c r="E49" s="36">
        <f t="shared" si="14"/>
        <v>2039097</v>
      </c>
      <c r="F49" s="18"/>
      <c r="G49" s="18"/>
      <c r="H49" s="18"/>
      <c r="I49" s="18"/>
      <c r="J49" s="18"/>
      <c r="K49" s="18"/>
      <c r="L49" s="18"/>
      <c r="M49" s="28"/>
      <c r="N49" s="28"/>
      <c r="O49" s="18"/>
      <c r="U49" s="72"/>
      <c r="V49" s="72"/>
      <c r="W49" s="72"/>
      <c r="X49" s="72"/>
    </row>
    <row r="50" spans="1:24" s="18" customFormat="1" x14ac:dyDescent="0.3">
      <c r="U50" s="14"/>
      <c r="V50" s="14"/>
      <c r="W50" s="14"/>
      <c r="X50" s="14"/>
    </row>
    <row r="51" spans="1:24" x14ac:dyDescent="0.3">
      <c r="L51" s="18"/>
      <c r="U51" s="18"/>
      <c r="V51" s="18"/>
      <c r="W51" s="18"/>
      <c r="X51" s="18"/>
    </row>
    <row r="52" spans="1:24" x14ac:dyDescent="0.3">
      <c r="L52" s="18"/>
    </row>
    <row r="53" spans="1:24" x14ac:dyDescent="0.3">
      <c r="B53" s="43"/>
      <c r="L53" s="18"/>
    </row>
    <row r="54" spans="1:24" x14ac:dyDescent="0.3">
      <c r="L54" s="18"/>
    </row>
    <row r="55" spans="1:24" x14ac:dyDescent="0.3">
      <c r="A55" s="76" t="s">
        <v>57</v>
      </c>
      <c r="B55" s="43"/>
      <c r="L55" s="18"/>
    </row>
    <row r="56" spans="1:24" x14ac:dyDescent="0.3">
      <c r="L56" s="18"/>
    </row>
    <row r="57" spans="1:24" x14ac:dyDescent="0.3">
      <c r="L57" s="18"/>
    </row>
    <row r="58" spans="1:24" x14ac:dyDescent="0.3">
      <c r="L58" s="18"/>
    </row>
    <row r="59" spans="1:24" x14ac:dyDescent="0.3">
      <c r="L59" s="18"/>
    </row>
    <row r="60" spans="1:24" x14ac:dyDescent="0.3">
      <c r="L60" s="18"/>
    </row>
    <row r="61" spans="1:24" x14ac:dyDescent="0.3">
      <c r="L61" s="18"/>
    </row>
    <row r="62" spans="1:24" x14ac:dyDescent="0.3">
      <c r="L62" s="18"/>
    </row>
    <row r="63" spans="1:24" x14ac:dyDescent="0.3">
      <c r="L63" s="18"/>
    </row>
    <row r="64" spans="1:24" x14ac:dyDescent="0.3">
      <c r="L64" s="18"/>
    </row>
    <row r="65" spans="12:12" x14ac:dyDescent="0.3">
      <c r="L65" s="18"/>
    </row>
    <row r="66" spans="12:12" x14ac:dyDescent="0.3">
      <c r="L66" s="18"/>
    </row>
    <row r="67" spans="12:12" x14ac:dyDescent="0.3">
      <c r="L67" s="18"/>
    </row>
    <row r="71" spans="12:12" ht="14.25" customHeight="1" x14ac:dyDescent="0.3"/>
  </sheetData>
  <mergeCells count="3">
    <mergeCell ref="L24:T24"/>
    <mergeCell ref="A2:O2"/>
    <mergeCell ref="A5:E5"/>
  </mergeCells>
  <pageMargins left="0.51181102362204722" right="0.31496062992125984" top="0.15748031496062992" bottom="0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2.pielikums</vt:lpstr>
    </vt:vector>
  </TitlesOfParts>
  <Manager>Latvijas Ģeotelpiskās informācijas aģentūra</Manager>
  <Company>Aizsardzības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Papildus nepieciešamā finansējuma aprēķins (izmaksas virs bāzes izdevumiem) Latvijas teritorijas vienlaidu aerolāzerskenēšanas un digitālā augstuma modeļa pamatdatu atjaunošanai trīs, sešu un deviņu gadu ciklā </dc:title>
  <dc:subject>Informatīva ziņojuma 2. pielikums</dc:subject>
  <dc:creator>Iveta Gruzīte</dc:creator>
  <cp:keywords>VSS_655</cp:keywords>
  <dc:description>26588194_x000d_
Iveta.Gruzite@lgia.gov.lv</dc:description>
  <cp:lastModifiedBy>Vera Solovjova</cp:lastModifiedBy>
  <cp:lastPrinted>2021-08-11T10:02:16Z</cp:lastPrinted>
  <dcterms:created xsi:type="dcterms:W3CDTF">2021-07-28T14:01:38Z</dcterms:created>
  <dcterms:modified xsi:type="dcterms:W3CDTF">2021-08-12T13:14:16Z</dcterms:modified>
</cp:coreProperties>
</file>