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Aprēķins" sheetId="1" r:id="rId1"/>
  </sheets>
  <calcPr calcId="152511"/>
</workbook>
</file>

<file path=xl/calcChain.xml><?xml version="1.0" encoding="utf-8"?>
<calcChain xmlns="http://schemas.openxmlformats.org/spreadsheetml/2006/main">
  <c r="G25" i="1" l="1"/>
  <c r="G20" i="1"/>
  <c r="G14" i="1"/>
  <c r="G12" i="1"/>
  <c r="G9" i="1"/>
  <c r="G8" i="1"/>
  <c r="G7" i="1"/>
  <c r="G6" i="1"/>
  <c r="F12" i="1" l="1"/>
  <c r="F9" i="1"/>
  <c r="F8" i="1"/>
  <c r="F7" i="1"/>
  <c r="F6" i="1"/>
  <c r="J26" i="1" l="1"/>
  <c r="J21" i="1"/>
  <c r="G24" i="1"/>
  <c r="G22" i="1" l="1"/>
  <c r="H26" i="1" l="1"/>
  <c r="I26" i="1"/>
  <c r="G21" i="1"/>
  <c r="H21" i="1"/>
  <c r="I21" i="1"/>
  <c r="H20" i="1"/>
  <c r="I20" i="1" s="1"/>
  <c r="J20" i="1" s="1"/>
  <c r="F17" i="1"/>
  <c r="C9" i="1" l="1"/>
  <c r="C8" i="1"/>
  <c r="C7" i="1"/>
  <c r="C6" i="1"/>
  <c r="F15" i="1" l="1"/>
  <c r="G15" i="1" s="1"/>
  <c r="F19" i="1"/>
  <c r="H19" i="1" l="1"/>
  <c r="I19" i="1" s="1"/>
  <c r="J19" i="1" s="1"/>
  <c r="G19" i="1"/>
  <c r="G26" i="1"/>
  <c r="G13" i="1" l="1"/>
  <c r="F26" i="1"/>
  <c r="F21" i="1"/>
  <c r="H25" i="1"/>
  <c r="I25" i="1" s="1"/>
  <c r="J25" i="1" s="1"/>
  <c r="F18" i="1"/>
  <c r="F16" i="1" s="1"/>
  <c r="C17" i="1"/>
  <c r="H15" i="1"/>
  <c r="F14" i="1"/>
  <c r="H14" i="1" s="1"/>
  <c r="C10" i="1"/>
  <c r="H9" i="1"/>
  <c r="H7" i="1"/>
  <c r="C16" i="1" l="1"/>
  <c r="G17" i="1"/>
  <c r="I14" i="1"/>
  <c r="I9" i="1"/>
  <c r="G5" i="1"/>
  <c r="I15" i="1"/>
  <c r="I7" i="1"/>
  <c r="H8" i="1"/>
  <c r="I8" i="1"/>
  <c r="H6" i="1"/>
  <c r="F13" i="1"/>
  <c r="F5" i="1" s="1"/>
  <c r="F4" i="1" s="1"/>
  <c r="G16" i="1"/>
  <c r="H17" i="1"/>
  <c r="H12" i="1"/>
  <c r="C5" i="1"/>
  <c r="C4" i="1" s="1"/>
  <c r="G4" i="1" l="1"/>
  <c r="J15" i="1"/>
  <c r="J9" i="1"/>
  <c r="I12" i="1"/>
  <c r="J7" i="1"/>
  <c r="J8" i="1"/>
  <c r="J14" i="1"/>
  <c r="I6" i="1"/>
  <c r="H13" i="1"/>
  <c r="H16" i="1"/>
  <c r="I17" i="1"/>
  <c r="I13" i="1" l="1"/>
  <c r="J12" i="1"/>
  <c r="J6" i="1"/>
  <c r="I5" i="1"/>
  <c r="J17" i="1"/>
  <c r="J16" i="1" s="1"/>
  <c r="I16" i="1"/>
  <c r="H5" i="1"/>
  <c r="H4" i="1" s="1"/>
  <c r="I4" i="1" l="1"/>
  <c r="J13" i="1"/>
  <c r="J5" i="1" l="1"/>
  <c r="J4" i="1" s="1"/>
</calcChain>
</file>

<file path=xl/sharedStrings.xml><?xml version="1.0" encoding="utf-8"?>
<sst xmlns="http://schemas.openxmlformats.org/spreadsheetml/2006/main" count="54" uniqueCount="51">
  <si>
    <t>Pozīcija</t>
  </si>
  <si>
    <r>
      <t xml:space="preserve">Izmaksas gadā šobrīd </t>
    </r>
    <r>
      <rPr>
        <i/>
        <sz val="12"/>
        <color theme="1"/>
        <rFont val="Times New Roman"/>
        <family val="1"/>
        <charset val="186"/>
      </rPr>
      <t>(euro)</t>
    </r>
  </si>
  <si>
    <t>Atšifrējums</t>
  </si>
  <si>
    <t>2.</t>
  </si>
  <si>
    <t>VPMK sēdes, uzņēmuma līgumi</t>
  </si>
  <si>
    <t>3.</t>
  </si>
  <si>
    <t>4.</t>
  </si>
  <si>
    <t>1.</t>
  </si>
  <si>
    <t>N.p.k.</t>
  </si>
  <si>
    <t xml:space="preserve">1.5. Polises, 213 euro x 4 </t>
  </si>
  <si>
    <t>Esošās amata vietas:</t>
  </si>
  <si>
    <t>Papildus amata vietas:</t>
  </si>
  <si>
    <t>6.</t>
  </si>
  <si>
    <t>3.1. noma 751.94 euro x 12 mēneši = 9 023.28 euro
3.2. Komunālie maksājumi – 3439 euro</t>
  </si>
  <si>
    <t>Telpas un aprīkojums</t>
  </si>
  <si>
    <t>Papildus nepieciešams 2022.gadā</t>
  </si>
  <si>
    <t>Attīstības pasākumi</t>
  </si>
  <si>
    <t>5.</t>
  </si>
  <si>
    <t>Papildus nepieciešams 2023.gadā</t>
  </si>
  <si>
    <t>KOPĀ, t.sk.:</t>
  </si>
  <si>
    <t>Pārcelšanās un telpu pielāgošanas izmaksas</t>
  </si>
  <si>
    <t>3.4.Telpa semināriem PPMK locekļiem un pedagogiem 1 reizi mēnesī, 40 cilvēki, 8 stundas, cena stundā RTV=22 euro, RD skolās aktu zāles- vidēji 20 euro stundā</t>
  </si>
  <si>
    <t>1.1. Anita Falka, 35 IVA, alga  1240 x 12 x 23.59% DDVSAOI, atvaļinājuma pabalsts 50%</t>
  </si>
  <si>
    <t>1.2. Ilga Prudņikova, 35 III, alga 1178 x 12x 23.59% DDVSAOI, atvaļinājuma pabalsts 50%.</t>
  </si>
  <si>
    <t>1.4. Ilze Ābelniece, 35 III,  (0,2 no 950), alga 190 x 12 x 23.59%DDVSAOI, atvaļinājuma pabalsts 50%</t>
  </si>
  <si>
    <t>1.3. Laima Zommere, 35 III, alga 950 x 12 x 23.59% DDVSAOI, atvaļinājuma pabalsts 50%</t>
  </si>
  <si>
    <t>1.2. Ilga Prudņikova, 35 IVA, alga 1382 x 12x 23.59%DDVSAOI, papildus atlīdzība, motivācija 1589,3 x 23,59% DDVSAOI</t>
  </si>
  <si>
    <t>1.3. Laima Zommere, 35 III,  alga 1287 x 12 x 23.59% DDVSAOI, papildus atlīdzība, motivācija - 1480,05 x 23,59% DDVSAOI</t>
  </si>
  <si>
    <t>1.4. Ilze Ābelniece, 35 III, (0,5 no 1287) ), alga 643,5 x 12 x 23.59% DDVSAOI, papildus atlīdzība, motivācija - 740,03 x 23,59% DDSAOI</t>
  </si>
  <si>
    <t>3.3. Darba vietu aprīkojums 3 jaunajiem darbiniekiem (3X 3000)</t>
  </si>
  <si>
    <t>Darbinieki, atlīdzība</t>
  </si>
  <si>
    <t>Biroja preces (kanceleja, toneri u.c.), IT rīki un e-saziņas rīki</t>
  </si>
  <si>
    <t>Valsts un pašvaldību pedagoģiski medicīnisko komisiju informācijas sistēmas uzturēšana- 6000 euro gadā</t>
  </si>
  <si>
    <t>Nepieciešams kopā ar pieaugumu pilnā gadā- atšifrējums</t>
  </si>
  <si>
    <t>3.1. noma 230 kvm x 10 eur/kvm x 12= 27600 euro (piemēram, Elijas iela 17)
3.2. komunālie 600 x 12 = 7200 eur</t>
  </si>
  <si>
    <t>Arhīva un mēbeļu pārvešana uz Strūgu ielu 4, piemaksa par papildus pienākumiem darbiniekam (1093 x 30% x 2+ DDVSAOI)</t>
  </si>
  <si>
    <t>Jaunu mēbeļu iegāde uzgaidāmajai telpai un nolietoto mēbeļu vietā (2o uzgaidāmie krēsli x 40 euro, 7 skapji x 300 euro, mazais galdiņš x 100 euro, 4 biroja krēsli x 400 euro), liels galds darba grupām 1000 euro, vidēja līmeņa vadītāja kabineta iekārta- mēbeles- 2753 euro).</t>
  </si>
  <si>
    <t>Papildus nepieciešams 2024.gadā</t>
  </si>
  <si>
    <t>2.1. 1 sēde = 6 h  = Psihologs 25 euro/h x 6 + spec.ped.25 euro/h x 6 + logopēds 25 euro/h x 6 + ārsts 35 euro/h x 6 = 660 euro par 1 sēdi, kopā vajag 110 sēdes x 660 euro = 72 600 euro.</t>
  </si>
  <si>
    <t xml:space="preserve">Polises jaunajiem darbiniekiem </t>
  </si>
  <si>
    <t>Izmaksas ar pieaugumu pilnā gadā</t>
  </si>
  <si>
    <t>2.1. 1 sēde = 6 h  = Psihologs 14 euro/h x 6 + spec.ped.14 euro/h x 6 + ārsts 20 euro/h x 6 = 288 euro par vienu sēdi</t>
  </si>
  <si>
    <t>1.5.Vecākais eksperts, 35 III, (pieteikumu reģistrēšana sistēmā, rindu reģistrs, saziņa ar klientiem u.c.), 1287*12*23,59% DDVSOI, papildus atlīdzība, motivācija- 3024,45*23,59%</t>
  </si>
  <si>
    <t>1.6. Divi vecākie eksperti 35 III, (pašvaldību PMK darba analīze sistēmā, priekšlikumi, ieteikumi, labojumi u.c.),2x1287x12x23,59% DDVSOI, papildus atlīdzība, motivācija- 2x3024,45 x 23,59%</t>
  </si>
  <si>
    <t xml:space="preserve">Datu bāzes uzturēšana </t>
  </si>
  <si>
    <t>Valsts un pašvaldību pedagoģiski medicīnisko komisiju informācijas sistēma - 3360 euro</t>
  </si>
  <si>
    <t>1.1. Anita Falka, 35 IVB, alga  1647 x 12 x 23.59% DDVSAOI, papildus atlīdzība, motivācija - 3870,45 x 23,59% DDVSAOI</t>
  </si>
  <si>
    <t>Papildus nepieciešams 2021.gadā 4 mēneši</t>
  </si>
  <si>
    <t>Mēbeļu demontāža un atpakaļ saskrūvēšana (56 h x 21,18 eur/h)= 1186,08 euro , 2 krāvēji un transports pārvešanai (8 h x 42,35)=338,8 euro, konteiners veco mēbeļu izvešanai (1 diena x 1oo)= 100 euro</t>
  </si>
  <si>
    <t xml:space="preserve">6.1.Analītika, metodiskais atbalsts un profesionālās pilnveides pasākumi pašvaldībām </t>
  </si>
  <si>
    <t xml:space="preserve">6.3.Datu apmaiņas risinājumi ar VIIS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</si>
</sst>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/>
    <xf numFmtId="0" fontId="6" fillId="2" borderId="1" xfId="0" applyFont="1" applyFill="1" applyBorder="1"/>
    <xf numFmtId="2" fontId="0" fillId="2" borderId="1" xfId="0" applyNumberFormat="1" applyFill="1" applyBorder="1"/>
    <xf numFmtId="0" fontId="6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/>
    <xf numFmtId="0" fontId="8" fillId="2" borderId="1" xfId="0" applyFont="1" applyFill="1" applyBorder="1"/>
    <xf numFmtId="0" fontId="10" fillId="0" borderId="1" xfId="0" applyFont="1" applyBorder="1"/>
    <xf numFmtId="0" fontId="7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5" zoomScaleNormal="70" workbookViewId="0">
      <selection activeCell="H4" sqref="H4"/>
    </sheetView>
  </sheetViews>
  <sheetFormatPr defaultRowHeight="15" x14ac:dyDescent="0.25"/>
  <cols>
    <col min="1" max="1" width="9" customWidth="1"/>
    <col min="2" max="2" width="23.5703125" customWidth="1"/>
    <col min="3" max="3" width="12.28515625" customWidth="1"/>
    <col min="4" max="4" width="43.42578125" customWidth="1"/>
    <col min="5" max="5" width="39.28515625" customWidth="1"/>
    <col min="6" max="6" width="11.85546875" customWidth="1"/>
    <col min="7" max="7" width="17" customWidth="1"/>
    <col min="8" max="8" width="13.140625" customWidth="1"/>
    <col min="9" max="9" width="12" customWidth="1"/>
    <col min="10" max="10" width="13" customWidth="1"/>
    <col min="11" max="11" width="10.5703125" bestFit="1" customWidth="1"/>
  </cols>
  <sheetData>
    <row r="1" spans="1:11" ht="15" customHeight="1" x14ac:dyDescent="0.25">
      <c r="A1" s="28" t="s">
        <v>8</v>
      </c>
      <c r="B1" s="28" t="s">
        <v>0</v>
      </c>
      <c r="C1" s="28" t="s">
        <v>1</v>
      </c>
      <c r="D1" s="28" t="s">
        <v>2</v>
      </c>
      <c r="E1" s="28" t="s">
        <v>33</v>
      </c>
      <c r="F1" s="28" t="s">
        <v>40</v>
      </c>
      <c r="G1" s="29" t="s">
        <v>47</v>
      </c>
      <c r="H1" s="28" t="s">
        <v>15</v>
      </c>
      <c r="I1" s="28" t="s">
        <v>18</v>
      </c>
      <c r="J1" s="28" t="s">
        <v>37</v>
      </c>
    </row>
    <row r="2" spans="1:11" ht="15" customHeight="1" x14ac:dyDescent="0.25">
      <c r="A2" s="28"/>
      <c r="B2" s="28"/>
      <c r="C2" s="28"/>
      <c r="D2" s="28"/>
      <c r="E2" s="28"/>
      <c r="F2" s="28"/>
      <c r="G2" s="29"/>
      <c r="H2" s="28"/>
      <c r="I2" s="28"/>
      <c r="J2" s="28"/>
    </row>
    <row r="3" spans="1:11" ht="29.25" customHeight="1" x14ac:dyDescent="0.25">
      <c r="A3" s="28"/>
      <c r="B3" s="28"/>
      <c r="C3" s="28"/>
      <c r="D3" s="28"/>
      <c r="E3" s="28"/>
      <c r="F3" s="28"/>
      <c r="G3" s="29"/>
      <c r="H3" s="28"/>
      <c r="I3" s="28"/>
      <c r="J3" s="28"/>
    </row>
    <row r="4" spans="1:11" ht="29.25" customHeight="1" x14ac:dyDescent="0.25">
      <c r="A4" s="22"/>
      <c r="B4" s="6" t="s">
        <v>19</v>
      </c>
      <c r="C4" s="7">
        <f>C5+C15+C16+C21+C25+C26</f>
        <v>83165.932499999995</v>
      </c>
      <c r="D4" s="8"/>
      <c r="E4" s="8"/>
      <c r="F4" s="7">
        <f t="shared" ref="F4:J4" si="0">F5+F15+F16+F21+F25+F26</f>
        <v>305418.5912575</v>
      </c>
      <c r="G4" s="7">
        <f>G5+G15+G16+G21+G25+G26</f>
        <v>75827.883860666669</v>
      </c>
      <c r="H4" s="7">
        <f t="shared" si="0"/>
        <v>217817.2787575</v>
      </c>
      <c r="I4" s="7">
        <f t="shared" si="0"/>
        <v>202464.2787575</v>
      </c>
      <c r="J4" s="7">
        <f t="shared" si="0"/>
        <v>202464.2787575</v>
      </c>
    </row>
    <row r="5" spans="1:11" ht="15.75" x14ac:dyDescent="0.25">
      <c r="A5" s="1" t="s">
        <v>7</v>
      </c>
      <c r="B5" s="2" t="s">
        <v>30</v>
      </c>
      <c r="C5" s="9">
        <f>SUM(C6:C14)</f>
        <v>55818.652499999997</v>
      </c>
      <c r="D5" s="10" t="s">
        <v>10</v>
      </c>
      <c r="E5" s="10" t="s">
        <v>10</v>
      </c>
      <c r="F5" s="9">
        <f>SUM(F6:F14)</f>
        <v>159118.21125750002</v>
      </c>
      <c r="G5" s="9">
        <f t="shared" ref="G5:J5" si="1">SUM(G6:G14)</f>
        <v>37025.097194000002</v>
      </c>
      <c r="H5" s="9">
        <f t="shared" si="1"/>
        <v>103299.5587575</v>
      </c>
      <c r="I5" s="9">
        <f t="shared" si="1"/>
        <v>103299.5587575</v>
      </c>
      <c r="J5" s="9">
        <f t="shared" si="1"/>
        <v>103299.5587575</v>
      </c>
    </row>
    <row r="6" spans="1:11" ht="45" x14ac:dyDescent="0.25">
      <c r="A6" s="5"/>
      <c r="B6" s="5"/>
      <c r="C6" s="11">
        <f>((1240*12)+(1240*0.5))*1.2359</f>
        <v>19156.45</v>
      </c>
      <c r="D6" s="4" t="s">
        <v>22</v>
      </c>
      <c r="E6" s="4" t="s">
        <v>46</v>
      </c>
      <c r="F6" s="11">
        <f>((1647*12)+(1647*0.65)+(1647*0.5)+(1647*1.2))*1.2359</f>
        <v>29209.816755</v>
      </c>
      <c r="G6" s="24">
        <f>((407*4)+1070.55+1647*0.8)*1.2359</f>
        <v>4963.5597850000004</v>
      </c>
      <c r="H6" s="11">
        <f>F6-C6</f>
        <v>10053.366754999999</v>
      </c>
      <c r="I6" s="11">
        <f>H6</f>
        <v>10053.366754999999</v>
      </c>
      <c r="J6" s="11">
        <f>I6</f>
        <v>10053.366754999999</v>
      </c>
    </row>
    <row r="7" spans="1:11" ht="45" x14ac:dyDescent="0.25">
      <c r="A7" s="5"/>
      <c r="B7" s="5"/>
      <c r="C7" s="11">
        <f>((1178*12)+(1178*0.5))*1.2359</f>
        <v>18198.627499999999</v>
      </c>
      <c r="D7" s="4" t="s">
        <v>23</v>
      </c>
      <c r="E7" s="4" t="s">
        <v>26</v>
      </c>
      <c r="F7" s="11">
        <f>((1382*12)+(1382*0.65)+(1382*0.5)+(1382*1.2))*1.2359</f>
        <v>24509.998030000002</v>
      </c>
      <c r="G7" s="24">
        <f>((204*4)+898.3+1382*0.8)*1.2359</f>
        <v>3485.1144100000001</v>
      </c>
      <c r="H7" s="11">
        <f>F7-C7</f>
        <v>6311.3705300000038</v>
      </c>
      <c r="I7" s="11">
        <f>H7</f>
        <v>6311.3705300000038</v>
      </c>
      <c r="J7" s="11">
        <f>I7</f>
        <v>6311.3705300000038</v>
      </c>
      <c r="K7" s="21"/>
    </row>
    <row r="8" spans="1:11" ht="45" x14ac:dyDescent="0.25">
      <c r="A8" s="5"/>
      <c r="B8" s="5"/>
      <c r="C8" s="11">
        <f>((950*12)+(950*0.5))*1.2359</f>
        <v>14676.3125</v>
      </c>
      <c r="D8" s="4" t="s">
        <v>25</v>
      </c>
      <c r="E8" s="4" t="s">
        <v>27</v>
      </c>
      <c r="F8" s="11">
        <f>((1287*12)+(1287*0.65)+(1287+0.5)+(1287*1.2))*1.2359</f>
        <v>23621.076955</v>
      </c>
      <c r="G8" s="24">
        <f>((337*4)+836.55+1287*0.8)*1.2359</f>
        <v>3972.3679850000008</v>
      </c>
      <c r="H8" s="11">
        <f>F8-C8</f>
        <v>8944.7644550000005</v>
      </c>
      <c r="I8" s="11">
        <f>F8-C8</f>
        <v>8944.7644550000005</v>
      </c>
      <c r="J8" s="11">
        <f>I8</f>
        <v>8944.7644550000005</v>
      </c>
    </row>
    <row r="9" spans="1:11" ht="60" x14ac:dyDescent="0.25">
      <c r="A9" s="5"/>
      <c r="B9" s="5"/>
      <c r="C9" s="11">
        <f>((190*12)+(190*0.5))*1.2359</f>
        <v>2935.2624999999998</v>
      </c>
      <c r="D9" s="4" t="s">
        <v>24</v>
      </c>
      <c r="E9" s="4" t="s">
        <v>28</v>
      </c>
      <c r="F9" s="11">
        <f>((643.5*12)+(643.5*0.65)+(643.5+0.5)+(643.5*1.2))*1.2359</f>
        <v>11810.8474525</v>
      </c>
      <c r="G9" s="24">
        <f>((453.5*4)+418.26+643.5*0.8)*1.2359</f>
        <v>3395.0914540000003</v>
      </c>
      <c r="H9" s="11">
        <f>F9-C9</f>
        <v>8875.5849525000012</v>
      </c>
      <c r="I9" s="11">
        <f>H9</f>
        <v>8875.5849525000012</v>
      </c>
      <c r="J9" s="11">
        <f>I9</f>
        <v>8875.5849525000012</v>
      </c>
    </row>
    <row r="10" spans="1:11" x14ac:dyDescent="0.25">
      <c r="A10" s="5"/>
      <c r="B10" s="5"/>
      <c r="C10" s="5">
        <f>213*4</f>
        <v>852</v>
      </c>
      <c r="D10" s="4" t="s">
        <v>9</v>
      </c>
      <c r="E10" s="4" t="s">
        <v>9</v>
      </c>
      <c r="F10" s="11">
        <v>852</v>
      </c>
      <c r="G10" s="24">
        <v>0</v>
      </c>
      <c r="H10" s="5">
        <v>0</v>
      </c>
      <c r="I10" s="5">
        <v>0</v>
      </c>
      <c r="J10" s="11">
        <v>0</v>
      </c>
    </row>
    <row r="11" spans="1:11" x14ac:dyDescent="0.25">
      <c r="A11" s="5"/>
      <c r="B11" s="5"/>
      <c r="C11" s="5"/>
      <c r="D11" s="5"/>
      <c r="E11" s="12" t="s">
        <v>11</v>
      </c>
      <c r="F11" s="5"/>
      <c r="G11" s="25"/>
      <c r="H11" s="5"/>
      <c r="I11" s="5"/>
      <c r="J11" s="5"/>
    </row>
    <row r="12" spans="1:11" ht="75" x14ac:dyDescent="0.25">
      <c r="A12" s="5"/>
      <c r="B12" s="5"/>
      <c r="C12" s="5"/>
      <c r="D12" s="5"/>
      <c r="E12" s="4" t="s">
        <v>42</v>
      </c>
      <c r="F12" s="11">
        <f>((1287*12)+(1287*0.65)+(1287*0.5)+(1287*1.2))*1.2359</f>
        <v>22825.157354999999</v>
      </c>
      <c r="G12" s="24">
        <f>((1287*4+1287*0.4)*1.2359)</f>
        <v>6998.65452</v>
      </c>
      <c r="H12" s="11">
        <f>F12</f>
        <v>22825.157354999999</v>
      </c>
      <c r="I12" s="11">
        <f t="shared" ref="I12:J15" si="2">H12</f>
        <v>22825.157354999999</v>
      </c>
      <c r="J12" s="11">
        <f t="shared" si="2"/>
        <v>22825.157354999999</v>
      </c>
    </row>
    <row r="13" spans="1:11" ht="75" x14ac:dyDescent="0.25">
      <c r="A13" s="5"/>
      <c r="B13" s="5"/>
      <c r="C13" s="5"/>
      <c r="D13" s="5"/>
      <c r="E13" s="23" t="s">
        <v>43</v>
      </c>
      <c r="F13" s="11">
        <f>F12*2</f>
        <v>45650.314709999999</v>
      </c>
      <c r="G13" s="24">
        <f>G12*2</f>
        <v>13997.30904</v>
      </c>
      <c r="H13" s="11">
        <f>F13</f>
        <v>45650.314709999999</v>
      </c>
      <c r="I13" s="11">
        <f t="shared" si="2"/>
        <v>45650.314709999999</v>
      </c>
      <c r="J13" s="11">
        <f t="shared" si="2"/>
        <v>45650.314709999999</v>
      </c>
    </row>
    <row r="14" spans="1:11" x14ac:dyDescent="0.25">
      <c r="A14" s="5"/>
      <c r="B14" s="5"/>
      <c r="C14" s="5"/>
      <c r="D14" s="5"/>
      <c r="E14" s="4" t="s">
        <v>39</v>
      </c>
      <c r="F14" s="5">
        <f>3*213</f>
        <v>639</v>
      </c>
      <c r="G14" s="25">
        <f>3*213/12*4</f>
        <v>213</v>
      </c>
      <c r="H14" s="5">
        <f>F14</f>
        <v>639</v>
      </c>
      <c r="I14" s="5">
        <f t="shared" si="2"/>
        <v>639</v>
      </c>
      <c r="J14" s="5">
        <f t="shared" si="2"/>
        <v>639</v>
      </c>
    </row>
    <row r="15" spans="1:11" ht="75" x14ac:dyDescent="0.25">
      <c r="A15" s="13" t="s">
        <v>3</v>
      </c>
      <c r="B15" s="14" t="s">
        <v>4</v>
      </c>
      <c r="C15" s="15">
        <v>11525</v>
      </c>
      <c r="D15" s="16" t="s">
        <v>41</v>
      </c>
      <c r="E15" s="16" t="s">
        <v>38</v>
      </c>
      <c r="F15" s="15">
        <f>((25*6)+(25*6)+(25*6)+(35*6))*110</f>
        <v>72600</v>
      </c>
      <c r="G15" s="26">
        <f>(F15/3)-(C15/2)</f>
        <v>18437.5</v>
      </c>
      <c r="H15" s="15">
        <f>F15-C15</f>
        <v>61075</v>
      </c>
      <c r="I15" s="17">
        <f t="shared" si="2"/>
        <v>61075</v>
      </c>
      <c r="J15" s="17">
        <f t="shared" si="2"/>
        <v>61075</v>
      </c>
    </row>
    <row r="16" spans="1:11" ht="15.75" x14ac:dyDescent="0.25">
      <c r="A16" s="1" t="s">
        <v>5</v>
      </c>
      <c r="B16" s="2" t="s">
        <v>14</v>
      </c>
      <c r="C16" s="3">
        <f>SUM(C17:C18)</f>
        <v>12462.28</v>
      </c>
      <c r="D16" s="4"/>
      <c r="E16" s="4"/>
      <c r="F16" s="3">
        <f>SUM(F17:F19)</f>
        <v>45912</v>
      </c>
      <c r="G16" s="3">
        <f t="shared" ref="G16" si="3">SUM(G17:G19)</f>
        <v>12049.906666666666</v>
      </c>
      <c r="H16" s="3">
        <f>SUM(H17:H19)</f>
        <v>30449.72</v>
      </c>
      <c r="I16" s="3">
        <f>SUM(I17:I19)</f>
        <v>24449.72</v>
      </c>
      <c r="J16" s="3">
        <f>SUM(J17:J19)</f>
        <v>24449.72</v>
      </c>
    </row>
    <row r="17" spans="1:10" ht="45" x14ac:dyDescent="0.25">
      <c r="A17" s="5"/>
      <c r="B17" s="5"/>
      <c r="C17" s="5">
        <f>9023.28+3439</f>
        <v>12462.28</v>
      </c>
      <c r="D17" s="4" t="s">
        <v>13</v>
      </c>
      <c r="E17" s="4" t="s">
        <v>34</v>
      </c>
      <c r="F17" s="5">
        <f>230*10*12+ 7200</f>
        <v>34800</v>
      </c>
      <c r="G17" s="24">
        <f>(F17-C17)/3+900</f>
        <v>8345.9066666666658</v>
      </c>
      <c r="H17" s="5">
        <f>F17-C17</f>
        <v>22337.72</v>
      </c>
      <c r="I17" s="5">
        <f>H17</f>
        <v>22337.72</v>
      </c>
      <c r="J17" s="5">
        <f>I17</f>
        <v>22337.72</v>
      </c>
    </row>
    <row r="18" spans="1:10" ht="37.5" customHeight="1" x14ac:dyDescent="0.25">
      <c r="A18" s="5"/>
      <c r="B18" s="5"/>
      <c r="C18" s="5">
        <v>0</v>
      </c>
      <c r="D18" s="4"/>
      <c r="E18" s="4" t="s">
        <v>29</v>
      </c>
      <c r="F18" s="5">
        <f>3*3000</f>
        <v>9000</v>
      </c>
      <c r="G18" s="5">
        <v>3000</v>
      </c>
      <c r="H18" s="5">
        <v>6000</v>
      </c>
      <c r="I18" s="5">
        <v>0</v>
      </c>
      <c r="J18" s="5">
        <v>0</v>
      </c>
    </row>
    <row r="19" spans="1:10" ht="68.25" customHeight="1" x14ac:dyDescent="0.25">
      <c r="A19" s="5"/>
      <c r="B19" s="5"/>
      <c r="C19" s="5">
        <v>0</v>
      </c>
      <c r="D19" s="4"/>
      <c r="E19" s="4" t="s">
        <v>21</v>
      </c>
      <c r="F19" s="5">
        <f>(22*8)*12</f>
        <v>2112</v>
      </c>
      <c r="G19" s="25">
        <f>F19/3</f>
        <v>704</v>
      </c>
      <c r="H19" s="5">
        <f>F19</f>
        <v>2112</v>
      </c>
      <c r="I19" s="5">
        <f>H19</f>
        <v>2112</v>
      </c>
      <c r="J19" s="5">
        <f>I19</f>
        <v>2112</v>
      </c>
    </row>
    <row r="20" spans="1:10" ht="30" x14ac:dyDescent="0.25">
      <c r="A20" s="5"/>
      <c r="B20" s="5"/>
      <c r="C20" s="5">
        <v>931</v>
      </c>
      <c r="D20" s="4" t="s">
        <v>31</v>
      </c>
      <c r="E20" s="4" t="s">
        <v>31</v>
      </c>
      <c r="F20" s="5">
        <v>1500</v>
      </c>
      <c r="G20" s="24">
        <f>(F20-C20)/3</f>
        <v>189.66666666666666</v>
      </c>
      <c r="H20" s="5">
        <f>F20-C20</f>
        <v>569</v>
      </c>
      <c r="I20" s="5">
        <f>H20</f>
        <v>569</v>
      </c>
      <c r="J20" s="5">
        <f>I20</f>
        <v>569</v>
      </c>
    </row>
    <row r="21" spans="1:10" ht="49.5" customHeight="1" x14ac:dyDescent="0.25">
      <c r="A21" s="13" t="s">
        <v>6</v>
      </c>
      <c r="B21" s="14" t="s">
        <v>20</v>
      </c>
      <c r="C21" s="18">
        <v>0</v>
      </c>
      <c r="D21" s="16"/>
      <c r="E21" s="18"/>
      <c r="F21" s="15">
        <f>SUM(F22:F24)</f>
        <v>10788.380000000001</v>
      </c>
      <c r="G21" s="15">
        <f t="shared" ref="G21:J21" si="4">SUM(G22:G24)</f>
        <v>4435.38</v>
      </c>
      <c r="H21" s="15">
        <f t="shared" si="4"/>
        <v>6353</v>
      </c>
      <c r="I21" s="15">
        <f t="shared" si="4"/>
        <v>0</v>
      </c>
      <c r="J21" s="15">
        <f t="shared" si="4"/>
        <v>0</v>
      </c>
    </row>
    <row r="22" spans="1:10" ht="90" x14ac:dyDescent="0.25">
      <c r="A22" s="18"/>
      <c r="B22" s="14"/>
      <c r="C22" s="18"/>
      <c r="D22" s="16"/>
      <c r="E22" s="20" t="s">
        <v>48</v>
      </c>
      <c r="F22" s="19">
        <v>1624.88</v>
      </c>
      <c r="G22" s="19">
        <f>F22</f>
        <v>1624.88</v>
      </c>
      <c r="H22" s="19">
        <v>0</v>
      </c>
      <c r="I22" s="19">
        <v>0</v>
      </c>
      <c r="J22" s="19">
        <v>0</v>
      </c>
    </row>
    <row r="23" spans="1:10" ht="111.75" customHeight="1" x14ac:dyDescent="0.25">
      <c r="A23" s="18"/>
      <c r="B23" s="14"/>
      <c r="C23" s="18"/>
      <c r="D23" s="16"/>
      <c r="E23" s="16" t="s">
        <v>36</v>
      </c>
      <c r="F23" s="19">
        <v>8353</v>
      </c>
      <c r="G23" s="19">
        <v>2000</v>
      </c>
      <c r="H23" s="19">
        <v>6353</v>
      </c>
      <c r="I23" s="19">
        <v>0</v>
      </c>
      <c r="J23" s="19">
        <v>0</v>
      </c>
    </row>
    <row r="24" spans="1:10" ht="60" x14ac:dyDescent="0.25">
      <c r="A24" s="18"/>
      <c r="B24" s="18"/>
      <c r="C24" s="18"/>
      <c r="D24" s="16"/>
      <c r="E24" s="16" t="s">
        <v>35</v>
      </c>
      <c r="F24" s="19">
        <v>810.5</v>
      </c>
      <c r="G24" s="19">
        <f>F24</f>
        <v>810.5</v>
      </c>
      <c r="H24" s="19">
        <v>0</v>
      </c>
      <c r="I24" s="18">
        <v>0</v>
      </c>
      <c r="J24" s="19">
        <v>0</v>
      </c>
    </row>
    <row r="25" spans="1:10" ht="65.25" customHeight="1" x14ac:dyDescent="0.25">
      <c r="A25" s="1" t="s">
        <v>17</v>
      </c>
      <c r="B25" s="2" t="s">
        <v>44</v>
      </c>
      <c r="C25" s="3">
        <v>3360</v>
      </c>
      <c r="D25" s="4" t="s">
        <v>45</v>
      </c>
      <c r="E25" s="4" t="s">
        <v>32</v>
      </c>
      <c r="F25" s="3">
        <v>6000</v>
      </c>
      <c r="G25" s="27">
        <f>(F25-C25)/3</f>
        <v>880</v>
      </c>
      <c r="H25" s="3">
        <f>F25-C25</f>
        <v>2640</v>
      </c>
      <c r="I25" s="3">
        <f>H25</f>
        <v>2640</v>
      </c>
      <c r="J25" s="3">
        <f>I25</f>
        <v>2640</v>
      </c>
    </row>
    <row r="26" spans="1:10" ht="15.75" x14ac:dyDescent="0.25">
      <c r="A26" s="13" t="s">
        <v>12</v>
      </c>
      <c r="B26" s="14" t="s">
        <v>16</v>
      </c>
      <c r="C26" s="18">
        <v>0</v>
      </c>
      <c r="D26" s="18"/>
      <c r="E26" s="18"/>
      <c r="F26" s="15">
        <f>SUM(F27:F28)</f>
        <v>11000</v>
      </c>
      <c r="G26" s="15">
        <f>SUM(G27:G28)</f>
        <v>3000</v>
      </c>
      <c r="H26" s="15">
        <f>SUM(H27:H28)</f>
        <v>14000</v>
      </c>
      <c r="I26" s="15">
        <f>SUM(I27:I28)</f>
        <v>11000</v>
      </c>
      <c r="J26" s="15">
        <f>SUM(J27:J28)</f>
        <v>11000</v>
      </c>
    </row>
    <row r="27" spans="1:10" ht="45" x14ac:dyDescent="0.25">
      <c r="A27" s="18"/>
      <c r="B27" s="18"/>
      <c r="C27" s="18"/>
      <c r="D27" s="18"/>
      <c r="E27" s="16" t="s">
        <v>49</v>
      </c>
      <c r="F27" s="18">
        <v>10000</v>
      </c>
      <c r="G27" s="18">
        <v>3000</v>
      </c>
      <c r="H27" s="18">
        <v>12000</v>
      </c>
      <c r="I27" s="18">
        <v>10000</v>
      </c>
      <c r="J27" s="19">
        <v>10000</v>
      </c>
    </row>
    <row r="28" spans="1:10" x14ac:dyDescent="0.25">
      <c r="A28" s="18"/>
      <c r="B28" s="18"/>
      <c r="C28" s="18"/>
      <c r="D28" s="18"/>
      <c r="E28" s="16" t="s">
        <v>50</v>
      </c>
      <c r="F28" s="18">
        <v>1000</v>
      </c>
      <c r="G28" s="18">
        <v>0</v>
      </c>
      <c r="H28" s="18">
        <v>2000</v>
      </c>
      <c r="I28" s="18">
        <v>1000</v>
      </c>
      <c r="J28" s="19">
        <v>1000</v>
      </c>
    </row>
  </sheetData>
  <mergeCells count="10">
    <mergeCell ref="J1:J3"/>
    <mergeCell ref="H1:H3"/>
    <mergeCell ref="I1:I3"/>
    <mergeCell ref="G1:G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Aprēķins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2021-08-25T11:36:08Z</dcterms:modified>
</cp:coreProperties>
</file>