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236" windowWidth="17685" windowHeight="12795" activeTab="0"/>
  </bookViews>
  <sheets>
    <sheet name="Tabula Nr.1., LVL" sheetId="1" r:id="rId1"/>
    <sheet name="Tabula Nr.1., EUR" sheetId="2" state="hidden" r:id="rId2"/>
  </sheets>
  <definedNames>
    <definedName name="_xlnm.Print_Area" localSheetId="0">'Tabula Nr.1., LVL'!$A$1:$V$39</definedName>
  </definedNames>
  <calcPr fullCalcOnLoad="1"/>
</workbook>
</file>

<file path=xl/sharedStrings.xml><?xml version="1.0" encoding="utf-8"?>
<sst xmlns="http://schemas.openxmlformats.org/spreadsheetml/2006/main" count="156" uniqueCount="85">
  <si>
    <t>Prioritāte</t>
  </si>
  <si>
    <t>Noslēgti līgumi (publiskais fin.); % no prioritātē pieejamā publiskā fin.</t>
  </si>
  <si>
    <t>Izmaksāts finansējuma saņēmējam (publiskais fin.); LVL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</si>
  <si>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</si>
  <si>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</si>
  <si>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</si>
  <si>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</si>
  <si>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</si>
  <si>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</si>
  <si>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</si>
  <si>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</si>
  <si>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</si>
  <si>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</si>
  <si>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</si>
  <si>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</si>
  <si>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</si>
  <si>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</si>
  <si>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</si>
  <si>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</si>
  <si>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</si>
  <si>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</si>
  <si>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</si>
  <si>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</si>
  <si>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</si>
  <si>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</si>
  <si>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</si>
  <si>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</si>
  <si>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</si>
  <si>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</si>
  <si>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</si>
  <si>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</si>
  <si>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</si>
  <si>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</si>
  <si>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</si>
  <si>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</si>
  <si>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</si>
  <si>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</si>
  <si>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</si>
  <si>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</si>
  <si>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</si>
  <si>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</si>
  <si>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</si>
  <si>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</si>
  <si>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</si>
  <si>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Cilvēkresursi un nodarbinātība</t>
  </si>
  <si>
    <t>1.3.</t>
  </si>
  <si>
    <t>Prioritātē pieejamais publiskais attiecināmais finansējums; LVL</t>
  </si>
  <si>
    <t>Finanšu pieejamība</t>
  </si>
  <si>
    <t>Kopā prioritātē pieejamais publiskais attiecināmais finansējums, ieskaitot piešķrtās virssaistības; LVL</t>
  </si>
  <si>
    <t xml:space="preserve">Apstiprinātie projekti (publiskais fin.); </t>
  </si>
  <si>
    <t>LVL</t>
  </si>
  <si>
    <t>Skaits</t>
  </si>
  <si>
    <t xml:space="preserve">Noslēgti līgumi (publiskais fin.); </t>
  </si>
  <si>
    <t>9=8/3</t>
  </si>
  <si>
    <t>Piešķirto virssaistību summa, (publiskais finansējums) atbilstoši apst. MK p/l **, LVL</t>
  </si>
  <si>
    <t>13=12/3</t>
  </si>
  <si>
    <t>16=15/3</t>
  </si>
  <si>
    <t>Izmaksāts  finansējuma saņēmējam (nedekla-rējamie avansa maks.), LVL</t>
  </si>
  <si>
    <t>Izmaksāts  finansējuma saņēmējam (deklarē-jamie avansa maks.), LVL</t>
  </si>
  <si>
    <t>67083964; Arturs.Sluburs@fm.gov.lv</t>
  </si>
  <si>
    <t>A.Šluburs</t>
  </si>
  <si>
    <t>** 2013.gada 30.jūlija MK sēdes protokols Nr.41 64. §</t>
  </si>
  <si>
    <t>2007.-2013.gada plānošanas perioda ES fondu finanšu investīcijas prioritāšu līmenī līdz 2013.gada 31.decembrim</t>
  </si>
  <si>
    <t>Informācija pēc vadības informācijas sistēmas datiem  (pārskati veidoti 09.01.2014.)</t>
  </si>
  <si>
    <t>1.pielikums
Informatīvajam ziņojumam par Eiropas Savienības struktūrfondu un Kohēzijas fonda, Eiropas Ekonomikas zonas finanšu instrumenta, Norvēģijas finanšu instrumenta un Latvijas–Šveices sadarbības programmas apguvi līdz 2013.gada 31.decembrim</t>
  </si>
  <si>
    <t>Apstiprinātie projekti (publiskais fin.); % no prioritātē pieejamā publiskā fin. uz 30.09.2013.</t>
  </si>
  <si>
    <t>Progress apstipri-nātajiem projektiem pret datiem uz 30.09.2013.; % no prioritātē pieejamā publiskā fin.</t>
  </si>
  <si>
    <t>Progress noslēgtajiem līgumiem pret datiem uz 30.09.2013.; % no prioritātē pieejamā publiskā fin.</t>
  </si>
  <si>
    <t>Noslēgti līgumi (publiskais fin.) uz 30.09.2013; % no prioritātē pieejamā publiskā fin.</t>
  </si>
  <si>
    <t>Izmaksāts finansējuma saņēmējam (publiskais fin.) uz 30.09.2013; % no prioritātē pieejamā publiskā fin.</t>
  </si>
  <si>
    <t>Progress veiktajiem maksājumiem pret datiem uz 30.09.2013.; % no prioritātē pieejamā publiskā fin.</t>
  </si>
  <si>
    <t>09.01.2014.</t>
  </si>
  <si>
    <t>Finanšu ministrs</t>
  </si>
  <si>
    <t>A.Vilks</t>
  </si>
  <si>
    <t>Prioritātē pieejamais publiskais attiecināmais finansējums; EUR</t>
  </si>
  <si>
    <t>Prioritātē piešķirtais budžets 2007. - 2013.gadā EUR</t>
  </si>
  <si>
    <t>Piešķirto virssaistību summa, (publiskais finansējums) atbilstoši apst. MK p/l **, EUR</t>
  </si>
  <si>
    <t>Kopā prioritātē pieejamais publiskais attiecināmais finansējums, ieskaitot piešķrtās virssaistības; EUR</t>
  </si>
  <si>
    <t>EUR</t>
  </si>
  <si>
    <t>Izmaksāts finansējuma saņēmējam (publiskais fin.); EUR</t>
  </si>
  <si>
    <t>Izmaksāts  finansējuma saņēmējam (nedekla-rējamie avansa maks.), EUR</t>
  </si>
  <si>
    <t>Izmaksāts  finansējuma saņēmējam (deklarē-jamie avansa maks.), EUR</t>
  </si>
  <si>
    <t>Prioritātē piešķirtais budžets 2007. - 2013.gadā LVL*</t>
  </si>
  <si>
    <t>* 2007.-2013.gada valsts budžeta izpilde, atņemot 62,8 milj. LVL atgūto finansējumu  2.2.1.3. un 3.3.2.1.aktivitātēs</t>
  </si>
  <si>
    <t>28.02.2014.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</si>
</sst>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[$-10426]#,##0;\-#,##0"/>
    <numFmt numFmtId="175" formatCode="#,##0.000"/>
    <numFmt numFmtId="176" formatCode="#,##0.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sz val="24"/>
      <color rgb="FF000000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Border="1" applyAlignment="1">
      <alignment horizontal="left" wrapText="1"/>
    </xf>
    <xf numFmtId="0" fontId="57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9" fontId="7" fillId="0" borderId="0" xfId="61" applyFont="1" applyFill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73" fontId="2" fillId="10" borderId="10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0" fillId="0" borderId="11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2" fillId="0" borderId="0" xfId="0" applyFont="1" applyAlignment="1">
      <alignment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173" fontId="0" fillId="0" borderId="0" xfId="0" applyNumberFormat="1" applyAlignment="1">
      <alignment/>
    </xf>
    <xf numFmtId="0" fontId="64" fillId="0" borderId="0" xfId="0" applyFont="1" applyAlignment="1">
      <alignment wrapText="1"/>
    </xf>
    <xf numFmtId="173" fontId="2" fillId="0" borderId="10" xfId="42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173" fontId="6" fillId="16" borderId="10" xfId="42" applyNumberFormat="1" applyFont="1" applyFill="1" applyBorder="1" applyAlignment="1" applyProtection="1">
      <alignment horizontal="center" vertical="center" wrapText="1"/>
      <protection/>
    </xf>
    <xf numFmtId="165" fontId="6" fillId="16" borderId="10" xfId="61" applyNumberFormat="1" applyFont="1" applyFill="1" applyBorder="1" applyAlignment="1" applyProtection="1">
      <alignment horizontal="center" vertical="center" wrapText="1"/>
      <protection/>
    </xf>
    <xf numFmtId="173" fontId="2" fillId="10" borderId="10" xfId="42" applyNumberFormat="1" applyFont="1" applyFill="1" applyBorder="1" applyAlignment="1" applyProtection="1">
      <alignment horizontal="center" vertical="center" wrapText="1"/>
      <protection/>
    </xf>
    <xf numFmtId="165" fontId="2" fillId="10" borderId="10" xfId="61" applyNumberFormat="1" applyFont="1" applyFill="1" applyBorder="1" applyAlignment="1" applyProtection="1">
      <alignment horizontal="center" vertical="center" wrapText="1"/>
      <protection/>
    </xf>
    <xf numFmtId="165" fontId="2" fillId="0" borderId="10" xfId="61" applyNumberFormat="1" applyFont="1" applyFill="1" applyBorder="1" applyAlignment="1" applyProtection="1">
      <alignment horizontal="center" vertical="center"/>
      <protection/>
    </xf>
    <xf numFmtId="165" fontId="2" fillId="0" borderId="10" xfId="61" applyNumberFormat="1" applyFont="1" applyFill="1" applyBorder="1" applyAlignment="1" applyProtection="1">
      <alignment horizontal="center" vertical="center" wrapText="1"/>
      <protection/>
    </xf>
    <xf numFmtId="173" fontId="2" fillId="0" borderId="10" xfId="42" applyNumberFormat="1" applyFont="1" applyFill="1" applyBorder="1" applyAlignment="1" applyProtection="1">
      <alignment horizontal="center" vertical="center" wrapText="1"/>
      <protection/>
    </xf>
    <xf numFmtId="165" fontId="2" fillId="10" borderId="10" xfId="61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>
      <alignment horizontal="center"/>
    </xf>
    <xf numFmtId="173" fontId="58" fillId="0" borderId="0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1"/>
  <sheetViews>
    <sheetView showGridLines="0" tabSelected="1" view="pageLayout" zoomScale="70" zoomScaleNormal="80" zoomScaleSheetLayoutView="80" zoomScalePageLayoutView="70" workbookViewId="0" topLeftCell="A14">
      <selection activeCell="A38" sqref="A38"/>
    </sheetView>
  </sheetViews>
  <sheetFormatPr defaultColWidth="9.00390625" defaultRowHeight="15.75"/>
  <cols>
    <col min="1" max="1" width="5.125" style="1" customWidth="1"/>
    <col min="2" max="2" width="33.625" style="12" customWidth="1"/>
    <col min="3" max="3" width="16.50390625" style="1" customWidth="1"/>
    <col min="4" max="4" width="14.625" style="1" customWidth="1"/>
    <col min="5" max="5" width="15.75390625" style="1" customWidth="1"/>
    <col min="6" max="6" width="16.625" style="1" customWidth="1"/>
    <col min="7" max="7" width="9.375" style="1" customWidth="1"/>
    <col min="8" max="8" width="14.00390625" style="1" customWidth="1"/>
    <col min="9" max="9" width="15.375" style="1" customWidth="1"/>
    <col min="10" max="10" width="16.375" style="1" hidden="1" customWidth="1"/>
    <col min="11" max="11" width="13.375" style="1" customWidth="1"/>
    <col min="12" max="12" width="7.625" style="1" customWidth="1"/>
    <col min="13" max="13" width="14.375" style="31" customWidth="1"/>
    <col min="14" max="14" width="11.75390625" style="31" customWidth="1"/>
    <col min="15" max="15" width="11.875" style="31" hidden="1" customWidth="1"/>
    <col min="16" max="16" width="13.50390625" style="1" customWidth="1"/>
    <col min="17" max="17" width="14.50390625" style="1" customWidth="1"/>
    <col min="18" max="18" width="14.00390625" style="1" customWidth="1"/>
    <col min="19" max="19" width="11.875" style="1" hidden="1" customWidth="1"/>
    <col min="20" max="20" width="13.25390625" style="1" customWidth="1"/>
    <col min="21" max="21" width="13.625" style="31" customWidth="1"/>
    <col min="22" max="22" width="14.00390625" style="1" customWidth="1"/>
    <col min="23" max="23" width="9.00390625" style="18" customWidth="1"/>
    <col min="24" max="25" width="8.875" style="18" customWidth="1"/>
    <col min="26" max="165" width="9.00390625" style="18" customWidth="1"/>
    <col min="166" max="16384" width="9.00390625" style="1" customWidth="1"/>
  </cols>
  <sheetData>
    <row r="1" spans="1:22" s="18" customFormat="1" ht="95.25" customHeight="1">
      <c r="A1" s="33"/>
      <c r="B1" s="34"/>
      <c r="I1" s="35"/>
      <c r="M1" s="4"/>
      <c r="N1" s="4"/>
      <c r="O1" s="4"/>
      <c r="P1" s="77" t="s">
        <v>64</v>
      </c>
      <c r="Q1" s="77"/>
      <c r="R1" s="77"/>
      <c r="S1" s="77"/>
      <c r="T1" s="77"/>
      <c r="U1" s="77"/>
      <c r="V1" s="77"/>
    </row>
    <row r="2" spans="1:22" s="10" customFormat="1" ht="15.75" customHeight="1">
      <c r="A2" s="36"/>
      <c r="B2" s="3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33.75" customHeight="1">
      <c r="A3" s="78" t="s">
        <v>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10" customFormat="1" ht="26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48.75" customHeight="1">
      <c r="A5" s="23"/>
      <c r="B5" s="23"/>
      <c r="C5" s="23"/>
      <c r="D5"/>
      <c r="E5" s="23"/>
      <c r="F5" s="4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</row>
    <row r="6" spans="1:165" s="2" customFormat="1" ht="84" customHeight="1">
      <c r="A6" s="73" t="s">
        <v>0</v>
      </c>
      <c r="B6" s="73"/>
      <c r="C6" s="69" t="s">
        <v>46</v>
      </c>
      <c r="D6" s="69" t="s">
        <v>82</v>
      </c>
      <c r="E6" s="70" t="s">
        <v>54</v>
      </c>
      <c r="F6" s="70" t="s">
        <v>48</v>
      </c>
      <c r="G6" s="69" t="s">
        <v>49</v>
      </c>
      <c r="H6" s="69"/>
      <c r="I6" s="69" t="s">
        <v>37</v>
      </c>
      <c r="J6" s="69" t="s">
        <v>65</v>
      </c>
      <c r="K6" s="69" t="s">
        <v>66</v>
      </c>
      <c r="L6" s="80" t="s">
        <v>52</v>
      </c>
      <c r="M6" s="81"/>
      <c r="N6" s="69" t="s">
        <v>1</v>
      </c>
      <c r="O6" s="69" t="s">
        <v>68</v>
      </c>
      <c r="P6" s="69" t="s">
        <v>67</v>
      </c>
      <c r="Q6" s="69" t="s">
        <v>2</v>
      </c>
      <c r="R6" s="69" t="s">
        <v>3</v>
      </c>
      <c r="S6" s="69" t="s">
        <v>69</v>
      </c>
      <c r="T6" s="69" t="s">
        <v>70</v>
      </c>
      <c r="U6" s="69" t="s">
        <v>57</v>
      </c>
      <c r="V6" s="70" t="s">
        <v>58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s="2" customFormat="1" ht="15.75" customHeight="1">
      <c r="A7" s="73"/>
      <c r="B7" s="73"/>
      <c r="C7" s="69"/>
      <c r="D7" s="69"/>
      <c r="E7" s="71"/>
      <c r="F7" s="74"/>
      <c r="G7" s="69"/>
      <c r="H7" s="69"/>
      <c r="I7" s="69"/>
      <c r="J7" s="69"/>
      <c r="K7" s="69"/>
      <c r="L7" s="82"/>
      <c r="M7" s="83"/>
      <c r="N7" s="69"/>
      <c r="O7" s="69"/>
      <c r="P7" s="69"/>
      <c r="Q7" s="69"/>
      <c r="R7" s="69"/>
      <c r="S7" s="69"/>
      <c r="T7" s="69"/>
      <c r="U7" s="69"/>
      <c r="V7" s="74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2" customFormat="1" ht="111.75" customHeight="1">
      <c r="A8" s="73"/>
      <c r="B8" s="73"/>
      <c r="C8" s="69"/>
      <c r="D8" s="69"/>
      <c r="E8" s="72"/>
      <c r="F8" s="75"/>
      <c r="G8" s="53" t="s">
        <v>51</v>
      </c>
      <c r="H8" s="53" t="s">
        <v>50</v>
      </c>
      <c r="I8" s="69"/>
      <c r="J8" s="69"/>
      <c r="K8" s="69"/>
      <c r="L8" s="53" t="s">
        <v>51</v>
      </c>
      <c r="M8" s="53" t="s">
        <v>50</v>
      </c>
      <c r="N8" s="69"/>
      <c r="O8" s="69"/>
      <c r="P8" s="69"/>
      <c r="Q8" s="69"/>
      <c r="R8" s="69"/>
      <c r="S8" s="69"/>
      <c r="T8" s="69"/>
      <c r="U8" s="69"/>
      <c r="V8" s="75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pans="1:165" s="2" customFormat="1" ht="18.7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 t="s">
        <v>53</v>
      </c>
      <c r="J9" s="55"/>
      <c r="K9" s="54">
        <v>10</v>
      </c>
      <c r="L9" s="54">
        <v>11</v>
      </c>
      <c r="M9" s="54">
        <v>12</v>
      </c>
      <c r="N9" s="54" t="s">
        <v>55</v>
      </c>
      <c r="O9" s="54"/>
      <c r="P9" s="54">
        <v>14</v>
      </c>
      <c r="Q9" s="54">
        <v>15</v>
      </c>
      <c r="R9" s="54" t="s">
        <v>56</v>
      </c>
      <c r="S9" s="54"/>
      <c r="T9" s="54">
        <v>17</v>
      </c>
      <c r="U9" s="54">
        <v>18</v>
      </c>
      <c r="V9" s="54">
        <v>19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8" customFormat="1" ht="15.75">
      <c r="A10" s="84" t="s">
        <v>43</v>
      </c>
      <c r="B10" s="84"/>
      <c r="C10" s="56">
        <f>C11+C18+C23</f>
        <v>3484351330.2129927</v>
      </c>
      <c r="D10" s="56">
        <f>D11+D18+D23</f>
        <v>2500512517.360544</v>
      </c>
      <c r="E10" s="56">
        <f>E11+E18+E23</f>
        <v>284321063</v>
      </c>
      <c r="F10" s="56">
        <f>C10+E10</f>
        <v>3768672393.2129927</v>
      </c>
      <c r="G10" s="56">
        <f>G11+G18+G23</f>
        <v>6569</v>
      </c>
      <c r="H10" s="56">
        <f>H11+H18+H23</f>
        <v>3578391278.3</v>
      </c>
      <c r="I10" s="57">
        <f aca="true" t="shared" si="0" ref="I10:I31">H10/C10</f>
        <v>1.0269892267382976</v>
      </c>
      <c r="J10" s="57">
        <v>0.9690948569487736</v>
      </c>
      <c r="K10" s="57">
        <f>I10-J10</f>
        <v>0.057894369789524</v>
      </c>
      <c r="L10" s="56">
        <f>L11+L18+L23</f>
        <v>6430</v>
      </c>
      <c r="M10" s="56">
        <f>M11+M18+M23</f>
        <v>3424026339.79</v>
      </c>
      <c r="N10" s="57">
        <f aca="true" t="shared" si="1" ref="N10:N31">M10/C10</f>
        <v>0.9826868806541087</v>
      </c>
      <c r="O10" s="57">
        <v>0.9623976136621365</v>
      </c>
      <c r="P10" s="57">
        <f>N10-O10</f>
        <v>0.0202892669919722</v>
      </c>
      <c r="Q10" s="56">
        <f>Q11+Q18+Q23</f>
        <v>2478583420.15</v>
      </c>
      <c r="R10" s="57">
        <f aca="true" t="shared" si="2" ref="R10:R31">Q10/C10</f>
        <v>0.7113471591277474</v>
      </c>
      <c r="S10" s="57">
        <v>0.6619422233379624</v>
      </c>
      <c r="T10" s="57">
        <f>R10-S10</f>
        <v>0.049404935789785</v>
      </c>
      <c r="U10" s="56">
        <f>U11+U18+U23</f>
        <v>594188792.69</v>
      </c>
      <c r="V10" s="56">
        <f>V11+V18+V23</f>
        <v>39409936.57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9" customFormat="1" ht="15.75">
      <c r="A11" s="13" t="s">
        <v>38</v>
      </c>
      <c r="B11" s="14" t="s">
        <v>44</v>
      </c>
      <c r="C11" s="58">
        <f>SUM(C12:C17)</f>
        <v>459143859.019776</v>
      </c>
      <c r="D11" s="58">
        <f>SUM(D12:D17)</f>
        <v>440566882.3260001</v>
      </c>
      <c r="E11" s="58">
        <f>SUM(E12:E17)</f>
        <v>52671887</v>
      </c>
      <c r="F11" s="58">
        <f aca="true" t="shared" si="3" ref="F11:F31">C11+E11</f>
        <v>511815746.019776</v>
      </c>
      <c r="G11" s="58">
        <f>SUM(G12:G17)</f>
        <v>996</v>
      </c>
      <c r="H11" s="58">
        <f>SUM(H12:H17)</f>
        <v>500318619.7</v>
      </c>
      <c r="I11" s="59">
        <f t="shared" si="0"/>
        <v>1.089677254462529</v>
      </c>
      <c r="J11" s="59">
        <v>1.0652376817669584</v>
      </c>
      <c r="K11" s="59">
        <f aca="true" t="shared" si="4" ref="K11:K31">I11-J11</f>
        <v>0.02443957269557062</v>
      </c>
      <c r="L11" s="58">
        <f>SUM(L12:L17)</f>
        <v>990</v>
      </c>
      <c r="M11" s="58">
        <f>SUM(M12:M17)</f>
        <v>498893105.38</v>
      </c>
      <c r="N11" s="59">
        <f t="shared" si="1"/>
        <v>1.0865725318532724</v>
      </c>
      <c r="O11" s="59">
        <v>1.0605931584479453</v>
      </c>
      <c r="P11" s="59">
        <f aca="true" t="shared" si="5" ref="P11:P31">N11-O11</f>
        <v>0.025979373405327078</v>
      </c>
      <c r="Q11" s="58">
        <f>SUM(Q12:Q17)</f>
        <v>426834907.07000005</v>
      </c>
      <c r="R11" s="59">
        <f t="shared" si="2"/>
        <v>0.9296321810363485</v>
      </c>
      <c r="S11" s="59">
        <v>0.8875960987038879</v>
      </c>
      <c r="T11" s="59">
        <f aca="true" t="shared" si="6" ref="T11:T31">R11-S11</f>
        <v>0.04203608233246059</v>
      </c>
      <c r="U11" s="58">
        <f>SUM(U12:U17)</f>
        <v>29323706.93</v>
      </c>
      <c r="V11" s="58">
        <f>SUM(V12:V17)</f>
        <v>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24" ht="15.75">
      <c r="A12" s="15" t="s">
        <v>20</v>
      </c>
      <c r="B12" s="16" t="s">
        <v>4</v>
      </c>
      <c r="C12" s="51">
        <v>91518201.45</v>
      </c>
      <c r="D12" s="51">
        <v>82931375.55</v>
      </c>
      <c r="E12" s="51">
        <v>10753421</v>
      </c>
      <c r="F12" s="51">
        <f>C12+E12</f>
        <v>102271622.45</v>
      </c>
      <c r="G12" s="51">
        <v>135</v>
      </c>
      <c r="H12" s="51">
        <v>101365086.76</v>
      </c>
      <c r="I12" s="60">
        <f t="shared" si="0"/>
        <v>1.107594829815135</v>
      </c>
      <c r="J12" s="60">
        <v>1.0270612756890012</v>
      </c>
      <c r="K12" s="60">
        <f t="shared" si="4"/>
        <v>0.08053355412613383</v>
      </c>
      <c r="L12" s="51">
        <v>131</v>
      </c>
      <c r="M12" s="51">
        <v>99967901.76</v>
      </c>
      <c r="N12" s="60">
        <f t="shared" si="1"/>
        <v>1.0923280853002384</v>
      </c>
      <c r="O12" s="60">
        <v>1.0046987732842951</v>
      </c>
      <c r="P12" s="60">
        <f t="shared" si="5"/>
        <v>0.08762931201594326</v>
      </c>
      <c r="Q12" s="51">
        <v>82462304.59</v>
      </c>
      <c r="R12" s="60">
        <f t="shared" si="2"/>
        <v>0.9010481334147766</v>
      </c>
      <c r="S12" s="61">
        <v>0.8736636987308276</v>
      </c>
      <c r="T12" s="61">
        <f t="shared" si="6"/>
        <v>0.02738443468394902</v>
      </c>
      <c r="U12" s="51">
        <v>19586770.68</v>
      </c>
      <c r="V12" s="51">
        <v>0</v>
      </c>
      <c r="X12" s="38"/>
    </row>
    <row r="13" spans="1:24" ht="15.75">
      <c r="A13" s="15" t="s">
        <v>21</v>
      </c>
      <c r="B13" s="16" t="s">
        <v>5</v>
      </c>
      <c r="C13" s="51">
        <v>102661492.699776</v>
      </c>
      <c r="D13" s="51">
        <v>100323267.39</v>
      </c>
      <c r="E13" s="51">
        <v>8239369.000000026</v>
      </c>
      <c r="F13" s="51">
        <f t="shared" si="3"/>
        <v>110900861.69977602</v>
      </c>
      <c r="G13" s="51">
        <v>93</v>
      </c>
      <c r="H13" s="51">
        <v>110127478.75999999</v>
      </c>
      <c r="I13" s="60">
        <f t="shared" si="0"/>
        <v>1.0727243084420912</v>
      </c>
      <c r="J13" s="60">
        <v>1.0347719098541053</v>
      </c>
      <c r="K13" s="60">
        <f t="shared" si="4"/>
        <v>0.037952398587985936</v>
      </c>
      <c r="L13" s="51">
        <v>93</v>
      </c>
      <c r="M13" s="51">
        <v>110127478.75999999</v>
      </c>
      <c r="N13" s="60">
        <f t="shared" si="1"/>
        <v>1.0727243084420912</v>
      </c>
      <c r="O13" s="60">
        <v>1.0347719098541053</v>
      </c>
      <c r="P13" s="60">
        <f t="shared" si="5"/>
        <v>0.037952398587985936</v>
      </c>
      <c r="Q13" s="51">
        <v>92736661.41</v>
      </c>
      <c r="R13" s="60">
        <f t="shared" si="2"/>
        <v>0.9033246933317028</v>
      </c>
      <c r="S13" s="61">
        <v>0.8462381514888846</v>
      </c>
      <c r="T13" s="61">
        <f t="shared" si="6"/>
        <v>0.05708654184281825</v>
      </c>
      <c r="U13" s="51">
        <v>2361568.56</v>
      </c>
      <c r="V13" s="51">
        <v>0</v>
      </c>
      <c r="X13" s="38"/>
    </row>
    <row r="14" spans="1:24" ht="31.5">
      <c r="A14" s="15" t="s">
        <v>45</v>
      </c>
      <c r="B14" s="16" t="s">
        <v>6</v>
      </c>
      <c r="C14" s="51">
        <v>198980165.95</v>
      </c>
      <c r="D14" s="51">
        <v>200499756.68000013</v>
      </c>
      <c r="E14" s="51">
        <v>30353436.999999978</v>
      </c>
      <c r="F14" s="51">
        <f t="shared" si="3"/>
        <v>229333602.94999996</v>
      </c>
      <c r="G14" s="51">
        <v>137</v>
      </c>
      <c r="H14" s="51">
        <v>222210216.63</v>
      </c>
      <c r="I14" s="60">
        <f t="shared" si="0"/>
        <v>1.1167455588806638</v>
      </c>
      <c r="J14" s="60">
        <v>1.1164698892501086</v>
      </c>
      <c r="K14" s="60">
        <f t="shared" si="4"/>
        <v>0.00027566963055525306</v>
      </c>
      <c r="L14" s="51">
        <v>137</v>
      </c>
      <c r="M14" s="51">
        <v>222210216.63</v>
      </c>
      <c r="N14" s="60">
        <f t="shared" si="1"/>
        <v>1.1167455588806638</v>
      </c>
      <c r="O14" s="60">
        <v>1.1164698892501086</v>
      </c>
      <c r="P14" s="60">
        <f t="shared" si="5"/>
        <v>0.00027566963055525306</v>
      </c>
      <c r="Q14" s="51">
        <v>194494940.72</v>
      </c>
      <c r="R14" s="60">
        <f t="shared" si="2"/>
        <v>0.9774589331123231</v>
      </c>
      <c r="S14" s="61">
        <v>0.9330037542836316</v>
      </c>
      <c r="T14" s="61">
        <f t="shared" si="6"/>
        <v>0.044455178828691544</v>
      </c>
      <c r="U14" s="51">
        <v>1558108.2</v>
      </c>
      <c r="V14" s="51">
        <v>0</v>
      </c>
      <c r="X14" s="38"/>
    </row>
    <row r="15" spans="1:24" ht="15.75">
      <c r="A15" s="15" t="s">
        <v>22</v>
      </c>
      <c r="B15" s="16" t="s">
        <v>7</v>
      </c>
      <c r="C15" s="51">
        <v>36258630.35</v>
      </c>
      <c r="D15" s="51">
        <v>33951110.53</v>
      </c>
      <c r="E15" s="51">
        <v>3325660</v>
      </c>
      <c r="F15" s="51">
        <f t="shared" si="3"/>
        <v>39584290.35</v>
      </c>
      <c r="G15" s="51">
        <v>105</v>
      </c>
      <c r="H15" s="51">
        <v>37723240.11</v>
      </c>
      <c r="I15" s="60">
        <f t="shared" si="0"/>
        <v>1.0403934110544801</v>
      </c>
      <c r="J15" s="60">
        <v>1.0420394406872568</v>
      </c>
      <c r="K15" s="60">
        <f>I15-J15</f>
        <v>-0.0016460296327767132</v>
      </c>
      <c r="L15" s="51">
        <v>105</v>
      </c>
      <c r="M15" s="51">
        <v>37723240.11</v>
      </c>
      <c r="N15" s="60">
        <f t="shared" si="1"/>
        <v>1.0403934110544801</v>
      </c>
      <c r="O15" s="60">
        <v>1.0420394406872568</v>
      </c>
      <c r="P15" s="60">
        <f t="shared" si="5"/>
        <v>-0.0016460296327767132</v>
      </c>
      <c r="Q15" s="51">
        <v>33869598.73</v>
      </c>
      <c r="R15" s="60">
        <f t="shared" si="2"/>
        <v>0.9341113661233482</v>
      </c>
      <c r="S15" s="61">
        <v>0.9011230866860364</v>
      </c>
      <c r="T15" s="61">
        <f t="shared" si="6"/>
        <v>0.03298827943731186</v>
      </c>
      <c r="U15" s="51">
        <v>2337813.62</v>
      </c>
      <c r="V15" s="51">
        <v>0</v>
      </c>
      <c r="X15" s="38"/>
    </row>
    <row r="16" spans="1:24" ht="30" customHeight="1">
      <c r="A16" s="15" t="s">
        <v>23</v>
      </c>
      <c r="B16" s="16" t="s">
        <v>8</v>
      </c>
      <c r="C16" s="51">
        <v>16877607.54</v>
      </c>
      <c r="D16" s="51">
        <v>14346971.64</v>
      </c>
      <c r="E16" s="51">
        <v>0</v>
      </c>
      <c r="F16" s="51">
        <f t="shared" si="3"/>
        <v>16877607.54</v>
      </c>
      <c r="G16" s="51">
        <v>481</v>
      </c>
      <c r="H16" s="51">
        <v>16284615.65</v>
      </c>
      <c r="I16" s="60">
        <f t="shared" si="0"/>
        <v>0.9648651689171818</v>
      </c>
      <c r="J16" s="60">
        <v>0.9693859696182981</v>
      </c>
      <c r="K16" s="60">
        <f t="shared" si="4"/>
        <v>-0.004520800701116379</v>
      </c>
      <c r="L16" s="51">
        <v>479</v>
      </c>
      <c r="M16" s="51">
        <v>16256286.33</v>
      </c>
      <c r="N16" s="60">
        <f t="shared" si="1"/>
        <v>0.9631866537643167</v>
      </c>
      <c r="O16" s="60">
        <v>0.9642947053620137</v>
      </c>
      <c r="P16" s="60">
        <f t="shared" si="5"/>
        <v>-0.0011080515976970018</v>
      </c>
      <c r="Q16" s="51">
        <v>13724876.39</v>
      </c>
      <c r="R16" s="60">
        <f t="shared" si="2"/>
        <v>0.813200351855083</v>
      </c>
      <c r="S16" s="61">
        <v>0.782206195321923</v>
      </c>
      <c r="T16" s="61">
        <f t="shared" si="6"/>
        <v>0.030994156533159956</v>
      </c>
      <c r="U16" s="51">
        <v>3479445.87</v>
      </c>
      <c r="V16" s="51">
        <v>0</v>
      </c>
      <c r="X16" s="38"/>
    </row>
    <row r="17" spans="1:24" ht="15.75">
      <c r="A17" s="15" t="s">
        <v>24</v>
      </c>
      <c r="B17" s="16" t="s">
        <v>9</v>
      </c>
      <c r="C17" s="51">
        <v>12847761.03</v>
      </c>
      <c r="D17" s="51">
        <f>53215003.35*0.16</f>
        <v>8514400.536</v>
      </c>
      <c r="E17" s="51">
        <v>0</v>
      </c>
      <c r="F17" s="62">
        <f t="shared" si="3"/>
        <v>12847761.03</v>
      </c>
      <c r="G17" s="51">
        <v>45</v>
      </c>
      <c r="H17" s="62">
        <v>12607981.79</v>
      </c>
      <c r="I17" s="60">
        <f t="shared" si="0"/>
        <v>0.9813368851241779</v>
      </c>
      <c r="J17" s="60">
        <v>0.9785446406298857</v>
      </c>
      <c r="K17" s="60">
        <f t="shared" si="4"/>
        <v>0.002792244494292273</v>
      </c>
      <c r="L17" s="51">
        <v>45</v>
      </c>
      <c r="M17" s="51">
        <v>12607981.79</v>
      </c>
      <c r="N17" s="60">
        <f t="shared" si="1"/>
        <v>0.9813368851241779</v>
      </c>
      <c r="O17" s="60">
        <v>0.9785446406298857</v>
      </c>
      <c r="P17" s="60">
        <f t="shared" si="5"/>
        <v>0.002792244494292273</v>
      </c>
      <c r="Q17" s="51">
        <v>9546525.23</v>
      </c>
      <c r="R17" s="60">
        <f t="shared" si="2"/>
        <v>0.7430497195354513</v>
      </c>
      <c r="S17" s="61">
        <v>0.7143342609323113</v>
      </c>
      <c r="T17" s="61">
        <f t="shared" si="6"/>
        <v>0.028715458603139954</v>
      </c>
      <c r="U17" s="51">
        <v>0</v>
      </c>
      <c r="V17" s="51">
        <v>0</v>
      </c>
      <c r="X17" s="38"/>
    </row>
    <row r="18" spans="1:165" s="9" customFormat="1" ht="15.75">
      <c r="A18" s="13" t="s">
        <v>39</v>
      </c>
      <c r="B18" s="14" t="s">
        <v>40</v>
      </c>
      <c r="C18" s="40">
        <f>SUM(C19:C22)</f>
        <v>544793770.0400001</v>
      </c>
      <c r="D18" s="40">
        <f>SUM(D19:D22)</f>
        <v>342801979.024044</v>
      </c>
      <c r="E18" s="40">
        <f>SUM(E19:E22)</f>
        <v>46814550</v>
      </c>
      <c r="F18" s="40">
        <f t="shared" si="3"/>
        <v>591608320.0400001</v>
      </c>
      <c r="G18" s="58">
        <f>SUM(G19:G22)</f>
        <v>2423</v>
      </c>
      <c r="H18" s="58">
        <f>SUM(H19:H22)</f>
        <v>468595480.11999995</v>
      </c>
      <c r="I18" s="63">
        <f t="shared" si="0"/>
        <v>0.8601336980883509</v>
      </c>
      <c r="J18" s="63">
        <v>0.8493242617193455</v>
      </c>
      <c r="K18" s="63">
        <f t="shared" si="4"/>
        <v>0.010809436369005443</v>
      </c>
      <c r="L18" s="58">
        <f>SUM(L19:L22)</f>
        <v>2346</v>
      </c>
      <c r="M18" s="58">
        <f>SUM(M19:M22)</f>
        <v>461436072.07</v>
      </c>
      <c r="N18" s="63">
        <f t="shared" si="1"/>
        <v>0.846992196764879</v>
      </c>
      <c r="O18" s="63">
        <v>0.8423497249370032</v>
      </c>
      <c r="P18" s="63">
        <f t="shared" si="5"/>
        <v>0.004642471827875805</v>
      </c>
      <c r="Q18" s="58">
        <f>SUM(Q19:Q22)</f>
        <v>327960638.79</v>
      </c>
      <c r="R18" s="63">
        <f t="shared" si="2"/>
        <v>0.6019904353273356</v>
      </c>
      <c r="S18" s="59">
        <v>0.5844016276720405</v>
      </c>
      <c r="T18" s="59">
        <f t="shared" si="6"/>
        <v>0.017588807655295136</v>
      </c>
      <c r="U18" s="58">
        <f>SUM(U19:U22)</f>
        <v>32650720.240000002</v>
      </c>
      <c r="V18" s="58">
        <f>SUM(V19:V22)</f>
        <v>29285241.67</v>
      </c>
      <c r="W18" s="18"/>
      <c r="X18" s="3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</row>
    <row r="19" spans="1:24" ht="15.75">
      <c r="A19" s="15" t="s">
        <v>25</v>
      </c>
      <c r="B19" s="16" t="s">
        <v>10</v>
      </c>
      <c r="C19" s="51">
        <v>351120609.92</v>
      </c>
      <c r="D19" s="51">
        <v>171967965.53</v>
      </c>
      <c r="E19" s="51">
        <v>40814550</v>
      </c>
      <c r="F19" s="51">
        <f t="shared" si="3"/>
        <v>391935159.92</v>
      </c>
      <c r="G19" s="51">
        <v>445</v>
      </c>
      <c r="H19" s="51">
        <v>282807841.13</v>
      </c>
      <c r="I19" s="60">
        <f t="shared" si="0"/>
        <v>0.8054435801829903</v>
      </c>
      <c r="J19" s="60">
        <v>0.8068272682426701</v>
      </c>
      <c r="K19" s="60">
        <f t="shared" si="4"/>
        <v>-0.0013836880596798107</v>
      </c>
      <c r="L19" s="51">
        <v>441</v>
      </c>
      <c r="M19" s="51">
        <v>281992547.37</v>
      </c>
      <c r="N19" s="60">
        <f t="shared" si="1"/>
        <v>0.8031216038108664</v>
      </c>
      <c r="O19" s="60">
        <v>0.7966827349439841</v>
      </c>
      <c r="P19" s="60">
        <f t="shared" si="5"/>
        <v>0.006438868866882275</v>
      </c>
      <c r="Q19" s="51">
        <v>174989485.91</v>
      </c>
      <c r="R19" s="60">
        <f t="shared" si="2"/>
        <v>0.49837429352230256</v>
      </c>
      <c r="S19" s="61">
        <v>0.4779728929611965</v>
      </c>
      <c r="T19" s="61">
        <f t="shared" si="6"/>
        <v>0.020401400561106064</v>
      </c>
      <c r="U19" s="51">
        <v>32022550.21</v>
      </c>
      <c r="V19" s="51">
        <v>29037594.21</v>
      </c>
      <c r="X19" s="38"/>
    </row>
    <row r="20" spans="1:24" ht="15.75">
      <c r="A20" s="15" t="s">
        <v>26</v>
      </c>
      <c r="B20" s="16" t="s">
        <v>47</v>
      </c>
      <c r="C20" s="51">
        <v>116418850.78</v>
      </c>
      <c r="D20" s="51">
        <v>129755808.850544</v>
      </c>
      <c r="E20" s="51">
        <v>0</v>
      </c>
      <c r="F20" s="51">
        <f t="shared" si="3"/>
        <v>116418850.78</v>
      </c>
      <c r="G20" s="51">
        <v>4</v>
      </c>
      <c r="H20" s="51">
        <v>116418850.78</v>
      </c>
      <c r="I20" s="60">
        <f t="shared" si="0"/>
        <v>1</v>
      </c>
      <c r="J20" s="60">
        <v>1</v>
      </c>
      <c r="K20" s="60">
        <f t="shared" si="4"/>
        <v>0</v>
      </c>
      <c r="L20" s="51">
        <v>4</v>
      </c>
      <c r="M20" s="51">
        <v>116418850.78</v>
      </c>
      <c r="N20" s="60">
        <f t="shared" si="1"/>
        <v>1</v>
      </c>
      <c r="O20" s="60">
        <v>1</v>
      </c>
      <c r="P20" s="60">
        <f t="shared" si="5"/>
        <v>0</v>
      </c>
      <c r="Q20" s="51">
        <v>116418850.78</v>
      </c>
      <c r="R20" s="60">
        <f t="shared" si="2"/>
        <v>1</v>
      </c>
      <c r="S20" s="61">
        <v>1</v>
      </c>
      <c r="T20" s="61">
        <f t="shared" si="6"/>
        <v>0</v>
      </c>
      <c r="U20" s="51">
        <v>0</v>
      </c>
      <c r="V20" s="51">
        <v>0</v>
      </c>
      <c r="X20" s="38"/>
    </row>
    <row r="21" spans="1:24" ht="15.75">
      <c r="A21" s="15" t="s">
        <v>27</v>
      </c>
      <c r="B21" s="16" t="s">
        <v>11</v>
      </c>
      <c r="C21" s="51">
        <v>61100320.04</v>
      </c>
      <c r="D21" s="51">
        <v>29903053.939999998</v>
      </c>
      <c r="E21" s="51">
        <v>6000000</v>
      </c>
      <c r="F21" s="51">
        <f t="shared" si="3"/>
        <v>67100320.04</v>
      </c>
      <c r="G21" s="51">
        <v>1939</v>
      </c>
      <c r="H21" s="51">
        <v>53301253.53</v>
      </c>
      <c r="I21" s="60">
        <f t="shared" si="0"/>
        <v>0.8723563721942168</v>
      </c>
      <c r="J21" s="60">
        <v>0.7690682116270879</v>
      </c>
      <c r="K21" s="60">
        <f t="shared" si="4"/>
        <v>0.10328816056712886</v>
      </c>
      <c r="L21" s="51">
        <v>1866</v>
      </c>
      <c r="M21" s="51">
        <v>46957139.24</v>
      </c>
      <c r="N21" s="60">
        <f t="shared" si="1"/>
        <v>0.7685252582843919</v>
      </c>
      <c r="O21" s="60">
        <v>0.7651774059838511</v>
      </c>
      <c r="P21" s="60">
        <f t="shared" si="5"/>
        <v>0.003347852300540799</v>
      </c>
      <c r="Q21" s="51">
        <v>26413084.17</v>
      </c>
      <c r="R21" s="60">
        <f t="shared" si="2"/>
        <v>0.4322904389487385</v>
      </c>
      <c r="S21" s="61">
        <v>0.40437638747890764</v>
      </c>
      <c r="T21" s="61">
        <f t="shared" si="6"/>
        <v>0.027914051469830836</v>
      </c>
      <c r="U21" s="51">
        <v>628170.03</v>
      </c>
      <c r="V21" s="51">
        <v>247647.46</v>
      </c>
      <c r="X21" s="38"/>
    </row>
    <row r="22" spans="1:24" ht="15.75">
      <c r="A22" s="15" t="s">
        <v>28</v>
      </c>
      <c r="B22" s="16" t="s">
        <v>9</v>
      </c>
      <c r="C22" s="51">
        <v>16153989.3</v>
      </c>
      <c r="D22" s="51">
        <f>53215003.35*0.21</f>
        <v>11175150.7035</v>
      </c>
      <c r="E22" s="51">
        <v>0</v>
      </c>
      <c r="F22" s="51">
        <f t="shared" si="3"/>
        <v>16153989.3</v>
      </c>
      <c r="G22" s="51">
        <v>35</v>
      </c>
      <c r="H22" s="51">
        <v>16067534.68</v>
      </c>
      <c r="I22" s="60">
        <f t="shared" si="0"/>
        <v>0.9946480947588593</v>
      </c>
      <c r="J22" s="60">
        <v>0.9906976557177737</v>
      </c>
      <c r="K22" s="60">
        <f t="shared" si="4"/>
        <v>0.003950439041085607</v>
      </c>
      <c r="L22" s="51">
        <v>35</v>
      </c>
      <c r="M22" s="51">
        <v>16067534.68</v>
      </c>
      <c r="N22" s="60">
        <f t="shared" si="1"/>
        <v>0.9946480947588593</v>
      </c>
      <c r="O22" s="60">
        <v>0.9906976557177737</v>
      </c>
      <c r="P22" s="60">
        <f t="shared" si="5"/>
        <v>0.003950439041085607</v>
      </c>
      <c r="Q22" s="51">
        <v>10139217.93</v>
      </c>
      <c r="R22" s="60">
        <f t="shared" si="2"/>
        <v>0.6276603098901395</v>
      </c>
      <c r="S22" s="61">
        <v>0.5835001203077433</v>
      </c>
      <c r="T22" s="61">
        <f t="shared" si="6"/>
        <v>0.0441601895823962</v>
      </c>
      <c r="U22" s="51">
        <v>0</v>
      </c>
      <c r="V22" s="51">
        <v>0</v>
      </c>
      <c r="X22" s="38"/>
    </row>
    <row r="23" spans="1:165" s="9" customFormat="1" ht="15.75">
      <c r="A23" s="13" t="s">
        <v>41</v>
      </c>
      <c r="B23" s="14" t="s">
        <v>42</v>
      </c>
      <c r="C23" s="58">
        <f>SUM(C24:C31)</f>
        <v>2480413701.1532164</v>
      </c>
      <c r="D23" s="58">
        <f>SUM(D24:D31)</f>
        <v>1717143656.0105</v>
      </c>
      <c r="E23" s="58">
        <f>SUM(E24:E31)</f>
        <v>184834626</v>
      </c>
      <c r="F23" s="58">
        <f t="shared" si="3"/>
        <v>2665248327.1532164</v>
      </c>
      <c r="G23" s="58">
        <f>SUM(G24:G31)</f>
        <v>3150</v>
      </c>
      <c r="H23" s="58">
        <f>H24+H25+H26+H27+H28+H29+H30+H31</f>
        <v>2609477178.4800005</v>
      </c>
      <c r="I23" s="63">
        <f t="shared" si="0"/>
        <v>1.052033044837149</v>
      </c>
      <c r="J23" s="63">
        <v>0.9776042787972831</v>
      </c>
      <c r="K23" s="63">
        <f t="shared" si="4"/>
        <v>0.07442876603986603</v>
      </c>
      <c r="L23" s="58">
        <f>SUM(L24:L31)</f>
        <v>3094</v>
      </c>
      <c r="M23" s="58">
        <f>M24+M25+M26+M27+M28+M29+M30+M31</f>
        <v>2463697162.34</v>
      </c>
      <c r="N23" s="63">
        <f t="shared" si="1"/>
        <v>0.9932605843914488</v>
      </c>
      <c r="O23" s="63">
        <v>0.9705879653499405</v>
      </c>
      <c r="P23" s="63">
        <f t="shared" si="5"/>
        <v>0.022672619041508302</v>
      </c>
      <c r="Q23" s="58">
        <f>Q24+Q25+Q26+Q27+Q28+Q29+Q30+Q31</f>
        <v>1723787874.29</v>
      </c>
      <c r="R23" s="63">
        <f t="shared" si="2"/>
        <v>0.6949598260518239</v>
      </c>
      <c r="S23" s="59">
        <v>0.6372028189272907</v>
      </c>
      <c r="T23" s="59">
        <f t="shared" si="6"/>
        <v>0.057757007124533244</v>
      </c>
      <c r="U23" s="58">
        <f>U24+U25+U26+U27+U28+U29+U30+U31</f>
        <v>532214365.52000004</v>
      </c>
      <c r="V23" s="58">
        <f>V24+V25+V26+V27+V28+V29+V30+V31</f>
        <v>10124694.9</v>
      </c>
      <c r="W23" s="18"/>
      <c r="X23" s="3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</row>
    <row r="24" spans="1:24" ht="31.5">
      <c r="A24" s="15" t="s">
        <v>29</v>
      </c>
      <c r="B24" s="16" t="s">
        <v>12</v>
      </c>
      <c r="C24" s="51">
        <v>394454498.87</v>
      </c>
      <c r="D24" s="51">
        <v>298588291.12</v>
      </c>
      <c r="E24" s="51">
        <v>38871547</v>
      </c>
      <c r="F24" s="51">
        <f t="shared" si="3"/>
        <v>433326045.87</v>
      </c>
      <c r="G24" s="51">
        <v>708</v>
      </c>
      <c r="H24" s="51">
        <v>462414706.1</v>
      </c>
      <c r="I24" s="60">
        <f t="shared" si="0"/>
        <v>1.1722890914533532</v>
      </c>
      <c r="J24" s="60">
        <v>0.9701434511968895</v>
      </c>
      <c r="K24" s="60">
        <f t="shared" si="4"/>
        <v>0.20214564025646375</v>
      </c>
      <c r="L24" s="51">
        <v>703</v>
      </c>
      <c r="M24" s="51">
        <v>415815299.17</v>
      </c>
      <c r="N24" s="60">
        <f t="shared" si="1"/>
        <v>1.0541527612467156</v>
      </c>
      <c r="O24" s="60">
        <v>0.9700853736998446</v>
      </c>
      <c r="P24" s="60">
        <f t="shared" si="5"/>
        <v>0.08406738754687104</v>
      </c>
      <c r="Q24" s="51">
        <v>297756312.39</v>
      </c>
      <c r="R24" s="60">
        <f t="shared" si="2"/>
        <v>0.7548559168243414</v>
      </c>
      <c r="S24" s="61">
        <v>0.712540422235113</v>
      </c>
      <c r="T24" s="61">
        <f t="shared" si="6"/>
        <v>0.04231549458922834</v>
      </c>
      <c r="U24" s="51">
        <v>98961420.01</v>
      </c>
      <c r="V24" s="51">
        <v>0</v>
      </c>
      <c r="X24" s="38"/>
    </row>
    <row r="25" spans="1:24" ht="31.5">
      <c r="A25" s="15" t="s">
        <v>30</v>
      </c>
      <c r="B25" s="16" t="s">
        <v>13</v>
      </c>
      <c r="C25" s="51">
        <v>396573367.9</v>
      </c>
      <c r="D25" s="51">
        <v>292578133.13</v>
      </c>
      <c r="E25" s="51">
        <v>30966017</v>
      </c>
      <c r="F25" s="51">
        <f t="shared" si="3"/>
        <v>427539384.9</v>
      </c>
      <c r="G25" s="51">
        <v>374</v>
      </c>
      <c r="H25" s="51">
        <v>408046818.75</v>
      </c>
      <c r="I25" s="60">
        <f t="shared" si="0"/>
        <v>1.0289314708921482</v>
      </c>
      <c r="J25" s="60">
        <v>1.07333264408046</v>
      </c>
      <c r="K25" s="60">
        <f t="shared" si="4"/>
        <v>-0.04440117318831183</v>
      </c>
      <c r="L25" s="51">
        <v>374</v>
      </c>
      <c r="M25" s="51">
        <v>408046818.75</v>
      </c>
      <c r="N25" s="60">
        <f t="shared" si="1"/>
        <v>1.0289314708921482</v>
      </c>
      <c r="O25" s="60">
        <v>1.07333264408046</v>
      </c>
      <c r="P25" s="60">
        <f t="shared" si="5"/>
        <v>-0.04440117318831183</v>
      </c>
      <c r="Q25" s="51">
        <v>272183300.03000003</v>
      </c>
      <c r="R25" s="60">
        <f t="shared" si="2"/>
        <v>0.6863378180721249</v>
      </c>
      <c r="S25" s="61">
        <v>0.6112827705342239</v>
      </c>
      <c r="T25" s="61">
        <f t="shared" si="6"/>
        <v>0.07505504753790104</v>
      </c>
      <c r="U25" s="51">
        <v>40394701.38</v>
      </c>
      <c r="V25" s="51">
        <v>0</v>
      </c>
      <c r="X25" s="38"/>
    </row>
    <row r="26" spans="1:165" s="6" customFormat="1" ht="31.5">
      <c r="A26" s="15" t="s">
        <v>31</v>
      </c>
      <c r="B26" s="16" t="s">
        <v>14</v>
      </c>
      <c r="C26" s="51">
        <v>659283633.29</v>
      </c>
      <c r="D26" s="51">
        <v>408766306.54999995</v>
      </c>
      <c r="E26" s="51">
        <v>31087535</v>
      </c>
      <c r="F26" s="51">
        <f t="shared" si="3"/>
        <v>690371168.29</v>
      </c>
      <c r="G26" s="51">
        <v>46</v>
      </c>
      <c r="H26" s="51">
        <v>660571538.62</v>
      </c>
      <c r="I26" s="60">
        <f t="shared" si="0"/>
        <v>1.0019534920404032</v>
      </c>
      <c r="J26" s="60">
        <v>0.8751237937165871</v>
      </c>
      <c r="K26" s="60">
        <f t="shared" si="4"/>
        <v>0.12682969832381608</v>
      </c>
      <c r="L26" s="51">
        <v>40</v>
      </c>
      <c r="M26" s="51">
        <v>585126662.82</v>
      </c>
      <c r="N26" s="60">
        <f t="shared" si="1"/>
        <v>0.8875188663490143</v>
      </c>
      <c r="O26" s="60">
        <v>0.8751237937165871</v>
      </c>
      <c r="P26" s="60">
        <f t="shared" si="5"/>
        <v>0.012395072632427229</v>
      </c>
      <c r="Q26" s="51">
        <v>411835865.74</v>
      </c>
      <c r="R26" s="60">
        <f t="shared" si="2"/>
        <v>0.624671757259967</v>
      </c>
      <c r="S26" s="61">
        <v>0.5557578267968776</v>
      </c>
      <c r="T26" s="61">
        <f t="shared" si="6"/>
        <v>0.06891393046308947</v>
      </c>
      <c r="U26" s="51">
        <v>86913811.01</v>
      </c>
      <c r="V26" s="51">
        <v>0</v>
      </c>
      <c r="W26" s="11"/>
      <c r="X26" s="3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>
      <c r="A27" s="15" t="s">
        <v>32</v>
      </c>
      <c r="B27" s="16" t="s">
        <v>15</v>
      </c>
      <c r="C27" s="51">
        <v>259173385.293216</v>
      </c>
      <c r="D27" s="51">
        <v>142101606.01999998</v>
      </c>
      <c r="E27" s="51">
        <v>29242015</v>
      </c>
      <c r="F27" s="51">
        <f t="shared" si="3"/>
        <v>288415400.293216</v>
      </c>
      <c r="G27" s="51">
        <v>1459</v>
      </c>
      <c r="H27" s="51">
        <v>282510374.72999996</v>
      </c>
      <c r="I27" s="60">
        <f t="shared" si="0"/>
        <v>1.0900439271971605</v>
      </c>
      <c r="J27" s="60">
        <v>1.0710143204275997</v>
      </c>
      <c r="K27" s="60">
        <f t="shared" si="4"/>
        <v>0.01902960676956078</v>
      </c>
      <c r="L27" s="51">
        <v>1442</v>
      </c>
      <c r="M27" s="51">
        <v>279876043.98999995</v>
      </c>
      <c r="N27" s="60">
        <f t="shared" si="1"/>
        <v>1.0798795704788977</v>
      </c>
      <c r="O27" s="60">
        <v>1.0173374654762437</v>
      </c>
      <c r="P27" s="60">
        <f t="shared" si="5"/>
        <v>0.062542105002654</v>
      </c>
      <c r="Q27" s="51">
        <v>156028080.47</v>
      </c>
      <c r="R27" s="60">
        <f t="shared" si="2"/>
        <v>0.6020220027356494</v>
      </c>
      <c r="S27" s="61">
        <v>0.5278334317069245</v>
      </c>
      <c r="T27" s="61">
        <f t="shared" si="6"/>
        <v>0.07418857102872489</v>
      </c>
      <c r="U27" s="51">
        <v>50424643.95</v>
      </c>
      <c r="V27" s="51">
        <v>37443.14</v>
      </c>
      <c r="W27" s="11"/>
      <c r="X27" s="39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>
      <c r="A28" s="15" t="s">
        <v>33</v>
      </c>
      <c r="B28" s="16" t="s">
        <v>16</v>
      </c>
      <c r="C28" s="51">
        <v>494896635.62</v>
      </c>
      <c r="D28" s="51">
        <v>346095713.34999996</v>
      </c>
      <c r="E28" s="51">
        <v>3879949</v>
      </c>
      <c r="F28" s="51">
        <f t="shared" si="3"/>
        <v>498776584.62</v>
      </c>
      <c r="G28" s="51">
        <v>361</v>
      </c>
      <c r="H28" s="51">
        <v>462781104.37</v>
      </c>
      <c r="I28" s="60">
        <f t="shared" si="0"/>
        <v>0.9351065880458733</v>
      </c>
      <c r="J28" s="60">
        <v>0.898936045586699</v>
      </c>
      <c r="K28" s="60">
        <f t="shared" si="4"/>
        <v>0.03617054245917428</v>
      </c>
      <c r="L28" s="51">
        <v>334</v>
      </c>
      <c r="M28" s="51">
        <v>445257759.04</v>
      </c>
      <c r="N28" s="60">
        <f t="shared" si="1"/>
        <v>0.899698496600582</v>
      </c>
      <c r="O28" s="60">
        <v>0.8927871820692674</v>
      </c>
      <c r="P28" s="60">
        <f t="shared" si="5"/>
        <v>0.00691131453131455</v>
      </c>
      <c r="Q28" s="51">
        <v>350126188.85</v>
      </c>
      <c r="R28" s="60">
        <f t="shared" si="2"/>
        <v>0.7074733664563441</v>
      </c>
      <c r="S28" s="61">
        <v>0.6682940857169213</v>
      </c>
      <c r="T28" s="61">
        <f t="shared" si="6"/>
        <v>0.039179280739422784</v>
      </c>
      <c r="U28" s="51">
        <v>138877735.24</v>
      </c>
      <c r="V28" s="51">
        <v>10087251.76</v>
      </c>
      <c r="W28" s="11"/>
      <c r="X28" s="3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ht="15.75">
      <c r="A29" s="15" t="s">
        <v>34</v>
      </c>
      <c r="B29" s="16" t="s">
        <v>17</v>
      </c>
      <c r="C29" s="51">
        <v>226969401.31</v>
      </c>
      <c r="D29" s="51">
        <v>195488153.73000002</v>
      </c>
      <c r="E29" s="51">
        <v>50787563</v>
      </c>
      <c r="F29" s="51">
        <f t="shared" si="3"/>
        <v>277756964.31</v>
      </c>
      <c r="G29" s="51">
        <v>122</v>
      </c>
      <c r="H29" s="51">
        <v>285134048.99</v>
      </c>
      <c r="I29" s="60">
        <f t="shared" si="0"/>
        <v>1.2562664717988017</v>
      </c>
      <c r="J29" s="60">
        <v>1.1868083042263895</v>
      </c>
      <c r="K29" s="60">
        <f t="shared" si="4"/>
        <v>0.06945816757241219</v>
      </c>
      <c r="L29" s="51">
        <v>121</v>
      </c>
      <c r="M29" s="51">
        <v>281555991.65</v>
      </c>
      <c r="N29" s="60">
        <f t="shared" si="1"/>
        <v>1.2405019796718957</v>
      </c>
      <c r="O29" s="60">
        <v>1.184932337697234</v>
      </c>
      <c r="P29" s="60">
        <f t="shared" si="5"/>
        <v>0.05556964197466163</v>
      </c>
      <c r="Q29" s="51">
        <v>207502862.49</v>
      </c>
      <c r="R29" s="60">
        <f t="shared" si="2"/>
        <v>0.9142327612989024</v>
      </c>
      <c r="S29" s="61">
        <v>0.8664203019217102</v>
      </c>
      <c r="T29" s="61">
        <f t="shared" si="6"/>
        <v>0.04781245937719225</v>
      </c>
      <c r="U29" s="51">
        <v>116642053.93</v>
      </c>
      <c r="V29" s="51"/>
      <c r="W29" s="11"/>
      <c r="X29" s="3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24" ht="15.75">
      <c r="A30" s="15" t="s">
        <v>35</v>
      </c>
      <c r="B30" s="16" t="s">
        <v>18</v>
      </c>
      <c r="C30" s="51">
        <v>40488570.07</v>
      </c>
      <c r="D30" s="51">
        <f>53215003.35*0.52</f>
        <v>27671801.742000002</v>
      </c>
      <c r="E30" s="51">
        <v>0</v>
      </c>
      <c r="F30" s="51">
        <f t="shared" si="3"/>
        <v>40488570.07</v>
      </c>
      <c r="G30" s="51">
        <v>46</v>
      </c>
      <c r="H30" s="51">
        <v>40322109.3</v>
      </c>
      <c r="I30" s="60">
        <f t="shared" si="0"/>
        <v>0.995888697236968</v>
      </c>
      <c r="J30" s="60">
        <v>0.9909461628462988</v>
      </c>
      <c r="K30" s="60">
        <f t="shared" si="4"/>
        <v>0.004942534390669273</v>
      </c>
      <c r="L30" s="51">
        <v>46</v>
      </c>
      <c r="M30" s="51">
        <v>40322109.3</v>
      </c>
      <c r="N30" s="60">
        <f t="shared" si="1"/>
        <v>0.995888697236968</v>
      </c>
      <c r="O30" s="60">
        <v>0.9909461628462988</v>
      </c>
      <c r="P30" s="60">
        <f t="shared" si="5"/>
        <v>0.004942534390669273</v>
      </c>
      <c r="Q30" s="51">
        <v>24290150.770000003</v>
      </c>
      <c r="R30" s="60">
        <f t="shared" si="2"/>
        <v>0.5999261205818129</v>
      </c>
      <c r="S30" s="61">
        <v>0.5611384217995427</v>
      </c>
      <c r="T30" s="61">
        <f t="shared" si="6"/>
        <v>0.038787698782270286</v>
      </c>
      <c r="U30" s="51">
        <v>0</v>
      </c>
      <c r="V30" s="51">
        <v>0</v>
      </c>
      <c r="X30" s="38"/>
    </row>
    <row r="31" spans="1:24" ht="15.75">
      <c r="A31" s="15" t="s">
        <v>36</v>
      </c>
      <c r="B31" s="16" t="s">
        <v>19</v>
      </c>
      <c r="C31" s="51">
        <v>8574208.8</v>
      </c>
      <c r="D31" s="51">
        <f>53215003.35*0.11</f>
        <v>5853650.3685</v>
      </c>
      <c r="E31" s="51">
        <v>0</v>
      </c>
      <c r="F31" s="51">
        <f t="shared" si="3"/>
        <v>8574208.8</v>
      </c>
      <c r="G31" s="51">
        <v>34</v>
      </c>
      <c r="H31" s="51">
        <v>7696477.62</v>
      </c>
      <c r="I31" s="60">
        <f t="shared" si="0"/>
        <v>0.897631233333156</v>
      </c>
      <c r="J31" s="60">
        <v>0.8893727430570619</v>
      </c>
      <c r="K31" s="60">
        <f t="shared" si="4"/>
        <v>0.008258490276094044</v>
      </c>
      <c r="L31" s="51">
        <v>34</v>
      </c>
      <c r="M31" s="51">
        <v>7696477.62</v>
      </c>
      <c r="N31" s="60">
        <f t="shared" si="1"/>
        <v>0.897631233333156</v>
      </c>
      <c r="O31" s="60">
        <v>0.8893727430570619</v>
      </c>
      <c r="P31" s="60">
        <f t="shared" si="5"/>
        <v>0.008258490276094044</v>
      </c>
      <c r="Q31" s="51">
        <v>4065113.5500000003</v>
      </c>
      <c r="R31" s="60">
        <f t="shared" si="2"/>
        <v>0.4741094653538178</v>
      </c>
      <c r="S31" s="61">
        <v>0.43547568377387774</v>
      </c>
      <c r="T31" s="61">
        <f t="shared" si="6"/>
        <v>0.038633781579940074</v>
      </c>
      <c r="U31" s="51">
        <v>0</v>
      </c>
      <c r="V31" s="51">
        <v>0</v>
      </c>
      <c r="X31" s="38"/>
    </row>
    <row r="32" spans="1:24" ht="15.75">
      <c r="A32" s="67" t="s">
        <v>83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X32" s="38"/>
    </row>
    <row r="33" spans="1:22" s="18" customFormat="1" ht="18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1" ht="9.75" customHeight="1">
      <c r="A34" s="66"/>
      <c r="B34" s="1"/>
      <c r="F34" s="44"/>
      <c r="M34" s="1"/>
      <c r="N34" s="1"/>
      <c r="O34" s="1"/>
      <c r="U34" s="1"/>
    </row>
    <row r="35" spans="1:23" ht="41.25" customHeight="1">
      <c r="A35" s="25"/>
      <c r="C35" s="65"/>
      <c r="D35"/>
      <c r="E35" s="49"/>
      <c r="F35"/>
      <c r="G35" s="26"/>
      <c r="H35" s="27"/>
      <c r="I35" s="25"/>
      <c r="J35" s="3"/>
      <c r="M35" s="45" t="s">
        <v>72</v>
      </c>
      <c r="N35" s="45"/>
      <c r="O35" s="46"/>
      <c r="P35" s="46"/>
      <c r="Q35" s="50"/>
      <c r="R35" s="50"/>
      <c r="S35" s="50"/>
      <c r="T35" s="50"/>
      <c r="U35" s="76" t="s">
        <v>73</v>
      </c>
      <c r="V35" s="76"/>
      <c r="W35" s="19"/>
    </row>
    <row r="36" spans="3:23" ht="24.75" customHeight="1">
      <c r="C36" s="49"/>
      <c r="D36"/>
      <c r="E36"/>
      <c r="F36"/>
      <c r="G36" s="29"/>
      <c r="H36" s="5"/>
      <c r="I36" s="42"/>
      <c r="J36" s="28"/>
      <c r="K36" s="28"/>
      <c r="L36" s="28"/>
      <c r="M36" s="45"/>
      <c r="N36" s="28"/>
      <c r="O36" s="28"/>
      <c r="P36" s="28"/>
      <c r="Q36" s="20"/>
      <c r="R36" s="20"/>
      <c r="S36" s="20"/>
      <c r="T36" s="20"/>
      <c r="W36" s="22"/>
    </row>
    <row r="37" spans="1:23" ht="19.5" customHeight="1">
      <c r="A37" s="47" t="s">
        <v>84</v>
      </c>
      <c r="B37" s="48"/>
      <c r="C37"/>
      <c r="D37"/>
      <c r="E37"/>
      <c r="F37"/>
      <c r="G37" s="29"/>
      <c r="H37" s="5"/>
      <c r="I37" s="42"/>
      <c r="J37" s="41"/>
      <c r="K37" s="41"/>
      <c r="L37" s="28"/>
      <c r="M37" s="28"/>
      <c r="N37" s="28"/>
      <c r="O37" s="28"/>
      <c r="P37" s="28"/>
      <c r="Q37" s="20"/>
      <c r="R37" s="20"/>
      <c r="S37" s="20"/>
      <c r="T37" s="20"/>
      <c r="U37" s="21"/>
      <c r="V37" s="20"/>
      <c r="W37" s="22"/>
    </row>
    <row r="38" spans="1:9" ht="17.25" customHeight="1">
      <c r="A38" s="47" t="s">
        <v>60</v>
      </c>
      <c r="B38" s="48"/>
      <c r="I38" s="20"/>
    </row>
    <row r="39" spans="1:9" ht="19.5" customHeight="1">
      <c r="A39" s="47" t="s">
        <v>59</v>
      </c>
      <c r="B39" s="48"/>
      <c r="I39" s="20"/>
    </row>
    <row r="40" spans="4:9" ht="23.25">
      <c r="D40" s="30"/>
      <c r="E40" s="30"/>
      <c r="F40" s="30"/>
      <c r="G40" s="30"/>
      <c r="I40" s="20"/>
    </row>
    <row r="41" spans="4:9" ht="23.25">
      <c r="D41" s="30"/>
      <c r="E41" s="30"/>
      <c r="F41" s="30"/>
      <c r="G41" s="30"/>
      <c r="I41" s="20"/>
    </row>
    <row r="42" spans="4:9" ht="23.25">
      <c r="D42" s="30"/>
      <c r="E42" s="30"/>
      <c r="F42" s="30"/>
      <c r="G42" s="30"/>
      <c r="I42" s="20"/>
    </row>
    <row r="43" spans="4:9" ht="23.25">
      <c r="D43" s="30"/>
      <c r="E43" s="30"/>
      <c r="F43" s="30"/>
      <c r="G43" s="30"/>
      <c r="I43" s="20"/>
    </row>
    <row r="44" spans="4:7" ht="15.75">
      <c r="D44" s="30"/>
      <c r="E44" s="30"/>
      <c r="F44" s="30"/>
      <c r="G44" s="30"/>
    </row>
    <row r="45" spans="4:7" ht="15.75">
      <c r="D45" s="30"/>
      <c r="E45" s="30"/>
      <c r="F45" s="30"/>
      <c r="G45" s="30"/>
    </row>
    <row r="46" spans="4:7" ht="15.75">
      <c r="D46" s="30"/>
      <c r="E46" s="30"/>
      <c r="F46" s="30"/>
      <c r="G46" s="30"/>
    </row>
    <row r="47" spans="4:7" ht="15.75">
      <c r="D47" s="30"/>
      <c r="E47" s="30"/>
      <c r="F47" s="30"/>
      <c r="G47" s="30"/>
    </row>
    <row r="48" spans="4:7" ht="15.75">
      <c r="D48" s="30"/>
      <c r="E48" s="30"/>
      <c r="F48" s="30"/>
      <c r="G48" s="30"/>
    </row>
    <row r="49" spans="4:7" ht="15.75">
      <c r="D49" s="30"/>
      <c r="E49" s="30"/>
      <c r="F49" s="30"/>
      <c r="G49" s="30"/>
    </row>
    <row r="50" spans="4:7" ht="15.75">
      <c r="D50" s="30"/>
      <c r="E50" s="30"/>
      <c r="F50" s="30"/>
      <c r="G50" s="30"/>
    </row>
    <row r="51" spans="4:7" ht="15.75">
      <c r="D51" s="30"/>
      <c r="E51" s="30"/>
      <c r="F51" s="30"/>
      <c r="G51" s="30"/>
    </row>
    <row r="52" spans="4:7" ht="15.75">
      <c r="D52" s="30"/>
      <c r="E52" s="30"/>
      <c r="F52" s="30"/>
      <c r="G52" s="30"/>
    </row>
    <row r="53" spans="4:7" ht="15.75">
      <c r="D53" s="30"/>
      <c r="E53" s="30"/>
      <c r="F53" s="30"/>
      <c r="G53" s="30"/>
    </row>
    <row r="54" spans="4:7" ht="15.75">
      <c r="D54" s="30"/>
      <c r="E54" s="30"/>
      <c r="F54" s="30"/>
      <c r="G54" s="30"/>
    </row>
    <row r="55" spans="4:7" ht="15.75">
      <c r="D55" s="30"/>
      <c r="E55" s="30"/>
      <c r="F55" s="30"/>
      <c r="G55" s="30"/>
    </row>
    <row r="56" spans="4:7" ht="15.75">
      <c r="D56" s="30"/>
      <c r="E56" s="30"/>
      <c r="F56" s="30"/>
      <c r="G56" s="30"/>
    </row>
    <row r="57" spans="4:7" ht="15.75">
      <c r="D57" s="30"/>
      <c r="E57" s="30"/>
      <c r="F57" s="30"/>
      <c r="G57" s="30"/>
    </row>
    <row r="58" spans="4:7" ht="15.75">
      <c r="D58" s="32"/>
      <c r="E58" s="32"/>
      <c r="F58" s="32"/>
      <c r="G58" s="32"/>
    </row>
    <row r="59" spans="4:7" ht="15.75">
      <c r="D59" s="30"/>
      <c r="E59" s="30"/>
      <c r="F59" s="30"/>
      <c r="G59" s="30"/>
    </row>
    <row r="60" spans="4:7" ht="15.75">
      <c r="D60" s="30"/>
      <c r="E60" s="30"/>
      <c r="F60" s="30"/>
      <c r="G60" s="30"/>
    </row>
    <row r="61" spans="4:7" ht="15.75">
      <c r="D61" s="10"/>
      <c r="E61" s="10"/>
      <c r="F61" s="10"/>
      <c r="G61" s="10"/>
    </row>
  </sheetData>
  <sheetProtection selectLockedCells="1" selectUnlockedCells="1"/>
  <mergeCells count="26">
    <mergeCell ref="A10:B10"/>
    <mergeCell ref="N6:N8"/>
    <mergeCell ref="K6:K8"/>
    <mergeCell ref="P6:P8"/>
    <mergeCell ref="U6:U8"/>
    <mergeCell ref="G6:H7"/>
    <mergeCell ref="U35:V35"/>
    <mergeCell ref="P1:V1"/>
    <mergeCell ref="R6:R8"/>
    <mergeCell ref="T6:T8"/>
    <mergeCell ref="S6:S8"/>
    <mergeCell ref="A3:V3"/>
    <mergeCell ref="C6:C8"/>
    <mergeCell ref="A33:V33"/>
    <mergeCell ref="D6:D8"/>
    <mergeCell ref="L6:M7"/>
    <mergeCell ref="A32:V32"/>
    <mergeCell ref="A4:V4"/>
    <mergeCell ref="Q6:Q8"/>
    <mergeCell ref="E6:E8"/>
    <mergeCell ref="A6:B8"/>
    <mergeCell ref="F6:F8"/>
    <mergeCell ref="V6:V8"/>
    <mergeCell ref="I6:I8"/>
    <mergeCell ref="J6:J8"/>
    <mergeCell ref="O6:O8"/>
  </mergeCells>
  <printOptions/>
  <pageMargins left="0.25" right="0.25" top="0.75" bottom="0.75" header="0.3" footer="0.3"/>
  <pageSetup fitToHeight="1" fitToWidth="1" horizontalDpi="600" verticalDpi="600" orientation="landscape" paperSize="9" scale="47" r:id="rId1"/>
  <headerFooter>
    <oddHeader>&amp;C&amp;P</oddHeader>
    <oddFooter>&amp;L&amp;F; 2007.-2013.gada plānošanas perioda ES fondu apguve līdz 2013.gada 31. decembrim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0"/>
  <sheetViews>
    <sheetView view="pageLayout" zoomScale="70" zoomScaleNormal="80" zoomScaleSheetLayoutView="80" zoomScalePageLayoutView="70" workbookViewId="0" topLeftCell="A1">
      <selection activeCell="C11" sqref="C11"/>
    </sheetView>
  </sheetViews>
  <sheetFormatPr defaultColWidth="9.00390625" defaultRowHeight="15.75"/>
  <cols>
    <col min="1" max="1" width="5.125" style="1" customWidth="1"/>
    <col min="2" max="2" width="33.625" style="12" customWidth="1"/>
    <col min="3" max="3" width="16.50390625" style="1" customWidth="1"/>
    <col min="4" max="4" width="14.625" style="1" customWidth="1"/>
    <col min="5" max="5" width="15.75390625" style="1" customWidth="1"/>
    <col min="6" max="6" width="16.625" style="1" customWidth="1"/>
    <col min="7" max="7" width="9.375" style="1" customWidth="1"/>
    <col min="8" max="8" width="14.00390625" style="1" customWidth="1"/>
    <col min="9" max="9" width="15.375" style="1" customWidth="1"/>
    <col min="10" max="10" width="16.375" style="1" hidden="1" customWidth="1"/>
    <col min="11" max="11" width="13.375" style="1" customWidth="1"/>
    <col min="12" max="12" width="7.625" style="1" customWidth="1"/>
    <col min="13" max="13" width="14.375" style="31" customWidth="1"/>
    <col min="14" max="14" width="11.75390625" style="31" customWidth="1"/>
    <col min="15" max="15" width="11.875" style="31" hidden="1" customWidth="1"/>
    <col min="16" max="16" width="13.50390625" style="1" customWidth="1"/>
    <col min="17" max="17" width="14.50390625" style="1" customWidth="1"/>
    <col min="18" max="18" width="14.00390625" style="1" customWidth="1"/>
    <col min="19" max="19" width="11.875" style="1" hidden="1" customWidth="1"/>
    <col min="20" max="20" width="13.25390625" style="1" customWidth="1"/>
    <col min="21" max="21" width="13.625" style="31" customWidth="1"/>
    <col min="22" max="22" width="14.00390625" style="1" customWidth="1"/>
    <col min="23" max="23" width="9.00390625" style="18" customWidth="1"/>
    <col min="24" max="25" width="8.875" style="18" customWidth="1"/>
    <col min="26" max="165" width="9.00390625" style="18" customWidth="1"/>
    <col min="166" max="16384" width="9.00390625" style="1" customWidth="1"/>
  </cols>
  <sheetData>
    <row r="1" spans="1:22" s="18" customFormat="1" ht="95.25" customHeight="1">
      <c r="A1" s="33"/>
      <c r="B1" s="34"/>
      <c r="I1" s="35"/>
      <c r="M1" s="4"/>
      <c r="N1" s="4"/>
      <c r="O1" s="4"/>
      <c r="P1" s="77" t="s">
        <v>64</v>
      </c>
      <c r="Q1" s="77"/>
      <c r="R1" s="77"/>
      <c r="S1" s="77"/>
      <c r="T1" s="77"/>
      <c r="U1" s="77"/>
      <c r="V1" s="77"/>
    </row>
    <row r="2" spans="1:22" s="10" customFormat="1" ht="15.75" customHeight="1">
      <c r="A2" s="36"/>
      <c r="B2" s="3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33.75" customHeight="1">
      <c r="A3" s="78" t="s">
        <v>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10" customFormat="1" ht="26.2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48.75" customHeight="1">
      <c r="A5" s="23"/>
      <c r="B5" s="23"/>
      <c r="C5" s="23"/>
      <c r="D5"/>
      <c r="E5" s="23"/>
      <c r="F5" s="4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</row>
    <row r="6" spans="1:165" s="2" customFormat="1" ht="84" customHeight="1">
      <c r="A6" s="73" t="s">
        <v>0</v>
      </c>
      <c r="B6" s="73"/>
      <c r="C6" s="69" t="s">
        <v>74</v>
      </c>
      <c r="D6" s="69" t="s">
        <v>75</v>
      </c>
      <c r="E6" s="70" t="s">
        <v>76</v>
      </c>
      <c r="F6" s="70" t="s">
        <v>77</v>
      </c>
      <c r="G6" s="69" t="s">
        <v>49</v>
      </c>
      <c r="H6" s="69"/>
      <c r="I6" s="69" t="s">
        <v>37</v>
      </c>
      <c r="J6" s="69" t="s">
        <v>65</v>
      </c>
      <c r="K6" s="69" t="s">
        <v>66</v>
      </c>
      <c r="L6" s="80" t="s">
        <v>52</v>
      </c>
      <c r="M6" s="81"/>
      <c r="N6" s="69" t="s">
        <v>1</v>
      </c>
      <c r="O6" s="69" t="s">
        <v>68</v>
      </c>
      <c r="P6" s="69" t="s">
        <v>67</v>
      </c>
      <c r="Q6" s="69" t="s">
        <v>79</v>
      </c>
      <c r="R6" s="69" t="s">
        <v>3</v>
      </c>
      <c r="S6" s="69" t="s">
        <v>69</v>
      </c>
      <c r="T6" s="69" t="s">
        <v>70</v>
      </c>
      <c r="U6" s="69" t="s">
        <v>80</v>
      </c>
      <c r="V6" s="70" t="s">
        <v>81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s="2" customFormat="1" ht="15.75" customHeight="1">
      <c r="A7" s="73"/>
      <c r="B7" s="73"/>
      <c r="C7" s="69"/>
      <c r="D7" s="69"/>
      <c r="E7" s="71"/>
      <c r="F7" s="74"/>
      <c r="G7" s="69"/>
      <c r="H7" s="69"/>
      <c r="I7" s="69"/>
      <c r="J7" s="69"/>
      <c r="K7" s="69"/>
      <c r="L7" s="82"/>
      <c r="M7" s="83"/>
      <c r="N7" s="69"/>
      <c r="O7" s="69"/>
      <c r="P7" s="69"/>
      <c r="Q7" s="69"/>
      <c r="R7" s="69"/>
      <c r="S7" s="69"/>
      <c r="T7" s="69"/>
      <c r="U7" s="69"/>
      <c r="V7" s="74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2" customFormat="1" ht="111.75" customHeight="1">
      <c r="A8" s="73"/>
      <c r="B8" s="73"/>
      <c r="C8" s="69"/>
      <c r="D8" s="69"/>
      <c r="E8" s="72"/>
      <c r="F8" s="75"/>
      <c r="G8" s="53" t="s">
        <v>51</v>
      </c>
      <c r="H8" s="53" t="s">
        <v>78</v>
      </c>
      <c r="I8" s="69"/>
      <c r="J8" s="69"/>
      <c r="K8" s="69"/>
      <c r="L8" s="53" t="s">
        <v>51</v>
      </c>
      <c r="M8" s="53" t="s">
        <v>78</v>
      </c>
      <c r="N8" s="69"/>
      <c r="O8" s="69"/>
      <c r="P8" s="69"/>
      <c r="Q8" s="69"/>
      <c r="R8" s="69"/>
      <c r="S8" s="69"/>
      <c r="T8" s="69"/>
      <c r="U8" s="69"/>
      <c r="V8" s="75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pans="1:165" s="2" customFormat="1" ht="18.7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 t="s">
        <v>53</v>
      </c>
      <c r="J9" s="55"/>
      <c r="K9" s="54">
        <v>10</v>
      </c>
      <c r="L9" s="54">
        <v>11</v>
      </c>
      <c r="M9" s="54">
        <v>12</v>
      </c>
      <c r="N9" s="54" t="s">
        <v>55</v>
      </c>
      <c r="O9" s="54"/>
      <c r="P9" s="54">
        <v>14</v>
      </c>
      <c r="Q9" s="54">
        <v>15</v>
      </c>
      <c r="R9" s="54" t="s">
        <v>56</v>
      </c>
      <c r="S9" s="54"/>
      <c r="T9" s="54">
        <v>17</v>
      </c>
      <c r="U9" s="54">
        <v>18</v>
      </c>
      <c r="V9" s="54">
        <v>19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8" customFormat="1" ht="15.75">
      <c r="A10" s="84" t="s">
        <v>43</v>
      </c>
      <c r="B10" s="84"/>
      <c r="C10" s="56">
        <f>C11+C18+C23</f>
        <v>4957785286.076676</v>
      </c>
      <c r="D10" s="56">
        <f>D11+D18+D23</f>
        <v>3557908773.0868692</v>
      </c>
      <c r="E10" s="56">
        <f>E11+E18+E23</f>
        <v>404552425.7118628</v>
      </c>
      <c r="F10" s="56">
        <f>C10+E10</f>
        <v>5362337711.788539</v>
      </c>
      <c r="G10" s="56">
        <f>G11+G18+G23</f>
        <v>6569</v>
      </c>
      <c r="H10" s="56">
        <f>H11+H18+H23</f>
        <v>5091592077.307472</v>
      </c>
      <c r="I10" s="57">
        <f>H10/C10</f>
        <v>1.0269892267433556</v>
      </c>
      <c r="J10" s="57">
        <v>0.9690948569487736</v>
      </c>
      <c r="K10" s="57">
        <f>I10-J10</f>
        <v>0.05789436979458196</v>
      </c>
      <c r="L10" s="56">
        <f>L11+L18+L23</f>
        <v>6430</v>
      </c>
      <c r="M10" s="56">
        <f>M11+M18+M23</f>
        <v>4869417490.210643</v>
      </c>
      <c r="N10" s="57">
        <f>M10/C10</f>
        <v>0.9821759534213385</v>
      </c>
      <c r="O10" s="57">
        <v>0.9623976136621365</v>
      </c>
      <c r="P10" s="57">
        <f>N10-O10</f>
        <v>0.019778339759201957</v>
      </c>
      <c r="Q10" s="56">
        <f>Q11+Q18+Q23</f>
        <v>3526706478.833359</v>
      </c>
      <c r="R10" s="57">
        <f aca="true" t="shared" si="0" ref="R10:R31">Q10/C10</f>
        <v>0.7113471591312507</v>
      </c>
      <c r="S10" s="57">
        <v>0.6619422233379624</v>
      </c>
      <c r="T10" s="57">
        <f>R10-S10</f>
        <v>0.04940493579328831</v>
      </c>
      <c r="U10" s="56">
        <f>U11+U18+U23</f>
        <v>845454483.3125594</v>
      </c>
      <c r="V10" s="56">
        <f>V11+V18+V23</f>
        <v>56075287.80428114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9" customFormat="1" ht="15.75">
      <c r="A11" s="13" t="s">
        <v>38</v>
      </c>
      <c r="B11" s="14" t="s">
        <v>44</v>
      </c>
      <c r="C11" s="58">
        <f>SUM(C12:C17)</f>
        <v>653302854</v>
      </c>
      <c r="D11" s="58">
        <f>SUM(D12:D17)</f>
        <v>626870197.5600597</v>
      </c>
      <c r="E11" s="58">
        <f>SUM(E12:E17)</f>
        <v>74945343.22513816</v>
      </c>
      <c r="F11" s="58">
        <f>C11+E11</f>
        <v>728248197.2251382</v>
      </c>
      <c r="G11" s="58">
        <f>SUM(G12:G17)</f>
        <v>996</v>
      </c>
      <c r="H11" s="58">
        <f>SUM(H12:H17)</f>
        <v>711889260.3058606</v>
      </c>
      <c r="I11" s="59">
        <f aca="true" t="shared" si="1" ref="I11:I31">H11/C11</f>
        <v>1.0896772545032547</v>
      </c>
      <c r="J11" s="59">
        <v>1.0652376817669584</v>
      </c>
      <c r="K11" s="59">
        <f aca="true" t="shared" si="2" ref="K11:K31">I11-J11</f>
        <v>0.024439572736296267</v>
      </c>
      <c r="L11" s="58">
        <f>SUM(L12:L17)</f>
        <v>990</v>
      </c>
      <c r="M11" s="58">
        <f>SUM(M12:M17)</f>
        <v>709860936.1642791</v>
      </c>
      <c r="N11" s="59">
        <f aca="true" t="shared" si="3" ref="N11:N31">M11/C11</f>
        <v>1.086572531893882</v>
      </c>
      <c r="O11" s="59">
        <v>1.0605931584479453</v>
      </c>
      <c r="P11" s="59">
        <f aca="true" t="shared" si="4" ref="P11:P31">N11-O11</f>
        <v>0.025979373445936593</v>
      </c>
      <c r="Q11" s="58">
        <f>SUM(Q12:Q17)</f>
        <v>607331357.0639894</v>
      </c>
      <c r="R11" s="59">
        <f t="shared" si="0"/>
        <v>0.9296321810710924</v>
      </c>
      <c r="S11" s="59">
        <v>0.8875960987038879</v>
      </c>
      <c r="T11" s="59">
        <f aca="true" t="shared" si="5" ref="T11:T31">R11-S11</f>
        <v>0.042036082367204464</v>
      </c>
      <c r="U11" s="58">
        <f>SUM(U12:U17)</f>
        <v>41723875.97395575</v>
      </c>
      <c r="V11" s="58">
        <f>SUM(V12:V17)</f>
        <v>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24" ht="15.75">
      <c r="A12" s="15" t="s">
        <v>20</v>
      </c>
      <c r="B12" s="16" t="s">
        <v>4</v>
      </c>
      <c r="C12" s="52">
        <v>130218669</v>
      </c>
      <c r="D12" s="52">
        <v>118000716.48710024</v>
      </c>
      <c r="E12" s="52">
        <v>15300739.608767167</v>
      </c>
      <c r="F12" s="52">
        <f>(C12+E12)</f>
        <v>145519408.60876715</v>
      </c>
      <c r="G12" s="51">
        <v>135</v>
      </c>
      <c r="H12" s="64">
        <v>144229524.53315577</v>
      </c>
      <c r="I12" s="60">
        <f t="shared" si="1"/>
        <v>1.1075948298408407</v>
      </c>
      <c r="J12" s="60">
        <v>1.0270612756890012</v>
      </c>
      <c r="K12" s="60">
        <f t="shared" si="2"/>
        <v>0.08053355415183949</v>
      </c>
      <c r="L12" s="51">
        <v>131</v>
      </c>
      <c r="M12" s="64">
        <v>142241509.38241673</v>
      </c>
      <c r="N12" s="60">
        <f t="shared" si="3"/>
        <v>1.0923280853255897</v>
      </c>
      <c r="O12" s="60">
        <v>1.0046987732842951</v>
      </c>
      <c r="P12" s="60">
        <f t="shared" si="4"/>
        <v>0.08762931204129454</v>
      </c>
      <c r="Q12" s="64">
        <v>117333288.64092977</v>
      </c>
      <c r="R12" s="60">
        <f t="shared" si="0"/>
        <v>0.9010481334356887</v>
      </c>
      <c r="S12" s="61">
        <v>0.8736636987308276</v>
      </c>
      <c r="T12" s="61">
        <f t="shared" si="5"/>
        <v>0.02738443470486107</v>
      </c>
      <c r="U12" s="64">
        <v>27869463.861901753</v>
      </c>
      <c r="V12" s="64">
        <v>0</v>
      </c>
      <c r="X12" s="38"/>
    </row>
    <row r="13" spans="1:24" ht="15.75">
      <c r="A13" s="15" t="s">
        <v>21</v>
      </c>
      <c r="B13" s="16" t="s">
        <v>5</v>
      </c>
      <c r="C13" s="52">
        <v>146074144</v>
      </c>
      <c r="D13" s="52">
        <v>142747149.1198115</v>
      </c>
      <c r="E13" s="52">
        <v>11723565.887502063</v>
      </c>
      <c r="F13" s="52">
        <f aca="true" t="shared" si="6" ref="F13:F31">(C13+E13)</f>
        <v>157797709.88750207</v>
      </c>
      <c r="G13" s="51">
        <v>93</v>
      </c>
      <c r="H13" s="51">
        <f>110127478.76/0.702804</f>
        <v>156697285.10367045</v>
      </c>
      <c r="I13" s="60">
        <f t="shared" si="1"/>
        <v>1.0727243084420912</v>
      </c>
      <c r="J13" s="60">
        <v>1.0347719098541053</v>
      </c>
      <c r="K13" s="60">
        <f t="shared" si="2"/>
        <v>0.037952398587985936</v>
      </c>
      <c r="L13" s="51">
        <v>93</v>
      </c>
      <c r="M13" s="51">
        <f>110127478.76/0.702804</f>
        <v>156697285.10367045</v>
      </c>
      <c r="N13" s="60">
        <f t="shared" si="3"/>
        <v>1.0727243084420912</v>
      </c>
      <c r="O13" s="60">
        <v>1.0347719098541053</v>
      </c>
      <c r="P13" s="60">
        <f t="shared" si="4"/>
        <v>0.037952398587985936</v>
      </c>
      <c r="Q13" s="64">
        <v>131952381.332491</v>
      </c>
      <c r="R13" s="60">
        <f t="shared" si="0"/>
        <v>0.9033246933317028</v>
      </c>
      <c r="S13" s="61">
        <v>0.8462381514888846</v>
      </c>
      <c r="T13" s="61">
        <f t="shared" si="5"/>
        <v>0.05708654184281825</v>
      </c>
      <c r="U13" s="64">
        <v>3360209.3329007803</v>
      </c>
      <c r="V13" s="64">
        <v>0</v>
      </c>
      <c r="X13" s="38"/>
    </row>
    <row r="14" spans="1:24" ht="31.5">
      <c r="A14" s="15" t="s">
        <v>45</v>
      </c>
      <c r="B14" s="16" t="s">
        <v>6</v>
      </c>
      <c r="C14" s="52">
        <v>283123269</v>
      </c>
      <c r="D14" s="52">
        <v>285285451.8187149</v>
      </c>
      <c r="E14" s="52">
        <v>43189049.86311974</v>
      </c>
      <c r="F14" s="52">
        <f t="shared" si="6"/>
        <v>326312318.8631197</v>
      </c>
      <c r="G14" s="51">
        <v>137</v>
      </c>
      <c r="H14" s="64">
        <v>316176653.27744293</v>
      </c>
      <c r="I14" s="60">
        <f t="shared" si="1"/>
        <v>1.1167455589015642</v>
      </c>
      <c r="J14" s="60">
        <v>1.1164698892501086</v>
      </c>
      <c r="K14" s="60">
        <f t="shared" si="2"/>
        <v>0.0002756696514556456</v>
      </c>
      <c r="L14" s="51">
        <v>137</v>
      </c>
      <c r="M14" s="64">
        <v>316176653.27744293</v>
      </c>
      <c r="N14" s="60">
        <f t="shared" si="3"/>
        <v>1.1167455589015642</v>
      </c>
      <c r="O14" s="60">
        <v>1.1164698892501086</v>
      </c>
      <c r="P14" s="60">
        <f t="shared" si="4"/>
        <v>0.0002756696514556456</v>
      </c>
      <c r="Q14" s="64">
        <v>276741368.4611926</v>
      </c>
      <c r="R14" s="60">
        <f t="shared" si="0"/>
        <v>0.9774589331306167</v>
      </c>
      <c r="S14" s="61">
        <v>0.9330037542836316</v>
      </c>
      <c r="T14" s="61">
        <f t="shared" si="5"/>
        <v>0.04445517884698513</v>
      </c>
      <c r="U14" s="64">
        <v>2216988.2356958697</v>
      </c>
      <c r="V14" s="64">
        <v>0</v>
      </c>
      <c r="X14" s="38"/>
    </row>
    <row r="15" spans="1:24" ht="15.75">
      <c r="A15" s="15" t="s">
        <v>22</v>
      </c>
      <c r="B15" s="16" t="s">
        <v>7</v>
      </c>
      <c r="C15" s="52">
        <v>51591383</v>
      </c>
      <c r="D15" s="52">
        <v>48308078.11281666</v>
      </c>
      <c r="E15" s="52">
        <v>4731987.865749199</v>
      </c>
      <c r="F15" s="52">
        <f t="shared" si="6"/>
        <v>56323370.865749195</v>
      </c>
      <c r="G15" s="51">
        <v>105</v>
      </c>
      <c r="H15" s="51">
        <f>37723240.11/0.702804</f>
        <v>53675334.958252944</v>
      </c>
      <c r="I15" s="60">
        <f t="shared" si="1"/>
        <v>1.0403934114007556</v>
      </c>
      <c r="J15" s="60">
        <v>1.0420394406872568</v>
      </c>
      <c r="K15" s="60">
        <f>I15-J15</f>
        <v>-0.0016460292865012605</v>
      </c>
      <c r="L15" s="51">
        <v>105</v>
      </c>
      <c r="M15" s="64">
        <v>53675334.958252944</v>
      </c>
      <c r="N15" s="60">
        <f t="shared" si="3"/>
        <v>1.0403934114007556</v>
      </c>
      <c r="O15" s="60">
        <v>1.0420394406872568</v>
      </c>
      <c r="P15" s="60">
        <f t="shared" si="4"/>
        <v>-0.0016460292865012605</v>
      </c>
      <c r="Q15" s="64">
        <v>48192097.27036271</v>
      </c>
      <c r="R15" s="60">
        <f t="shared" si="0"/>
        <v>0.9341113664342495</v>
      </c>
      <c r="S15" s="61">
        <v>0.9011230866860364</v>
      </c>
      <c r="T15" s="61">
        <f t="shared" si="5"/>
        <v>0.03298827974821317</v>
      </c>
      <c r="U15" s="64">
        <v>3326409.098411506</v>
      </c>
      <c r="V15" s="64">
        <v>0</v>
      </c>
      <c r="X15" s="38"/>
    </row>
    <row r="16" spans="1:24" ht="30" customHeight="1">
      <c r="A16" s="15" t="s">
        <v>23</v>
      </c>
      <c r="B16" s="16" t="s">
        <v>8</v>
      </c>
      <c r="C16" s="52">
        <v>24014672</v>
      </c>
      <c r="D16" s="52">
        <v>20413901.514504757</v>
      </c>
      <c r="E16" s="52">
        <v>0</v>
      </c>
      <c r="F16" s="52">
        <f t="shared" si="6"/>
        <v>24014672</v>
      </c>
      <c r="G16" s="51">
        <v>481</v>
      </c>
      <c r="H16" s="64">
        <v>23170920.555375326</v>
      </c>
      <c r="I16" s="60">
        <f t="shared" si="1"/>
        <v>0.9648651689007173</v>
      </c>
      <c r="J16" s="60">
        <v>0.9693859696182981</v>
      </c>
      <c r="K16" s="60">
        <f t="shared" si="2"/>
        <v>-0.004520800717580875</v>
      </c>
      <c r="L16" s="51">
        <v>479</v>
      </c>
      <c r="M16" s="64">
        <v>23130611.56453293</v>
      </c>
      <c r="N16" s="60">
        <f t="shared" si="3"/>
        <v>0.9631866537478808</v>
      </c>
      <c r="O16" s="60">
        <v>0.9642947053620137</v>
      </c>
      <c r="P16" s="60">
        <f t="shared" si="4"/>
        <v>-0.0011080516141328545</v>
      </c>
      <c r="Q16" s="64">
        <v>19528739.719751168</v>
      </c>
      <c r="R16" s="60">
        <f t="shared" si="0"/>
        <v>0.8132003518412064</v>
      </c>
      <c r="S16" s="61">
        <v>0.782206195321923</v>
      </c>
      <c r="T16" s="61">
        <f t="shared" si="5"/>
        <v>0.03099415651928339</v>
      </c>
      <c r="U16" s="64">
        <v>4950805.445045846</v>
      </c>
      <c r="V16" s="64">
        <v>0</v>
      </c>
      <c r="X16" s="38"/>
    </row>
    <row r="17" spans="1:24" ht="15.75">
      <c r="A17" s="15" t="s">
        <v>24</v>
      </c>
      <c r="B17" s="16" t="s">
        <v>9</v>
      </c>
      <c r="C17" s="52">
        <v>18280717</v>
      </c>
      <c r="D17" s="52">
        <f>(53215003.35*0.16)/0.702804</f>
        <v>12114900.507111514</v>
      </c>
      <c r="E17" s="52">
        <v>0</v>
      </c>
      <c r="F17" s="52">
        <f t="shared" si="6"/>
        <v>18280717</v>
      </c>
      <c r="G17" s="51">
        <v>45</v>
      </c>
      <c r="H17" s="64">
        <v>17939541.87796313</v>
      </c>
      <c r="I17" s="60">
        <f t="shared" si="1"/>
        <v>0.9813368850884311</v>
      </c>
      <c r="J17" s="60">
        <v>0.9785446406298857</v>
      </c>
      <c r="K17" s="60">
        <f t="shared" si="2"/>
        <v>0.002792244458545423</v>
      </c>
      <c r="L17" s="51">
        <v>45</v>
      </c>
      <c r="M17" s="64">
        <v>17939541.87796313</v>
      </c>
      <c r="N17" s="60">
        <f t="shared" si="3"/>
        <v>0.9813368850884311</v>
      </c>
      <c r="O17" s="60">
        <v>0.9785446406298857</v>
      </c>
      <c r="P17" s="60">
        <f t="shared" si="4"/>
        <v>0.002792244458545423</v>
      </c>
      <c r="Q17" s="51">
        <f>9546525.23/0.702804</f>
        <v>13583481.639262157</v>
      </c>
      <c r="R17" s="60">
        <f t="shared" si="0"/>
        <v>0.7430497195083845</v>
      </c>
      <c r="S17" s="61">
        <v>0.7143342609323113</v>
      </c>
      <c r="T17" s="61">
        <f t="shared" si="5"/>
        <v>0.02871545857607316</v>
      </c>
      <c r="U17" s="64">
        <v>0</v>
      </c>
      <c r="V17" s="64">
        <v>0</v>
      </c>
      <c r="X17" s="38"/>
    </row>
    <row r="18" spans="1:165" s="9" customFormat="1" ht="15.75">
      <c r="A18" s="13" t="s">
        <v>39</v>
      </c>
      <c r="B18" s="14" t="s">
        <v>40</v>
      </c>
      <c r="C18" s="40">
        <f>SUM(C19:C22)</f>
        <v>775171697.998304</v>
      </c>
      <c r="D18" s="40">
        <f>SUM(D19:D22)</f>
        <v>487763272.5824611</v>
      </c>
      <c r="E18" s="40">
        <f>SUM(E19:E22)</f>
        <v>66611103.52246145</v>
      </c>
      <c r="F18" s="40">
        <f>C18+E18</f>
        <v>841782801.5207654</v>
      </c>
      <c r="G18" s="58">
        <f>SUM(G19:G22)</f>
        <v>2423</v>
      </c>
      <c r="H18" s="58">
        <f>SUM(H19:H22)</f>
        <v>666751299.2527077</v>
      </c>
      <c r="I18" s="63">
        <f t="shared" si="1"/>
        <v>0.8601336980883512</v>
      </c>
      <c r="J18" s="63">
        <v>0.8493242617193455</v>
      </c>
      <c r="K18" s="63">
        <f t="shared" si="2"/>
        <v>0.010809436369005665</v>
      </c>
      <c r="L18" s="58">
        <f>SUM(L19:L22)</f>
        <v>2346</v>
      </c>
      <c r="M18" s="58">
        <f>SUM(M19:M22)</f>
        <v>656564379.357545</v>
      </c>
      <c r="N18" s="63">
        <f t="shared" si="3"/>
        <v>0.8469921967648792</v>
      </c>
      <c r="O18" s="63">
        <v>0.8423497249370032</v>
      </c>
      <c r="P18" s="63">
        <f t="shared" si="4"/>
        <v>0.004642471827876027</v>
      </c>
      <c r="Q18" s="58">
        <f>SUM(Q19:Q22)</f>
        <v>466645947.93142897</v>
      </c>
      <c r="R18" s="63">
        <f t="shared" si="0"/>
        <v>0.6019904353273356</v>
      </c>
      <c r="S18" s="59">
        <v>0.5844016276720405</v>
      </c>
      <c r="T18" s="59">
        <f t="shared" si="5"/>
        <v>0.017588807655295136</v>
      </c>
      <c r="U18" s="58">
        <f>SUM(U19:U22)</f>
        <v>46457789.426355004</v>
      </c>
      <c r="V18" s="58">
        <f>SUM(V19:V22)</f>
        <v>41669144.83981309</v>
      </c>
      <c r="W18" s="18"/>
      <c r="X18" s="3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</row>
    <row r="19" spans="1:24" ht="15.75">
      <c r="A19" s="15" t="s">
        <v>25</v>
      </c>
      <c r="B19" s="16" t="s">
        <v>10</v>
      </c>
      <c r="C19" s="52">
        <v>499599617.98737633</v>
      </c>
      <c r="D19" s="52">
        <v>244688370.48451632</v>
      </c>
      <c r="E19" s="52">
        <v>58073872.658664435</v>
      </c>
      <c r="F19" s="52">
        <f t="shared" si="6"/>
        <v>557673490.6460408</v>
      </c>
      <c r="G19" s="51">
        <v>445</v>
      </c>
      <c r="H19" s="64">
        <v>402399304.9698067</v>
      </c>
      <c r="I19" s="60">
        <f t="shared" si="1"/>
        <v>0.8054435801829903</v>
      </c>
      <c r="J19" s="60">
        <v>0.8068272682426701</v>
      </c>
      <c r="K19" s="60">
        <f t="shared" si="2"/>
        <v>-0.0013836880596798107</v>
      </c>
      <c r="L19" s="51">
        <v>441</v>
      </c>
      <c r="M19" s="51">
        <f>281992547.37/0.702804</f>
        <v>401239246.46131784</v>
      </c>
      <c r="N19" s="60">
        <f t="shared" si="3"/>
        <v>0.8031216038108664</v>
      </c>
      <c r="O19" s="60">
        <v>0.7966827349439841</v>
      </c>
      <c r="P19" s="60">
        <f t="shared" si="4"/>
        <v>0.006438868866882275</v>
      </c>
      <c r="Q19" s="64">
        <v>248987606.65847093</v>
      </c>
      <c r="R19" s="60">
        <f t="shared" si="0"/>
        <v>0.49837429352230256</v>
      </c>
      <c r="S19" s="61">
        <v>0.4779728929611965</v>
      </c>
      <c r="T19" s="61">
        <f t="shared" si="5"/>
        <v>0.020401400561106064</v>
      </c>
      <c r="U19" s="64">
        <v>45563983.99838362</v>
      </c>
      <c r="V19" s="64">
        <v>41316774.25000427</v>
      </c>
      <c r="X19" s="38"/>
    </row>
    <row r="20" spans="1:24" ht="15.75">
      <c r="A20" s="15" t="s">
        <v>26</v>
      </c>
      <c r="B20" s="16" t="s">
        <v>47</v>
      </c>
      <c r="C20" s="52">
        <v>165649101.0011326</v>
      </c>
      <c r="D20" s="52">
        <v>184625882.67930177</v>
      </c>
      <c r="E20" s="52">
        <v>0</v>
      </c>
      <c r="F20" s="52">
        <f t="shared" si="6"/>
        <v>165649101.0011326</v>
      </c>
      <c r="G20" s="51">
        <v>4</v>
      </c>
      <c r="H20" s="64">
        <v>165649101.0011326</v>
      </c>
      <c r="I20" s="60">
        <f t="shared" si="1"/>
        <v>1</v>
      </c>
      <c r="J20" s="60">
        <v>1</v>
      </c>
      <c r="K20" s="60">
        <f t="shared" si="2"/>
        <v>0</v>
      </c>
      <c r="L20" s="51">
        <v>4</v>
      </c>
      <c r="M20" s="64">
        <v>165649101.0011326</v>
      </c>
      <c r="N20" s="60">
        <f t="shared" si="3"/>
        <v>1</v>
      </c>
      <c r="O20" s="60">
        <v>1</v>
      </c>
      <c r="P20" s="60">
        <f t="shared" si="4"/>
        <v>0</v>
      </c>
      <c r="Q20" s="64">
        <v>165649101.0011326</v>
      </c>
      <c r="R20" s="60">
        <f t="shared" si="0"/>
        <v>1</v>
      </c>
      <c r="S20" s="61">
        <v>1</v>
      </c>
      <c r="T20" s="61">
        <f t="shared" si="5"/>
        <v>0</v>
      </c>
      <c r="U20" s="64">
        <v>0</v>
      </c>
      <c r="V20" s="64">
        <v>0</v>
      </c>
      <c r="X20" s="38"/>
    </row>
    <row r="21" spans="1:24" ht="15.75">
      <c r="A21" s="15" t="s">
        <v>27</v>
      </c>
      <c r="B21" s="16" t="s">
        <v>11</v>
      </c>
      <c r="C21" s="52">
        <v>86937923.00556058</v>
      </c>
      <c r="D21" s="52">
        <v>42548212.50305917</v>
      </c>
      <c r="E21" s="52">
        <v>8537230.863797018</v>
      </c>
      <c r="F21" s="52">
        <f t="shared" si="6"/>
        <v>95475153.8693576</v>
      </c>
      <c r="G21" s="51">
        <v>1939</v>
      </c>
      <c r="H21" s="64">
        <v>75840851.11923097</v>
      </c>
      <c r="I21" s="60">
        <f t="shared" si="1"/>
        <v>0.8723563721942168</v>
      </c>
      <c r="J21" s="60">
        <v>0.7690682116270879</v>
      </c>
      <c r="K21" s="60">
        <f t="shared" si="2"/>
        <v>0.10328816056712886</v>
      </c>
      <c r="L21" s="51">
        <v>1866</v>
      </c>
      <c r="M21" s="64">
        <v>66813989.73255702</v>
      </c>
      <c r="N21" s="60">
        <f t="shared" si="3"/>
        <v>0.7685252582843919</v>
      </c>
      <c r="O21" s="60">
        <v>0.7651774059838511</v>
      </c>
      <c r="P21" s="60">
        <f t="shared" si="4"/>
        <v>0.003347852300540799</v>
      </c>
      <c r="Q21" s="64">
        <v>37582432.89736541</v>
      </c>
      <c r="R21" s="60">
        <f t="shared" si="0"/>
        <v>0.43229043894873853</v>
      </c>
      <c r="S21" s="61">
        <v>0.40437638747890764</v>
      </c>
      <c r="T21" s="61">
        <f t="shared" si="5"/>
        <v>0.02791405146983089</v>
      </c>
      <c r="U21" s="64">
        <v>893805.4279713832</v>
      </c>
      <c r="V21" s="64">
        <v>352370.58980882296</v>
      </c>
      <c r="X21" s="38"/>
    </row>
    <row r="22" spans="1:24" ht="15.75">
      <c r="A22" s="15" t="s">
        <v>28</v>
      </c>
      <c r="B22" s="16" t="s">
        <v>9</v>
      </c>
      <c r="C22" s="52">
        <v>22985056.004234467</v>
      </c>
      <c r="D22" s="52">
        <f>(53215003.35*0.21)/0.702804</f>
        <v>15900806.915583862</v>
      </c>
      <c r="E22" s="52">
        <v>0</v>
      </c>
      <c r="F22" s="52">
        <f t="shared" si="6"/>
        <v>22985056.004234467</v>
      </c>
      <c r="G22" s="51">
        <v>35</v>
      </c>
      <c r="H22" s="64">
        <v>22862042.162537493</v>
      </c>
      <c r="I22" s="60">
        <f t="shared" si="1"/>
        <v>0.9946480947588593</v>
      </c>
      <c r="J22" s="60">
        <v>0.9906976557177737</v>
      </c>
      <c r="K22" s="60">
        <f t="shared" si="2"/>
        <v>0.003950439041085607</v>
      </c>
      <c r="L22" s="51">
        <v>35</v>
      </c>
      <c r="M22" s="64">
        <v>22862042.162537493</v>
      </c>
      <c r="N22" s="60">
        <f t="shared" si="3"/>
        <v>0.9946480947588593</v>
      </c>
      <c r="O22" s="60">
        <v>0.9906976557177737</v>
      </c>
      <c r="P22" s="60">
        <f t="shared" si="4"/>
        <v>0.003950439041085607</v>
      </c>
      <c r="Q22" s="51">
        <f>10139217.93/0.702804</f>
        <v>14426807.37446002</v>
      </c>
      <c r="R22" s="60">
        <f t="shared" si="0"/>
        <v>0.6276603098901395</v>
      </c>
      <c r="S22" s="61">
        <v>0.5835001203077433</v>
      </c>
      <c r="T22" s="61">
        <f t="shared" si="5"/>
        <v>0.0441601895823962</v>
      </c>
      <c r="U22" s="64">
        <v>0</v>
      </c>
      <c r="V22" s="64">
        <v>0</v>
      </c>
      <c r="X22" s="38"/>
    </row>
    <row r="23" spans="1:165" s="9" customFormat="1" ht="15.75">
      <c r="A23" s="13" t="s">
        <v>41</v>
      </c>
      <c r="B23" s="14" t="s">
        <v>42</v>
      </c>
      <c r="C23" s="58">
        <f>SUM(C24:C31)</f>
        <v>3529310734.0783725</v>
      </c>
      <c r="D23" s="58">
        <f>SUM(D24:D31)</f>
        <v>2443275302.9443483</v>
      </c>
      <c r="E23" s="58">
        <f>SUM(E24:E31)</f>
        <v>262995978.96426317</v>
      </c>
      <c r="F23" s="58">
        <f>C23+E23</f>
        <v>3792306713.0426354</v>
      </c>
      <c r="G23" s="58">
        <f>SUM(G24:G31)</f>
        <v>3150</v>
      </c>
      <c r="H23" s="58">
        <f>H24+H25+H26+H27+H28+H29+H30+H31</f>
        <v>3712951517.7489033</v>
      </c>
      <c r="I23" s="63">
        <f t="shared" si="1"/>
        <v>1.0520330448371489</v>
      </c>
      <c r="J23" s="63">
        <v>0.9776042787972831</v>
      </c>
      <c r="K23" s="63">
        <f t="shared" si="2"/>
        <v>0.07442876603986581</v>
      </c>
      <c r="L23" s="58">
        <f>SUM(L24:L31)</f>
        <v>3094</v>
      </c>
      <c r="M23" s="58">
        <f>M24+M25+M26+M27+M28+M29+M30+M31</f>
        <v>3502992174.6888185</v>
      </c>
      <c r="N23" s="63">
        <f t="shared" si="3"/>
        <v>0.9925428613764645</v>
      </c>
      <c r="O23" s="63">
        <v>0.9705879653499405</v>
      </c>
      <c r="P23" s="63">
        <f t="shared" si="4"/>
        <v>0.021954896026524007</v>
      </c>
      <c r="Q23" s="58">
        <f>Q24+Q25+Q26+Q27+Q28+Q29+Q30+Q31</f>
        <v>2452729173.8379407</v>
      </c>
      <c r="R23" s="63">
        <f t="shared" si="0"/>
        <v>0.6949598260518239</v>
      </c>
      <c r="S23" s="59">
        <v>0.6372028189272907</v>
      </c>
      <c r="T23" s="59">
        <f t="shared" si="5"/>
        <v>0.057757007124533244</v>
      </c>
      <c r="U23" s="58">
        <f>U24+U25+U26+U27+U28+U29+U30+U31</f>
        <v>757272817.9122486</v>
      </c>
      <c r="V23" s="58">
        <f>V24+V25+V26+V27+V28+V29+V30+V31</f>
        <v>14406142.964468045</v>
      </c>
      <c r="W23" s="18"/>
      <c r="X23" s="3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</row>
    <row r="24" spans="1:24" ht="31.5">
      <c r="A24" s="15" t="s">
        <v>29</v>
      </c>
      <c r="B24" s="16" t="s">
        <v>12</v>
      </c>
      <c r="C24" s="52">
        <v>561258187.019425</v>
      </c>
      <c r="D24" s="52">
        <v>424852862.4196789</v>
      </c>
      <c r="E24" s="52">
        <f>38871547/0.702804</f>
        <v>55309228.4619894</v>
      </c>
      <c r="F24" s="52">
        <f t="shared" si="6"/>
        <v>616567415.4814144</v>
      </c>
      <c r="G24" s="51">
        <v>708</v>
      </c>
      <c r="H24" s="64">
        <f>462414706.1/0.702804</f>
        <v>657956850.131758</v>
      </c>
      <c r="I24" s="60">
        <f t="shared" si="1"/>
        <v>1.1722890914533532</v>
      </c>
      <c r="J24" s="60">
        <v>0.9701434511968895</v>
      </c>
      <c r="K24" s="60">
        <f t="shared" si="2"/>
        <v>0.20214564025646375</v>
      </c>
      <c r="L24" s="51">
        <v>703</v>
      </c>
      <c r="M24" s="64">
        <f>415815299.17/0.702804</f>
        <v>591651867.6188525</v>
      </c>
      <c r="N24" s="60">
        <f t="shared" si="3"/>
        <v>1.0541527612467156</v>
      </c>
      <c r="O24" s="60">
        <v>0.9700853736998446</v>
      </c>
      <c r="P24" s="60">
        <f t="shared" si="4"/>
        <v>0.08406738754687104</v>
      </c>
      <c r="Q24" s="64">
        <v>423669063.33771574</v>
      </c>
      <c r="R24" s="60">
        <f t="shared" si="0"/>
        <v>0.7548559168243414</v>
      </c>
      <c r="S24" s="61">
        <v>0.712540422235113</v>
      </c>
      <c r="T24" s="61">
        <f t="shared" si="5"/>
        <v>0.04231549458922834</v>
      </c>
      <c r="U24" s="64">
        <v>140809414.87242532</v>
      </c>
      <c r="V24" s="64">
        <v>0</v>
      </c>
      <c r="X24" s="38"/>
    </row>
    <row r="25" spans="1:24" ht="31.5">
      <c r="A25" s="15" t="s">
        <v>30</v>
      </c>
      <c r="B25" s="16" t="s">
        <v>13</v>
      </c>
      <c r="C25" s="52">
        <v>564273066.032635</v>
      </c>
      <c r="D25" s="52">
        <v>416301178.0382582</v>
      </c>
      <c r="E25" s="52">
        <v>44060672.67687719</v>
      </c>
      <c r="F25" s="52">
        <f t="shared" si="6"/>
        <v>608333738.7095121</v>
      </c>
      <c r="G25" s="51">
        <v>374</v>
      </c>
      <c r="H25" s="64">
        <v>580598315.8177813</v>
      </c>
      <c r="I25" s="60">
        <f t="shared" si="1"/>
        <v>1.0289314708921482</v>
      </c>
      <c r="J25" s="60">
        <v>1.07333264408046</v>
      </c>
      <c r="K25" s="60">
        <f t="shared" si="2"/>
        <v>-0.04440117318831183</v>
      </c>
      <c r="L25" s="51">
        <v>374</v>
      </c>
      <c r="M25" s="64">
        <v>578065248.2769022</v>
      </c>
      <c r="N25" s="60">
        <f t="shared" si="3"/>
        <v>1.0244423898188852</v>
      </c>
      <c r="O25" s="60">
        <v>1.07333264408046</v>
      </c>
      <c r="P25" s="60">
        <f t="shared" si="4"/>
        <v>-0.048890254261574784</v>
      </c>
      <c r="Q25" s="51">
        <f>272183300.03/0.702804</f>
        <v>387281944.93770665</v>
      </c>
      <c r="R25" s="60">
        <f t="shared" si="0"/>
        <v>0.6863378180721247</v>
      </c>
      <c r="S25" s="61">
        <v>0.6112827705342239</v>
      </c>
      <c r="T25" s="61">
        <f t="shared" si="5"/>
        <v>0.07505504753790082</v>
      </c>
      <c r="U25" s="64">
        <v>57476481.89253334</v>
      </c>
      <c r="V25" s="64">
        <v>0</v>
      </c>
      <c r="X25" s="38"/>
    </row>
    <row r="26" spans="1:165" s="6" customFormat="1" ht="31.5">
      <c r="A26" s="15" t="s">
        <v>31</v>
      </c>
      <c r="B26" s="16" t="s">
        <v>14</v>
      </c>
      <c r="C26" s="52">
        <v>938076097.0199373</v>
      </c>
      <c r="D26" s="52">
        <v>581622054.7264955</v>
      </c>
      <c r="E26" s="52">
        <v>44233577.21356168</v>
      </c>
      <c r="F26" s="52">
        <f t="shared" si="6"/>
        <v>982309674.2334989</v>
      </c>
      <c r="G26" s="51">
        <v>46</v>
      </c>
      <c r="H26" s="64">
        <v>939908621.2087581</v>
      </c>
      <c r="I26" s="60">
        <f t="shared" si="1"/>
        <v>1.0019534920404032</v>
      </c>
      <c r="J26" s="60">
        <v>0.8751237937165871</v>
      </c>
      <c r="K26" s="60">
        <f t="shared" si="2"/>
        <v>0.12682969832381608</v>
      </c>
      <c r="L26" s="51">
        <v>40</v>
      </c>
      <c r="M26" s="64">
        <v>832560234.1762427</v>
      </c>
      <c r="N26" s="60">
        <f t="shared" si="3"/>
        <v>0.8875188663490143</v>
      </c>
      <c r="O26" s="60">
        <v>0.8751237937165871</v>
      </c>
      <c r="P26" s="60">
        <f t="shared" si="4"/>
        <v>0.012395072632427229</v>
      </c>
      <c r="Q26" s="64">
        <v>585989643.9690156</v>
      </c>
      <c r="R26" s="60">
        <f t="shared" si="0"/>
        <v>0.624671757259967</v>
      </c>
      <c r="S26" s="61">
        <v>0.5557578267968776</v>
      </c>
      <c r="T26" s="61">
        <f t="shared" si="5"/>
        <v>0.06891393046308947</v>
      </c>
      <c r="U26" s="64">
        <v>123667211.64079887</v>
      </c>
      <c r="V26" s="64">
        <v>0</v>
      </c>
      <c r="W26" s="11"/>
      <c r="X26" s="3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>
      <c r="A27" s="15" t="s">
        <v>32</v>
      </c>
      <c r="B27" s="16" t="s">
        <v>15</v>
      </c>
      <c r="C27" s="52">
        <v>368770504</v>
      </c>
      <c r="D27" s="52">
        <v>202192369.45151135</v>
      </c>
      <c r="E27" s="52">
        <v>41607638.82960256</v>
      </c>
      <c r="F27" s="52">
        <f t="shared" si="6"/>
        <v>410378142.82960254</v>
      </c>
      <c r="G27" s="51">
        <v>1459</v>
      </c>
      <c r="H27" s="64">
        <f>282510374.73/0.702804</f>
        <v>401976048.41463625</v>
      </c>
      <c r="I27" s="60">
        <f t="shared" si="1"/>
        <v>1.0900439271971607</v>
      </c>
      <c r="J27" s="60">
        <v>1.0710143204275997</v>
      </c>
      <c r="K27" s="60">
        <f t="shared" si="2"/>
        <v>0.019029606769561003</v>
      </c>
      <c r="L27" s="51">
        <v>1442</v>
      </c>
      <c r="M27" s="51">
        <f>279876043.99/0.702804</f>
        <v>398227733.46480674</v>
      </c>
      <c r="N27" s="60">
        <f t="shared" si="3"/>
        <v>1.079879570478898</v>
      </c>
      <c r="O27" s="60">
        <v>1.0173374654762437</v>
      </c>
      <c r="P27" s="60">
        <f t="shared" si="4"/>
        <v>0.06254210500265422</v>
      </c>
      <c r="Q27" s="64">
        <v>222007957.36791483</v>
      </c>
      <c r="R27" s="60">
        <f t="shared" si="0"/>
        <v>0.6020220027356494</v>
      </c>
      <c r="S27" s="61">
        <v>0.5278334317069245</v>
      </c>
      <c r="T27" s="61">
        <f t="shared" si="5"/>
        <v>0.07418857102872489</v>
      </c>
      <c r="U27" s="64">
        <v>71747804.4376526</v>
      </c>
      <c r="V27" s="64">
        <v>53276.78840757879</v>
      </c>
      <c r="W27" s="11"/>
      <c r="X27" s="39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>
      <c r="A28" s="15" t="s">
        <v>33</v>
      </c>
      <c r="B28" s="16" t="s">
        <v>16</v>
      </c>
      <c r="C28" s="52">
        <v>704174472.0007285</v>
      </c>
      <c r="D28" s="52">
        <v>492449834.3065776</v>
      </c>
      <c r="E28" s="52">
        <v>5520670.058793063</v>
      </c>
      <c r="F28" s="52">
        <f t="shared" si="6"/>
        <v>709695142.0595216</v>
      </c>
      <c r="G28" s="51">
        <v>361</v>
      </c>
      <c r="H28" s="64">
        <v>658478187.9016056</v>
      </c>
      <c r="I28" s="60">
        <f t="shared" si="1"/>
        <v>0.9351065880458733</v>
      </c>
      <c r="J28" s="60">
        <v>0.898936045586699</v>
      </c>
      <c r="K28" s="60">
        <f t="shared" si="2"/>
        <v>0.03617054245917428</v>
      </c>
      <c r="L28" s="51">
        <v>334</v>
      </c>
      <c r="M28" s="64">
        <v>633544713.8035641</v>
      </c>
      <c r="N28" s="60">
        <f t="shared" si="3"/>
        <v>0.899698496600582</v>
      </c>
      <c r="O28" s="60">
        <v>0.8927871820692674</v>
      </c>
      <c r="P28" s="60">
        <f t="shared" si="4"/>
        <v>0.00691131453131455</v>
      </c>
      <c r="Q28" s="64">
        <v>498184684.278974</v>
      </c>
      <c r="R28" s="60">
        <f t="shared" si="0"/>
        <v>0.7074733664563441</v>
      </c>
      <c r="S28" s="61">
        <v>0.6682940857169213</v>
      </c>
      <c r="T28" s="61">
        <f t="shared" si="5"/>
        <v>0.039179280739422784</v>
      </c>
      <c r="U28" s="64">
        <v>197605214.5975265</v>
      </c>
      <c r="V28" s="64">
        <v>14352866.176060466</v>
      </c>
      <c r="W28" s="11"/>
      <c r="X28" s="3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ht="15.75">
      <c r="A29" s="15" t="s">
        <v>34</v>
      </c>
      <c r="B29" s="16" t="s">
        <v>17</v>
      </c>
      <c r="C29" s="52">
        <v>322948363.0002106</v>
      </c>
      <c r="D29" s="52">
        <v>278154583.2550754</v>
      </c>
      <c r="E29" s="52">
        <v>72264191.72343925</v>
      </c>
      <c r="F29" s="52">
        <f t="shared" si="6"/>
        <v>395212554.72364986</v>
      </c>
      <c r="G29" s="51">
        <v>122</v>
      </c>
      <c r="H29" s="64">
        <v>405709200.5594732</v>
      </c>
      <c r="I29" s="60">
        <f t="shared" si="1"/>
        <v>1.2562664717988017</v>
      </c>
      <c r="J29" s="60">
        <v>1.1868083042263895</v>
      </c>
      <c r="K29" s="60">
        <f t="shared" si="2"/>
        <v>0.06945816757241219</v>
      </c>
      <c r="L29" s="51">
        <v>121</v>
      </c>
      <c r="M29" s="64">
        <v>400618083.6335593</v>
      </c>
      <c r="N29" s="60">
        <f t="shared" si="3"/>
        <v>1.240501979671896</v>
      </c>
      <c r="O29" s="60">
        <v>1.184932337697234</v>
      </c>
      <c r="P29" s="60">
        <f t="shared" si="4"/>
        <v>0.055569641974661854</v>
      </c>
      <c r="Q29" s="64">
        <v>295249973.6626428</v>
      </c>
      <c r="R29" s="60">
        <f t="shared" si="0"/>
        <v>0.9142327612989023</v>
      </c>
      <c r="S29" s="61">
        <v>0.8664203019217102</v>
      </c>
      <c r="T29" s="61">
        <f t="shared" si="5"/>
        <v>0.04781245937719214</v>
      </c>
      <c r="U29" s="64">
        <v>165966690.47131208</v>
      </c>
      <c r="V29" s="64">
        <v>0</v>
      </c>
      <c r="W29" s="11"/>
      <c r="X29" s="3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24" ht="15.75">
      <c r="A30" s="15" t="s">
        <v>35</v>
      </c>
      <c r="B30" s="16" t="s">
        <v>18</v>
      </c>
      <c r="C30" s="52">
        <v>57610045.00543537</v>
      </c>
      <c r="D30" s="52">
        <f>(53215003.35*0.52)/0.702804</f>
        <v>39373426.64811242</v>
      </c>
      <c r="E30" s="52">
        <v>0</v>
      </c>
      <c r="F30" s="52">
        <f t="shared" si="6"/>
        <v>57610045.00543537</v>
      </c>
      <c r="G30" s="51">
        <v>46</v>
      </c>
      <c r="H30" s="64">
        <v>57373192.66822613</v>
      </c>
      <c r="I30" s="60">
        <f t="shared" si="1"/>
        <v>0.995888697236968</v>
      </c>
      <c r="J30" s="60">
        <v>0.9909461628462988</v>
      </c>
      <c r="K30" s="60">
        <f t="shared" si="2"/>
        <v>0.004942534390669273</v>
      </c>
      <c r="L30" s="51">
        <v>46</v>
      </c>
      <c r="M30" s="64">
        <v>57373192.66822613</v>
      </c>
      <c r="N30" s="60">
        <f t="shared" si="3"/>
        <v>0.995888697236968</v>
      </c>
      <c r="O30" s="60">
        <v>0.9909461628462988</v>
      </c>
      <c r="P30" s="60">
        <f t="shared" si="4"/>
        <v>0.004942534390669273</v>
      </c>
      <c r="Q30" s="51">
        <f>24290150.77/0.702804</f>
        <v>34561770.80665449</v>
      </c>
      <c r="R30" s="60">
        <f t="shared" si="0"/>
        <v>0.5999261205818129</v>
      </c>
      <c r="S30" s="61">
        <v>0.5611384217995427</v>
      </c>
      <c r="T30" s="61">
        <f t="shared" si="5"/>
        <v>0.038787698782270286</v>
      </c>
      <c r="U30" s="64">
        <v>0</v>
      </c>
      <c r="V30" s="64">
        <v>0</v>
      </c>
      <c r="X30" s="38"/>
    </row>
    <row r="31" spans="1:24" ht="15.75">
      <c r="A31" s="15" t="s">
        <v>36</v>
      </c>
      <c r="B31" s="16" t="s">
        <v>19</v>
      </c>
      <c r="C31" s="52">
        <v>12200000.000000002</v>
      </c>
      <c r="D31" s="52">
        <f>(53215003.35*0.11)/0.702804</f>
        <v>8328994.098639165</v>
      </c>
      <c r="E31" s="52">
        <v>0</v>
      </c>
      <c r="F31" s="52">
        <f t="shared" si="6"/>
        <v>12200000.000000002</v>
      </c>
      <c r="G31" s="51">
        <v>34</v>
      </c>
      <c r="H31" s="64">
        <v>10951101.046664504</v>
      </c>
      <c r="I31" s="60">
        <f t="shared" si="1"/>
        <v>0.897631233333156</v>
      </c>
      <c r="J31" s="60">
        <v>0.8893727430570619</v>
      </c>
      <c r="K31" s="60">
        <f t="shared" si="2"/>
        <v>0.008258490276094044</v>
      </c>
      <c r="L31" s="51">
        <v>34</v>
      </c>
      <c r="M31" s="64">
        <v>10951101.046664504</v>
      </c>
      <c r="N31" s="60">
        <f t="shared" si="3"/>
        <v>0.897631233333156</v>
      </c>
      <c r="O31" s="60">
        <v>0.8893727430570619</v>
      </c>
      <c r="P31" s="60">
        <f t="shared" si="4"/>
        <v>0.008258490276094044</v>
      </c>
      <c r="Q31" s="51">
        <f>4065113.55/0.702804</f>
        <v>5784135.477316578</v>
      </c>
      <c r="R31" s="60">
        <f t="shared" si="0"/>
        <v>0.4741094653538178</v>
      </c>
      <c r="S31" s="61">
        <v>0.43547568377387774</v>
      </c>
      <c r="T31" s="61">
        <f t="shared" si="5"/>
        <v>0.038633781579940074</v>
      </c>
      <c r="U31" s="64">
        <v>0</v>
      </c>
      <c r="V31" s="64">
        <v>0</v>
      </c>
      <c r="X31" s="38"/>
    </row>
    <row r="32" spans="1:22" s="18" customFormat="1" ht="18.75" customHeight="1">
      <c r="A32" s="79" t="s">
        <v>61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2:21" ht="9.75" customHeight="1">
      <c r="B33" s="1"/>
      <c r="F33" s="44"/>
      <c r="M33" s="1"/>
      <c r="N33" s="1"/>
      <c r="O33" s="1"/>
      <c r="U33" s="1"/>
    </row>
    <row r="34" spans="1:23" ht="41.25" customHeight="1">
      <c r="A34" s="25"/>
      <c r="C34"/>
      <c r="D34"/>
      <c r="E34" s="49"/>
      <c r="F34"/>
      <c r="G34" s="26"/>
      <c r="H34" s="27"/>
      <c r="I34" s="25"/>
      <c r="J34" s="3"/>
      <c r="M34" s="45" t="s">
        <v>72</v>
      </c>
      <c r="N34" s="45"/>
      <c r="O34" s="46"/>
      <c r="P34" s="46"/>
      <c r="Q34" s="50"/>
      <c r="R34" s="50"/>
      <c r="S34" s="50"/>
      <c r="T34" s="50"/>
      <c r="U34" s="76" t="s">
        <v>73</v>
      </c>
      <c r="V34" s="76"/>
      <c r="W34" s="19"/>
    </row>
    <row r="35" spans="3:23" ht="24.75" customHeight="1">
      <c r="C35"/>
      <c r="D35"/>
      <c r="E35"/>
      <c r="F35"/>
      <c r="G35" s="29"/>
      <c r="H35" s="5"/>
      <c r="I35" s="42"/>
      <c r="J35" s="28"/>
      <c r="K35" s="28"/>
      <c r="L35" s="28"/>
      <c r="M35" s="45"/>
      <c r="N35" s="28"/>
      <c r="O35" s="28"/>
      <c r="P35" s="28"/>
      <c r="Q35" s="20"/>
      <c r="R35" s="20"/>
      <c r="S35" s="20"/>
      <c r="T35" s="20"/>
      <c r="W35" s="22"/>
    </row>
    <row r="36" spans="1:23" ht="19.5" customHeight="1">
      <c r="A36" s="47" t="s">
        <v>71</v>
      </c>
      <c r="B36" s="48"/>
      <c r="C36"/>
      <c r="D36"/>
      <c r="E36"/>
      <c r="F36"/>
      <c r="G36" s="29"/>
      <c r="H36" s="5"/>
      <c r="I36" s="42"/>
      <c r="J36" s="41"/>
      <c r="K36" s="41"/>
      <c r="L36" s="28"/>
      <c r="M36" s="28"/>
      <c r="N36" s="28"/>
      <c r="O36" s="28"/>
      <c r="P36" s="28"/>
      <c r="Q36" s="20"/>
      <c r="R36" s="20"/>
      <c r="S36" s="20"/>
      <c r="T36" s="20"/>
      <c r="U36" s="21"/>
      <c r="V36" s="20"/>
      <c r="W36" s="22"/>
    </row>
    <row r="37" spans="1:9" ht="17.25" customHeight="1">
      <c r="A37" s="47" t="s">
        <v>60</v>
      </c>
      <c r="B37" s="48"/>
      <c r="I37" s="20"/>
    </row>
    <row r="38" spans="1:9" ht="19.5" customHeight="1">
      <c r="A38" s="47" t="s">
        <v>59</v>
      </c>
      <c r="B38" s="48"/>
      <c r="I38" s="20"/>
    </row>
    <row r="39" spans="4:9" ht="23.25">
      <c r="D39" s="30"/>
      <c r="E39" s="30"/>
      <c r="F39" s="30"/>
      <c r="G39" s="30"/>
      <c r="I39" s="20"/>
    </row>
    <row r="40" spans="4:9" ht="23.25">
      <c r="D40" s="30"/>
      <c r="E40" s="30"/>
      <c r="F40" s="30"/>
      <c r="G40" s="30"/>
      <c r="I40" s="20"/>
    </row>
    <row r="41" spans="4:9" ht="23.25">
      <c r="D41" s="30"/>
      <c r="E41" s="30"/>
      <c r="F41" s="30"/>
      <c r="G41" s="30"/>
      <c r="I41" s="20"/>
    </row>
    <row r="42" spans="4:9" ht="23.25">
      <c r="D42" s="30"/>
      <c r="E42" s="30"/>
      <c r="F42" s="30"/>
      <c r="G42" s="30"/>
      <c r="I42" s="20"/>
    </row>
    <row r="43" spans="4:7" ht="15.75">
      <c r="D43" s="30"/>
      <c r="E43" s="30"/>
      <c r="F43" s="30"/>
      <c r="G43" s="30"/>
    </row>
    <row r="44" spans="4:7" ht="15.75">
      <c r="D44" s="30"/>
      <c r="E44" s="30"/>
      <c r="F44" s="30"/>
      <c r="G44" s="30"/>
    </row>
    <row r="45" spans="4:7" ht="15.75">
      <c r="D45" s="30"/>
      <c r="E45" s="30"/>
      <c r="F45" s="30"/>
      <c r="G45" s="30"/>
    </row>
    <row r="46" spans="4:7" ht="15.75">
      <c r="D46" s="30"/>
      <c r="E46" s="30"/>
      <c r="F46" s="30"/>
      <c r="G46" s="30"/>
    </row>
    <row r="47" spans="4:7" ht="15.75">
      <c r="D47" s="30"/>
      <c r="E47" s="30"/>
      <c r="F47" s="30"/>
      <c r="G47" s="30"/>
    </row>
    <row r="48" spans="4:7" ht="15.75">
      <c r="D48" s="30"/>
      <c r="E48" s="30"/>
      <c r="F48" s="30"/>
      <c r="G48" s="30"/>
    </row>
    <row r="49" spans="4:7" ht="15.75">
      <c r="D49" s="30"/>
      <c r="E49" s="30"/>
      <c r="F49" s="30"/>
      <c r="G49" s="30"/>
    </row>
    <row r="50" spans="4:7" ht="15.75">
      <c r="D50" s="30"/>
      <c r="E50" s="30"/>
      <c r="F50" s="30"/>
      <c r="G50" s="30"/>
    </row>
    <row r="51" spans="4:7" ht="15.75">
      <c r="D51" s="30"/>
      <c r="E51" s="30"/>
      <c r="F51" s="30"/>
      <c r="G51" s="30"/>
    </row>
    <row r="52" spans="4:7" ht="15.75">
      <c r="D52" s="30"/>
      <c r="E52" s="30"/>
      <c r="F52" s="30"/>
      <c r="G52" s="30"/>
    </row>
    <row r="53" spans="4:7" ht="15.75">
      <c r="D53" s="30"/>
      <c r="E53" s="30"/>
      <c r="F53" s="30"/>
      <c r="G53" s="30"/>
    </row>
    <row r="54" spans="4:7" ht="15.75">
      <c r="D54" s="30"/>
      <c r="E54" s="30"/>
      <c r="F54" s="30"/>
      <c r="G54" s="30"/>
    </row>
    <row r="55" spans="4:7" ht="15.75">
      <c r="D55" s="30"/>
      <c r="E55" s="30"/>
      <c r="F55" s="30"/>
      <c r="G55" s="30"/>
    </row>
    <row r="56" spans="4:7" ht="15.75">
      <c r="D56" s="30"/>
      <c r="E56" s="30"/>
      <c r="F56" s="30"/>
      <c r="G56" s="30"/>
    </row>
    <row r="57" spans="4:7" ht="15.75">
      <c r="D57" s="32"/>
      <c r="E57" s="32"/>
      <c r="F57" s="32"/>
      <c r="G57" s="32"/>
    </row>
    <row r="58" spans="4:7" ht="15.75">
      <c r="D58" s="30"/>
      <c r="E58" s="30"/>
      <c r="F58" s="30"/>
      <c r="G58" s="30"/>
    </row>
    <row r="59" spans="4:7" ht="15.75">
      <c r="D59" s="30"/>
      <c r="E59" s="30"/>
      <c r="F59" s="30"/>
      <c r="G59" s="30"/>
    </row>
    <row r="60" spans="4:7" ht="15.75">
      <c r="D60" s="10"/>
      <c r="E60" s="10"/>
      <c r="F60" s="10"/>
      <c r="G60" s="10"/>
    </row>
  </sheetData>
  <sheetProtection selectLockedCells="1" selectUnlockedCells="1"/>
  <mergeCells count="25">
    <mergeCell ref="U34:V34"/>
    <mergeCell ref="Q6:Q8"/>
    <mergeCell ref="R6:R8"/>
    <mergeCell ref="S6:S8"/>
    <mergeCell ref="T6:T8"/>
    <mergeCell ref="U6:U8"/>
    <mergeCell ref="V6:V8"/>
    <mergeCell ref="A10:B10"/>
    <mergeCell ref="K6:K8"/>
    <mergeCell ref="A32:V32"/>
    <mergeCell ref="J6:J8"/>
    <mergeCell ref="D6:D8"/>
    <mergeCell ref="L6:M7"/>
    <mergeCell ref="N6:N8"/>
    <mergeCell ref="O6:O8"/>
    <mergeCell ref="P6:P8"/>
    <mergeCell ref="P1:V1"/>
    <mergeCell ref="A3:V3"/>
    <mergeCell ref="A4:V4"/>
    <mergeCell ref="A6:B8"/>
    <mergeCell ref="C6:C8"/>
    <mergeCell ref="E6:E8"/>
    <mergeCell ref="F6:F8"/>
    <mergeCell ref="G6:H7"/>
    <mergeCell ref="I6:I8"/>
  </mergeCells>
  <printOptions/>
  <pageMargins left="0.25" right="0.25" top="0.75" bottom="0.75" header="0.3" footer="0.3"/>
  <pageSetup fitToHeight="1" fitToWidth="1" horizontalDpi="600" verticalDpi="600" orientation="landscape" paperSize="9" scale="48" r:id="rId1"/>
  <headerFooter>
    <oddHeader>&amp;C&amp;P</oddHeader>
    <oddFooter>&amp;L&amp;F; 2007.-2013.gada plānošanas perioda ES fondu apguve līdz 2013.gada 31. decembrim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prioritāšu līmenī līdz 2013.gada 31.decembrim</dc:subject>
  <dc:creator>Artūrs Šluburs</dc:creator>
  <cp:keywords/>
  <dc:description>Artūrs Šluburs
Finanšu ministrijas Eiropas Savienības fondu uzraudzības departamenta
Uzņēmējdarbības un inovāciju uzraudzības nodaļas vecākais eksperts
Tālr. 67083964, fakss 67095697
Arturs.Sluburs@fm.gov.lv</dc:description>
  <cp:lastModifiedBy>Artūrs Šluburs</cp:lastModifiedBy>
  <cp:lastPrinted>2014-01-30T10:05:19Z</cp:lastPrinted>
  <dcterms:created xsi:type="dcterms:W3CDTF">2011-06-22T11:07:26Z</dcterms:created>
  <dcterms:modified xsi:type="dcterms:W3CDTF">2014-02-28T13:22:02Z</dcterms:modified>
  <cp:category/>
  <cp:version/>
  <cp:contentType/>
  <cp:contentStatus/>
</cp:coreProperties>
</file>