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525" yWindow="195" windowWidth="15075" windowHeight="12480" firstSheet="1" activeTab="1"/>
  </bookViews>
  <sheets>
    <sheet name="pielikums Nr.1" sheetId="2" state="hidden" r:id="rId1"/>
    <sheet name="cet.plāni" sheetId="7" r:id="rId2"/>
    <sheet name="Apguve dalījumā pa ministr" sheetId="3" state="hidden" r:id="rId3"/>
  </sheets>
  <definedNames>
    <definedName name="_xlnm._FilterDatabase" localSheetId="1" hidden="1">cet.plāni!$A$17:$V$190</definedName>
    <definedName name="_xlnm._FilterDatabase" localSheetId="0" hidden="1">'pielikums Nr.1'!$A$12:$AU$262</definedName>
    <definedName name="_xlnm.Print_Area" localSheetId="1">cet.plāni!$A$1:$V$194</definedName>
    <definedName name="_xlnm.Print_Area" localSheetId="0">'pielikums Nr.1'!$A$1:$AU$262</definedName>
    <definedName name="_xlnm.Print_Titles" localSheetId="1">cet.plāni!$9:$11</definedName>
    <definedName name="_xlnm.Print_Titles" localSheetId="0">'pielikums Nr.1'!$5:$6</definedName>
  </definedNames>
  <calcPr calcId="145621"/>
  <customWorkbookViews>
    <customWorkbookView name="Inga Balode - Personal View" guid="{8B78E06E-42F5-46F9-BC31-BE4230723415}" mergeInterval="0" personalView="1" maximized="1" xWindow="1" yWindow="1" windowWidth="1024" windowHeight="542" activeSheetId="1"/>
    <customWorkbookView name="Grante Dita - Personal View" guid="{071BD56D-49F3-4830-AA49-832AB18442DA}" mergeInterval="0" personalView="1" maximized="1" xWindow="1" yWindow="1" windowWidth="1280" windowHeight="804" activeSheetId="1" showComments="commIndAndComment"/>
    <customWorkbookView name="fsd-vilde - Personal View" guid="{CE2F9B1E-42A5-4921-AD2C-BAA2FAE8F84E}" mergeInterval="0" personalView="1" maximized="1" xWindow="1" yWindow="1" windowWidth="1152" windowHeight="643" activeSheetId="1"/>
    <customWorkbookView name="fud-albin - Personal View" guid="{CA72AE52-AB7B-4B59-88FC-62C104034738}" mergeInterval="0" personalView="1" maximized="1" xWindow="1" yWindow="1" windowWidth="1280" windowHeight="782" activeSheetId="1"/>
    <customWorkbookView name="es-dolbu - Personal View" guid="{D16958F7-EADF-470B-BCCB-C285D64A9969}" mergeInterval="0" personalView="1" maximized="1" xWindow="1" yWindow="1" windowWidth="1152" windowHeight="643" activeSheetId="1"/>
    <customWorkbookView name="es-drazn - Personal View" guid="{66F78BDC-EF00-417C-8719-D1DD7D4F8A6F}" mergeInterval="0" personalView="1" maximized="1" xWindow="1" yWindow="1" windowWidth="1152" windowHeight="643" activeSheetId="1"/>
    <customWorkbookView name="it-breik - Personal View" guid="{4D9D6020-4B9F-4592-AF04-6BE675921256}" mergeInterval="0" personalView="1" maximized="1" xWindow="1" yWindow="1" windowWidth="1280" windowHeight="805" activeSheetId="1"/>
    <customWorkbookView name="es-murni - Personal View" guid="{B630F875-ABC6-47AE-A71B-262D51AE3B53}" mergeInterval="0" personalView="1" maximized="1" xWindow="1" yWindow="1" windowWidth="1280" windowHeight="803" tabRatio="325" activeSheetId="1"/>
    <customWorkbookView name="pd-auder - Personal View" guid="{1B3811A1-226A-408D-9227-AFDEB1DA163B}" mergeInterval="0" personalView="1" maximized="1" xWindow="1" yWindow="1" windowWidth="1024" windowHeight="547" activeSheetId="1"/>
    <customWorkbookView name="es-sparn - Personal View" guid="{D856094A-916A-479F-90F3-26AD004B3022}" mergeInterval="0" personalView="1" maximized="1" xWindow="1" yWindow="1" windowWidth="1280" windowHeight="768" activeSheetId="1"/>
    <customWorkbookView name="pd-radvi - Personal View" guid="{F0B32F6D-42BD-46A3-BA22-028FEAFE569C}" mergeInterval="0" personalView="1" maximized="1" xWindow="1" yWindow="1" windowWidth="1280" windowHeight="780" activeSheetId="1"/>
    <customWorkbookView name="es-muran - Personal View" guid="{8B7C6BB7-45FF-402B-981E-E6FFFABEA84E}" mergeInterval="0" personalView="1" maximized="1" xWindow="1" yWindow="1" windowWidth="1280" windowHeight="798" activeSheetId="1" showComments="commIndAndComment"/>
  </customWorkbookViews>
</workbook>
</file>

<file path=xl/calcChain.xml><?xml version="1.0" encoding="utf-8"?>
<calcChain xmlns="http://schemas.openxmlformats.org/spreadsheetml/2006/main">
  <c r="K78" i="7" l="1"/>
  <c r="K87" i="7" l="1"/>
  <c r="F75" i="7" l="1"/>
  <c r="H75" i="7"/>
  <c r="J75" i="7"/>
  <c r="T78" i="7" l="1"/>
  <c r="L182" i="7" l="1"/>
  <c r="M182" i="7"/>
  <c r="N182" i="7"/>
  <c r="O182" i="7"/>
  <c r="P182" i="7"/>
  <c r="Q182" i="7"/>
  <c r="R182" i="7"/>
  <c r="S182" i="7"/>
  <c r="T182" i="7"/>
  <c r="U182" i="7"/>
  <c r="O20" i="7" l="1"/>
  <c r="P20" i="7"/>
  <c r="U20" i="7"/>
  <c r="N20" i="7"/>
  <c r="J182" i="7" l="1"/>
  <c r="J15" i="7" s="1"/>
  <c r="J158" i="7"/>
  <c r="J136" i="7"/>
  <c r="J97" i="7"/>
  <c r="J59" i="7"/>
  <c r="J21" i="7"/>
  <c r="J19" i="7"/>
  <c r="J14" i="7"/>
  <c r="J18" i="7" s="1"/>
  <c r="J16" i="7"/>
  <c r="J12" i="7" l="1"/>
  <c r="J20" i="7" s="1"/>
  <c r="V185" i="7" l="1"/>
  <c r="V184" i="7" l="1"/>
  <c r="V183" i="7"/>
  <c r="V181" i="7"/>
  <c r="V180" i="7"/>
  <c r="V179" i="7"/>
  <c r="V178" i="7"/>
  <c r="V177" i="7"/>
  <c r="V176" i="7"/>
  <c r="V175" i="7"/>
  <c r="V174" i="7"/>
  <c r="V172" i="7"/>
  <c r="V171" i="7"/>
  <c r="V170" i="7"/>
  <c r="V169" i="7"/>
  <c r="V168" i="7"/>
  <c r="V166" i="7"/>
  <c r="V165" i="7"/>
  <c r="V164" i="7"/>
  <c r="V163" i="7"/>
  <c r="V162" i="7"/>
  <c r="V160" i="7"/>
  <c r="V159" i="7"/>
  <c r="V157" i="7"/>
  <c r="V156" i="7"/>
  <c r="V155" i="7"/>
  <c r="V154" i="7"/>
  <c r="V153" i="7"/>
  <c r="V152" i="7"/>
  <c r="V151" i="7"/>
  <c r="V150" i="7"/>
  <c r="V149" i="7"/>
  <c r="V148" i="7"/>
  <c r="V147" i="7"/>
  <c r="V146" i="7"/>
  <c r="V145" i="7"/>
  <c r="V144" i="7"/>
  <c r="V142" i="7"/>
  <c r="V141" i="7"/>
  <c r="V140" i="7"/>
  <c r="V139" i="7"/>
  <c r="V138" i="7"/>
  <c r="V137" i="7"/>
  <c r="V135" i="7"/>
  <c r="V134" i="7"/>
  <c r="V133" i="7"/>
  <c r="V132" i="7"/>
  <c r="V131" i="7"/>
  <c r="V130" i="7"/>
  <c r="V128" i="7"/>
  <c r="V127" i="7"/>
  <c r="V126" i="7"/>
  <c r="V125" i="7"/>
  <c r="V124" i="7"/>
  <c r="V122" i="7"/>
  <c r="V121" i="7"/>
  <c r="V120" i="7"/>
  <c r="V119" i="7"/>
  <c r="V118" i="7"/>
  <c r="V117" i="7"/>
  <c r="V116" i="7"/>
  <c r="V115" i="7"/>
  <c r="V114" i="7"/>
  <c r="V113" i="7"/>
  <c r="V112" i="7"/>
  <c r="V111" i="7"/>
  <c r="V110" i="7"/>
  <c r="V109" i="7"/>
  <c r="V108" i="7"/>
  <c r="V107" i="7"/>
  <c r="V106" i="7"/>
  <c r="V105" i="7"/>
  <c r="V104" i="7"/>
  <c r="V103" i="7"/>
  <c r="V102" i="7"/>
  <c r="V101" i="7"/>
  <c r="V100" i="7"/>
  <c r="V99" i="7"/>
  <c r="V98" i="7"/>
  <c r="V96" i="7"/>
  <c r="V95" i="7"/>
  <c r="V94" i="7"/>
  <c r="V93" i="7"/>
  <c r="V92" i="7"/>
  <c r="V91" i="7"/>
  <c r="V90" i="7"/>
  <c r="V88" i="7"/>
  <c r="V87" i="7"/>
  <c r="V86" i="7"/>
  <c r="V85" i="7"/>
  <c r="V84" i="7"/>
  <c r="V83" i="7"/>
  <c r="V82" i="7"/>
  <c r="V81" i="7"/>
  <c r="V80" i="7"/>
  <c r="V79" i="7"/>
  <c r="V77" i="7"/>
  <c r="V76" i="7"/>
  <c r="V74" i="7"/>
  <c r="V73" i="7"/>
  <c r="V72" i="7"/>
  <c r="V71" i="7"/>
  <c r="V70" i="7"/>
  <c r="V69" i="7"/>
  <c r="V68" i="7"/>
  <c r="V67" i="7"/>
  <c r="V66" i="7"/>
  <c r="V65" i="7"/>
  <c r="V64" i="7"/>
  <c r="V63" i="7"/>
  <c r="V62" i="7"/>
  <c r="V61" i="7"/>
  <c r="V60" i="7"/>
  <c r="V58" i="7"/>
  <c r="V57" i="7"/>
  <c r="V56" i="7"/>
  <c r="V55" i="7"/>
  <c r="V54" i="7"/>
  <c r="V53" i="7"/>
  <c r="V52" i="7"/>
  <c r="V51" i="7"/>
  <c r="V49" i="7"/>
  <c r="V48" i="7"/>
  <c r="V47" i="7"/>
  <c r="V46" i="7"/>
  <c r="V45" i="7"/>
  <c r="V44" i="7"/>
  <c r="V43" i="7"/>
  <c r="V42" i="7"/>
  <c r="V41" i="7"/>
  <c r="V39" i="7"/>
  <c r="V38" i="7"/>
  <c r="V37" i="7"/>
  <c r="V36" i="7"/>
  <c r="V35" i="7"/>
  <c r="V34" i="7"/>
  <c r="V33" i="7"/>
  <c r="V32" i="7"/>
  <c r="V31" i="7"/>
  <c r="V30" i="7"/>
  <c r="V29" i="7"/>
  <c r="V28" i="7"/>
  <c r="V27" i="7"/>
  <c r="V26" i="7"/>
  <c r="V25" i="7"/>
  <c r="V24" i="7"/>
  <c r="V22" i="7"/>
  <c r="L14" i="7"/>
  <c r="M14" i="7"/>
  <c r="N14" i="7"/>
  <c r="O14" i="7"/>
  <c r="P14" i="7"/>
  <c r="Q14" i="7"/>
  <c r="T14" i="7"/>
  <c r="U14" i="7"/>
  <c r="V182" i="7" l="1"/>
  <c r="V136" i="7"/>
  <c r="S23" i="7"/>
  <c r="Q129" i="7"/>
  <c r="R129" i="7" s="1"/>
  <c r="S129" i="7" s="1"/>
  <c r="V129" i="7" s="1"/>
  <c r="R123" i="7"/>
  <c r="S123" i="7" s="1"/>
  <c r="V123" i="7" s="1"/>
  <c r="V23" i="7" l="1"/>
  <c r="S40" i="7"/>
  <c r="V40" i="7" s="1"/>
  <c r="V14" i="7" s="1"/>
  <c r="R14" i="7"/>
  <c r="V50" i="7" l="1"/>
  <c r="T20" i="7"/>
  <c r="S14" i="7"/>
  <c r="V21" i="7" l="1"/>
  <c r="F182" i="7"/>
  <c r="F15" i="7" s="1"/>
  <c r="G182" i="7"/>
  <c r="G15" i="7" s="1"/>
  <c r="H182" i="7"/>
  <c r="H15" i="7" s="1"/>
  <c r="I182" i="7"/>
  <c r="I15" i="7" s="1"/>
  <c r="L15" i="7"/>
  <c r="M15" i="7"/>
  <c r="N15" i="7"/>
  <c r="P15" i="7"/>
  <c r="T15" i="7"/>
  <c r="U15" i="7"/>
  <c r="E182" i="7"/>
  <c r="E15" i="7" s="1"/>
  <c r="O15" i="7" l="1"/>
  <c r="E59" i="7"/>
  <c r="F59" i="7"/>
  <c r="G59" i="7"/>
  <c r="H59" i="7"/>
  <c r="I59" i="7"/>
  <c r="E75" i="7"/>
  <c r="G75" i="7"/>
  <c r="I75" i="7"/>
  <c r="E97" i="7"/>
  <c r="F97" i="7"/>
  <c r="G97" i="7"/>
  <c r="H97" i="7"/>
  <c r="I97" i="7"/>
  <c r="E136" i="7"/>
  <c r="F136" i="7"/>
  <c r="G136" i="7"/>
  <c r="H136" i="7"/>
  <c r="I136" i="7"/>
  <c r="E158" i="7"/>
  <c r="F158" i="7"/>
  <c r="G158" i="7"/>
  <c r="H158" i="7"/>
  <c r="I158" i="7"/>
  <c r="E21" i="7"/>
  <c r="F21" i="7"/>
  <c r="G21" i="7"/>
  <c r="H21" i="7"/>
  <c r="I21" i="7"/>
  <c r="E14" i="7"/>
  <c r="F14" i="7"/>
  <c r="F18" i="7" s="1"/>
  <c r="G14" i="7"/>
  <c r="G18" i="7" s="1"/>
  <c r="H14" i="7"/>
  <c r="H18" i="7" s="1"/>
  <c r="I14" i="7"/>
  <c r="I18" i="7" s="1"/>
  <c r="E16" i="7"/>
  <c r="F16" i="7"/>
  <c r="G16" i="7"/>
  <c r="H16" i="7"/>
  <c r="I16" i="7"/>
  <c r="E19" i="7"/>
  <c r="F19" i="7"/>
  <c r="G19" i="7"/>
  <c r="H19" i="7"/>
  <c r="I19" i="7"/>
  <c r="L19" i="7"/>
  <c r="M19" i="7"/>
  <c r="L18" i="7"/>
  <c r="L16" i="7"/>
  <c r="M16" i="7"/>
  <c r="M12" i="7" l="1"/>
  <c r="L12" i="7"/>
  <c r="L20" i="7" s="1"/>
  <c r="M18" i="7"/>
  <c r="F12" i="7"/>
  <c r="F20" i="7" s="1"/>
  <c r="H12" i="7"/>
  <c r="H20" i="7" s="1"/>
  <c r="I12" i="7"/>
  <c r="I20" i="7" s="1"/>
  <c r="G12" i="7"/>
  <c r="G20" i="7" s="1"/>
  <c r="E12" i="7"/>
  <c r="E18" i="7"/>
  <c r="M20" i="7" l="1"/>
  <c r="E20" i="7"/>
  <c r="L158" i="7" l="1"/>
  <c r="M158" i="7"/>
  <c r="L97" i="7"/>
  <c r="M97" i="7"/>
  <c r="L75" i="7"/>
  <c r="M75" i="7"/>
  <c r="L59" i="7"/>
  <c r="M59" i="7"/>
  <c r="L21" i="7"/>
  <c r="M21" i="7"/>
  <c r="M136" i="7"/>
  <c r="L136" i="7"/>
  <c r="N19" i="7" l="1"/>
  <c r="O19" i="7"/>
  <c r="P19" i="7"/>
  <c r="Q19" i="7"/>
  <c r="R19" i="7"/>
  <c r="S19" i="7"/>
  <c r="T19" i="7"/>
  <c r="U19" i="7"/>
  <c r="N16" i="7"/>
  <c r="O16" i="7"/>
  <c r="P16" i="7"/>
  <c r="Q16" i="7"/>
  <c r="R16" i="7"/>
  <c r="S16" i="7"/>
  <c r="T16" i="7"/>
  <c r="U16" i="7"/>
  <c r="P18" i="7" l="1"/>
  <c r="Q18" i="7"/>
  <c r="R18" i="7"/>
  <c r="S18" i="7"/>
  <c r="T18" i="7"/>
  <c r="U18" i="7"/>
  <c r="N173" i="7"/>
  <c r="O173" i="7"/>
  <c r="P173" i="7"/>
  <c r="Q173" i="7"/>
  <c r="R173" i="7"/>
  <c r="S173" i="7"/>
  <c r="T173" i="7"/>
  <c r="U173" i="7"/>
  <c r="N167" i="7"/>
  <c r="O167" i="7"/>
  <c r="P167" i="7"/>
  <c r="Q167" i="7"/>
  <c r="R167" i="7"/>
  <c r="S167" i="7"/>
  <c r="T167" i="7"/>
  <c r="U167" i="7"/>
  <c r="N158" i="7"/>
  <c r="O158" i="7"/>
  <c r="P158" i="7"/>
  <c r="Q158" i="7"/>
  <c r="R158" i="7"/>
  <c r="S158" i="7"/>
  <c r="T158" i="7"/>
  <c r="U158" i="7"/>
  <c r="P136" i="7"/>
  <c r="Q136" i="7"/>
  <c r="R136" i="7"/>
  <c r="S136" i="7"/>
  <c r="T136" i="7"/>
  <c r="U136" i="7"/>
  <c r="N97" i="7"/>
  <c r="O97" i="7"/>
  <c r="P97" i="7"/>
  <c r="S97" i="7"/>
  <c r="T97" i="7"/>
  <c r="U97" i="7"/>
  <c r="N75" i="7"/>
  <c r="O75" i="7"/>
  <c r="T75" i="7"/>
  <c r="U75" i="7"/>
  <c r="N59" i="7"/>
  <c r="O59" i="7"/>
  <c r="P59" i="7"/>
  <c r="Q59" i="7"/>
  <c r="R59" i="7"/>
  <c r="S59" i="7"/>
  <c r="T59" i="7"/>
  <c r="U59" i="7"/>
  <c r="N21" i="7"/>
  <c r="O21" i="7"/>
  <c r="P21" i="7"/>
  <c r="Q21" i="7"/>
  <c r="R21" i="7"/>
  <c r="S21" i="7"/>
  <c r="T21" i="7"/>
  <c r="U21" i="7"/>
  <c r="V59" i="7" l="1"/>
  <c r="V97" i="7"/>
  <c r="V158" i="7"/>
  <c r="V167" i="7"/>
  <c r="V173" i="7"/>
  <c r="AL20" i="2"/>
  <c r="AM20" i="2" s="1"/>
  <c r="AL22" i="2"/>
  <c r="AL31" i="2"/>
  <c r="AM34" i="2"/>
  <c r="AL41" i="2"/>
  <c r="AM43" i="2"/>
  <c r="AL46" i="2"/>
  <c r="AL40" i="2" s="1"/>
  <c r="AL49" i="2"/>
  <c r="AL52" i="2"/>
  <c r="AL57" i="2"/>
  <c r="AL56" i="2" s="1"/>
  <c r="AM59" i="2"/>
  <c r="AL68" i="2"/>
  <c r="AM68" i="2" s="1"/>
  <c r="AL73" i="2"/>
  <c r="AL79" i="2"/>
  <c r="AM80" i="2"/>
  <c r="AL87" i="2"/>
  <c r="AL86" i="2" s="1"/>
  <c r="AL95" i="2"/>
  <c r="AL101" i="2"/>
  <c r="AM110" i="2"/>
  <c r="AL112" i="2"/>
  <c r="AL109" i="2" s="1"/>
  <c r="AL116" i="2"/>
  <c r="AL122" i="2"/>
  <c r="AL120" i="2" s="1"/>
  <c r="AL127" i="2"/>
  <c r="AM127" i="2" s="1"/>
  <c r="AL129" i="2"/>
  <c r="AL128" i="2" s="1"/>
  <c r="AL139" i="2"/>
  <c r="AL138" i="2" s="1"/>
  <c r="AL144" i="2"/>
  <c r="AM147" i="2"/>
  <c r="AL156" i="2"/>
  <c r="AM157" i="2"/>
  <c r="AM158" i="2"/>
  <c r="AL159" i="2"/>
  <c r="AM160" i="2"/>
  <c r="AM161" i="2"/>
  <c r="AM163" i="2"/>
  <c r="AM164" i="2"/>
  <c r="AL165" i="2"/>
  <c r="AL162" i="2" s="1"/>
  <c r="AM166" i="2"/>
  <c r="AM167" i="2"/>
  <c r="AL169" i="2"/>
  <c r="AM170" i="2"/>
  <c r="AM171" i="2"/>
  <c r="AM172" i="2"/>
  <c r="AM174" i="2"/>
  <c r="AM175" i="2"/>
  <c r="AM176" i="2"/>
  <c r="AM177" i="2"/>
  <c r="AL179" i="2"/>
  <c r="AL178" i="2" s="1"/>
  <c r="AM180" i="2"/>
  <c r="AM181" i="2"/>
  <c r="AM182" i="2"/>
  <c r="AL183" i="2"/>
  <c r="AM184" i="2"/>
  <c r="AM185" i="2"/>
  <c r="AM188" i="2"/>
  <c r="AM189" i="2"/>
  <c r="AL190" i="2"/>
  <c r="AL187" i="2" s="1"/>
  <c r="AM191" i="2"/>
  <c r="AM192" i="2"/>
  <c r="AM193" i="2"/>
  <c r="AM194" i="2"/>
  <c r="AL196" i="2"/>
  <c r="AM197" i="2"/>
  <c r="AM198" i="2"/>
  <c r="AM199" i="2"/>
  <c r="AM200" i="2"/>
  <c r="AL201" i="2"/>
  <c r="AL195" i="2" s="1"/>
  <c r="AL205" i="2"/>
  <c r="AL204" i="2" s="1"/>
  <c r="AM206" i="2"/>
  <c r="AM207" i="2"/>
  <c r="AM208" i="2"/>
  <c r="AM209" i="2"/>
  <c r="AM210" i="2"/>
  <c r="AM211" i="2"/>
  <c r="AL212" i="2"/>
  <c r="AM213" i="2"/>
  <c r="AL215" i="2"/>
  <c r="AM216" i="2"/>
  <c r="AM217" i="2"/>
  <c r="AM218" i="2"/>
  <c r="AL219" i="2"/>
  <c r="AM220" i="2"/>
  <c r="AM221" i="2"/>
  <c r="AL223" i="2"/>
  <c r="AL222" i="2" s="1"/>
  <c r="AL228" i="2"/>
  <c r="AM229" i="2"/>
  <c r="AM230" i="2"/>
  <c r="AM231" i="2"/>
  <c r="AL232" i="2"/>
  <c r="AM233" i="2"/>
  <c r="AM234" i="2"/>
  <c r="AL236" i="2"/>
  <c r="AM237" i="2"/>
  <c r="AL238" i="2"/>
  <c r="AM239" i="2"/>
  <c r="AM240" i="2"/>
  <c r="AM241" i="2"/>
  <c r="AM242" i="2"/>
  <c r="AM243" i="2"/>
  <c r="AL245" i="2"/>
  <c r="AL244" i="2" s="1"/>
  <c r="AM246" i="2"/>
  <c r="AM247" i="2"/>
  <c r="AM248" i="2"/>
  <c r="AL252" i="2"/>
  <c r="AL251" i="2" s="1"/>
  <c r="AM253" i="2"/>
  <c r="AM254" i="2"/>
  <c r="AL255" i="2"/>
  <c r="AM256" i="2"/>
  <c r="AM259" i="2"/>
  <c r="AM262" i="2"/>
  <c r="AR21" i="2"/>
  <c r="AR24" i="2"/>
  <c r="AR25" i="2"/>
  <c r="AR27" i="2"/>
  <c r="AR28" i="2"/>
  <c r="AR32" i="2"/>
  <c r="AR33" i="2"/>
  <c r="AR35" i="2"/>
  <c r="AR37" i="2"/>
  <c r="AR38" i="2"/>
  <c r="AR39" i="2"/>
  <c r="AR42" i="2"/>
  <c r="AR44" i="2"/>
  <c r="AR45" i="2"/>
  <c r="AR47" i="2"/>
  <c r="AR48" i="2"/>
  <c r="AR50" i="2"/>
  <c r="AR51" i="2"/>
  <c r="AR53" i="2"/>
  <c r="AR54" i="2"/>
  <c r="AR58" i="2"/>
  <c r="AR60" i="2"/>
  <c r="AR61" i="2"/>
  <c r="AR62" i="2"/>
  <c r="AR63" i="2"/>
  <c r="AR65" i="2"/>
  <c r="AR66" i="2"/>
  <c r="AR67" i="2"/>
  <c r="AR69" i="2"/>
  <c r="AR70" i="2"/>
  <c r="AR71" i="2"/>
  <c r="AR72" i="2"/>
  <c r="AR74" i="2"/>
  <c r="AR75" i="2"/>
  <c r="AR83" i="2"/>
  <c r="AR84" i="2"/>
  <c r="AR85" i="2"/>
  <c r="AR89" i="2"/>
  <c r="AR90" i="2"/>
  <c r="AR91" i="2"/>
  <c r="AR93" i="2"/>
  <c r="AR94" i="2"/>
  <c r="AR96" i="2"/>
  <c r="AR98" i="2"/>
  <c r="AR99" i="2"/>
  <c r="AR100" i="2"/>
  <c r="AR102" i="2"/>
  <c r="AR103" i="2"/>
  <c r="AR106" i="2"/>
  <c r="AR110" i="2"/>
  <c r="AR111" i="2"/>
  <c r="AR113" i="2"/>
  <c r="AR114" i="2"/>
  <c r="AR117" i="2"/>
  <c r="AR118" i="2"/>
  <c r="AR119" i="2"/>
  <c r="AR121" i="2"/>
  <c r="AR122" i="2"/>
  <c r="AR123" i="2"/>
  <c r="AR124" i="2"/>
  <c r="AR125" i="2"/>
  <c r="AR126" i="2"/>
  <c r="AR127" i="2"/>
  <c r="AR130" i="2"/>
  <c r="AR132" i="2"/>
  <c r="AR133" i="2"/>
  <c r="AR134" i="2"/>
  <c r="AR136" i="2"/>
  <c r="AR137" i="2"/>
  <c r="AR141" i="2"/>
  <c r="AR142" i="2"/>
  <c r="AR143" i="2"/>
  <c r="AR145" i="2"/>
  <c r="AR146" i="2"/>
  <c r="AR147" i="2"/>
  <c r="AR148" i="2"/>
  <c r="AR151" i="2"/>
  <c r="AR157" i="2"/>
  <c r="AR158" i="2"/>
  <c r="AR160" i="2"/>
  <c r="AR161" i="2"/>
  <c r="AR163" i="2"/>
  <c r="AR164" i="2"/>
  <c r="AR166" i="2"/>
  <c r="AR167" i="2"/>
  <c r="AR170" i="2"/>
  <c r="AR171" i="2"/>
  <c r="AR172" i="2"/>
  <c r="AR173" i="2"/>
  <c r="AR174" i="2"/>
  <c r="AR175" i="2"/>
  <c r="AR176" i="2"/>
  <c r="AR177" i="2"/>
  <c r="AR180" i="2"/>
  <c r="AR181" i="2"/>
  <c r="AR182" i="2"/>
  <c r="AR184" i="2"/>
  <c r="AR185" i="2"/>
  <c r="AR188" i="2"/>
  <c r="AR189" i="2"/>
  <c r="AR191" i="2"/>
  <c r="AR192" i="2"/>
  <c r="AR193" i="2"/>
  <c r="AR194" i="2"/>
  <c r="AR197" i="2"/>
  <c r="AR198" i="2"/>
  <c r="AR199" i="2"/>
  <c r="AR200" i="2"/>
  <c r="AR202" i="2"/>
  <c r="AR203" i="2"/>
  <c r="AR206" i="2"/>
  <c r="AR207" i="2"/>
  <c r="AR208" i="2"/>
  <c r="AR209" i="2"/>
  <c r="AR210" i="2"/>
  <c r="AR211" i="2"/>
  <c r="AR213" i="2"/>
  <c r="AR216" i="2"/>
  <c r="AR217" i="2"/>
  <c r="AR218" i="2"/>
  <c r="AR220" i="2"/>
  <c r="AR221" i="2"/>
  <c r="AR224" i="2"/>
  <c r="AR225" i="2"/>
  <c r="AR226" i="2"/>
  <c r="AR227" i="2"/>
  <c r="AR229" i="2"/>
  <c r="AR230" i="2"/>
  <c r="AR231" i="2"/>
  <c r="AR233" i="2"/>
  <c r="AR234" i="2"/>
  <c r="AR237" i="2"/>
  <c r="AR239" i="2"/>
  <c r="AR240" i="2"/>
  <c r="AR241" i="2"/>
  <c r="AR242" i="2"/>
  <c r="AR243" i="2"/>
  <c r="AR246" i="2"/>
  <c r="AR247" i="2"/>
  <c r="AR248" i="2"/>
  <c r="AR249" i="2"/>
  <c r="AR250" i="2"/>
  <c r="AR253" i="2"/>
  <c r="AR254" i="2"/>
  <c r="AR256" i="2"/>
  <c r="AR259" i="2"/>
  <c r="AR262" i="2"/>
  <c r="AL115" i="2" l="1"/>
  <c r="AL18" i="2"/>
  <c r="AL17" i="2" s="1"/>
  <c r="AL186" i="2"/>
  <c r="AL269" i="2"/>
  <c r="AL235" i="2"/>
  <c r="AL154" i="2"/>
  <c r="AL271" i="2"/>
  <c r="AL270" i="2"/>
  <c r="AL214" i="2"/>
  <c r="AL168" i="2"/>
  <c r="AL108" i="2"/>
  <c r="AL78" i="2"/>
  <c r="AL55" i="2"/>
  <c r="AL30" i="2"/>
  <c r="AL266" i="2"/>
  <c r="AL268" i="2"/>
  <c r="N18" i="7" l="1"/>
  <c r="N136" i="7"/>
  <c r="AL107" i="2"/>
  <c r="AL29" i="2"/>
  <c r="AL267" i="2"/>
  <c r="AL272" i="2" s="1"/>
  <c r="AL155" i="2"/>
  <c r="AL11" i="2"/>
  <c r="AL77" i="2"/>
  <c r="AL14" i="2" l="1"/>
  <c r="AL16" i="2"/>
  <c r="AL153" i="2"/>
  <c r="AL10" i="2" s="1"/>
  <c r="AL152" i="2"/>
  <c r="O136" i="7" l="1"/>
  <c r="O18" i="7"/>
  <c r="AL15" i="2"/>
  <c r="AL13" i="2"/>
  <c r="AL9" i="2"/>
  <c r="AL7" i="2" s="1"/>
  <c r="AN270" i="2" l="1"/>
  <c r="AQ101" i="2"/>
  <c r="AP101" i="2"/>
  <c r="AK101" i="2"/>
  <c r="AN268" i="2"/>
  <c r="AQ112" i="2"/>
  <c r="AP112" i="2"/>
  <c r="AN271" i="2"/>
  <c r="AN269" i="2"/>
  <c r="AN267" i="2"/>
  <c r="AN266" i="2"/>
  <c r="AN272" i="2" l="1"/>
  <c r="Q97" i="7"/>
  <c r="P75" i="7" l="1"/>
  <c r="R97" i="7"/>
  <c r="V19" i="7" l="1"/>
  <c r="V18" i="7"/>
  <c r="V16" i="7"/>
  <c r="K79" i="7"/>
  <c r="K60" i="7"/>
  <c r="K58" i="7"/>
  <c r="K70" i="7"/>
  <c r="K130" i="7"/>
  <c r="K88" i="7"/>
  <c r="Q89" i="7"/>
  <c r="R89" i="7" s="1"/>
  <c r="S89" i="7" s="1"/>
  <c r="V89" i="7" s="1"/>
  <c r="Q78" i="7"/>
  <c r="Q20" i="7" l="1"/>
  <c r="Q15" i="7"/>
  <c r="Q75" i="7"/>
  <c r="R78" i="7"/>
  <c r="R15" i="7" l="1"/>
  <c r="R20" i="7"/>
  <c r="R75" i="7"/>
  <c r="S78" i="7"/>
  <c r="S20" i="7" s="1"/>
  <c r="K41" i="7"/>
  <c r="S15" i="7" l="1"/>
  <c r="V78" i="7"/>
  <c r="S75" i="7"/>
  <c r="V75" i="7" s="1"/>
  <c r="V15" i="7" l="1"/>
  <c r="V20" i="7"/>
  <c r="J144" i="2"/>
  <c r="V12" i="7" l="1"/>
  <c r="K172" i="7"/>
  <c r="K22" i="7"/>
  <c r="K24" i="7"/>
  <c r="K25" i="7"/>
  <c r="K26" i="7"/>
  <c r="K27" i="7"/>
  <c r="K28" i="7"/>
  <c r="K29" i="7"/>
  <c r="K30" i="7"/>
  <c r="K32" i="7"/>
  <c r="K33" i="7"/>
  <c r="K34" i="7"/>
  <c r="K35" i="7"/>
  <c r="K36" i="7"/>
  <c r="K37" i="7"/>
  <c r="K38" i="7"/>
  <c r="K42" i="7"/>
  <c r="K43" i="7"/>
  <c r="K44" i="7"/>
  <c r="K45" i="7"/>
  <c r="K99" i="7"/>
  <c r="K139" i="7"/>
  <c r="K100" i="7"/>
  <c r="K101" i="7"/>
  <c r="K140" i="7"/>
  <c r="K141" i="7"/>
  <c r="K142" i="7"/>
  <c r="K144" i="7"/>
  <c r="K145" i="7"/>
  <c r="K146" i="7"/>
  <c r="K102" i="7"/>
  <c r="K159" i="7"/>
  <c r="K160" i="7"/>
  <c r="K149" i="7"/>
  <c r="K150" i="7"/>
  <c r="K151" i="7"/>
  <c r="K168" i="7"/>
  <c r="K174" i="7"/>
  <c r="K175" i="7"/>
  <c r="K176" i="7"/>
  <c r="K177" i="7"/>
  <c r="K178" i="7"/>
  <c r="K179" i="7"/>
  <c r="K180" i="7"/>
  <c r="K181" i="7"/>
  <c r="K76" i="7"/>
  <c r="K77" i="7"/>
  <c r="K169" i="7"/>
  <c r="K47" i="7"/>
  <c r="K49" i="7"/>
  <c r="K103" i="7"/>
  <c r="K104" i="7"/>
  <c r="K105" i="7"/>
  <c r="K106" i="7"/>
  <c r="K107" i="7"/>
  <c r="K108" i="7"/>
  <c r="K109" i="7"/>
  <c r="K110" i="7"/>
  <c r="K112" i="7"/>
  <c r="K113" i="7"/>
  <c r="K114" i="7"/>
  <c r="K115" i="7"/>
  <c r="K116" i="7"/>
  <c r="K117" i="7"/>
  <c r="K118" i="7"/>
  <c r="K119" i="7"/>
  <c r="K120" i="7"/>
  <c r="K121" i="7"/>
  <c r="K122" i="7"/>
  <c r="K170" i="7"/>
  <c r="K53" i="7"/>
  <c r="K55" i="7"/>
  <c r="K56" i="7"/>
  <c r="K57" i="7"/>
  <c r="K153" i="7"/>
  <c r="K154" i="7"/>
  <c r="K155" i="7"/>
  <c r="K156" i="7"/>
  <c r="K157" i="7"/>
  <c r="K162" i="7"/>
  <c r="K163" i="7"/>
  <c r="K166" i="7"/>
  <c r="K62" i="7"/>
  <c r="K63" i="7"/>
  <c r="K64" i="7"/>
  <c r="K65" i="7"/>
  <c r="K81" i="7"/>
  <c r="K66" i="7"/>
  <c r="K67" i="7"/>
  <c r="K68" i="7"/>
  <c r="K72" i="7"/>
  <c r="K73" i="7"/>
  <c r="K90" i="7"/>
  <c r="K83" i="7"/>
  <c r="K84" i="7"/>
  <c r="K86" i="7"/>
  <c r="K126" i="7"/>
  <c r="K127" i="7"/>
  <c r="K128" i="7"/>
  <c r="K132" i="7"/>
  <c r="K133" i="7"/>
  <c r="K134" i="7"/>
  <c r="K135" i="7"/>
  <c r="K171" i="7"/>
  <c r="K14" i="7" l="1"/>
  <c r="K18" i="7" s="1"/>
  <c r="K19" i="7"/>
  <c r="K173" i="7"/>
  <c r="K167" i="7"/>
  <c r="AK47" i="2"/>
  <c r="P12" i="7" l="1"/>
  <c r="AU156" i="2"/>
  <c r="N12" i="7" l="1"/>
  <c r="T12" i="7"/>
  <c r="R12" i="7"/>
  <c r="Q12" i="7"/>
  <c r="U12" i="7"/>
  <c r="S12" i="7"/>
  <c r="AQ255" i="2"/>
  <c r="AP255" i="2"/>
  <c r="AQ252" i="2"/>
  <c r="AP252" i="2"/>
  <c r="AQ245" i="2"/>
  <c r="AP245" i="2"/>
  <c r="AP244" i="2" s="1"/>
  <c r="AQ238" i="2"/>
  <c r="AP238" i="2"/>
  <c r="AP236" i="2" s="1"/>
  <c r="AQ232" i="2"/>
  <c r="AP232" i="2"/>
  <c r="AQ228" i="2"/>
  <c r="AP228" i="2"/>
  <c r="AQ223" i="2"/>
  <c r="AP223" i="2"/>
  <c r="AP222" i="2" s="1"/>
  <c r="AQ219" i="2"/>
  <c r="AP219" i="2"/>
  <c r="AP215" i="2" s="1"/>
  <c r="AQ212" i="2"/>
  <c r="AP212" i="2"/>
  <c r="AQ205" i="2"/>
  <c r="AP205" i="2"/>
  <c r="AQ196" i="2"/>
  <c r="AP196" i="2"/>
  <c r="AP195" i="2" s="1"/>
  <c r="AQ187" i="2"/>
  <c r="AP187" i="2"/>
  <c r="K183" i="2"/>
  <c r="K165" i="7"/>
  <c r="AQ169" i="2"/>
  <c r="AP169" i="2"/>
  <c r="AP168" i="2" s="1"/>
  <c r="AQ162" i="2"/>
  <c r="AP162" i="2"/>
  <c r="AQ159" i="2"/>
  <c r="AP159" i="2"/>
  <c r="AK159" i="2"/>
  <c r="AQ156" i="2"/>
  <c r="AP156" i="2"/>
  <c r="AQ144" i="2"/>
  <c r="AP144" i="2"/>
  <c r="AK144" i="2"/>
  <c r="AQ139" i="2"/>
  <c r="AP139" i="2"/>
  <c r="AQ129" i="2"/>
  <c r="AQ128" i="2" s="1"/>
  <c r="AP129" i="2"/>
  <c r="AP128" i="2" s="1"/>
  <c r="AK129" i="2"/>
  <c r="AK128" i="2" s="1"/>
  <c r="AQ120" i="2"/>
  <c r="AP120" i="2"/>
  <c r="AQ116" i="2"/>
  <c r="AP116" i="2"/>
  <c r="AK116" i="2"/>
  <c r="AQ109" i="2"/>
  <c r="AP109" i="2"/>
  <c r="AQ95" i="2"/>
  <c r="AP95" i="2"/>
  <c r="AK95" i="2"/>
  <c r="AQ87" i="2"/>
  <c r="AP87" i="2"/>
  <c r="AK87" i="2"/>
  <c r="AP73" i="2"/>
  <c r="AK73" i="2"/>
  <c r="AQ22" i="2"/>
  <c r="AP22" i="2"/>
  <c r="AK22" i="2"/>
  <c r="O12" i="7" l="1"/>
  <c r="AR183" i="2"/>
  <c r="AM183" i="2"/>
  <c r="AK86" i="2"/>
  <c r="AP86" i="2"/>
  <c r="AP138" i="2"/>
  <c r="K54" i="7"/>
  <c r="K74" i="7"/>
  <c r="K125" i="7"/>
  <c r="K183" i="7"/>
  <c r="K182" i="7" s="1"/>
  <c r="AQ236" i="2"/>
  <c r="K52" i="7"/>
  <c r="K85" i="7"/>
  <c r="AP270" i="2"/>
  <c r="AQ86" i="2"/>
  <c r="AP115" i="2"/>
  <c r="AP204" i="2"/>
  <c r="AP269" i="2" s="1"/>
  <c r="AQ251" i="2"/>
  <c r="AQ204" i="2"/>
  <c r="AQ215" i="2"/>
  <c r="AQ138" i="2"/>
  <c r="K152" i="7"/>
  <c r="AQ222" i="2"/>
  <c r="AQ115" i="2"/>
  <c r="AQ168" i="2"/>
  <c r="AQ195" i="2"/>
  <c r="AQ244" i="2"/>
  <c r="K131" i="7"/>
  <c r="AQ178" i="2"/>
  <c r="AP251" i="2"/>
  <c r="AP235" i="2"/>
  <c r="AP214" i="2"/>
  <c r="AP186" i="2"/>
  <c r="AP178" i="2"/>
  <c r="AP155" i="2" s="1"/>
  <c r="K97" i="7" l="1"/>
  <c r="K59" i="7"/>
  <c r="K16" i="7"/>
  <c r="K21" i="7"/>
  <c r="AQ266" i="2"/>
  <c r="AQ269" i="2"/>
  <c r="K82" i="7"/>
  <c r="K75" i="7" s="1"/>
  <c r="AQ270" i="2"/>
  <c r="AP108" i="2"/>
  <c r="AP107" i="2" s="1"/>
  <c r="AP14" i="2" s="1"/>
  <c r="AP266" i="2"/>
  <c r="AP271" i="2"/>
  <c r="AP154" i="2"/>
  <c r="AP11" i="2" s="1"/>
  <c r="AQ186" i="2"/>
  <c r="AQ108" i="2"/>
  <c r="AQ214" i="2"/>
  <c r="AQ235" i="2"/>
  <c r="AQ155" i="2"/>
  <c r="AP152" i="2"/>
  <c r="AP15" i="2" s="1"/>
  <c r="AP153" i="2"/>
  <c r="K15" i="7" l="1"/>
  <c r="K12" i="7" s="1"/>
  <c r="AQ107" i="2"/>
  <c r="AP10" i="2"/>
  <c r="AQ154" i="2"/>
  <c r="AQ152" i="2"/>
  <c r="AQ153" i="2"/>
  <c r="AU239" i="2"/>
  <c r="AU238" i="2" s="1"/>
  <c r="AU236" i="2" s="1"/>
  <c r="AU235" i="2" s="1"/>
  <c r="K20" i="7" l="1"/>
  <c r="AQ14" i="2"/>
  <c r="AQ15" i="2"/>
  <c r="AQ10" i="2"/>
  <c r="AQ11" i="2"/>
  <c r="AQ76" i="2"/>
  <c r="AR76" i="2" s="1"/>
  <c r="K158" i="7" l="1"/>
  <c r="AQ73" i="2"/>
  <c r="AQ43" i="2"/>
  <c r="AR43" i="2" s="1"/>
  <c r="AP43" i="2"/>
  <c r="AQ34" i="2"/>
  <c r="AR34" i="2" s="1"/>
  <c r="AP34" i="2"/>
  <c r="AP31" i="2" s="1"/>
  <c r="AP30" i="2" s="1"/>
  <c r="AQ46" i="2"/>
  <c r="AR46" i="2" s="1"/>
  <c r="AP46" i="2"/>
  <c r="AQ271" i="2" l="1"/>
  <c r="AP41" i="2"/>
  <c r="AP40" i="2" s="1"/>
  <c r="AP29" i="2" s="1"/>
  <c r="AQ41" i="2"/>
  <c r="AQ31" i="2"/>
  <c r="AQ40" i="2" l="1"/>
  <c r="AQ30" i="2"/>
  <c r="AU107" i="2"/>
  <c r="AU16" i="2"/>
  <c r="AQ29" i="2" l="1"/>
  <c r="K156" i="2"/>
  <c r="AR156" i="2" l="1"/>
  <c r="AM156" i="2"/>
  <c r="AK255" i="2"/>
  <c r="AU256" i="2" l="1"/>
  <c r="AU255" i="2" s="1"/>
  <c r="AK127" i="2" l="1"/>
  <c r="AK110" i="2"/>
  <c r="AP68" i="2" l="1"/>
  <c r="AQ68" i="2"/>
  <c r="AO109" i="2"/>
  <c r="AR68" i="2" l="1"/>
  <c r="AU14" i="2"/>
  <c r="AU13" i="2"/>
  <c r="AU9" i="2"/>
  <c r="F18" i="2" l="1"/>
  <c r="H18" i="2"/>
  <c r="K18" i="2"/>
  <c r="AM18" i="2" s="1"/>
  <c r="L18" i="2"/>
  <c r="N18" i="2"/>
  <c r="P18" i="2"/>
  <c r="R18" i="2"/>
  <c r="T18" i="2"/>
  <c r="U18" i="2"/>
  <c r="V18" i="2"/>
  <c r="W18" i="2"/>
  <c r="X18" i="2"/>
  <c r="X17" i="2" s="1"/>
  <c r="AA18" i="2"/>
  <c r="AE18" i="2"/>
  <c r="AE17" i="2" s="1"/>
  <c r="AK18" i="2"/>
  <c r="AK17" i="2" s="1"/>
  <c r="AO18" i="2"/>
  <c r="Z19" i="2"/>
  <c r="AC19" i="2"/>
  <c r="Y19" i="2" s="1"/>
  <c r="J20" i="2"/>
  <c r="J18" i="2" s="1"/>
  <c r="Z20" i="2"/>
  <c r="AC20" i="2"/>
  <c r="Z21" i="2"/>
  <c r="AC21" i="2"/>
  <c r="Y21" i="2" s="1"/>
  <c r="F23" i="2"/>
  <c r="H23" i="2"/>
  <c r="J23" i="2"/>
  <c r="K23" i="2"/>
  <c r="AR23" i="2" s="1"/>
  <c r="L23" i="2"/>
  <c r="N23" i="2"/>
  <c r="P23" i="2"/>
  <c r="P22" i="2" s="1"/>
  <c r="R23" i="2"/>
  <c r="R22" i="2" s="1"/>
  <c r="T23" i="2"/>
  <c r="T22" i="2" s="1"/>
  <c r="U23" i="2"/>
  <c r="U22" i="2" s="1"/>
  <c r="V23" i="2"/>
  <c r="V22" i="2" s="1"/>
  <c r="W23" i="2"/>
  <c r="W22" i="2" s="1"/>
  <c r="AA23" i="2"/>
  <c r="AE23" i="2"/>
  <c r="M24" i="2"/>
  <c r="O24" i="2"/>
  <c r="Q24" i="2"/>
  <c r="S24" i="2"/>
  <c r="Z24" i="2"/>
  <c r="AC24" i="2"/>
  <c r="AD24" i="2" s="1"/>
  <c r="AF24" i="2"/>
  <c r="AG24" i="2" s="1"/>
  <c r="M25" i="2"/>
  <c r="O25" i="2"/>
  <c r="Q25" i="2"/>
  <c r="S25" i="2"/>
  <c r="Z25" i="2"/>
  <c r="AB25" i="2"/>
  <c r="AC25" i="2"/>
  <c r="AF25" i="2"/>
  <c r="AG25" i="2" s="1"/>
  <c r="F26" i="2"/>
  <c r="H26" i="2"/>
  <c r="J26" i="2"/>
  <c r="K26" i="2"/>
  <c r="AR26" i="2" s="1"/>
  <c r="L26" i="2"/>
  <c r="N26" i="2"/>
  <c r="AA26" i="2"/>
  <c r="AC26" i="2"/>
  <c r="O27" i="2"/>
  <c r="Q27" i="2"/>
  <c r="S27" i="2"/>
  <c r="Z27" i="2"/>
  <c r="AC27" i="2"/>
  <c r="AF27" i="2"/>
  <c r="AG27" i="2" s="1"/>
  <c r="Z28" i="2"/>
  <c r="AC28" i="2"/>
  <c r="Y28" i="2" s="1"/>
  <c r="AF28" i="2"/>
  <c r="AE29" i="2"/>
  <c r="F31" i="2"/>
  <c r="H31" i="2"/>
  <c r="J31" i="2"/>
  <c r="K31" i="2"/>
  <c r="L31" i="2"/>
  <c r="N31" i="2"/>
  <c r="P31" i="2"/>
  <c r="R31" i="2"/>
  <c r="T31" i="2"/>
  <c r="U31" i="2"/>
  <c r="V31" i="2"/>
  <c r="W31" i="2"/>
  <c r="AA31" i="2"/>
  <c r="AO31" i="2"/>
  <c r="M32" i="2"/>
  <c r="O32" i="2"/>
  <c r="Q32" i="2"/>
  <c r="S32" i="2"/>
  <c r="Z32" i="2"/>
  <c r="AC32" i="2"/>
  <c r="AF32" i="2"/>
  <c r="AG32" i="2" s="1"/>
  <c r="M33" i="2"/>
  <c r="O33" i="2"/>
  <c r="Q33" i="2"/>
  <c r="S33" i="2"/>
  <c r="Z33" i="2"/>
  <c r="AC33" i="2"/>
  <c r="AF33" i="2"/>
  <c r="AG33" i="2" s="1"/>
  <c r="M34" i="2"/>
  <c r="O34" i="2"/>
  <c r="Q34" i="2"/>
  <c r="S34" i="2"/>
  <c r="Z34" i="2"/>
  <c r="AC34" i="2"/>
  <c r="AD34" i="2" s="1"/>
  <c r="AF34" i="2"/>
  <c r="AG34" i="2" s="1"/>
  <c r="AK34" i="2"/>
  <c r="AK31" i="2" s="1"/>
  <c r="AK30" i="2" s="1"/>
  <c r="M35" i="2"/>
  <c r="O35" i="2"/>
  <c r="Q35" i="2"/>
  <c r="S35" i="2"/>
  <c r="Z35" i="2"/>
  <c r="AC35" i="2"/>
  <c r="AF35" i="2"/>
  <c r="AG35" i="2" s="1"/>
  <c r="F36" i="2"/>
  <c r="H36" i="2"/>
  <c r="J36" i="2"/>
  <c r="K36" i="2"/>
  <c r="AR36" i="2" s="1"/>
  <c r="L36" i="2"/>
  <c r="N36" i="2"/>
  <c r="P36" i="2"/>
  <c r="R36" i="2"/>
  <c r="T36" i="2"/>
  <c r="U36" i="2"/>
  <c r="V36" i="2"/>
  <c r="W36" i="2"/>
  <c r="AA36" i="2"/>
  <c r="M37" i="2"/>
  <c r="O37" i="2"/>
  <c r="Q37" i="2"/>
  <c r="S37" i="2"/>
  <c r="Z37" i="2"/>
  <c r="AC37" i="2"/>
  <c r="AD37" i="2" s="1"/>
  <c r="AF37" i="2"/>
  <c r="AG37" i="2" s="1"/>
  <c r="M38" i="2"/>
  <c r="O38" i="2"/>
  <c r="Q38" i="2"/>
  <c r="S38" i="2"/>
  <c r="Z38" i="2"/>
  <c r="AC38" i="2"/>
  <c r="AF38" i="2"/>
  <c r="AG38" i="2" s="1"/>
  <c r="M39" i="2"/>
  <c r="O39" i="2"/>
  <c r="Q39" i="2"/>
  <c r="S39" i="2"/>
  <c r="Z39" i="2"/>
  <c r="AC39" i="2"/>
  <c r="Y39" i="2" s="1"/>
  <c r="AF39" i="2"/>
  <c r="AG39" i="2" s="1"/>
  <c r="F41" i="2"/>
  <c r="H41" i="2"/>
  <c r="J41" i="2"/>
  <c r="K41" i="2"/>
  <c r="AR41" i="2" s="1"/>
  <c r="L41" i="2"/>
  <c r="N41" i="2"/>
  <c r="P41" i="2"/>
  <c r="R41" i="2"/>
  <c r="T41" i="2"/>
  <c r="U41" i="2"/>
  <c r="V41" i="2"/>
  <c r="W41" i="2"/>
  <c r="X41" i="2"/>
  <c r="AA41" i="2"/>
  <c r="AE41" i="2"/>
  <c r="AO41" i="2"/>
  <c r="Z42" i="2"/>
  <c r="AC42" i="2"/>
  <c r="Y42" i="2" s="1"/>
  <c r="AF42" i="2"/>
  <c r="M43" i="2"/>
  <c r="O43" i="2"/>
  <c r="Q43" i="2"/>
  <c r="S43" i="2"/>
  <c r="Z43" i="2"/>
  <c r="AC43" i="2"/>
  <c r="AF43" i="2"/>
  <c r="AG43" i="2" s="1"/>
  <c r="AK41" i="2"/>
  <c r="Z44" i="2"/>
  <c r="AC44" i="2"/>
  <c r="AF44" i="2"/>
  <c r="M45" i="2"/>
  <c r="O45" i="2"/>
  <c r="Q45" i="2"/>
  <c r="S45" i="2"/>
  <c r="Z45" i="2"/>
  <c r="AC45" i="2"/>
  <c r="Y45" i="2" s="1"/>
  <c r="AF45" i="2"/>
  <c r="AG45" i="2" s="1"/>
  <c r="P46" i="2"/>
  <c r="R46" i="2"/>
  <c r="T46" i="2"/>
  <c r="U46" i="2"/>
  <c r="V46" i="2"/>
  <c r="W46" i="2"/>
  <c r="X46" i="2"/>
  <c r="AA46" i="2"/>
  <c r="AK46" i="2"/>
  <c r="AK40" i="2" s="1"/>
  <c r="AO46" i="2"/>
  <c r="Z47" i="2"/>
  <c r="AC47" i="2"/>
  <c r="AF47" i="2"/>
  <c r="Z48" i="2"/>
  <c r="AC48" i="2"/>
  <c r="Y48" i="2" s="1"/>
  <c r="AF48" i="2"/>
  <c r="F49" i="2"/>
  <c r="H49" i="2"/>
  <c r="J49" i="2"/>
  <c r="Q49" i="2" s="1"/>
  <c r="K49" i="2"/>
  <c r="AR49" i="2" s="1"/>
  <c r="L49" i="2"/>
  <c r="N49" i="2"/>
  <c r="R49" i="2"/>
  <c r="T49" i="2"/>
  <c r="U49" i="2"/>
  <c r="V49" i="2"/>
  <c r="W49" i="2"/>
  <c r="AA49" i="2"/>
  <c r="AO49" i="2"/>
  <c r="Z50" i="2"/>
  <c r="AC50" i="2"/>
  <c r="Y50" i="2" s="1"/>
  <c r="AF50" i="2"/>
  <c r="M51" i="2"/>
  <c r="O51" i="2"/>
  <c r="Q51" i="2"/>
  <c r="S51" i="2"/>
  <c r="Z51" i="2"/>
  <c r="AC51" i="2"/>
  <c r="AF51" i="2"/>
  <c r="AG51" i="2" s="1"/>
  <c r="F52" i="2"/>
  <c r="H52" i="2"/>
  <c r="J52" i="2"/>
  <c r="K52" i="2"/>
  <c r="AR52" i="2" s="1"/>
  <c r="L52" i="2"/>
  <c r="N52" i="2"/>
  <c r="P52" i="2"/>
  <c r="Q52" i="2" s="1"/>
  <c r="R52" i="2"/>
  <c r="T52" i="2"/>
  <c r="U52" i="2"/>
  <c r="V52" i="2"/>
  <c r="W52" i="2"/>
  <c r="X52" i="2"/>
  <c r="AA52" i="2"/>
  <c r="AO52" i="2"/>
  <c r="M53" i="2"/>
  <c r="O53" i="2"/>
  <c r="Q53" i="2"/>
  <c r="S53" i="2"/>
  <c r="Z53" i="2"/>
  <c r="AC53" i="2"/>
  <c r="Y53" i="2" s="1"/>
  <c r="AF53" i="2"/>
  <c r="AG53" i="2" s="1"/>
  <c r="M54" i="2"/>
  <c r="O54" i="2"/>
  <c r="Q54" i="2"/>
  <c r="S54" i="2"/>
  <c r="Z54" i="2"/>
  <c r="AB54" i="2"/>
  <c r="AC54" i="2"/>
  <c r="Y54" i="2" s="1"/>
  <c r="AF54" i="2"/>
  <c r="AG54" i="2" s="1"/>
  <c r="AO56" i="2"/>
  <c r="F57" i="2"/>
  <c r="H57" i="2"/>
  <c r="J57" i="2"/>
  <c r="K57" i="2"/>
  <c r="AM57" i="2" s="1"/>
  <c r="L57" i="2"/>
  <c r="N57" i="2"/>
  <c r="P57" i="2"/>
  <c r="R57" i="2"/>
  <c r="T57" i="2"/>
  <c r="U57" i="2"/>
  <c r="V57" i="2"/>
  <c r="W57" i="2"/>
  <c r="X57" i="2"/>
  <c r="AA57" i="2"/>
  <c r="M58" i="2"/>
  <c r="O58" i="2"/>
  <c r="Q58" i="2"/>
  <c r="S58" i="2"/>
  <c r="Z58" i="2"/>
  <c r="AB58" i="2"/>
  <c r="AC58" i="2"/>
  <c r="Y58" i="2" s="1"/>
  <c r="AF58" i="2"/>
  <c r="AG58" i="2" s="1"/>
  <c r="M59" i="2"/>
  <c r="O59" i="2"/>
  <c r="Q59" i="2"/>
  <c r="S59" i="2"/>
  <c r="Z59" i="2"/>
  <c r="AC59" i="2"/>
  <c r="AF59" i="2"/>
  <c r="AG59" i="2" s="1"/>
  <c r="AK59" i="2"/>
  <c r="M60" i="2"/>
  <c r="O60" i="2"/>
  <c r="Q60" i="2"/>
  <c r="S60" i="2"/>
  <c r="Z60" i="2"/>
  <c r="AB60" i="2"/>
  <c r="AC60" i="2"/>
  <c r="AF60" i="2"/>
  <c r="AG60" i="2" s="1"/>
  <c r="M61" i="2"/>
  <c r="O61" i="2"/>
  <c r="Q61" i="2"/>
  <c r="S61" i="2"/>
  <c r="Z61" i="2"/>
  <c r="AC61" i="2"/>
  <c r="AG61" i="2"/>
  <c r="M62" i="2"/>
  <c r="O62" i="2"/>
  <c r="Q62" i="2"/>
  <c r="S62" i="2"/>
  <c r="AF62" i="2"/>
  <c r="AG62" i="2" s="1"/>
  <c r="M63" i="2"/>
  <c r="O63" i="2"/>
  <c r="Q63" i="2"/>
  <c r="S63" i="2"/>
  <c r="Z63" i="2"/>
  <c r="AC63" i="2"/>
  <c r="Y63" i="2" s="1"/>
  <c r="AF63" i="2"/>
  <c r="AG63" i="2" s="1"/>
  <c r="F64" i="2"/>
  <c r="H64" i="2"/>
  <c r="J64" i="2"/>
  <c r="K64" i="2"/>
  <c r="AR64" i="2" s="1"/>
  <c r="L64" i="2"/>
  <c r="N64" i="2"/>
  <c r="P64" i="2"/>
  <c r="Q64" i="2" s="1"/>
  <c r="R64" i="2"/>
  <c r="T64" i="2"/>
  <c r="U64" i="2"/>
  <c r="V64" i="2"/>
  <c r="W64" i="2"/>
  <c r="X64" i="2"/>
  <c r="AA64" i="2"/>
  <c r="M65" i="2"/>
  <c r="O65" i="2"/>
  <c r="Q65" i="2"/>
  <c r="S65" i="2"/>
  <c r="Z65" i="2"/>
  <c r="AC65" i="2"/>
  <c r="AD65" i="2" s="1"/>
  <c r="AG65" i="2"/>
  <c r="M66" i="2"/>
  <c r="O66" i="2"/>
  <c r="Q66" i="2"/>
  <c r="S66" i="2"/>
  <c r="Z66" i="2"/>
  <c r="AC66" i="2"/>
  <c r="Y66" i="2" s="1"/>
  <c r="AG66" i="2"/>
  <c r="M67" i="2"/>
  <c r="O67" i="2"/>
  <c r="Q67" i="2"/>
  <c r="S67" i="2"/>
  <c r="Z67" i="2"/>
  <c r="AC67" i="2"/>
  <c r="AF67" i="2"/>
  <c r="AG67" i="2" s="1"/>
  <c r="M68" i="2"/>
  <c r="O68" i="2"/>
  <c r="Q68" i="2"/>
  <c r="S68" i="2"/>
  <c r="Z68" i="2"/>
  <c r="AC68" i="2"/>
  <c r="AD68" i="2" s="1"/>
  <c r="AF68" i="2"/>
  <c r="AG68" i="2" s="1"/>
  <c r="Z69" i="2"/>
  <c r="AC69" i="2"/>
  <c r="Y69" i="2" s="1"/>
  <c r="AF69" i="2"/>
  <c r="M70" i="2"/>
  <c r="O70" i="2"/>
  <c r="Q70" i="2"/>
  <c r="S70" i="2"/>
  <c r="Z70" i="2"/>
  <c r="AC70" i="2"/>
  <c r="AF70" i="2"/>
  <c r="AG70" i="2" s="1"/>
  <c r="Z71" i="2"/>
  <c r="AC71" i="2"/>
  <c r="Y71" i="2" s="1"/>
  <c r="AF71" i="2"/>
  <c r="M72" i="2"/>
  <c r="O72" i="2"/>
  <c r="Q72" i="2"/>
  <c r="S72" i="2"/>
  <c r="Z72" i="2"/>
  <c r="AB72" i="2"/>
  <c r="AC72" i="2"/>
  <c r="Y72" i="2" s="1"/>
  <c r="AF72" i="2"/>
  <c r="AG72" i="2" s="1"/>
  <c r="F73" i="2"/>
  <c r="H73" i="2"/>
  <c r="J73" i="2"/>
  <c r="K73" i="2"/>
  <c r="AR73" i="2" s="1"/>
  <c r="L73" i="2"/>
  <c r="N73" i="2"/>
  <c r="P73" i="2"/>
  <c r="R73" i="2"/>
  <c r="T73" i="2"/>
  <c r="U73" i="2"/>
  <c r="V73" i="2"/>
  <c r="W73" i="2"/>
  <c r="X73" i="2"/>
  <c r="AA73" i="2"/>
  <c r="AE73" i="2"/>
  <c r="Z74" i="2"/>
  <c r="AC74" i="2"/>
  <c r="Y74" i="2" s="1"/>
  <c r="AF74" i="2"/>
  <c r="Z75" i="2"/>
  <c r="AC75" i="2"/>
  <c r="Y75" i="2" s="1"/>
  <c r="AF75" i="2"/>
  <c r="M76" i="2"/>
  <c r="Q76" i="2"/>
  <c r="S76" i="2"/>
  <c r="Z76" i="2"/>
  <c r="AC76" i="2"/>
  <c r="AG76" i="2"/>
  <c r="F79" i="2"/>
  <c r="H79" i="2"/>
  <c r="J79" i="2"/>
  <c r="K79" i="2"/>
  <c r="AM79" i="2" s="1"/>
  <c r="L79" i="2"/>
  <c r="N79" i="2"/>
  <c r="P79" i="2"/>
  <c r="R79" i="2"/>
  <c r="T79" i="2"/>
  <c r="U79" i="2"/>
  <c r="V79" i="2"/>
  <c r="W79" i="2"/>
  <c r="W78" i="2" s="1"/>
  <c r="W77" i="2" s="1"/>
  <c r="X79" i="2"/>
  <c r="X78" i="2" s="1"/>
  <c r="X77" i="2" s="1"/>
  <c r="AA79" i="2"/>
  <c r="O80" i="2"/>
  <c r="Q80" i="2"/>
  <c r="S80" i="2"/>
  <c r="Z80" i="2"/>
  <c r="AC80" i="2"/>
  <c r="AF80" i="2"/>
  <c r="AG80" i="2" s="1"/>
  <c r="O81" i="2"/>
  <c r="Q81" i="2"/>
  <c r="S81" i="2"/>
  <c r="Z81" i="2"/>
  <c r="AC81" i="2"/>
  <c r="AF81" i="2"/>
  <c r="AG81" i="2" s="1"/>
  <c r="F82" i="2"/>
  <c r="H82" i="2"/>
  <c r="J82" i="2"/>
  <c r="K82" i="2"/>
  <c r="AR82" i="2" s="1"/>
  <c r="L82" i="2"/>
  <c r="N82" i="2"/>
  <c r="P82" i="2"/>
  <c r="Q82" i="2" s="1"/>
  <c r="R82" i="2"/>
  <c r="T82" i="2"/>
  <c r="U82" i="2"/>
  <c r="V82" i="2"/>
  <c r="AA82" i="2"/>
  <c r="M83" i="2"/>
  <c r="O83" i="2"/>
  <c r="Q83" i="2"/>
  <c r="S83" i="2"/>
  <c r="Z83" i="2"/>
  <c r="AC83" i="2"/>
  <c r="AD83" i="2" s="1"/>
  <c r="AG83" i="2"/>
  <c r="M84" i="2"/>
  <c r="O84" i="2"/>
  <c r="Q84" i="2"/>
  <c r="S84" i="2"/>
  <c r="Z84" i="2"/>
  <c r="AC84" i="2"/>
  <c r="AD84" i="2" s="1"/>
  <c r="AF84" i="2"/>
  <c r="AG84" i="2" s="1"/>
  <c r="M85" i="2"/>
  <c r="O85" i="2"/>
  <c r="Q85" i="2"/>
  <c r="S85" i="2"/>
  <c r="Z85" i="2"/>
  <c r="AC85" i="2"/>
  <c r="Y85" i="2" s="1"/>
  <c r="AF85" i="2"/>
  <c r="AG85" i="2" s="1"/>
  <c r="F88" i="2"/>
  <c r="H88" i="2"/>
  <c r="J88" i="2"/>
  <c r="K88" i="2"/>
  <c r="AR88" i="2" s="1"/>
  <c r="L88" i="2"/>
  <c r="N88" i="2"/>
  <c r="P88" i="2"/>
  <c r="T88" i="2"/>
  <c r="U88" i="2"/>
  <c r="V88" i="2"/>
  <c r="W88" i="2"/>
  <c r="X88" i="2"/>
  <c r="AA88" i="2"/>
  <c r="AE88" i="2"/>
  <c r="M89" i="2"/>
  <c r="O89" i="2"/>
  <c r="Q89" i="2"/>
  <c r="R89" i="2"/>
  <c r="S89" i="2" s="1"/>
  <c r="Z89" i="2"/>
  <c r="AC89" i="2"/>
  <c r="M90" i="2"/>
  <c r="Z90" i="2"/>
  <c r="AC90" i="2"/>
  <c r="Y90" i="2" s="1"/>
  <c r="M91" i="2"/>
  <c r="O91" i="2"/>
  <c r="Q91" i="2"/>
  <c r="S91" i="2"/>
  <c r="Z91" i="2"/>
  <c r="AC91" i="2"/>
  <c r="AF91" i="2"/>
  <c r="AG91" i="2" s="1"/>
  <c r="F92" i="2"/>
  <c r="H92" i="2"/>
  <c r="J92" i="2"/>
  <c r="K92" i="2"/>
  <c r="AR92" i="2" s="1"/>
  <c r="L92" i="2"/>
  <c r="N92" i="2"/>
  <c r="P92" i="2"/>
  <c r="R92" i="2"/>
  <c r="T92" i="2"/>
  <c r="U92" i="2"/>
  <c r="V92" i="2"/>
  <c r="W92" i="2"/>
  <c r="X92" i="2"/>
  <c r="AA92" i="2"/>
  <c r="AE92" i="2"/>
  <c r="M93" i="2"/>
  <c r="O93" i="2"/>
  <c r="Q93" i="2"/>
  <c r="S93" i="2"/>
  <c r="Z93" i="2"/>
  <c r="AB93" i="2"/>
  <c r="AC93" i="2"/>
  <c r="AF93" i="2"/>
  <c r="AG93" i="2" s="1"/>
  <c r="M94" i="2"/>
  <c r="O94" i="2"/>
  <c r="Q94" i="2"/>
  <c r="S94" i="2"/>
  <c r="Z94" i="2"/>
  <c r="AC94" i="2"/>
  <c r="AF94" i="2"/>
  <c r="AG94" i="2" s="1"/>
  <c r="M96" i="2"/>
  <c r="O96" i="2"/>
  <c r="Q96" i="2"/>
  <c r="S96" i="2"/>
  <c r="Z96" i="2"/>
  <c r="AC96" i="2"/>
  <c r="AF96" i="2"/>
  <c r="AG96" i="2" s="1"/>
  <c r="F97" i="2"/>
  <c r="F95" i="2" s="1"/>
  <c r="H97" i="2"/>
  <c r="H95" i="2" s="1"/>
  <c r="J97" i="2"/>
  <c r="J95" i="2" s="1"/>
  <c r="K97" i="2"/>
  <c r="L97" i="2"/>
  <c r="N97" i="2"/>
  <c r="N95" i="2" s="1"/>
  <c r="P97" i="2"/>
  <c r="P95" i="2" s="1"/>
  <c r="Q95" i="2" s="1"/>
  <c r="R97" i="2"/>
  <c r="T97" i="2"/>
  <c r="T95" i="2" s="1"/>
  <c r="U97" i="2"/>
  <c r="U95" i="2" s="1"/>
  <c r="V97" i="2"/>
  <c r="V95" i="2" s="1"/>
  <c r="W97" i="2"/>
  <c r="W95" i="2" s="1"/>
  <c r="X97" i="2"/>
  <c r="X95" i="2" s="1"/>
  <c r="AA97" i="2"/>
  <c r="AA95" i="2" s="1"/>
  <c r="M98" i="2"/>
  <c r="O98" i="2"/>
  <c r="Q98" i="2"/>
  <c r="S98" i="2"/>
  <c r="Z98" i="2"/>
  <c r="AC98" i="2"/>
  <c r="AF98" i="2"/>
  <c r="AG98" i="2" s="1"/>
  <c r="M99" i="2"/>
  <c r="O99" i="2"/>
  <c r="Q99" i="2"/>
  <c r="S99" i="2"/>
  <c r="Z99" i="2"/>
  <c r="AC99" i="2"/>
  <c r="AF99" i="2"/>
  <c r="AG99" i="2" s="1"/>
  <c r="M100" i="2"/>
  <c r="O100" i="2"/>
  <c r="Q100" i="2"/>
  <c r="S100" i="2"/>
  <c r="Z100" i="2"/>
  <c r="AC100" i="2"/>
  <c r="Y100" i="2" s="1"/>
  <c r="AF100" i="2"/>
  <c r="AG100" i="2" s="1"/>
  <c r="F101" i="2"/>
  <c r="H101" i="2"/>
  <c r="K101" i="2"/>
  <c r="AR101" i="2" s="1"/>
  <c r="L101" i="2"/>
  <c r="N101" i="2"/>
  <c r="P101" i="2"/>
  <c r="R101" i="2"/>
  <c r="T101" i="2"/>
  <c r="U101" i="2"/>
  <c r="V101" i="2"/>
  <c r="W101" i="2"/>
  <c r="X101" i="2"/>
  <c r="AA101" i="2"/>
  <c r="J102" i="2"/>
  <c r="Q102" i="2" s="1"/>
  <c r="Z102" i="2"/>
  <c r="AC102" i="2"/>
  <c r="J103" i="2"/>
  <c r="S103" i="2" s="1"/>
  <c r="Z103" i="2"/>
  <c r="AC103" i="2"/>
  <c r="Y103" i="2" s="1"/>
  <c r="F105" i="2"/>
  <c r="F104" i="2" s="1"/>
  <c r="H105" i="2"/>
  <c r="H104" i="2" s="1"/>
  <c r="J105" i="2"/>
  <c r="K105" i="2"/>
  <c r="L105" i="2"/>
  <c r="L104" i="2" s="1"/>
  <c r="N105" i="2"/>
  <c r="N104" i="2" s="1"/>
  <c r="P105" i="2"/>
  <c r="P104" i="2" s="1"/>
  <c r="R105" i="2"/>
  <c r="T105" i="2"/>
  <c r="T104" i="2" s="1"/>
  <c r="U105" i="2"/>
  <c r="U104" i="2" s="1"/>
  <c r="V105" i="2"/>
  <c r="V104" i="2" s="1"/>
  <c r="W105" i="2"/>
  <c r="X105" i="2"/>
  <c r="X104" i="2" s="1"/>
  <c r="AA105" i="2"/>
  <c r="AC105" i="2"/>
  <c r="AE105" i="2"/>
  <c r="AE104" i="2" s="1"/>
  <c r="M106" i="2"/>
  <c r="O106" i="2"/>
  <c r="Q106" i="2"/>
  <c r="S106" i="2"/>
  <c r="AD106" i="2"/>
  <c r="AF106" i="2"/>
  <c r="AG106" i="2" s="1"/>
  <c r="H110" i="2"/>
  <c r="M110" i="2"/>
  <c r="O110" i="2"/>
  <c r="Q110" i="2"/>
  <c r="S110" i="2"/>
  <c r="Z110" i="2"/>
  <c r="AB110" i="2"/>
  <c r="AC110" i="2"/>
  <c r="AF110" i="2"/>
  <c r="AG110" i="2" s="1"/>
  <c r="H111" i="2"/>
  <c r="M111" i="2"/>
  <c r="O111" i="2"/>
  <c r="Q111" i="2"/>
  <c r="S111" i="2"/>
  <c r="Z111" i="2"/>
  <c r="AC111" i="2"/>
  <c r="AF111" i="2"/>
  <c r="AG111" i="2" s="1"/>
  <c r="F112" i="2"/>
  <c r="F109" i="2" s="1"/>
  <c r="G112" i="2"/>
  <c r="H112" i="2"/>
  <c r="J112" i="2"/>
  <c r="K112" i="2"/>
  <c r="L112" i="2"/>
  <c r="L109" i="2" s="1"/>
  <c r="N112" i="2"/>
  <c r="P112" i="2"/>
  <c r="P109" i="2" s="1"/>
  <c r="R112" i="2"/>
  <c r="T112" i="2"/>
  <c r="T109" i="2" s="1"/>
  <c r="U112" i="2"/>
  <c r="V112" i="2"/>
  <c r="V109" i="2" s="1"/>
  <c r="W112" i="2"/>
  <c r="W109" i="2" s="1"/>
  <c r="X112" i="2"/>
  <c r="X109" i="2" s="1"/>
  <c r="AA112" i="2"/>
  <c r="AA109" i="2" s="1"/>
  <c r="AE112" i="2"/>
  <c r="M113" i="2"/>
  <c r="O113" i="2"/>
  <c r="Q113" i="2"/>
  <c r="S113" i="2"/>
  <c r="Z113" i="2"/>
  <c r="AC113" i="2"/>
  <c r="AF113" i="2"/>
  <c r="AG113" i="2" s="1"/>
  <c r="AK112" i="2"/>
  <c r="M114" i="2"/>
  <c r="O114" i="2"/>
  <c r="Q114" i="2"/>
  <c r="S114" i="2"/>
  <c r="Z114" i="2"/>
  <c r="AC114" i="2"/>
  <c r="AF114" i="2"/>
  <c r="AG114" i="2" s="1"/>
  <c r="H115" i="2"/>
  <c r="F116" i="2"/>
  <c r="J116" i="2"/>
  <c r="K116" i="2"/>
  <c r="AR116" i="2" s="1"/>
  <c r="L116" i="2"/>
  <c r="N116" i="2"/>
  <c r="P116" i="2"/>
  <c r="R116" i="2"/>
  <c r="T116" i="2"/>
  <c r="U116" i="2"/>
  <c r="V116" i="2"/>
  <c r="W116" i="2"/>
  <c r="X116" i="2"/>
  <c r="AA116" i="2"/>
  <c r="H117" i="2"/>
  <c r="M117" i="2"/>
  <c r="O117" i="2"/>
  <c r="Q117" i="2"/>
  <c r="S117" i="2"/>
  <c r="Z117" i="2"/>
  <c r="AC117" i="2"/>
  <c r="AD117" i="2" s="1"/>
  <c r="AF117" i="2"/>
  <c r="AG117" i="2" s="1"/>
  <c r="H118" i="2"/>
  <c r="M118" i="2"/>
  <c r="O118" i="2"/>
  <c r="Q118" i="2"/>
  <c r="S118" i="2"/>
  <c r="Z118" i="2"/>
  <c r="AB118" i="2"/>
  <c r="AC118" i="2"/>
  <c r="AF118" i="2"/>
  <c r="AG118" i="2" s="1"/>
  <c r="M119" i="2"/>
  <c r="Z119" i="2"/>
  <c r="AC119" i="2"/>
  <c r="Y119" i="2" s="1"/>
  <c r="AF119" i="2"/>
  <c r="F120" i="2"/>
  <c r="J120" i="2"/>
  <c r="K120" i="2"/>
  <c r="L120" i="2"/>
  <c r="N120" i="2"/>
  <c r="P120" i="2"/>
  <c r="R120" i="2"/>
  <c r="T120" i="2"/>
  <c r="U120" i="2"/>
  <c r="V120" i="2"/>
  <c r="W120" i="2"/>
  <c r="X120" i="2"/>
  <c r="AA120" i="2"/>
  <c r="AO120" i="2"/>
  <c r="AO115" i="2" s="1"/>
  <c r="H121" i="2"/>
  <c r="M121" i="2"/>
  <c r="O121" i="2"/>
  <c r="Q121" i="2"/>
  <c r="S121" i="2"/>
  <c r="Z121" i="2"/>
  <c r="AB121" i="2"/>
  <c r="AC121" i="2"/>
  <c r="AF121" i="2"/>
  <c r="AG121" i="2" s="1"/>
  <c r="H122" i="2"/>
  <c r="M122" i="2"/>
  <c r="O122" i="2"/>
  <c r="Q122" i="2"/>
  <c r="S122" i="2"/>
  <c r="Z122" i="2"/>
  <c r="AB122" i="2"/>
  <c r="AC122" i="2"/>
  <c r="AF122" i="2"/>
  <c r="AG122" i="2" s="1"/>
  <c r="AK122" i="2"/>
  <c r="AK120" i="2" s="1"/>
  <c r="H123" i="2"/>
  <c r="M123" i="2"/>
  <c r="O123" i="2"/>
  <c r="Q123" i="2"/>
  <c r="S123" i="2"/>
  <c r="Z123" i="2"/>
  <c r="AB123" i="2"/>
  <c r="AC123" i="2"/>
  <c r="AF123" i="2"/>
  <c r="AG123" i="2" s="1"/>
  <c r="H124" i="2"/>
  <c r="M124" i="2"/>
  <c r="O124" i="2"/>
  <c r="Q124" i="2"/>
  <c r="S124" i="2"/>
  <c r="AD124" i="2"/>
  <c r="AF124" i="2"/>
  <c r="AG124" i="2" s="1"/>
  <c r="H125" i="2"/>
  <c r="J125" i="2"/>
  <c r="L125" i="2"/>
  <c r="N125" i="2"/>
  <c r="P125" i="2"/>
  <c r="R125" i="2"/>
  <c r="T125" i="2"/>
  <c r="U125" i="2"/>
  <c r="V125" i="2"/>
  <c r="W125" i="2"/>
  <c r="X125" i="2"/>
  <c r="AA125" i="2"/>
  <c r="Z126" i="2"/>
  <c r="AC126" i="2"/>
  <c r="Y126" i="2" s="1"/>
  <c r="AF126" i="2"/>
  <c r="H127" i="2"/>
  <c r="M127" i="2"/>
  <c r="O127" i="2"/>
  <c r="Q127" i="2"/>
  <c r="S127" i="2"/>
  <c r="Z127" i="2"/>
  <c r="AB127" i="2"/>
  <c r="AC127" i="2"/>
  <c r="Y127" i="2" s="1"/>
  <c r="AF127" i="2"/>
  <c r="AG127" i="2" s="1"/>
  <c r="H128" i="2"/>
  <c r="G129" i="2"/>
  <c r="AE129" i="2"/>
  <c r="AE128" i="2" s="1"/>
  <c r="H130" i="2"/>
  <c r="M130" i="2"/>
  <c r="Q130" i="2"/>
  <c r="S130" i="2"/>
  <c r="Z130" i="2"/>
  <c r="AC130" i="2"/>
  <c r="AF130" i="2"/>
  <c r="AG130" i="2" s="1"/>
  <c r="F131" i="2"/>
  <c r="F129" i="2" s="1"/>
  <c r="H131" i="2"/>
  <c r="J131" i="2"/>
  <c r="K131" i="2"/>
  <c r="AR131" i="2" s="1"/>
  <c r="L131" i="2"/>
  <c r="N131" i="2"/>
  <c r="P131" i="2"/>
  <c r="R131" i="2"/>
  <c r="T131" i="2"/>
  <c r="U131" i="2"/>
  <c r="V131" i="2"/>
  <c r="W131" i="2"/>
  <c r="X131" i="2"/>
  <c r="M132" i="2"/>
  <c r="Z132" i="2"/>
  <c r="AC132" i="2"/>
  <c r="Y132" i="2" s="1"/>
  <c r="AF132" i="2"/>
  <c r="M133" i="2"/>
  <c r="Z133" i="2"/>
  <c r="AC133" i="2"/>
  <c r="Y133" i="2" s="1"/>
  <c r="AF133" i="2"/>
  <c r="H134" i="2"/>
  <c r="M134" i="2"/>
  <c r="O134" i="2"/>
  <c r="Q134" i="2"/>
  <c r="S134" i="2"/>
  <c r="Z134" i="2"/>
  <c r="AC134" i="2"/>
  <c r="AF134" i="2"/>
  <c r="AG134" i="2" s="1"/>
  <c r="J135" i="2"/>
  <c r="K135" i="2"/>
  <c r="L135" i="2"/>
  <c r="N135" i="2"/>
  <c r="P135" i="2"/>
  <c r="R135" i="2"/>
  <c r="T135" i="2"/>
  <c r="U135" i="2"/>
  <c r="V135" i="2"/>
  <c r="W135" i="2"/>
  <c r="X135" i="2"/>
  <c r="AA135" i="2"/>
  <c r="AA129" i="2" s="1"/>
  <c r="H136" i="2"/>
  <c r="M136" i="2"/>
  <c r="O136" i="2"/>
  <c r="Q136" i="2"/>
  <c r="S136" i="2"/>
  <c r="Z136" i="2"/>
  <c r="AC136" i="2"/>
  <c r="Y136" i="2" s="1"/>
  <c r="AF136" i="2"/>
  <c r="AG136" i="2" s="1"/>
  <c r="H137" i="2"/>
  <c r="M137" i="2"/>
  <c r="O137" i="2"/>
  <c r="Q137" i="2"/>
  <c r="S137" i="2"/>
  <c r="Z137" i="2"/>
  <c r="AC137" i="2"/>
  <c r="Y137" i="2" s="1"/>
  <c r="AF137" i="2"/>
  <c r="AG137" i="2" s="1"/>
  <c r="F139" i="2"/>
  <c r="AK139" i="2"/>
  <c r="F140" i="2"/>
  <c r="H140" i="2"/>
  <c r="J140" i="2"/>
  <c r="J139" i="2" s="1"/>
  <c r="K140" i="2"/>
  <c r="L140" i="2"/>
  <c r="N140" i="2"/>
  <c r="N139" i="2" s="1"/>
  <c r="P140" i="2"/>
  <c r="R140" i="2"/>
  <c r="T140" i="2"/>
  <c r="U140" i="2"/>
  <c r="U139" i="2" s="1"/>
  <c r="V140" i="2"/>
  <c r="V139" i="2" s="1"/>
  <c r="W140" i="2"/>
  <c r="W139" i="2" s="1"/>
  <c r="X140" i="2"/>
  <c r="X139" i="2" s="1"/>
  <c r="AA140" i="2"/>
  <c r="AA139" i="2" s="1"/>
  <c r="AE140" i="2"/>
  <c r="M141" i="2"/>
  <c r="O141" i="2"/>
  <c r="Q141" i="2"/>
  <c r="S141" i="2"/>
  <c r="Z141" i="2"/>
  <c r="AB141" i="2"/>
  <c r="AC141" i="2"/>
  <c r="AF141" i="2"/>
  <c r="AG141" i="2" s="1"/>
  <c r="M142" i="2"/>
  <c r="O142" i="2"/>
  <c r="Q142" i="2"/>
  <c r="S142" i="2"/>
  <c r="Z142" i="2"/>
  <c r="AC142" i="2"/>
  <c r="Y142" i="2" s="1"/>
  <c r="AF142" i="2"/>
  <c r="AG142" i="2" s="1"/>
  <c r="H143" i="2"/>
  <c r="M143" i="2"/>
  <c r="O143" i="2"/>
  <c r="Q143" i="2"/>
  <c r="S143" i="2"/>
  <c r="Z143" i="2"/>
  <c r="AC143" i="2"/>
  <c r="AD143" i="2" s="1"/>
  <c r="AF143" i="2"/>
  <c r="AG143" i="2" s="1"/>
  <c r="F144" i="2"/>
  <c r="K144" i="2"/>
  <c r="AR144" i="2" s="1"/>
  <c r="L144" i="2"/>
  <c r="N144" i="2"/>
  <c r="P144" i="2"/>
  <c r="Q144" i="2" s="1"/>
  <c r="R144" i="2"/>
  <c r="T144" i="2"/>
  <c r="U144" i="2"/>
  <c r="V144" i="2"/>
  <c r="W144" i="2"/>
  <c r="X144" i="2"/>
  <c r="AA144" i="2"/>
  <c r="M145" i="2"/>
  <c r="O145" i="2"/>
  <c r="Q145" i="2"/>
  <c r="S145" i="2"/>
  <c r="Z145" i="2"/>
  <c r="AC145" i="2"/>
  <c r="Y145" i="2" s="1"/>
  <c r="AG145" i="2"/>
  <c r="H146" i="2"/>
  <c r="M146" i="2"/>
  <c r="O146" i="2"/>
  <c r="Q146" i="2"/>
  <c r="S146" i="2"/>
  <c r="Z146" i="2"/>
  <c r="AB146" i="2"/>
  <c r="AC146" i="2"/>
  <c r="AF146" i="2"/>
  <c r="AG146" i="2" s="1"/>
  <c r="H148" i="2"/>
  <c r="M148" i="2"/>
  <c r="O148" i="2"/>
  <c r="Z148" i="2"/>
  <c r="AC148" i="2"/>
  <c r="Y148" i="2" s="1"/>
  <c r="AF148" i="2"/>
  <c r="AG148" i="2" s="1"/>
  <c r="H150" i="2"/>
  <c r="H149" i="2" s="1"/>
  <c r="J150" i="2"/>
  <c r="J149" i="2" s="1"/>
  <c r="K150" i="2"/>
  <c r="L150" i="2"/>
  <c r="N150" i="2"/>
  <c r="N149" i="2" s="1"/>
  <c r="P150" i="2"/>
  <c r="P149" i="2" s="1"/>
  <c r="Q149" i="2" s="1"/>
  <c r="R150" i="2"/>
  <c r="R149" i="2" s="1"/>
  <c r="T150" i="2"/>
  <c r="U150" i="2"/>
  <c r="U149" i="2" s="1"/>
  <c r="V150" i="2"/>
  <c r="V149" i="2" s="1"/>
  <c r="W150" i="2"/>
  <c r="W149" i="2" s="1"/>
  <c r="X150" i="2"/>
  <c r="X149" i="2" s="1"/>
  <c r="AA150" i="2"/>
  <c r="AA149" i="2" s="1"/>
  <c r="AE150" i="2"/>
  <c r="AE149" i="2" s="1"/>
  <c r="M151" i="2"/>
  <c r="O151" i="2"/>
  <c r="Q151" i="2"/>
  <c r="S151" i="2"/>
  <c r="Z151" i="2"/>
  <c r="AC151" i="2"/>
  <c r="AF151" i="2"/>
  <c r="AG151" i="2" s="1"/>
  <c r="L156" i="2"/>
  <c r="N156" i="2"/>
  <c r="P156" i="2"/>
  <c r="R156" i="2"/>
  <c r="T156" i="2"/>
  <c r="U156" i="2"/>
  <c r="V156" i="2"/>
  <c r="W156" i="2"/>
  <c r="X156" i="2"/>
  <c r="AA156" i="2"/>
  <c r="AE156" i="2"/>
  <c r="AH156" i="2"/>
  <c r="AI156" i="2"/>
  <c r="F157" i="2"/>
  <c r="H157" i="2"/>
  <c r="J157" i="2"/>
  <c r="AK157" i="2" s="1"/>
  <c r="Z157" i="2"/>
  <c r="AC157" i="2"/>
  <c r="Y157" i="2" s="1"/>
  <c r="F158" i="2"/>
  <c r="H158" i="2"/>
  <c r="J158" i="2"/>
  <c r="Z158" i="2"/>
  <c r="AC158" i="2"/>
  <c r="K159" i="2"/>
  <c r="L159" i="2"/>
  <c r="N159" i="2"/>
  <c r="P159" i="2"/>
  <c r="R159" i="2"/>
  <c r="T159" i="2"/>
  <c r="U159" i="2"/>
  <c r="V159" i="2"/>
  <c r="W159" i="2"/>
  <c r="X159" i="2"/>
  <c r="AA159" i="2"/>
  <c r="AB159" i="2"/>
  <c r="AE159" i="2"/>
  <c r="AH159" i="2"/>
  <c r="AI159" i="2"/>
  <c r="F160" i="2"/>
  <c r="H160" i="2"/>
  <c r="J160" i="2"/>
  <c r="AG160" i="2" s="1"/>
  <c r="AG159" i="2" s="1"/>
  <c r="Z160" i="2"/>
  <c r="AC160" i="2"/>
  <c r="F161" i="2"/>
  <c r="H161" i="2"/>
  <c r="J161" i="2"/>
  <c r="Z161" i="2"/>
  <c r="AC161" i="2"/>
  <c r="Y161" i="2" s="1"/>
  <c r="AO161" i="2"/>
  <c r="F163" i="2"/>
  <c r="H163" i="2"/>
  <c r="J163" i="2"/>
  <c r="Q163" i="2" s="1"/>
  <c r="Z163" i="2"/>
  <c r="AC163" i="2"/>
  <c r="Y163" i="2" s="1"/>
  <c r="F164" i="2"/>
  <c r="H164" i="2"/>
  <c r="J164" i="2"/>
  <c r="S164" i="2" s="1"/>
  <c r="Z164" i="2"/>
  <c r="AC164" i="2"/>
  <c r="K165" i="2"/>
  <c r="AM165" i="2" s="1"/>
  <c r="L165" i="2"/>
  <c r="L162" i="2" s="1"/>
  <c r="N165" i="2"/>
  <c r="N162" i="2" s="1"/>
  <c r="P165" i="2"/>
  <c r="P162" i="2" s="1"/>
  <c r="R165" i="2"/>
  <c r="R162" i="2" s="1"/>
  <c r="T165" i="2"/>
  <c r="T162" i="2" s="1"/>
  <c r="U165" i="2"/>
  <c r="U162" i="2" s="1"/>
  <c r="V165" i="2"/>
  <c r="V162" i="2" s="1"/>
  <c r="W165" i="2"/>
  <c r="W162" i="2" s="1"/>
  <c r="X165" i="2"/>
  <c r="X162" i="2" s="1"/>
  <c r="AA165" i="2"/>
  <c r="AA162" i="2" s="1"/>
  <c r="AE165" i="2"/>
  <c r="AE162" i="2" s="1"/>
  <c r="AH165" i="2"/>
  <c r="AH162" i="2" s="1"/>
  <c r="AI165" i="2"/>
  <c r="AI162" i="2" s="1"/>
  <c r="F166" i="2"/>
  <c r="H166" i="2"/>
  <c r="J166" i="2"/>
  <c r="Z166" i="2"/>
  <c r="AC166" i="2"/>
  <c r="F167" i="2"/>
  <c r="H167" i="2"/>
  <c r="J167" i="2"/>
  <c r="AB167" i="2" s="1"/>
  <c r="AB165" i="2" s="1"/>
  <c r="AB162" i="2" s="1"/>
  <c r="Z167" i="2"/>
  <c r="AC167" i="2"/>
  <c r="K169" i="2"/>
  <c r="L169" i="2"/>
  <c r="L168" i="2" s="1"/>
  <c r="N169" i="2"/>
  <c r="N168" i="2" s="1"/>
  <c r="P169" i="2"/>
  <c r="P168" i="2" s="1"/>
  <c r="R169" i="2"/>
  <c r="R168" i="2" s="1"/>
  <c r="T169" i="2"/>
  <c r="T168" i="2" s="1"/>
  <c r="U169" i="2"/>
  <c r="U168" i="2" s="1"/>
  <c r="V169" i="2"/>
  <c r="V168" i="2" s="1"/>
  <c r="W169" i="2"/>
  <c r="W168" i="2" s="1"/>
  <c r="X169" i="2"/>
  <c r="X168" i="2" s="1"/>
  <c r="AA169" i="2"/>
  <c r="AA168" i="2" s="1"/>
  <c r="AB169" i="2"/>
  <c r="AE169" i="2"/>
  <c r="AE168" i="2" s="1"/>
  <c r="AH169" i="2"/>
  <c r="AH168" i="2" s="1"/>
  <c r="AI169" i="2"/>
  <c r="AI168" i="2" s="1"/>
  <c r="F170" i="2"/>
  <c r="H170" i="2"/>
  <c r="J170" i="2"/>
  <c r="S170" i="2" s="1"/>
  <c r="Z170" i="2"/>
  <c r="AC170" i="2"/>
  <c r="F171" i="2"/>
  <c r="H171" i="2"/>
  <c r="J171" i="2"/>
  <c r="M171" i="2" s="1"/>
  <c r="Z171" i="2"/>
  <c r="AC171" i="2"/>
  <c r="F172" i="2"/>
  <c r="H172" i="2"/>
  <c r="J172" i="2"/>
  <c r="Z172" i="2"/>
  <c r="AC172" i="2"/>
  <c r="F173" i="2"/>
  <c r="H173" i="2"/>
  <c r="J173" i="2"/>
  <c r="M173" i="2" s="1"/>
  <c r="Z173" i="2"/>
  <c r="AC173" i="2"/>
  <c r="Y173" i="2" s="1"/>
  <c r="AO173" i="2"/>
  <c r="F174" i="2"/>
  <c r="H174" i="2"/>
  <c r="J174" i="2"/>
  <c r="AF174" i="2" s="1"/>
  <c r="AG174" i="2" s="1"/>
  <c r="Z174" i="2"/>
  <c r="AC174" i="2"/>
  <c r="Y174" i="2" s="1"/>
  <c r="F175" i="2"/>
  <c r="H175" i="2"/>
  <c r="J175" i="2"/>
  <c r="AF175" i="2" s="1"/>
  <c r="AG175" i="2" s="1"/>
  <c r="Z175" i="2"/>
  <c r="AC175" i="2"/>
  <c r="Y175" i="2" s="1"/>
  <c r="F176" i="2"/>
  <c r="H176" i="2"/>
  <c r="J176" i="2"/>
  <c r="AF176" i="2" s="1"/>
  <c r="AG176" i="2" s="1"/>
  <c r="Z176" i="2"/>
  <c r="AC176" i="2"/>
  <c r="Y176" i="2" s="1"/>
  <c r="AO176" i="2"/>
  <c r="F177" i="2"/>
  <c r="H177" i="2"/>
  <c r="J177" i="2"/>
  <c r="Z177" i="2"/>
  <c r="AC177" i="2"/>
  <c r="K179" i="2"/>
  <c r="L179" i="2"/>
  <c r="N179" i="2"/>
  <c r="P179" i="2"/>
  <c r="R179" i="2"/>
  <c r="T179" i="2"/>
  <c r="U179" i="2"/>
  <c r="V179" i="2"/>
  <c r="W179" i="2"/>
  <c r="X179" i="2"/>
  <c r="AA179" i="2"/>
  <c r="AE179" i="2"/>
  <c r="AH179" i="2"/>
  <c r="AI179" i="2"/>
  <c r="F180" i="2"/>
  <c r="H180" i="2"/>
  <c r="J180" i="2"/>
  <c r="Z180" i="2"/>
  <c r="AC180" i="2"/>
  <c r="Y180" i="2" s="1"/>
  <c r="F181" i="2"/>
  <c r="H181" i="2"/>
  <c r="J181" i="2"/>
  <c r="Z181" i="2"/>
  <c r="AC181" i="2"/>
  <c r="F182" i="2"/>
  <c r="H182" i="2"/>
  <c r="J182" i="2"/>
  <c r="M182" i="2" s="1"/>
  <c r="Z182" i="2"/>
  <c r="AC182" i="2"/>
  <c r="Y182" i="2" s="1"/>
  <c r="L183" i="2"/>
  <c r="N183" i="2"/>
  <c r="P183" i="2"/>
  <c r="R183" i="2"/>
  <c r="T183" i="2"/>
  <c r="U183" i="2"/>
  <c r="V183" i="2"/>
  <c r="W183" i="2"/>
  <c r="X183" i="2"/>
  <c r="AA183" i="2"/>
  <c r="AB183" i="2"/>
  <c r="AE183" i="2"/>
  <c r="AH183" i="2"/>
  <c r="AI183" i="2"/>
  <c r="F184" i="2"/>
  <c r="H184" i="2"/>
  <c r="J184" i="2"/>
  <c r="Z184" i="2"/>
  <c r="AC184" i="2"/>
  <c r="F185" i="2"/>
  <c r="H185" i="2"/>
  <c r="J185" i="2"/>
  <c r="S185" i="2" s="1"/>
  <c r="Z185" i="2"/>
  <c r="AC185" i="2"/>
  <c r="Y185" i="2" s="1"/>
  <c r="F188" i="2"/>
  <c r="H188" i="2"/>
  <c r="J188" i="2"/>
  <c r="Q188" i="2" s="1"/>
  <c r="Z188" i="2"/>
  <c r="AC188" i="2"/>
  <c r="F189" i="2"/>
  <c r="H189" i="2"/>
  <c r="J189" i="2"/>
  <c r="Q189" i="2" s="1"/>
  <c r="Z189" i="2"/>
  <c r="AC189" i="2"/>
  <c r="Y189" i="2" s="1"/>
  <c r="K190" i="2"/>
  <c r="AM190" i="2" s="1"/>
  <c r="L190" i="2"/>
  <c r="L187" i="2" s="1"/>
  <c r="N190" i="2"/>
  <c r="N187" i="2" s="1"/>
  <c r="P190" i="2"/>
  <c r="P187" i="2" s="1"/>
  <c r="R190" i="2"/>
  <c r="R187" i="2" s="1"/>
  <c r="T190" i="2"/>
  <c r="T187" i="2" s="1"/>
  <c r="U190" i="2"/>
  <c r="U187" i="2" s="1"/>
  <c r="V190" i="2"/>
  <c r="V187" i="2" s="1"/>
  <c r="W190" i="2"/>
  <c r="W187" i="2" s="1"/>
  <c r="X190" i="2"/>
  <c r="X187" i="2" s="1"/>
  <c r="AA190" i="2"/>
  <c r="AA187" i="2" s="1"/>
  <c r="AB190" i="2"/>
  <c r="AE190" i="2"/>
  <c r="AE187" i="2" s="1"/>
  <c r="AH190" i="2"/>
  <c r="AH187" i="2" s="1"/>
  <c r="AI190" i="2"/>
  <c r="AI187" i="2" s="1"/>
  <c r="F191" i="2"/>
  <c r="H191" i="2"/>
  <c r="J191" i="2"/>
  <c r="Z191" i="2"/>
  <c r="AC191" i="2"/>
  <c r="F192" i="2"/>
  <c r="H192" i="2"/>
  <c r="J192" i="2"/>
  <c r="O192" i="2" s="1"/>
  <c r="Z192" i="2"/>
  <c r="AC192" i="2"/>
  <c r="Y192" i="2" s="1"/>
  <c r="F193" i="2"/>
  <c r="H193" i="2"/>
  <c r="J193" i="2"/>
  <c r="Q193" i="2" s="1"/>
  <c r="Z193" i="2"/>
  <c r="AC193" i="2"/>
  <c r="Y193" i="2" s="1"/>
  <c r="F194" i="2"/>
  <c r="H194" i="2"/>
  <c r="J194" i="2"/>
  <c r="Z194" i="2"/>
  <c r="AC194" i="2"/>
  <c r="K196" i="2"/>
  <c r="L196" i="2"/>
  <c r="N196" i="2"/>
  <c r="P196" i="2"/>
  <c r="R196" i="2"/>
  <c r="T196" i="2"/>
  <c r="U196" i="2"/>
  <c r="V196" i="2"/>
  <c r="W196" i="2"/>
  <c r="X196" i="2"/>
  <c r="AA196" i="2"/>
  <c r="AB196" i="2"/>
  <c r="AE196" i="2"/>
  <c r="AH196" i="2"/>
  <c r="AI196" i="2"/>
  <c r="F197" i="2"/>
  <c r="H197" i="2"/>
  <c r="J197" i="2"/>
  <c r="O197" i="2" s="1"/>
  <c r="Z197" i="2"/>
  <c r="AC197" i="2"/>
  <c r="Y197" i="2" s="1"/>
  <c r="AO197" i="2"/>
  <c r="F198" i="2"/>
  <c r="H198" i="2"/>
  <c r="J198" i="2"/>
  <c r="Z198" i="2"/>
  <c r="AC198" i="2"/>
  <c r="Y198" i="2" s="1"/>
  <c r="F199" i="2"/>
  <c r="H199" i="2"/>
  <c r="J199" i="2"/>
  <c r="AF199" i="2" s="1"/>
  <c r="AG199" i="2" s="1"/>
  <c r="Z199" i="2"/>
  <c r="AC199" i="2"/>
  <c r="Y199" i="2" s="1"/>
  <c r="F200" i="2"/>
  <c r="H200" i="2"/>
  <c r="J200" i="2"/>
  <c r="Z200" i="2"/>
  <c r="AC200" i="2"/>
  <c r="Y200" i="2" s="1"/>
  <c r="K201" i="2"/>
  <c r="AR201" i="2" s="1"/>
  <c r="L201" i="2"/>
  <c r="M201" i="2"/>
  <c r="N201" i="2"/>
  <c r="O201" i="2"/>
  <c r="P201" i="2"/>
  <c r="Q201" i="2"/>
  <c r="R201" i="2"/>
  <c r="S201" i="2"/>
  <c r="T201" i="2"/>
  <c r="U201" i="2"/>
  <c r="V201" i="2"/>
  <c r="W201" i="2"/>
  <c r="X201" i="2"/>
  <c r="AA201" i="2"/>
  <c r="AB201" i="2"/>
  <c r="AD201" i="2"/>
  <c r="AE201" i="2"/>
  <c r="AG201" i="2"/>
  <c r="AH201" i="2"/>
  <c r="AI201" i="2"/>
  <c r="F202" i="2"/>
  <c r="H202" i="2"/>
  <c r="J202" i="2"/>
  <c r="AF202" i="2" s="1"/>
  <c r="Z202" i="2"/>
  <c r="AC202" i="2"/>
  <c r="F203" i="2"/>
  <c r="H203" i="2"/>
  <c r="J203" i="2"/>
  <c r="Z203" i="2"/>
  <c r="AC203" i="2"/>
  <c r="Y203" i="2" s="1"/>
  <c r="K205" i="2"/>
  <c r="L205" i="2"/>
  <c r="N205" i="2"/>
  <c r="P205" i="2"/>
  <c r="R205" i="2"/>
  <c r="T205" i="2"/>
  <c r="U205" i="2"/>
  <c r="V205" i="2"/>
  <c r="W205" i="2"/>
  <c r="X205" i="2"/>
  <c r="AA205" i="2"/>
  <c r="AE205" i="2"/>
  <c r="AH205" i="2"/>
  <c r="AI205" i="2"/>
  <c r="F206" i="2"/>
  <c r="H206" i="2"/>
  <c r="J206" i="2"/>
  <c r="Z206" i="2"/>
  <c r="AC206" i="2"/>
  <c r="F207" i="2"/>
  <c r="H207" i="2"/>
  <c r="J207" i="2"/>
  <c r="Q207" i="2" s="1"/>
  <c r="Z207" i="2"/>
  <c r="AC207" i="2"/>
  <c r="Y207" i="2" s="1"/>
  <c r="F208" i="2"/>
  <c r="H208" i="2"/>
  <c r="J208" i="2"/>
  <c r="Z208" i="2"/>
  <c r="AC208" i="2"/>
  <c r="F209" i="2"/>
  <c r="H209" i="2"/>
  <c r="J209" i="2"/>
  <c r="Q209" i="2" s="1"/>
  <c r="Z209" i="2"/>
  <c r="AC209" i="2"/>
  <c r="Y209" i="2" s="1"/>
  <c r="F210" i="2"/>
  <c r="H210" i="2"/>
  <c r="J210" i="2"/>
  <c r="Q210" i="2" s="1"/>
  <c r="Z210" i="2"/>
  <c r="AC210" i="2"/>
  <c r="F211" i="2"/>
  <c r="H211" i="2"/>
  <c r="J211" i="2"/>
  <c r="O211" i="2" s="1"/>
  <c r="Z211" i="2"/>
  <c r="AC211" i="2"/>
  <c r="K212" i="2"/>
  <c r="L212" i="2"/>
  <c r="N212" i="2"/>
  <c r="P212" i="2"/>
  <c r="R212" i="2"/>
  <c r="T212" i="2"/>
  <c r="U212" i="2"/>
  <c r="V212" i="2"/>
  <c r="W212" i="2"/>
  <c r="X212" i="2"/>
  <c r="AA212" i="2"/>
  <c r="AB212" i="2"/>
  <c r="AE212" i="2"/>
  <c r="AF212" i="2"/>
  <c r="AH212" i="2"/>
  <c r="AI212" i="2"/>
  <c r="AJ212" i="2"/>
  <c r="F213" i="2"/>
  <c r="F212" i="2" s="1"/>
  <c r="H213" i="2"/>
  <c r="H212" i="2" s="1"/>
  <c r="J213" i="2"/>
  <c r="Z213" i="2"/>
  <c r="Z212" i="2" s="1"/>
  <c r="AC213" i="2"/>
  <c r="AC212" i="2" s="1"/>
  <c r="F216" i="2"/>
  <c r="H216" i="2"/>
  <c r="J216" i="2"/>
  <c r="S216" i="2" s="1"/>
  <c r="Z216" i="2"/>
  <c r="AC216" i="2"/>
  <c r="F217" i="2"/>
  <c r="H217" i="2"/>
  <c r="J217" i="2"/>
  <c r="S217" i="2" s="1"/>
  <c r="Z217" i="2"/>
  <c r="AC217" i="2"/>
  <c r="F218" i="2"/>
  <c r="H218" i="2"/>
  <c r="J218" i="2"/>
  <c r="Q218" i="2" s="1"/>
  <c r="Z218" i="2"/>
  <c r="AC218" i="2"/>
  <c r="Y218" i="2" s="1"/>
  <c r="K219" i="2"/>
  <c r="L219" i="2"/>
  <c r="L215" i="2" s="1"/>
  <c r="N219" i="2"/>
  <c r="N215" i="2" s="1"/>
  <c r="P219" i="2"/>
  <c r="P215" i="2" s="1"/>
  <c r="R219" i="2"/>
  <c r="R215" i="2" s="1"/>
  <c r="T219" i="2"/>
  <c r="T215" i="2" s="1"/>
  <c r="U219" i="2"/>
  <c r="U215" i="2" s="1"/>
  <c r="V219" i="2"/>
  <c r="V215" i="2" s="1"/>
  <c r="W219" i="2"/>
  <c r="W215" i="2" s="1"/>
  <c r="X219" i="2"/>
  <c r="X215" i="2" s="1"/>
  <c r="AA219" i="2"/>
  <c r="AA215" i="2" s="1"/>
  <c r="AB219" i="2"/>
  <c r="AE219" i="2"/>
  <c r="AE215" i="2" s="1"/>
  <c r="AH219" i="2"/>
  <c r="AH215" i="2" s="1"/>
  <c r="AI219" i="2"/>
  <c r="AI215" i="2" s="1"/>
  <c r="F220" i="2"/>
  <c r="H220" i="2"/>
  <c r="J220" i="2"/>
  <c r="S220" i="2" s="1"/>
  <c r="Z220" i="2"/>
  <c r="AC220" i="2"/>
  <c r="F221" i="2"/>
  <c r="H221" i="2"/>
  <c r="J221" i="2"/>
  <c r="Z221" i="2"/>
  <c r="AC221" i="2"/>
  <c r="Y221" i="2" s="1"/>
  <c r="K223" i="2"/>
  <c r="AR223" i="2" s="1"/>
  <c r="L223" i="2"/>
  <c r="L222" i="2" s="1"/>
  <c r="N223" i="2"/>
  <c r="N222" i="2" s="1"/>
  <c r="P223" i="2"/>
  <c r="P222" i="2" s="1"/>
  <c r="R223" i="2"/>
  <c r="R222" i="2" s="1"/>
  <c r="T223" i="2"/>
  <c r="T222" i="2" s="1"/>
  <c r="U223" i="2"/>
  <c r="U222" i="2" s="1"/>
  <c r="V223" i="2"/>
  <c r="V222" i="2" s="1"/>
  <c r="W223" i="2"/>
  <c r="W222" i="2" s="1"/>
  <c r="X223" i="2"/>
  <c r="X222" i="2" s="1"/>
  <c r="AA223" i="2"/>
  <c r="AA222" i="2" s="1"/>
  <c r="AE223" i="2"/>
  <c r="AE222" i="2" s="1"/>
  <c r="AH223" i="2"/>
  <c r="AH222" i="2" s="1"/>
  <c r="AI223" i="2"/>
  <c r="AI222" i="2" s="1"/>
  <c r="F224" i="2"/>
  <c r="H224" i="2"/>
  <c r="J224" i="2"/>
  <c r="Z224" i="2"/>
  <c r="AC224" i="2"/>
  <c r="F225" i="2"/>
  <c r="H225" i="2"/>
  <c r="J225" i="2"/>
  <c r="Z225" i="2"/>
  <c r="AC225" i="2"/>
  <c r="Y225" i="2" s="1"/>
  <c r="F226" i="2"/>
  <c r="H226" i="2"/>
  <c r="J226" i="2"/>
  <c r="Z226" i="2"/>
  <c r="AC226" i="2"/>
  <c r="Y226" i="2" s="1"/>
  <c r="F227" i="2"/>
  <c r="H227" i="2"/>
  <c r="J227" i="2"/>
  <c r="AF227" i="2" s="1"/>
  <c r="AG227" i="2" s="1"/>
  <c r="Z227" i="2"/>
  <c r="AC227" i="2"/>
  <c r="Y227" i="2" s="1"/>
  <c r="K228" i="2"/>
  <c r="L228" i="2"/>
  <c r="N228" i="2"/>
  <c r="P228" i="2"/>
  <c r="R228" i="2"/>
  <c r="T228" i="2"/>
  <c r="U228" i="2"/>
  <c r="V228" i="2"/>
  <c r="W228" i="2"/>
  <c r="X228" i="2"/>
  <c r="AA228" i="2"/>
  <c r="AB228" i="2"/>
  <c r="AE228" i="2"/>
  <c r="AH228" i="2"/>
  <c r="AI228" i="2"/>
  <c r="F229" i="2"/>
  <c r="H229" i="2"/>
  <c r="J229" i="2"/>
  <c r="Q229" i="2" s="1"/>
  <c r="Z229" i="2"/>
  <c r="AC229" i="2"/>
  <c r="Y229" i="2" s="1"/>
  <c r="F230" i="2"/>
  <c r="H230" i="2"/>
  <c r="J230" i="2"/>
  <c r="Q230" i="2" s="1"/>
  <c r="Z230" i="2"/>
  <c r="AC230" i="2"/>
  <c r="Y230" i="2" s="1"/>
  <c r="F231" i="2"/>
  <c r="H231" i="2"/>
  <c r="J231" i="2"/>
  <c r="Q231" i="2" s="1"/>
  <c r="Z231" i="2"/>
  <c r="AC231" i="2"/>
  <c r="Y231" i="2" s="1"/>
  <c r="K232" i="2"/>
  <c r="L232" i="2"/>
  <c r="N232" i="2"/>
  <c r="P232" i="2"/>
  <c r="R232" i="2"/>
  <c r="T232" i="2"/>
  <c r="U232" i="2"/>
  <c r="V232" i="2"/>
  <c r="W232" i="2"/>
  <c r="X232" i="2"/>
  <c r="AA232" i="2"/>
  <c r="AE232" i="2"/>
  <c r="AH232" i="2"/>
  <c r="AI232" i="2"/>
  <c r="F233" i="2"/>
  <c r="H233" i="2"/>
  <c r="J233" i="2"/>
  <c r="Z233" i="2"/>
  <c r="AC233" i="2"/>
  <c r="Y233" i="2" s="1"/>
  <c r="F234" i="2"/>
  <c r="H234" i="2"/>
  <c r="J234" i="2"/>
  <c r="AB234" i="2" s="1"/>
  <c r="Z234" i="2"/>
  <c r="AC234" i="2"/>
  <c r="F237" i="2"/>
  <c r="H237" i="2"/>
  <c r="J237" i="2"/>
  <c r="Z237" i="2"/>
  <c r="AC237" i="2"/>
  <c r="K238" i="2"/>
  <c r="L238" i="2"/>
  <c r="L236" i="2" s="1"/>
  <c r="N238" i="2"/>
  <c r="N236" i="2" s="1"/>
  <c r="P238" i="2"/>
  <c r="P236" i="2" s="1"/>
  <c r="R238" i="2"/>
  <c r="R236" i="2" s="1"/>
  <c r="T238" i="2"/>
  <c r="T236" i="2" s="1"/>
  <c r="U238" i="2"/>
  <c r="U236" i="2" s="1"/>
  <c r="V238" i="2"/>
  <c r="V236" i="2" s="1"/>
  <c r="W238" i="2"/>
  <c r="W236" i="2" s="1"/>
  <c r="X238" i="2"/>
  <c r="X236" i="2" s="1"/>
  <c r="AA238" i="2"/>
  <c r="AA236" i="2" s="1"/>
  <c r="AB238" i="2"/>
  <c r="AE238" i="2"/>
  <c r="AE236" i="2" s="1"/>
  <c r="AH238" i="2"/>
  <c r="AH236" i="2" s="1"/>
  <c r="AI238" i="2"/>
  <c r="AI236" i="2" s="1"/>
  <c r="F239" i="2"/>
  <c r="H239" i="2"/>
  <c r="J239" i="2"/>
  <c r="O239" i="2" s="1"/>
  <c r="Z239" i="2"/>
  <c r="AC239" i="2"/>
  <c r="F240" i="2"/>
  <c r="H240" i="2"/>
  <c r="J240" i="2"/>
  <c r="M240" i="2" s="1"/>
  <c r="Z240" i="2"/>
  <c r="AC240" i="2"/>
  <c r="Y240" i="2" s="1"/>
  <c r="F241" i="2"/>
  <c r="H241" i="2"/>
  <c r="J241" i="2"/>
  <c r="M241" i="2" s="1"/>
  <c r="Z241" i="2"/>
  <c r="AC241" i="2"/>
  <c r="Y241" i="2" s="1"/>
  <c r="F242" i="2"/>
  <c r="H242" i="2"/>
  <c r="J242" i="2"/>
  <c r="Q242" i="2" s="1"/>
  <c r="Z242" i="2"/>
  <c r="AC242" i="2"/>
  <c r="Y242" i="2" s="1"/>
  <c r="F243" i="2"/>
  <c r="H243" i="2"/>
  <c r="J243" i="2"/>
  <c r="AF243" i="2" s="1"/>
  <c r="AG243" i="2" s="1"/>
  <c r="Z243" i="2"/>
  <c r="AC243" i="2"/>
  <c r="Y243" i="2" s="1"/>
  <c r="AO243" i="2"/>
  <c r="K245" i="2"/>
  <c r="L245" i="2"/>
  <c r="L244" i="2" s="1"/>
  <c r="N245" i="2"/>
  <c r="N244" i="2" s="1"/>
  <c r="P245" i="2"/>
  <c r="P244" i="2" s="1"/>
  <c r="R245" i="2"/>
  <c r="R244" i="2" s="1"/>
  <c r="T245" i="2"/>
  <c r="T244" i="2" s="1"/>
  <c r="U245" i="2"/>
  <c r="U244" i="2" s="1"/>
  <c r="V245" i="2"/>
  <c r="V244" i="2" s="1"/>
  <c r="W245" i="2"/>
  <c r="W244" i="2" s="1"/>
  <c r="AA245" i="2"/>
  <c r="AA244" i="2" s="1"/>
  <c r="AB245" i="2"/>
  <c r="AB244" i="2" s="1"/>
  <c r="AE245" i="2"/>
  <c r="AE244" i="2" s="1"/>
  <c r="AH245" i="2"/>
  <c r="AH244" i="2" s="1"/>
  <c r="AI245" i="2"/>
  <c r="AI244" i="2" s="1"/>
  <c r="F246" i="2"/>
  <c r="H246" i="2"/>
  <c r="J246" i="2"/>
  <c r="Z246" i="2"/>
  <c r="AC246" i="2"/>
  <c r="AO246" i="2"/>
  <c r="F247" i="2"/>
  <c r="H247" i="2"/>
  <c r="J247" i="2"/>
  <c r="O247" i="2" s="1"/>
  <c r="Z247" i="2"/>
  <c r="AC247" i="2"/>
  <c r="F248" i="2"/>
  <c r="H248" i="2"/>
  <c r="J248" i="2"/>
  <c r="S248" i="2" s="1"/>
  <c r="Z248" i="2"/>
  <c r="AC248" i="2"/>
  <c r="F249" i="2"/>
  <c r="H249" i="2"/>
  <c r="J249" i="2"/>
  <c r="Z249" i="2"/>
  <c r="AC249" i="2"/>
  <c r="Y249" i="2" s="1"/>
  <c r="F250" i="2"/>
  <c r="H250" i="2"/>
  <c r="J250" i="2"/>
  <c r="AF250" i="2" s="1"/>
  <c r="AG250" i="2" s="1"/>
  <c r="Z250" i="2"/>
  <c r="AC250" i="2"/>
  <c r="Y250" i="2" s="1"/>
  <c r="K252" i="2"/>
  <c r="L252" i="2"/>
  <c r="N252" i="2"/>
  <c r="P252" i="2"/>
  <c r="R252" i="2"/>
  <c r="T252" i="2"/>
  <c r="U252" i="2"/>
  <c r="V252" i="2"/>
  <c r="W252" i="2"/>
  <c r="X252" i="2"/>
  <c r="AA252" i="2"/>
  <c r="AE252" i="2"/>
  <c r="AH252" i="2"/>
  <c r="AH251" i="2" s="1"/>
  <c r="AI252" i="2"/>
  <c r="F253" i="2"/>
  <c r="H253" i="2"/>
  <c r="J253" i="2"/>
  <c r="Q253" i="2" s="1"/>
  <c r="Z253" i="2"/>
  <c r="AC253" i="2"/>
  <c r="AO253" i="2"/>
  <c r="F254" i="2"/>
  <c r="H254" i="2"/>
  <c r="J254" i="2"/>
  <c r="M254" i="2" s="1"/>
  <c r="Z254" i="2"/>
  <c r="AC254" i="2"/>
  <c r="Y254" i="2" s="1"/>
  <c r="K255" i="2"/>
  <c r="L255" i="2"/>
  <c r="N255" i="2"/>
  <c r="P255" i="2"/>
  <c r="R255" i="2"/>
  <c r="T255" i="2"/>
  <c r="U255" i="2"/>
  <c r="V255" i="2"/>
  <c r="W255" i="2"/>
  <c r="X255" i="2"/>
  <c r="AA255" i="2"/>
  <c r="AE255" i="2"/>
  <c r="AI255" i="2"/>
  <c r="AJ255" i="2"/>
  <c r="F256" i="2"/>
  <c r="F255" i="2" s="1"/>
  <c r="H256" i="2"/>
  <c r="H255" i="2" s="1"/>
  <c r="J256" i="2"/>
  <c r="Q256" i="2" s="1"/>
  <c r="Q255" i="2" s="1"/>
  <c r="Z256" i="2"/>
  <c r="AC256" i="2"/>
  <c r="AO256" i="2"/>
  <c r="K258" i="2"/>
  <c r="AM258" i="2" s="1"/>
  <c r="L258" i="2"/>
  <c r="L257" i="2" s="1"/>
  <c r="N258" i="2"/>
  <c r="N257" i="2" s="1"/>
  <c r="P258" i="2"/>
  <c r="P257" i="2" s="1"/>
  <c r="R258" i="2"/>
  <c r="R257" i="2" s="1"/>
  <c r="T258" i="2"/>
  <c r="T257" i="2" s="1"/>
  <c r="U258" i="2"/>
  <c r="U257" i="2" s="1"/>
  <c r="V258" i="2"/>
  <c r="V257" i="2" s="1"/>
  <c r="W258" i="2"/>
  <c r="W257" i="2" s="1"/>
  <c r="X258" i="2"/>
  <c r="X257" i="2" s="1"/>
  <c r="AA258" i="2"/>
  <c r="AA257" i="2" s="1"/>
  <c r="AB258" i="2"/>
  <c r="AB257" i="2" s="1"/>
  <c r="AE258" i="2"/>
  <c r="AE257" i="2" s="1"/>
  <c r="AH258" i="2"/>
  <c r="AH257" i="2" s="1"/>
  <c r="AI258" i="2"/>
  <c r="AI257" i="2" s="1"/>
  <c r="F259" i="2"/>
  <c r="F258" i="2" s="1"/>
  <c r="F257" i="2" s="1"/>
  <c r="H259" i="2"/>
  <c r="H258" i="2" s="1"/>
  <c r="H257" i="2" s="1"/>
  <c r="J259" i="2"/>
  <c r="AF259" i="2" s="1"/>
  <c r="Z259" i="2"/>
  <c r="Z258" i="2" s="1"/>
  <c r="Z257" i="2" s="1"/>
  <c r="AC259" i="2"/>
  <c r="AC258" i="2" s="1"/>
  <c r="AC257" i="2" s="1"/>
  <c r="K261" i="2"/>
  <c r="L261" i="2"/>
  <c r="L260" i="2" s="1"/>
  <c r="N261" i="2"/>
  <c r="N260" i="2" s="1"/>
  <c r="P261" i="2"/>
  <c r="P260" i="2" s="1"/>
  <c r="R261" i="2"/>
  <c r="R260" i="2" s="1"/>
  <c r="T261" i="2"/>
  <c r="T260" i="2" s="1"/>
  <c r="U261" i="2"/>
  <c r="U260" i="2" s="1"/>
  <c r="V261" i="2"/>
  <c r="V260" i="2" s="1"/>
  <c r="W261" i="2"/>
  <c r="W260" i="2" s="1"/>
  <c r="X261" i="2"/>
  <c r="X260" i="2" s="1"/>
  <c r="AA261" i="2"/>
  <c r="AA260" i="2" s="1"/>
  <c r="AB261" i="2"/>
  <c r="AB260" i="2" s="1"/>
  <c r="AE261" i="2"/>
  <c r="AE260" i="2" s="1"/>
  <c r="AH261" i="2"/>
  <c r="AH260" i="2" s="1"/>
  <c r="AI261" i="2"/>
  <c r="AI260" i="2" s="1"/>
  <c r="F262" i="2"/>
  <c r="F261" i="2" s="1"/>
  <c r="F260" i="2" s="1"/>
  <c r="H262" i="2"/>
  <c r="H261" i="2" s="1"/>
  <c r="H260" i="2" s="1"/>
  <c r="J262" i="2"/>
  <c r="S262" i="2" s="1"/>
  <c r="S261" i="2" s="1"/>
  <c r="S260" i="2" s="1"/>
  <c r="Z262" i="2"/>
  <c r="Z261" i="2" s="1"/>
  <c r="Z260" i="2" s="1"/>
  <c r="AC262" i="2"/>
  <c r="AR261" i="2" l="1"/>
  <c r="AM261" i="2"/>
  <c r="AR196" i="2"/>
  <c r="AM196" i="2"/>
  <c r="AR252" i="2"/>
  <c r="AM252" i="2"/>
  <c r="AR245" i="2"/>
  <c r="AM245" i="2"/>
  <c r="AR212" i="2"/>
  <c r="AM212" i="2"/>
  <c r="AR238" i="2"/>
  <c r="AM238" i="2"/>
  <c r="AR179" i="2"/>
  <c r="AM179" i="2"/>
  <c r="AR31" i="2"/>
  <c r="AM31" i="2"/>
  <c r="AR255" i="2"/>
  <c r="AM255" i="2"/>
  <c r="AR219" i="2"/>
  <c r="AM219" i="2"/>
  <c r="AR228" i="2"/>
  <c r="AM228" i="2"/>
  <c r="AR205" i="2"/>
  <c r="AM205" i="2"/>
  <c r="AR232" i="2"/>
  <c r="AM232" i="2"/>
  <c r="AR169" i="2"/>
  <c r="AM169" i="2"/>
  <c r="AR159" i="2"/>
  <c r="AM159" i="2"/>
  <c r="AR120" i="2"/>
  <c r="AM120" i="2"/>
  <c r="K187" i="2"/>
  <c r="AR190" i="2"/>
  <c r="K104" i="2"/>
  <c r="AR104" i="2" s="1"/>
  <c r="AR105" i="2"/>
  <c r="K95" i="2"/>
  <c r="AR95" i="2" s="1"/>
  <c r="AR97" i="2"/>
  <c r="K162" i="2"/>
  <c r="AR165" i="2"/>
  <c r="K257" i="2"/>
  <c r="AR258" i="2"/>
  <c r="K139" i="2"/>
  <c r="AR139" i="2" s="1"/>
  <c r="AR140" i="2"/>
  <c r="K129" i="2"/>
  <c r="AR135" i="2"/>
  <c r="K109" i="2"/>
  <c r="AR112" i="2"/>
  <c r="K149" i="2"/>
  <c r="AR149" i="2" s="1"/>
  <c r="AR150" i="2"/>
  <c r="T78" i="2"/>
  <c r="T77" i="2" s="1"/>
  <c r="AK57" i="2"/>
  <c r="AQ81" i="2"/>
  <c r="AP81" i="2"/>
  <c r="AQ20" i="2"/>
  <c r="AP20" i="2"/>
  <c r="AP267" i="2" s="1"/>
  <c r="AP80" i="2"/>
  <c r="AQ80" i="2"/>
  <c r="AR80" i="2" s="1"/>
  <c r="AP59" i="2"/>
  <c r="AQ59" i="2"/>
  <c r="AR59" i="2" s="1"/>
  <c r="AO255" i="2"/>
  <c r="AK68" i="2"/>
  <c r="AG164" i="2"/>
  <c r="AD188" i="2"/>
  <c r="Q164" i="2"/>
  <c r="AU253" i="2"/>
  <c r="AU252" i="2" s="1"/>
  <c r="AU251" i="2" s="1"/>
  <c r="AO55" i="2"/>
  <c r="AO30" i="2"/>
  <c r="AU189" i="2"/>
  <c r="AO107" i="2"/>
  <c r="AO14" i="2" s="1"/>
  <c r="AO17" i="2"/>
  <c r="AF20" i="2"/>
  <c r="AG20" i="2" s="1"/>
  <c r="AB182" i="2"/>
  <c r="AC79" i="2"/>
  <c r="Y79" i="2" s="1"/>
  <c r="O31" i="2"/>
  <c r="AF189" i="2"/>
  <c r="AG189" i="2" s="1"/>
  <c r="S189" i="2"/>
  <c r="O189" i="2"/>
  <c r="S188" i="2"/>
  <c r="O41" i="2"/>
  <c r="M20" i="2"/>
  <c r="AD237" i="2"/>
  <c r="AB189" i="2"/>
  <c r="AB187" i="2" s="1"/>
  <c r="M189" i="2"/>
  <c r="M188" i="2"/>
  <c r="AK115" i="2"/>
  <c r="AU191" i="2"/>
  <c r="AU190" i="2" s="1"/>
  <c r="Y34" i="2"/>
  <c r="S20" i="2"/>
  <c r="N195" i="2"/>
  <c r="N186" i="2" s="1"/>
  <c r="O188" i="2"/>
  <c r="AC18" i="2"/>
  <c r="AD18" i="2" s="1"/>
  <c r="AB144" i="2"/>
  <c r="O36" i="2"/>
  <c r="AA204" i="2"/>
  <c r="AB195" i="2"/>
  <c r="Z144" i="2"/>
  <c r="AB88" i="2"/>
  <c r="M88" i="2"/>
  <c r="AA78" i="2"/>
  <c r="AA77" i="2" s="1"/>
  <c r="Y65" i="2"/>
  <c r="AD45" i="2"/>
  <c r="AF220" i="2"/>
  <c r="AG220" i="2" s="1"/>
  <c r="F165" i="2"/>
  <c r="F162" i="2" s="1"/>
  <c r="O88" i="2"/>
  <c r="AB52" i="2"/>
  <c r="O52" i="2"/>
  <c r="L30" i="2"/>
  <c r="F30" i="2"/>
  <c r="F219" i="2"/>
  <c r="F215" i="2" s="1"/>
  <c r="S120" i="2"/>
  <c r="Z97" i="2"/>
  <c r="U87" i="2"/>
  <c r="U86" i="2" s="1"/>
  <c r="AD58" i="2"/>
  <c r="AF239" i="2"/>
  <c r="AG239" i="2" s="1"/>
  <c r="S231" i="2"/>
  <c r="M220" i="2"/>
  <c r="Q185" i="2"/>
  <c r="O144" i="2"/>
  <c r="W138" i="2"/>
  <c r="AK138" i="2"/>
  <c r="AB120" i="2"/>
  <c r="O120" i="2"/>
  <c r="F115" i="2"/>
  <c r="AD103" i="2"/>
  <c r="Z46" i="2"/>
  <c r="H22" i="2"/>
  <c r="H17" i="2" s="1"/>
  <c r="P17" i="2"/>
  <c r="S256" i="2"/>
  <c r="S255" i="2" s="1"/>
  <c r="S242" i="2"/>
  <c r="S192" i="2"/>
  <c r="AD185" i="2"/>
  <c r="O171" i="2"/>
  <c r="AC159" i="2"/>
  <c r="S149" i="2"/>
  <c r="AB140" i="2"/>
  <c r="M120" i="2"/>
  <c r="Y117" i="2"/>
  <c r="K22" i="2"/>
  <c r="AA251" i="2"/>
  <c r="N251" i="2"/>
  <c r="AF242" i="2"/>
  <c r="AG242" i="2" s="1"/>
  <c r="P235" i="2"/>
  <c r="J201" i="2"/>
  <c r="V56" i="2"/>
  <c r="V55" i="2" s="1"/>
  <c r="O26" i="2"/>
  <c r="Z23" i="2"/>
  <c r="AI251" i="2"/>
  <c r="S239" i="2"/>
  <c r="S229" i="2"/>
  <c r="H223" i="2"/>
  <c r="H222" i="2" s="1"/>
  <c r="AD209" i="2"/>
  <c r="T204" i="2"/>
  <c r="AF203" i="2"/>
  <c r="AF201" i="2" s="1"/>
  <c r="Q182" i="2"/>
  <c r="AF173" i="2"/>
  <c r="S163" i="2"/>
  <c r="Y160" i="2"/>
  <c r="Y159" i="2" s="1"/>
  <c r="V115" i="2"/>
  <c r="V108" i="2" s="1"/>
  <c r="M116" i="2"/>
  <c r="K78" i="2"/>
  <c r="AD53" i="2"/>
  <c r="U251" i="2"/>
  <c r="AC223" i="2"/>
  <c r="AC222" i="2" s="1"/>
  <c r="F223" i="2"/>
  <c r="F222" i="2" s="1"/>
  <c r="K222" i="2"/>
  <c r="S218" i="2"/>
  <c r="O182" i="2"/>
  <c r="AF163" i="2"/>
  <c r="AG163" i="2" s="1"/>
  <c r="O163" i="2"/>
  <c r="Q103" i="2"/>
  <c r="AF249" i="2"/>
  <c r="AG249" i="2" s="1"/>
  <c r="O225" i="2"/>
  <c r="AF225" i="2"/>
  <c r="AG225" i="2" s="1"/>
  <c r="Q225" i="2"/>
  <c r="AB225" i="2"/>
  <c r="S253" i="2"/>
  <c r="AB253" i="2"/>
  <c r="AB252" i="2" s="1"/>
  <c r="Q240" i="2"/>
  <c r="O240" i="2"/>
  <c r="AF226" i="2"/>
  <c r="AG226" i="2" s="1"/>
  <c r="Y196" i="2"/>
  <c r="V129" i="2"/>
  <c r="V128" i="2" s="1"/>
  <c r="AD96" i="2"/>
  <c r="Y96" i="2"/>
  <c r="P78" i="2"/>
  <c r="P77" i="2" s="1"/>
  <c r="Z22" i="2"/>
  <c r="Y20" i="2"/>
  <c r="AD20" i="2"/>
  <c r="S18" i="2"/>
  <c r="O18" i="2"/>
  <c r="J255" i="2"/>
  <c r="AF255" i="2" s="1"/>
  <c r="AG255" i="2" s="1"/>
  <c r="O256" i="2"/>
  <c r="AD225" i="2"/>
  <c r="S225" i="2"/>
  <c r="AI204" i="2"/>
  <c r="F201" i="2"/>
  <c r="AC196" i="2"/>
  <c r="R195" i="2"/>
  <c r="R186" i="2" s="1"/>
  <c r="M172" i="2"/>
  <c r="S172" i="2"/>
  <c r="O157" i="2"/>
  <c r="M131" i="2"/>
  <c r="K115" i="2"/>
  <c r="AM115" i="2" s="1"/>
  <c r="O95" i="2"/>
  <c r="O82" i="2"/>
  <c r="W56" i="2"/>
  <c r="W55" i="2" s="1"/>
  <c r="S57" i="2"/>
  <c r="R56" i="2"/>
  <c r="R55" i="2" s="1"/>
  <c r="K56" i="2"/>
  <c r="K40" i="2"/>
  <c r="AD38" i="2"/>
  <c r="Y38" i="2"/>
  <c r="Q243" i="2"/>
  <c r="O243" i="2"/>
  <c r="Y211" i="2"/>
  <c r="AD211" i="2"/>
  <c r="K260" i="2"/>
  <c r="Q254" i="2"/>
  <c r="Q252" i="2" s="1"/>
  <c r="Q251" i="2" s="1"/>
  <c r="O254" i="2"/>
  <c r="H135" i="2"/>
  <c r="H129" i="2" s="1"/>
  <c r="AF79" i="2"/>
  <c r="AG79" i="2" s="1"/>
  <c r="Z255" i="2"/>
  <c r="AD243" i="2"/>
  <c r="S243" i="2"/>
  <c r="Q241" i="2"/>
  <c r="S241" i="2"/>
  <c r="AF241" i="2"/>
  <c r="AG241" i="2" s="1"/>
  <c r="Q234" i="2"/>
  <c r="Y259" i="2"/>
  <c r="Y258" i="2" s="1"/>
  <c r="Y257" i="2" s="1"/>
  <c r="AF254" i="2"/>
  <c r="AG254" i="2" s="1"/>
  <c r="S254" i="2"/>
  <c r="O246" i="2"/>
  <c r="O245" i="2" s="1"/>
  <c r="M243" i="2"/>
  <c r="AF240" i="2"/>
  <c r="AG240" i="2" s="1"/>
  <c r="S240" i="2"/>
  <c r="H232" i="2"/>
  <c r="Z232" i="2"/>
  <c r="F232" i="2"/>
  <c r="M225" i="2"/>
  <c r="O224" i="2"/>
  <c r="Q224" i="2"/>
  <c r="AF224" i="2"/>
  <c r="AG224" i="2" s="1"/>
  <c r="S224" i="2"/>
  <c r="AD197" i="2"/>
  <c r="M197" i="2"/>
  <c r="S197" i="2"/>
  <c r="AF197" i="2"/>
  <c r="AG197" i="2" s="1"/>
  <c r="F183" i="2"/>
  <c r="O173" i="2"/>
  <c r="M160" i="2"/>
  <c r="S160" i="2"/>
  <c r="S159" i="2" s="1"/>
  <c r="AD105" i="2"/>
  <c r="AC104" i="2"/>
  <c r="Y104" i="2" s="1"/>
  <c r="Y93" i="2"/>
  <c r="AD93" i="2"/>
  <c r="AF64" i="2"/>
  <c r="AG64" i="2" s="1"/>
  <c r="Z52" i="2"/>
  <c r="Z49" i="2"/>
  <c r="V30" i="2"/>
  <c r="K30" i="2"/>
  <c r="W204" i="2"/>
  <c r="K204" i="2"/>
  <c r="P195" i="2"/>
  <c r="P186" i="2" s="1"/>
  <c r="AH195" i="2"/>
  <c r="AH186" i="2" s="1"/>
  <c r="AI178" i="2"/>
  <c r="AI155" i="2" s="1"/>
  <c r="T178" i="2"/>
  <c r="T155" i="2" s="1"/>
  <c r="M163" i="2"/>
  <c r="AD160" i="2"/>
  <c r="AD159" i="2" s="1"/>
  <c r="AB149" i="2"/>
  <c r="O140" i="2"/>
  <c r="J138" i="2"/>
  <c r="Z135" i="2"/>
  <c r="AD136" i="2"/>
  <c r="N129" i="2"/>
  <c r="N128" i="2" s="1"/>
  <c r="X129" i="2"/>
  <c r="X128" i="2" s="1"/>
  <c r="P115" i="2"/>
  <c r="P108" i="2" s="1"/>
  <c r="M112" i="2"/>
  <c r="X87" i="2"/>
  <c r="X86" i="2" s="1"/>
  <c r="T87" i="2"/>
  <c r="T86" i="2" s="1"/>
  <c r="Q88" i="2"/>
  <c r="Z82" i="2"/>
  <c r="U78" i="2"/>
  <c r="U77" i="2" s="1"/>
  <c r="AC73" i="2"/>
  <c r="AD73" i="2" s="1"/>
  <c r="O57" i="2"/>
  <c r="N30" i="2"/>
  <c r="Y24" i="2"/>
  <c r="H252" i="2"/>
  <c r="H251" i="2" s="1"/>
  <c r="AC238" i="2"/>
  <c r="AC236" i="2" s="1"/>
  <c r="H238" i="2"/>
  <c r="H236" i="2" s="1"/>
  <c r="F228" i="2"/>
  <c r="AE204" i="2"/>
  <c r="F196" i="2"/>
  <c r="X195" i="2"/>
  <c r="X186" i="2" s="1"/>
  <c r="T195" i="2"/>
  <c r="T186" i="2" s="1"/>
  <c r="H190" i="2"/>
  <c r="H187" i="2" s="1"/>
  <c r="AF188" i="2"/>
  <c r="AG188" i="2" s="1"/>
  <c r="P178" i="2"/>
  <c r="P155" i="2" s="1"/>
  <c r="AH178" i="2"/>
  <c r="AH155" i="2" s="1"/>
  <c r="W178" i="2"/>
  <c r="W155" i="2" s="1"/>
  <c r="R178" i="2"/>
  <c r="R155" i="2" s="1"/>
  <c r="X138" i="2"/>
  <c r="F138" i="2"/>
  <c r="F107" i="2" s="1"/>
  <c r="F14" i="2" s="1"/>
  <c r="W129" i="2"/>
  <c r="W128" i="2" s="1"/>
  <c r="AF131" i="2"/>
  <c r="Z101" i="2"/>
  <c r="X40" i="2"/>
  <c r="X29" i="2" s="1"/>
  <c r="T40" i="2"/>
  <c r="V17" i="2"/>
  <c r="J258" i="2"/>
  <c r="AH235" i="2"/>
  <c r="O194" i="2"/>
  <c r="Q194" i="2"/>
  <c r="S194" i="2"/>
  <c r="AD191" i="2"/>
  <c r="Y191" i="2"/>
  <c r="Y190" i="2" s="1"/>
  <c r="Q116" i="2"/>
  <c r="Y26" i="2"/>
  <c r="AD26" i="2"/>
  <c r="AD259" i="2"/>
  <c r="AD258" i="2" s="1"/>
  <c r="AD257" i="2" s="1"/>
  <c r="S259" i="2"/>
  <c r="S258" i="2" s="1"/>
  <c r="S257" i="2" s="1"/>
  <c r="W251" i="2"/>
  <c r="K251" i="2"/>
  <c r="AF247" i="2"/>
  <c r="AG247" i="2" s="1"/>
  <c r="Q246" i="2"/>
  <c r="F245" i="2"/>
  <c r="F244" i="2" s="1"/>
  <c r="O242" i="2"/>
  <c r="AD241" i="2"/>
  <c r="V235" i="2"/>
  <c r="J238" i="2"/>
  <c r="Y237" i="2"/>
  <c r="M259" i="2"/>
  <c r="M258" i="2" s="1"/>
  <c r="M257" i="2" s="1"/>
  <c r="AD254" i="2"/>
  <c r="V251" i="2"/>
  <c r="P251" i="2"/>
  <c r="M247" i="2"/>
  <c r="AC245" i="2"/>
  <c r="AC244" i="2" s="1"/>
  <c r="AB243" i="2"/>
  <c r="AB236" i="2" s="1"/>
  <c r="AB235" i="2" s="1"/>
  <c r="M242" i="2"/>
  <c r="O241" i="2"/>
  <c r="AD240" i="2"/>
  <c r="Y239" i="2"/>
  <c r="Y238" i="2" s="1"/>
  <c r="M239" i="2"/>
  <c r="M238" i="2" s="1"/>
  <c r="U235" i="2"/>
  <c r="N235" i="2"/>
  <c r="M237" i="2"/>
  <c r="S237" i="2"/>
  <c r="H228" i="2"/>
  <c r="P214" i="2"/>
  <c r="K215" i="2"/>
  <c r="AD216" i="2"/>
  <c r="Y216" i="2"/>
  <c r="AD199" i="2"/>
  <c r="H196" i="2"/>
  <c r="H179" i="2"/>
  <c r="Q167" i="2"/>
  <c r="S167" i="2"/>
  <c r="AD164" i="2"/>
  <c r="Y164" i="2"/>
  <c r="M164" i="2"/>
  <c r="O164" i="2"/>
  <c r="M161" i="2"/>
  <c r="AF161" i="2"/>
  <c r="AF159" i="2" s="1"/>
  <c r="J159" i="2"/>
  <c r="H159" i="2"/>
  <c r="AF140" i="2"/>
  <c r="AG140" i="2" s="1"/>
  <c r="S140" i="2"/>
  <c r="R139" i="2"/>
  <c r="AF139" i="2" s="1"/>
  <c r="AG139" i="2" s="1"/>
  <c r="Y134" i="2"/>
  <c r="AD134" i="2"/>
  <c r="M97" i="2"/>
  <c r="M95" i="2" s="1"/>
  <c r="L95" i="2"/>
  <c r="AD81" i="2"/>
  <c r="Y81" i="2"/>
  <c r="Q79" i="2"/>
  <c r="J56" i="2"/>
  <c r="J55" i="2" s="1"/>
  <c r="U40" i="2"/>
  <c r="AD35" i="2"/>
  <c r="Y35" i="2"/>
  <c r="AD32" i="2"/>
  <c r="Y32" i="2"/>
  <c r="J245" i="2"/>
  <c r="J244" i="2" s="1"/>
  <c r="K244" i="2"/>
  <c r="M221" i="2"/>
  <c r="AF221" i="2"/>
  <c r="AG221" i="2" s="1"/>
  <c r="S221" i="2"/>
  <c r="S219" i="2" s="1"/>
  <c r="U214" i="2"/>
  <c r="S211" i="2"/>
  <c r="Q211" i="2"/>
  <c r="S208" i="2"/>
  <c r="O208" i="2"/>
  <c r="O193" i="2"/>
  <c r="S193" i="2"/>
  <c r="M158" i="2"/>
  <c r="S158" i="2"/>
  <c r="Q158" i="2"/>
  <c r="O158" i="2"/>
  <c r="J156" i="2"/>
  <c r="S157" i="2"/>
  <c r="AF157" i="2"/>
  <c r="AG157" i="2" s="1"/>
  <c r="Q157" i="2"/>
  <c r="AB157" i="2"/>
  <c r="AB156" i="2" s="1"/>
  <c r="Z112" i="2"/>
  <c r="U109" i="2"/>
  <c r="Z109" i="2" s="1"/>
  <c r="Y60" i="2"/>
  <c r="AD60" i="2"/>
  <c r="T17" i="2"/>
  <c r="Q247" i="2"/>
  <c r="S246" i="2"/>
  <c r="S245" i="2" s="1"/>
  <c r="S244" i="2" s="1"/>
  <c r="H245" i="2"/>
  <c r="H244" i="2" s="1"/>
  <c r="AD242" i="2"/>
  <c r="Q239" i="2"/>
  <c r="R235" i="2"/>
  <c r="J219" i="2"/>
  <c r="Y217" i="2"/>
  <c r="AD217" i="2"/>
  <c r="V87" i="2"/>
  <c r="V86" i="2" s="1"/>
  <c r="R251" i="2"/>
  <c r="AD248" i="2"/>
  <c r="AF246" i="2"/>
  <c r="AG246" i="2" s="1"/>
  <c r="H219" i="2"/>
  <c r="X214" i="2"/>
  <c r="T214" i="2"/>
  <c r="H215" i="2"/>
  <c r="O209" i="2"/>
  <c r="S209" i="2"/>
  <c r="L195" i="2"/>
  <c r="L186" i="2" s="1"/>
  <c r="M199" i="2"/>
  <c r="O199" i="2"/>
  <c r="S199" i="2"/>
  <c r="Y194" i="2"/>
  <c r="AD194" i="2"/>
  <c r="K178" i="2"/>
  <c r="O170" i="2"/>
  <c r="Q170" i="2"/>
  <c r="W115" i="2"/>
  <c r="W108" i="2" s="1"/>
  <c r="O116" i="2"/>
  <c r="N115" i="2"/>
  <c r="AB64" i="2"/>
  <c r="O64" i="2"/>
  <c r="AA56" i="2"/>
  <c r="AA55" i="2" s="1"/>
  <c r="T235" i="2"/>
  <c r="L235" i="2"/>
  <c r="AD231" i="2"/>
  <c r="AB224" i="2"/>
  <c r="AC219" i="2"/>
  <c r="AC215" i="2" s="1"/>
  <c r="AD218" i="2"/>
  <c r="Q217" i="2"/>
  <c r="U204" i="2"/>
  <c r="N204" i="2"/>
  <c r="AD192" i="2"/>
  <c r="Q192" i="2"/>
  <c r="H183" i="2"/>
  <c r="X178" i="2"/>
  <c r="X155" i="2" s="1"/>
  <c r="L178" i="2"/>
  <c r="L155" i="2" s="1"/>
  <c r="Z179" i="2"/>
  <c r="F179" i="2"/>
  <c r="AE178" i="2"/>
  <c r="AE155" i="2" s="1"/>
  <c r="V178" i="2"/>
  <c r="V155" i="2" s="1"/>
  <c r="Q172" i="2"/>
  <c r="U138" i="2"/>
  <c r="AD111" i="2"/>
  <c r="Y111" i="2"/>
  <c r="R104" i="2"/>
  <c r="S105" i="2"/>
  <c r="AD99" i="2"/>
  <c r="Y99" i="2"/>
  <c r="AO80" i="2"/>
  <c r="H78" i="2"/>
  <c r="H77" i="2" s="1"/>
  <c r="AB36" i="2"/>
  <c r="Z36" i="2"/>
  <c r="S31" i="2"/>
  <c r="R30" i="2"/>
  <c r="S26" i="2"/>
  <c r="AF26" i="2"/>
  <c r="AG26" i="2" s="1"/>
  <c r="Q26" i="2"/>
  <c r="X204" i="2"/>
  <c r="H201" i="2"/>
  <c r="U195" i="2"/>
  <c r="U186" i="2" s="1"/>
  <c r="AG182" i="2"/>
  <c r="S182" i="2"/>
  <c r="AA178" i="2"/>
  <c r="AA155" i="2" s="1"/>
  <c r="U178" i="2"/>
  <c r="U155" i="2" s="1"/>
  <c r="N178" i="2"/>
  <c r="N155" i="2" s="1"/>
  <c r="H165" i="2"/>
  <c r="H162" i="2" s="1"/>
  <c r="Z159" i="2"/>
  <c r="J129" i="2"/>
  <c r="AB129" i="2" s="1"/>
  <c r="H120" i="2"/>
  <c r="S116" i="2"/>
  <c r="AD114" i="2"/>
  <c r="Y114" i="2"/>
  <c r="K87" i="2"/>
  <c r="P87" i="2"/>
  <c r="P86" i="2" s="1"/>
  <c r="AK81" i="2"/>
  <c r="AM81" i="2" s="1"/>
  <c r="AO81" i="2"/>
  <c r="AK80" i="2"/>
  <c r="AD51" i="2"/>
  <c r="Y51" i="2"/>
  <c r="AD43" i="2"/>
  <c r="Y43" i="2"/>
  <c r="AA40" i="2"/>
  <c r="S41" i="2"/>
  <c r="AF41" i="2"/>
  <c r="AG41" i="2" s="1"/>
  <c r="Y27" i="2"/>
  <c r="AD27" i="2"/>
  <c r="Q20" i="2"/>
  <c r="O20" i="2"/>
  <c r="U17" i="2"/>
  <c r="H144" i="2"/>
  <c r="H139" i="2"/>
  <c r="AC135" i="2"/>
  <c r="Y135" i="2" s="1"/>
  <c r="M135" i="2"/>
  <c r="U129" i="2"/>
  <c r="U128" i="2" s="1"/>
  <c r="X115" i="2"/>
  <c r="X108" i="2" s="1"/>
  <c r="AB116" i="2"/>
  <c r="U115" i="2"/>
  <c r="M92" i="2"/>
  <c r="F87" i="2"/>
  <c r="F86" i="2" s="1"/>
  <c r="W87" i="2"/>
  <c r="H87" i="2"/>
  <c r="H86" i="2" s="1"/>
  <c r="F78" i="2"/>
  <c r="F77" i="2" s="1"/>
  <c r="Z73" i="2"/>
  <c r="U56" i="2"/>
  <c r="U55" i="2" s="1"/>
  <c r="H56" i="2"/>
  <c r="H55" i="2" s="1"/>
  <c r="AC52" i="2"/>
  <c r="AD52" i="2" s="1"/>
  <c r="M49" i="2"/>
  <c r="M41" i="2"/>
  <c r="T30" i="2"/>
  <c r="H156" i="2"/>
  <c r="M144" i="2"/>
  <c r="AD127" i="2"/>
  <c r="AF120" i="2"/>
  <c r="AG120" i="2" s="1"/>
  <c r="H116" i="2"/>
  <c r="AA115" i="2"/>
  <c r="AA108" i="2" s="1"/>
  <c r="AC112" i="2"/>
  <c r="Y112" i="2" s="1"/>
  <c r="AK109" i="2"/>
  <c r="AA87" i="2"/>
  <c r="M82" i="2"/>
  <c r="S64" i="2"/>
  <c r="M64" i="2"/>
  <c r="AB57" i="2"/>
  <c r="P56" i="2"/>
  <c r="P55" i="2" s="1"/>
  <c r="AF57" i="2"/>
  <c r="AG57" i="2" s="1"/>
  <c r="N56" i="2"/>
  <c r="AO40" i="2"/>
  <c r="M52" i="2"/>
  <c r="H40" i="2"/>
  <c r="W30" i="2"/>
  <c r="U30" i="2"/>
  <c r="F22" i="2"/>
  <c r="F17" i="2" s="1"/>
  <c r="Z245" i="2"/>
  <c r="Z244" i="2" s="1"/>
  <c r="J205" i="2"/>
  <c r="F169" i="2"/>
  <c r="F168" i="2" s="1"/>
  <c r="Z165" i="2"/>
  <c r="Z162" i="2" s="1"/>
  <c r="AC120" i="2"/>
  <c r="AD120" i="2" s="1"/>
  <c r="AC116" i="2"/>
  <c r="Z219" i="2"/>
  <c r="Z215" i="2" s="1"/>
  <c r="Z205" i="2"/>
  <c r="Z204" i="2" s="1"/>
  <c r="Z201" i="2"/>
  <c r="Z183" i="2"/>
  <c r="O149" i="2"/>
  <c r="Y143" i="2"/>
  <c r="Y84" i="2"/>
  <c r="Y83" i="2"/>
  <c r="Z252" i="2"/>
  <c r="Y248" i="2"/>
  <c r="Z228" i="2"/>
  <c r="AC190" i="2"/>
  <c r="AC187" i="2" s="1"/>
  <c r="AD189" i="2"/>
  <c r="AF150" i="2"/>
  <c r="AG150" i="2" s="1"/>
  <c r="S150" i="2"/>
  <c r="M150" i="2"/>
  <c r="AD72" i="2"/>
  <c r="Y68" i="2"/>
  <c r="Z26" i="2"/>
  <c r="AF149" i="2"/>
  <c r="AG149" i="2" s="1"/>
  <c r="L149" i="2"/>
  <c r="M149" i="2" s="1"/>
  <c r="Y228" i="2"/>
  <c r="AD229" i="2"/>
  <c r="AD221" i="2"/>
  <c r="AD220" i="2"/>
  <c r="O210" i="2"/>
  <c r="Q208" i="2"/>
  <c r="O207" i="2"/>
  <c r="S206" i="2"/>
  <c r="Z196" i="2"/>
  <c r="AD193" i="2"/>
  <c r="Z190" i="2"/>
  <c r="Z187" i="2" s="1"/>
  <c r="Y188" i="2"/>
  <c r="Q171" i="2"/>
  <c r="Z156" i="2"/>
  <c r="O150" i="2"/>
  <c r="AD123" i="2"/>
  <c r="Y123" i="2"/>
  <c r="AD118" i="2"/>
  <c r="Y118" i="2"/>
  <c r="Y113" i="2"/>
  <c r="AD66" i="2"/>
  <c r="AD39" i="2"/>
  <c r="AD206" i="2"/>
  <c r="Q228" i="2"/>
  <c r="S210" i="2"/>
  <c r="S207" i="2"/>
  <c r="H205" i="2"/>
  <c r="H204" i="2" s="1"/>
  <c r="Z238" i="2"/>
  <c r="Z236" i="2" s="1"/>
  <c r="AD230" i="2"/>
  <c r="Y220" i="2"/>
  <c r="Y219" i="2" s="1"/>
  <c r="AD207" i="2"/>
  <c r="F205" i="2"/>
  <c r="F204" i="2" s="1"/>
  <c r="O172" i="2"/>
  <c r="S171" i="2"/>
  <c r="Q150" i="2"/>
  <c r="AC125" i="2"/>
  <c r="Y125" i="2" s="1"/>
  <c r="Y105" i="2"/>
  <c r="AD85" i="2"/>
  <c r="AC82" i="2"/>
  <c r="AD82" i="2" s="1"/>
  <c r="AC49" i="2"/>
  <c r="Y49" i="2" s="1"/>
  <c r="Z31" i="2"/>
  <c r="M262" i="2"/>
  <c r="M261" i="2" s="1"/>
  <c r="M260" i="2" s="1"/>
  <c r="AF262" i="2"/>
  <c r="O262" i="2"/>
  <c r="O261" i="2" s="1"/>
  <c r="O260" i="2" s="1"/>
  <c r="Q262" i="2"/>
  <c r="Q261" i="2" s="1"/>
  <c r="Q260" i="2" s="1"/>
  <c r="Y262" i="2"/>
  <c r="Y261" i="2" s="1"/>
  <c r="Y260" i="2" s="1"/>
  <c r="AC261" i="2"/>
  <c r="AC260" i="2" s="1"/>
  <c r="AD262" i="2"/>
  <c r="AD261" i="2" s="1"/>
  <c r="AD260" i="2" s="1"/>
  <c r="J261" i="2"/>
  <c r="AG259" i="2"/>
  <c r="AG258" i="2" s="1"/>
  <c r="AG257" i="2" s="1"/>
  <c r="AF258" i="2"/>
  <c r="AF257" i="2" s="1"/>
  <c r="Y253" i="2"/>
  <c r="Y252" i="2" s="1"/>
  <c r="AD253" i="2"/>
  <c r="O248" i="2"/>
  <c r="Q248" i="2"/>
  <c r="Y234" i="2"/>
  <c r="Y232" i="2" s="1"/>
  <c r="AD234" i="2"/>
  <c r="O233" i="2"/>
  <c r="AF233" i="2"/>
  <c r="Q233" i="2"/>
  <c r="AB233" i="2"/>
  <c r="AB232" i="2" s="1"/>
  <c r="AI214" i="2"/>
  <c r="V214" i="2"/>
  <c r="Q198" i="2"/>
  <c r="O198" i="2"/>
  <c r="O196" i="2" s="1"/>
  <c r="S198" i="2"/>
  <c r="AD198" i="2"/>
  <c r="J196" i="2"/>
  <c r="M198" i="2"/>
  <c r="AF198" i="2"/>
  <c r="AG198" i="2" s="1"/>
  <c r="Y184" i="2"/>
  <c r="Y183" i="2" s="1"/>
  <c r="AD184" i="2"/>
  <c r="AC183" i="2"/>
  <c r="M181" i="2"/>
  <c r="O181" i="2"/>
  <c r="AF181" i="2"/>
  <c r="AG181" i="2" s="1"/>
  <c r="S181" i="2"/>
  <c r="Q181" i="2"/>
  <c r="AB181" i="2"/>
  <c r="O180" i="2"/>
  <c r="AF180" i="2"/>
  <c r="Q180" i="2"/>
  <c r="Q179" i="2" s="1"/>
  <c r="AB180" i="2"/>
  <c r="M180" i="2"/>
  <c r="J179" i="2"/>
  <c r="S180" i="2"/>
  <c r="F159" i="2"/>
  <c r="AC131" i="2"/>
  <c r="Y131" i="2" s="1"/>
  <c r="Y130" i="2"/>
  <c r="O259" i="2"/>
  <c r="O258" i="2" s="1"/>
  <c r="O257" i="2" s="1"/>
  <c r="Q259" i="2"/>
  <c r="Q258" i="2" s="1"/>
  <c r="Q257" i="2" s="1"/>
  <c r="AC255" i="2"/>
  <c r="Y255" i="2" s="1"/>
  <c r="AD256" i="2"/>
  <c r="AD255" i="2" s="1"/>
  <c r="Y256" i="2"/>
  <c r="M253" i="2"/>
  <c r="M252" i="2" s="1"/>
  <c r="O253" i="2"/>
  <c r="AF253" i="2"/>
  <c r="AE251" i="2"/>
  <c r="L251" i="2"/>
  <c r="AG248" i="2"/>
  <c r="AI235" i="2"/>
  <c r="W235" i="2"/>
  <c r="AO237" i="2"/>
  <c r="M234" i="2"/>
  <c r="O234" i="2"/>
  <c r="AF234" i="2"/>
  <c r="AG234" i="2" s="1"/>
  <c r="M230" i="2"/>
  <c r="AF230" i="2"/>
  <c r="AG230" i="2" s="1"/>
  <c r="O230" i="2"/>
  <c r="AC228" i="2"/>
  <c r="AH214" i="2"/>
  <c r="M213" i="2"/>
  <c r="M212" i="2" s="1"/>
  <c r="AG213" i="2"/>
  <c r="AG212" i="2" s="1"/>
  <c r="Q213" i="2"/>
  <c r="Q212" i="2" s="1"/>
  <c r="J212" i="2"/>
  <c r="S213" i="2"/>
  <c r="S212" i="2" s="1"/>
  <c r="O213" i="2"/>
  <c r="O212" i="2" s="1"/>
  <c r="Y210" i="2"/>
  <c r="AD210" i="2"/>
  <c r="L204" i="2"/>
  <c r="Q200" i="2"/>
  <c r="O200" i="2"/>
  <c r="S200" i="2"/>
  <c r="AD200" i="2"/>
  <c r="M200" i="2"/>
  <c r="AF200" i="2"/>
  <c r="AG200" i="2" s="1"/>
  <c r="AU176" i="2"/>
  <c r="AD158" i="2"/>
  <c r="Y158" i="2"/>
  <c r="Y156" i="2" s="1"/>
  <c r="AC156" i="2"/>
  <c r="V138" i="2"/>
  <c r="M140" i="2"/>
  <c r="L139" i="2"/>
  <c r="AA235" i="2"/>
  <c r="O237" i="2"/>
  <c r="Q237" i="2"/>
  <c r="AD233" i="2"/>
  <c r="S233" i="2"/>
  <c r="AC232" i="2"/>
  <c r="J232" i="2"/>
  <c r="N214" i="2"/>
  <c r="Y208" i="2"/>
  <c r="AD208" i="2"/>
  <c r="J183" i="2"/>
  <c r="M184" i="2"/>
  <c r="AF184" i="2"/>
  <c r="O184" i="2"/>
  <c r="Q184" i="2"/>
  <c r="S184" i="2"/>
  <c r="S183" i="2" s="1"/>
  <c r="Y181" i="2"/>
  <c r="Y179" i="2" s="1"/>
  <c r="AD181" i="2"/>
  <c r="R109" i="2"/>
  <c r="S112" i="2"/>
  <c r="F252" i="2"/>
  <c r="F251" i="2" s="1"/>
  <c r="AC252" i="2"/>
  <c r="X251" i="2"/>
  <c r="T251" i="2"/>
  <c r="J252" i="2"/>
  <c r="M248" i="2"/>
  <c r="F238" i="2"/>
  <c r="F236" i="2" s="1"/>
  <c r="AE235" i="2"/>
  <c r="K236" i="2"/>
  <c r="AF237" i="2"/>
  <c r="S234" i="2"/>
  <c r="M233" i="2"/>
  <c r="M231" i="2"/>
  <c r="AF231" i="2"/>
  <c r="AG231" i="2" s="1"/>
  <c r="O231" i="2"/>
  <c r="S230" i="2"/>
  <c r="J228" i="2"/>
  <c r="M229" i="2"/>
  <c r="AF229" i="2"/>
  <c r="O229" i="2"/>
  <c r="Z223" i="2"/>
  <c r="Z222" i="2" s="1"/>
  <c r="J223" i="2"/>
  <c r="L214" i="2"/>
  <c r="O216" i="2"/>
  <c r="AF216" i="2"/>
  <c r="Q216" i="2"/>
  <c r="AB216" i="2"/>
  <c r="AB215" i="2" s="1"/>
  <c r="M216" i="2"/>
  <c r="AC205" i="2"/>
  <c r="AC204" i="2" s="1"/>
  <c r="P204" i="2"/>
  <c r="AI195" i="2"/>
  <c r="AI186" i="2" s="1"/>
  <c r="O191" i="2"/>
  <c r="O190" i="2" s="1"/>
  <c r="Q191" i="2"/>
  <c r="S191" i="2"/>
  <c r="J190" i="2"/>
  <c r="J187" i="2" s="1"/>
  <c r="M191" i="2"/>
  <c r="AF191" i="2"/>
  <c r="Y167" i="2"/>
  <c r="AD167" i="2"/>
  <c r="O221" i="2"/>
  <c r="Q221" i="2"/>
  <c r="O220" i="2"/>
  <c r="Q220" i="2"/>
  <c r="AE214" i="2"/>
  <c r="AA214" i="2"/>
  <c r="W214" i="2"/>
  <c r="M218" i="2"/>
  <c r="AF218" i="2"/>
  <c r="AG218" i="2" s="1"/>
  <c r="O218" i="2"/>
  <c r="Y213" i="2"/>
  <c r="Y212" i="2" s="1"/>
  <c r="AD213" i="2"/>
  <c r="AD212" i="2" s="1"/>
  <c r="Y206" i="2"/>
  <c r="AC201" i="2"/>
  <c r="Y202" i="2"/>
  <c r="Y201" i="2" s="1"/>
  <c r="V195" i="2"/>
  <c r="V186" i="2" s="1"/>
  <c r="AC179" i="2"/>
  <c r="M177" i="2"/>
  <c r="O177" i="2"/>
  <c r="AF177" i="2"/>
  <c r="AG177" i="2" s="1"/>
  <c r="Q177" i="2"/>
  <c r="S177" i="2"/>
  <c r="O176" i="2"/>
  <c r="Q176" i="2"/>
  <c r="M176" i="2"/>
  <c r="S176" i="2"/>
  <c r="AD176" i="2"/>
  <c r="O175" i="2"/>
  <c r="Q175" i="2"/>
  <c r="M175" i="2"/>
  <c r="S175" i="2"/>
  <c r="AD175" i="2"/>
  <c r="O174" i="2"/>
  <c r="Q174" i="2"/>
  <c r="M174" i="2"/>
  <c r="S174" i="2"/>
  <c r="AD174" i="2"/>
  <c r="AC169" i="2"/>
  <c r="AC168" i="2" s="1"/>
  <c r="AD170" i="2"/>
  <c r="Y170" i="2"/>
  <c r="J165" i="2"/>
  <c r="M166" i="2"/>
  <c r="AF166" i="2"/>
  <c r="O166" i="2"/>
  <c r="Q166" i="2"/>
  <c r="S166" i="2"/>
  <c r="Z150" i="2"/>
  <c r="T149" i="2"/>
  <c r="Z149" i="2" s="1"/>
  <c r="S144" i="2"/>
  <c r="AF144" i="2"/>
  <c r="AG144" i="2" s="1"/>
  <c r="N138" i="2"/>
  <c r="O139" i="2"/>
  <c r="Y89" i="2"/>
  <c r="AD89" i="2"/>
  <c r="AC88" i="2"/>
  <c r="M79" i="2"/>
  <c r="L78" i="2"/>
  <c r="S49" i="2"/>
  <c r="AF49" i="2"/>
  <c r="AG49" i="2" s="1"/>
  <c r="Y44" i="2"/>
  <c r="AC41" i="2"/>
  <c r="M217" i="2"/>
  <c r="AF217" i="2"/>
  <c r="AG217" i="2" s="1"/>
  <c r="O217" i="2"/>
  <c r="R214" i="2"/>
  <c r="O206" i="2"/>
  <c r="AF206" i="2"/>
  <c r="M206" i="2"/>
  <c r="Q206" i="2"/>
  <c r="AB206" i="2"/>
  <c r="AB205" i="2" s="1"/>
  <c r="AB204" i="2" s="1"/>
  <c r="AB177" i="2"/>
  <c r="AB168" i="2" s="1"/>
  <c r="Y166" i="2"/>
  <c r="AD166" i="2"/>
  <c r="AC165" i="2"/>
  <c r="AC162" i="2" s="1"/>
  <c r="F156" i="2"/>
  <c r="AA128" i="2"/>
  <c r="R95" i="2"/>
  <c r="S95" i="2" s="1"/>
  <c r="S97" i="2"/>
  <c r="AF97" i="2"/>
  <c r="AG97" i="2" s="1"/>
  <c r="W17" i="2"/>
  <c r="Z18" i="2"/>
  <c r="Q140" i="2"/>
  <c r="P139" i="2"/>
  <c r="T129" i="2"/>
  <c r="Z131" i="2"/>
  <c r="J101" i="2"/>
  <c r="S101" i="2" s="1"/>
  <c r="M102" i="2"/>
  <c r="O102" i="2"/>
  <c r="AF102" i="2"/>
  <c r="AG102" i="2" s="1"/>
  <c r="S102" i="2"/>
  <c r="S92" i="2"/>
  <c r="AF92" i="2"/>
  <c r="AG92" i="2" s="1"/>
  <c r="V78" i="2"/>
  <c r="V77" i="2" s="1"/>
  <c r="Y33" i="2"/>
  <c r="AD33" i="2"/>
  <c r="Q31" i="2"/>
  <c r="P30" i="2"/>
  <c r="AF256" i="2"/>
  <c r="AG256" i="2" s="1"/>
  <c r="M256" i="2"/>
  <c r="AD246" i="2"/>
  <c r="AD245" i="2" s="1"/>
  <c r="M246" i="2"/>
  <c r="AD239" i="2"/>
  <c r="AD224" i="2"/>
  <c r="Y224" i="2"/>
  <c r="Y223" i="2" s="1"/>
  <c r="Y222" i="2" s="1"/>
  <c r="M224" i="2"/>
  <c r="M211" i="2"/>
  <c r="AF211" i="2"/>
  <c r="AG211" i="2" s="1"/>
  <c r="M210" i="2"/>
  <c r="AF210" i="2"/>
  <c r="AG210" i="2" s="1"/>
  <c r="M209" i="2"/>
  <c r="AF209" i="2"/>
  <c r="AG209" i="2" s="1"/>
  <c r="M208" i="2"/>
  <c r="AF208" i="2"/>
  <c r="AG208" i="2" s="1"/>
  <c r="M207" i="2"/>
  <c r="AF207" i="2"/>
  <c r="AG207" i="2" s="1"/>
  <c r="R204" i="2"/>
  <c r="M185" i="2"/>
  <c r="AF185" i="2"/>
  <c r="AG185" i="2" s="1"/>
  <c r="O185" i="2"/>
  <c r="AD180" i="2"/>
  <c r="AD171" i="2"/>
  <c r="Y171" i="2"/>
  <c r="Z169" i="2"/>
  <c r="Z168" i="2" s="1"/>
  <c r="J169" i="2"/>
  <c r="M167" i="2"/>
  <c r="O167" i="2"/>
  <c r="AF167" i="2"/>
  <c r="AG167" i="2" s="1"/>
  <c r="O160" i="2"/>
  <c r="O159" i="2" s="1"/>
  <c r="Q160" i="2"/>
  <c r="Q159" i="2" s="1"/>
  <c r="AC150" i="2"/>
  <c r="AD151" i="2"/>
  <c r="Y151" i="2"/>
  <c r="AB150" i="2"/>
  <c r="AC144" i="2"/>
  <c r="T139" i="2"/>
  <c r="Z140" i="2"/>
  <c r="S135" i="2"/>
  <c r="AF135" i="2"/>
  <c r="AG135" i="2" s="1"/>
  <c r="R129" i="2"/>
  <c r="Z116" i="2"/>
  <c r="N109" i="2"/>
  <c r="O112" i="2"/>
  <c r="J109" i="2"/>
  <c r="AB109" i="2" s="1"/>
  <c r="AF112" i="2"/>
  <c r="AG112" i="2" s="1"/>
  <c r="Q112" i="2"/>
  <c r="O105" i="2"/>
  <c r="J104" i="2"/>
  <c r="AF105" i="2"/>
  <c r="AG105" i="2" s="1"/>
  <c r="AB102" i="2"/>
  <c r="AB92" i="2"/>
  <c r="AD91" i="2"/>
  <c r="Y91" i="2"/>
  <c r="AG73" i="2"/>
  <c r="Q73" i="2"/>
  <c r="M73" i="2"/>
  <c r="Q41" i="2"/>
  <c r="P40" i="2"/>
  <c r="AC31" i="2"/>
  <c r="Y146" i="2"/>
  <c r="AD146" i="2"/>
  <c r="AA138" i="2"/>
  <c r="Y102" i="2"/>
  <c r="AD102" i="2"/>
  <c r="AC101" i="2"/>
  <c r="AH204" i="2"/>
  <c r="V204" i="2"/>
  <c r="Q199" i="2"/>
  <c r="Q197" i="2"/>
  <c r="AE195" i="2"/>
  <c r="AE186" i="2" s="1"/>
  <c r="AA195" i="2"/>
  <c r="AA186" i="2" s="1"/>
  <c r="W195" i="2"/>
  <c r="W186" i="2" s="1"/>
  <c r="K195" i="2"/>
  <c r="M194" i="2"/>
  <c r="AF194" i="2"/>
  <c r="AG194" i="2" s="1"/>
  <c r="M193" i="2"/>
  <c r="AF193" i="2"/>
  <c r="AG193" i="2" s="1"/>
  <c r="M192" i="2"/>
  <c r="AF192" i="2"/>
  <c r="AG192" i="2" s="1"/>
  <c r="F190" i="2"/>
  <c r="F187" i="2" s="1"/>
  <c r="Y177" i="2"/>
  <c r="AD177" i="2"/>
  <c r="AD172" i="2"/>
  <c r="Y172" i="2"/>
  <c r="H169" i="2"/>
  <c r="H168" i="2" s="1"/>
  <c r="K168" i="2"/>
  <c r="AM168" i="2" s="1"/>
  <c r="AC140" i="2"/>
  <c r="AB139" i="2"/>
  <c r="P129" i="2"/>
  <c r="Q135" i="2"/>
  <c r="Y121" i="2"/>
  <c r="AD121" i="2"/>
  <c r="T115" i="2"/>
  <c r="Z120" i="2"/>
  <c r="H109" i="2"/>
  <c r="H108" i="2" s="1"/>
  <c r="W104" i="2"/>
  <c r="Z104" i="2" s="1"/>
  <c r="Z105" i="2"/>
  <c r="AC97" i="2"/>
  <c r="Y98" i="2"/>
  <c r="AD98" i="2"/>
  <c r="O73" i="2"/>
  <c r="L56" i="2"/>
  <c r="M57" i="2"/>
  <c r="F56" i="2"/>
  <c r="F55" i="2" s="1"/>
  <c r="AF36" i="2"/>
  <c r="AG36" i="2" s="1"/>
  <c r="S36" i="2"/>
  <c r="AD182" i="2"/>
  <c r="AF172" i="2"/>
  <c r="AG172" i="2" s="1"/>
  <c r="AF171" i="2"/>
  <c r="AG171" i="2" s="1"/>
  <c r="AF170" i="2"/>
  <c r="M170" i="2"/>
  <c r="AD163" i="2"/>
  <c r="AG158" i="2"/>
  <c r="AD157" i="2"/>
  <c r="M157" i="2"/>
  <c r="AD145" i="2"/>
  <c r="AD141" i="2"/>
  <c r="Y141" i="2"/>
  <c r="AD137" i="2"/>
  <c r="O135" i="2"/>
  <c r="L129" i="2"/>
  <c r="Z125" i="2"/>
  <c r="Q120" i="2"/>
  <c r="L115" i="2"/>
  <c r="L108" i="2" s="1"/>
  <c r="AF116" i="2"/>
  <c r="AG116" i="2" s="1"/>
  <c r="R115" i="2"/>
  <c r="J115" i="2"/>
  <c r="Y110" i="2"/>
  <c r="AD110" i="2"/>
  <c r="AO108" i="2"/>
  <c r="AB105" i="2"/>
  <c r="AA104" i="2"/>
  <c r="M105" i="2"/>
  <c r="M103" i="2"/>
  <c r="AF103" i="2"/>
  <c r="AG103" i="2" s="1"/>
  <c r="O103" i="2"/>
  <c r="AD100" i="2"/>
  <c r="Z95" i="2"/>
  <c r="O97" i="2"/>
  <c r="Y94" i="2"/>
  <c r="AD94" i="2"/>
  <c r="AC92" i="2"/>
  <c r="N87" i="2"/>
  <c r="O92" i="2"/>
  <c r="L87" i="2"/>
  <c r="Y70" i="2"/>
  <c r="AD70" i="2"/>
  <c r="Q57" i="2"/>
  <c r="S52" i="2"/>
  <c r="AF52" i="2"/>
  <c r="AG52" i="2" s="1"/>
  <c r="AA30" i="2"/>
  <c r="Y25" i="2"/>
  <c r="AD25" i="2"/>
  <c r="AC23" i="2"/>
  <c r="AB18" i="2"/>
  <c r="AF125" i="2"/>
  <c r="Y122" i="2"/>
  <c r="AD122" i="2"/>
  <c r="Q105" i="2"/>
  <c r="AF89" i="2"/>
  <c r="AG89" i="2" s="1"/>
  <c r="R88" i="2"/>
  <c r="AF88" i="2" s="1"/>
  <c r="AG88" i="2" s="1"/>
  <c r="S82" i="2"/>
  <c r="AF82" i="2"/>
  <c r="AG82" i="2" s="1"/>
  <c r="AD61" i="2"/>
  <c r="Y61" i="2"/>
  <c r="AD59" i="2"/>
  <c r="Y59" i="2"/>
  <c r="AC57" i="2"/>
  <c r="F40" i="2"/>
  <c r="L40" i="2"/>
  <c r="AF23" i="2"/>
  <c r="AG23" i="2" s="1"/>
  <c r="Q23" i="2"/>
  <c r="J22" i="2"/>
  <c r="J17" i="2" s="1"/>
  <c r="M23" i="2"/>
  <c r="AD113" i="2"/>
  <c r="Q97" i="2"/>
  <c r="Z92" i="2"/>
  <c r="Q92" i="2"/>
  <c r="Z88" i="2"/>
  <c r="J87" i="2"/>
  <c r="AD80" i="2"/>
  <c r="Y80" i="2"/>
  <c r="Z79" i="2"/>
  <c r="N78" i="2"/>
  <c r="J78" i="2"/>
  <c r="AD76" i="2"/>
  <c r="Y76" i="2"/>
  <c r="AB73" i="2"/>
  <c r="S73" i="2"/>
  <c r="AD67" i="2"/>
  <c r="Y67" i="2"/>
  <c r="AC64" i="2"/>
  <c r="Z64" i="2"/>
  <c r="AD63" i="2"/>
  <c r="Z57" i="2"/>
  <c r="X56" i="2"/>
  <c r="X55" i="2" s="1"/>
  <c r="T56" i="2"/>
  <c r="N40" i="2"/>
  <c r="J40" i="2"/>
  <c r="AC46" i="2"/>
  <c r="Y46" i="2" s="1"/>
  <c r="Y47" i="2"/>
  <c r="R40" i="2"/>
  <c r="AF46" i="2"/>
  <c r="Z41" i="2"/>
  <c r="M36" i="2"/>
  <c r="AK29" i="2"/>
  <c r="J30" i="2"/>
  <c r="AF31" i="2"/>
  <c r="AG31" i="2" s="1"/>
  <c r="AB23" i="2"/>
  <c r="AA22" i="2"/>
  <c r="O23" i="2"/>
  <c r="N22" i="2"/>
  <c r="R78" i="2"/>
  <c r="V40" i="2"/>
  <c r="W40" i="2"/>
  <c r="AC36" i="2"/>
  <c r="Y37" i="2"/>
  <c r="Q36" i="2"/>
  <c r="R17" i="2"/>
  <c r="AF18" i="2"/>
  <c r="AG18" i="2" s="1"/>
  <c r="M18" i="2"/>
  <c r="Q18" i="2"/>
  <c r="S79" i="2"/>
  <c r="O79" i="2"/>
  <c r="AD54" i="2"/>
  <c r="O49" i="2"/>
  <c r="AB31" i="2"/>
  <c r="H30" i="2"/>
  <c r="M26" i="2"/>
  <c r="L22" i="2"/>
  <c r="S23" i="2"/>
  <c r="M31" i="2"/>
  <c r="G6" i="3"/>
  <c r="AR236" i="2" l="1"/>
  <c r="AM236" i="2"/>
  <c r="AR244" i="2"/>
  <c r="AM244" i="2"/>
  <c r="AR40" i="2"/>
  <c r="AM40" i="2"/>
  <c r="AR109" i="2"/>
  <c r="AM109" i="2"/>
  <c r="AR162" i="2"/>
  <c r="AM162" i="2"/>
  <c r="AR215" i="2"/>
  <c r="AM215" i="2"/>
  <c r="AR260" i="2"/>
  <c r="AM260" i="2"/>
  <c r="K55" i="2"/>
  <c r="AM55" i="2" s="1"/>
  <c r="AM56" i="2"/>
  <c r="AR222" i="2"/>
  <c r="AM222" i="2"/>
  <c r="AR251" i="2"/>
  <c r="AM251" i="2"/>
  <c r="AR204" i="2"/>
  <c r="AM204" i="2"/>
  <c r="AR195" i="2"/>
  <c r="AM195" i="2"/>
  <c r="AR178" i="2"/>
  <c r="AM178" i="2"/>
  <c r="AR30" i="2"/>
  <c r="AM30" i="2"/>
  <c r="K77" i="2"/>
  <c r="AM77" i="2" s="1"/>
  <c r="AM78" i="2"/>
  <c r="AR257" i="2"/>
  <c r="AM257" i="2"/>
  <c r="AR187" i="2"/>
  <c r="AM187" i="2"/>
  <c r="AQ267" i="2"/>
  <c r="AR20" i="2"/>
  <c r="K17" i="2"/>
  <c r="AM17" i="2" s="1"/>
  <c r="AR22" i="2"/>
  <c r="K138" i="2"/>
  <c r="AR138" i="2" s="1"/>
  <c r="K155" i="2"/>
  <c r="AR168" i="2"/>
  <c r="K108" i="2"/>
  <c r="AR115" i="2"/>
  <c r="K86" i="2"/>
  <c r="AR86" i="2" s="1"/>
  <c r="AR87" i="2"/>
  <c r="AR81" i="2"/>
  <c r="K128" i="2"/>
  <c r="AR128" i="2" s="1"/>
  <c r="AR129" i="2"/>
  <c r="AB179" i="2"/>
  <c r="AB178" i="2" s="1"/>
  <c r="AB155" i="2" s="1"/>
  <c r="AK56" i="2"/>
  <c r="AK55" i="2" s="1"/>
  <c r="AP57" i="2"/>
  <c r="AP56" i="2" s="1"/>
  <c r="AP55" i="2" s="1"/>
  <c r="AP18" i="2"/>
  <c r="AP17" i="2" s="1"/>
  <c r="AP79" i="2"/>
  <c r="AP268" i="2" s="1"/>
  <c r="AQ57" i="2"/>
  <c r="AR57" i="2" s="1"/>
  <c r="AQ18" i="2"/>
  <c r="AR18" i="2" s="1"/>
  <c r="AQ79" i="2"/>
  <c r="O156" i="2"/>
  <c r="M159" i="2"/>
  <c r="K29" i="2"/>
  <c r="AM29" i="2" s="1"/>
  <c r="AD104" i="2"/>
  <c r="AD223" i="2"/>
  <c r="AD222" i="2" s="1"/>
  <c r="O30" i="2"/>
  <c r="O101" i="2"/>
  <c r="AK108" i="2"/>
  <c r="AK107" i="2" s="1"/>
  <c r="AK14" i="2" s="1"/>
  <c r="AO29" i="2"/>
  <c r="S190" i="2"/>
  <c r="S187" i="2" s="1"/>
  <c r="T154" i="2"/>
  <c r="T11" i="2" s="1"/>
  <c r="AD79" i="2"/>
  <c r="AF219" i="2"/>
  <c r="AF215" i="2" s="1"/>
  <c r="AC109" i="2"/>
  <c r="Y109" i="2" s="1"/>
  <c r="U154" i="2"/>
  <c r="U11" i="2" s="1"/>
  <c r="S215" i="2"/>
  <c r="O223" i="2"/>
  <c r="O222" i="2" s="1"/>
  <c r="AC115" i="2"/>
  <c r="Y115" i="2" s="1"/>
  <c r="Y18" i="2"/>
  <c r="AI154" i="2"/>
  <c r="F29" i="2"/>
  <c r="F16" i="2" s="1"/>
  <c r="J257" i="2"/>
  <c r="W107" i="2"/>
  <c r="W14" i="2" s="1"/>
  <c r="AD156" i="2"/>
  <c r="AA154" i="2"/>
  <c r="AA11" i="2" s="1"/>
  <c r="AD112" i="2"/>
  <c r="O56" i="2"/>
  <c r="M196" i="2"/>
  <c r="M195" i="2" s="1"/>
  <c r="Q232" i="2"/>
  <c r="AO79" i="2"/>
  <c r="Z78" i="2"/>
  <c r="AD238" i="2"/>
  <c r="AD236" i="2" s="1"/>
  <c r="AE154" i="2"/>
  <c r="AB186" i="2"/>
  <c r="F195" i="2"/>
  <c r="F186" i="2" s="1"/>
  <c r="W154" i="2"/>
  <c r="W11" i="2" s="1"/>
  <c r="Q183" i="2"/>
  <c r="Q178" i="2" s="1"/>
  <c r="Y52" i="2"/>
  <c r="S223" i="2"/>
  <c r="S222" i="2" s="1"/>
  <c r="Z251" i="2"/>
  <c r="AB223" i="2"/>
  <c r="AB222" i="2" s="1"/>
  <c r="AB214" i="2" s="1"/>
  <c r="M223" i="2"/>
  <c r="M222" i="2" s="1"/>
  <c r="Y120" i="2"/>
  <c r="AF156" i="2"/>
  <c r="AC235" i="2"/>
  <c r="AC154" i="2" s="1"/>
  <c r="AD252" i="2"/>
  <c r="AD251" i="2" s="1"/>
  <c r="M219" i="2"/>
  <c r="M215" i="2" s="1"/>
  <c r="AB55" i="2"/>
  <c r="Q223" i="2"/>
  <c r="Q222" i="2" s="1"/>
  <c r="S238" i="2"/>
  <c r="S236" i="2" s="1"/>
  <c r="S235" i="2" s="1"/>
  <c r="Q115" i="2"/>
  <c r="Z115" i="2"/>
  <c r="Y82" i="2"/>
  <c r="AD183" i="2"/>
  <c r="S196" i="2"/>
  <c r="S195" i="2" s="1"/>
  <c r="AD190" i="2"/>
  <c r="AD187" i="2" s="1"/>
  <c r="AG245" i="2"/>
  <c r="AG244" i="2" s="1"/>
  <c r="T29" i="2"/>
  <c r="H214" i="2"/>
  <c r="AG238" i="2"/>
  <c r="S115" i="2"/>
  <c r="N55" i="2"/>
  <c r="O55" i="2" s="1"/>
  <c r="O115" i="2"/>
  <c r="Z195" i="2"/>
  <c r="Z186" i="2" s="1"/>
  <c r="S40" i="2"/>
  <c r="O40" i="2"/>
  <c r="M156" i="2"/>
  <c r="Y195" i="2"/>
  <c r="AH153" i="2"/>
  <c r="Z235" i="2"/>
  <c r="Z154" i="2" s="1"/>
  <c r="Q55" i="2"/>
  <c r="H138" i="2"/>
  <c r="H107" i="2" s="1"/>
  <c r="H14" i="2" s="1"/>
  <c r="Q245" i="2"/>
  <c r="Q244" i="2" s="1"/>
  <c r="AG223" i="2"/>
  <c r="AG222" i="2" s="1"/>
  <c r="R138" i="2"/>
  <c r="S138" i="2" s="1"/>
  <c r="AB87" i="2"/>
  <c r="X107" i="2"/>
  <c r="X14" i="2" s="1"/>
  <c r="Y236" i="2"/>
  <c r="Z77" i="2"/>
  <c r="O138" i="2"/>
  <c r="AC195" i="2"/>
  <c r="AC186" i="2" s="1"/>
  <c r="P154" i="2"/>
  <c r="P11" i="2" s="1"/>
  <c r="J215" i="2"/>
  <c r="S228" i="2"/>
  <c r="AF238" i="2"/>
  <c r="AF236" i="2" s="1"/>
  <c r="R29" i="2"/>
  <c r="S156" i="2"/>
  <c r="Q156" i="2"/>
  <c r="S56" i="2"/>
  <c r="O238" i="2"/>
  <c r="O236" i="2" s="1"/>
  <c r="U153" i="2"/>
  <c r="U152" i="2"/>
  <c r="U15" i="2" s="1"/>
  <c r="AB255" i="2"/>
  <c r="AB251" i="2" s="1"/>
  <c r="AD135" i="2"/>
  <c r="S165" i="2"/>
  <c r="S162" i="2" s="1"/>
  <c r="AD196" i="2"/>
  <c r="AD195" i="2" s="1"/>
  <c r="AG219" i="2"/>
  <c r="Y116" i="2"/>
  <c r="Z40" i="2"/>
  <c r="X16" i="2"/>
  <c r="X9" i="2" s="1"/>
  <c r="AB104" i="2"/>
  <c r="AB138" i="2"/>
  <c r="Q40" i="2"/>
  <c r="R154" i="2"/>
  <c r="R11" i="2" s="1"/>
  <c r="O228" i="2"/>
  <c r="K214" i="2"/>
  <c r="AC214" i="2"/>
  <c r="AA86" i="2"/>
  <c r="AG196" i="2"/>
  <c r="AG195" i="2" s="1"/>
  <c r="AF223" i="2"/>
  <c r="AF222" i="2" s="1"/>
  <c r="Y187" i="2"/>
  <c r="AD228" i="2"/>
  <c r="U29" i="2"/>
  <c r="U16" i="2" s="1"/>
  <c r="U9" i="2" s="1"/>
  <c r="F178" i="2"/>
  <c r="F155" i="2" s="1"/>
  <c r="Y73" i="2"/>
  <c r="Q238" i="2"/>
  <c r="Q236" i="2" s="1"/>
  <c r="AF56" i="2"/>
  <c r="AG56" i="2" s="1"/>
  <c r="M255" i="2"/>
  <c r="M251" i="2" s="1"/>
  <c r="Q205" i="2"/>
  <c r="Q204" i="2" s="1"/>
  <c r="R152" i="2"/>
  <c r="R15" i="2" s="1"/>
  <c r="J236" i="2"/>
  <c r="M236" i="2"/>
  <c r="Z17" i="2"/>
  <c r="N154" i="2"/>
  <c r="N11" i="2" s="1"/>
  <c r="V29" i="2"/>
  <c r="V16" i="2" s="1"/>
  <c r="M40" i="2"/>
  <c r="Q109" i="2"/>
  <c r="V107" i="2"/>
  <c r="V14" i="2" s="1"/>
  <c r="L154" i="2"/>
  <c r="L11" i="2" s="1"/>
  <c r="F214" i="2"/>
  <c r="O252" i="2"/>
  <c r="O255" i="2"/>
  <c r="Z87" i="2"/>
  <c r="O129" i="2"/>
  <c r="H195" i="2"/>
  <c r="H186" i="2" s="1"/>
  <c r="S252" i="2"/>
  <c r="S251" i="2" s="1"/>
  <c r="H235" i="2"/>
  <c r="H154" i="2" s="1"/>
  <c r="H11" i="2" s="1"/>
  <c r="W86" i="2"/>
  <c r="Z86" i="2" s="1"/>
  <c r="Y215" i="2"/>
  <c r="Y214" i="2" s="1"/>
  <c r="H178" i="2"/>
  <c r="H155" i="2" s="1"/>
  <c r="H29" i="2"/>
  <c r="H16" i="2" s="1"/>
  <c r="H13" i="2" s="1"/>
  <c r="AD49" i="2"/>
  <c r="AB56" i="2"/>
  <c r="Q196" i="2"/>
  <c r="Q195" i="2" s="1"/>
  <c r="M245" i="2"/>
  <c r="M244" i="2" s="1"/>
  <c r="Q190" i="2"/>
  <c r="Q187" i="2" s="1"/>
  <c r="AK79" i="2"/>
  <c r="T108" i="2"/>
  <c r="Q165" i="2"/>
  <c r="Q162" i="2" s="1"/>
  <c r="F235" i="2"/>
  <c r="F154" i="2" s="1"/>
  <c r="F11" i="2" s="1"/>
  <c r="R153" i="2"/>
  <c r="V154" i="2"/>
  <c r="V11" i="2" s="1"/>
  <c r="AG129" i="2"/>
  <c r="Y178" i="2"/>
  <c r="Z178" i="2"/>
  <c r="Z155" i="2" s="1"/>
  <c r="Z30" i="2"/>
  <c r="AB22" i="2"/>
  <c r="Q56" i="2"/>
  <c r="M115" i="2"/>
  <c r="AH154" i="2"/>
  <c r="S55" i="2"/>
  <c r="Q104" i="2"/>
  <c r="S139" i="2"/>
  <c r="AD244" i="2"/>
  <c r="N29" i="2"/>
  <c r="AB154" i="2"/>
  <c r="J128" i="2"/>
  <c r="AG128" i="2" s="1"/>
  <c r="O187" i="2"/>
  <c r="K235" i="2"/>
  <c r="AF245" i="2"/>
  <c r="AF244" i="2" s="1"/>
  <c r="O244" i="2"/>
  <c r="AD219" i="2"/>
  <c r="AD215" i="2" s="1"/>
  <c r="U108" i="2"/>
  <c r="U107" i="2" s="1"/>
  <c r="U14" i="2" s="1"/>
  <c r="S104" i="2"/>
  <c r="AD179" i="2"/>
  <c r="AC78" i="2"/>
  <c r="Y78" i="2" s="1"/>
  <c r="S169" i="2"/>
  <c r="S168" i="2" s="1"/>
  <c r="J204" i="2"/>
  <c r="Z214" i="2"/>
  <c r="AC129" i="2"/>
  <c r="Y129" i="2" s="1"/>
  <c r="M179" i="2"/>
  <c r="AD116" i="2"/>
  <c r="O104" i="2"/>
  <c r="O219" i="2"/>
  <c r="O215" i="2" s="1"/>
  <c r="Q169" i="2"/>
  <c r="Q168" i="2" s="1"/>
  <c r="AD232" i="2"/>
  <c r="AD97" i="2"/>
  <c r="O195" i="2"/>
  <c r="M190" i="2"/>
  <c r="M187" i="2" s="1"/>
  <c r="M183" i="2"/>
  <c r="AD205" i="2"/>
  <c r="AD204" i="2" s="1"/>
  <c r="S179" i="2"/>
  <c r="S178" i="2" s="1"/>
  <c r="M169" i="2"/>
  <c r="M168" i="2" s="1"/>
  <c r="O205" i="2"/>
  <c r="O204" i="2" s="1"/>
  <c r="O169" i="2"/>
  <c r="O168" i="2" s="1"/>
  <c r="S205" i="2"/>
  <c r="S204" i="2" s="1"/>
  <c r="AF17" i="2"/>
  <c r="AG17" i="2" s="1"/>
  <c r="Q17" i="2"/>
  <c r="V153" i="2"/>
  <c r="V152" i="2"/>
  <c r="V15" i="2" s="1"/>
  <c r="S17" i="2"/>
  <c r="AC139" i="2"/>
  <c r="Y140" i="2"/>
  <c r="AD140" i="2"/>
  <c r="R128" i="2"/>
  <c r="S129" i="2"/>
  <c r="J162" i="2"/>
  <c r="X153" i="2"/>
  <c r="AG184" i="2"/>
  <c r="AG183" i="2" s="1"/>
  <c r="AF183" i="2"/>
  <c r="M139" i="2"/>
  <c r="L138" i="2"/>
  <c r="M138" i="2" s="1"/>
  <c r="O232" i="2"/>
  <c r="J260" i="2"/>
  <c r="M22" i="2"/>
  <c r="L17" i="2"/>
  <c r="N86" i="2"/>
  <c r="O87" i="2"/>
  <c r="L153" i="2"/>
  <c r="L152" i="2"/>
  <c r="L15" i="2" s="1"/>
  <c r="W153" i="2"/>
  <c r="W152" i="2"/>
  <c r="W15" i="2" s="1"/>
  <c r="Q30" i="2"/>
  <c r="P29" i="2"/>
  <c r="AD165" i="2"/>
  <c r="AD162" i="2" s="1"/>
  <c r="O165" i="2"/>
  <c r="O162" i="2" s="1"/>
  <c r="AG237" i="2"/>
  <c r="Y36" i="2"/>
  <c r="AD36" i="2"/>
  <c r="N17" i="2"/>
  <c r="O22" i="2"/>
  <c r="L29" i="2"/>
  <c r="AF40" i="2"/>
  <c r="AG40" i="2" s="1"/>
  <c r="T55" i="2"/>
  <c r="Z55" i="2" s="1"/>
  <c r="Z56" i="2"/>
  <c r="J77" i="2"/>
  <c r="AF78" i="2"/>
  <c r="AG78" i="2" s="1"/>
  <c r="Q78" i="2"/>
  <c r="AC22" i="2"/>
  <c r="Y23" i="2"/>
  <c r="AD23" i="2"/>
  <c r="W29" i="2"/>
  <c r="AF115" i="2"/>
  <c r="AG115" i="2" s="1"/>
  <c r="M129" i="2"/>
  <c r="L128" i="2"/>
  <c r="AF169" i="2"/>
  <c r="AF168" i="2" s="1"/>
  <c r="AG170" i="2"/>
  <c r="AG169" i="2" s="1"/>
  <c r="AG168" i="2" s="1"/>
  <c r="Y97" i="2"/>
  <c r="AC95" i="2"/>
  <c r="AF196" i="2"/>
  <c r="AF195" i="2" s="1"/>
  <c r="Y31" i="2"/>
  <c r="AD31" i="2"/>
  <c r="AC30" i="2"/>
  <c r="AB40" i="2"/>
  <c r="AF109" i="2"/>
  <c r="AG109" i="2" s="1"/>
  <c r="M109" i="2"/>
  <c r="J108" i="2"/>
  <c r="Q108" i="2" s="1"/>
  <c r="AA107" i="2"/>
  <c r="T138" i="2"/>
  <c r="Z138" i="2" s="1"/>
  <c r="Z139" i="2"/>
  <c r="AA152" i="2"/>
  <c r="AA15" i="2" s="1"/>
  <c r="AA153" i="2"/>
  <c r="AF101" i="2"/>
  <c r="AG101" i="2" s="1"/>
  <c r="Q101" i="2"/>
  <c r="AB101" i="2"/>
  <c r="M101" i="2"/>
  <c r="T128" i="2"/>
  <c r="Z128" i="2" s="1"/>
  <c r="Z129" i="2"/>
  <c r="Y165" i="2"/>
  <c r="Y162" i="2" s="1"/>
  <c r="M205" i="2"/>
  <c r="M204" i="2" s="1"/>
  <c r="Y41" i="2"/>
  <c r="AD41" i="2"/>
  <c r="AC40" i="2"/>
  <c r="AF55" i="2"/>
  <c r="AG55" i="2" s="1"/>
  <c r="AC87" i="2"/>
  <c r="Y88" i="2"/>
  <c r="AD88" i="2"/>
  <c r="AG166" i="2"/>
  <c r="AG165" i="2" s="1"/>
  <c r="AG162" i="2" s="1"/>
  <c r="AF165" i="2"/>
  <c r="AF162" i="2" s="1"/>
  <c r="AD169" i="2"/>
  <c r="AD168" i="2" s="1"/>
  <c r="Q219" i="2"/>
  <c r="Q215" i="2" s="1"/>
  <c r="AG156" i="2"/>
  <c r="K186" i="2"/>
  <c r="AG229" i="2"/>
  <c r="AG228" i="2" s="1"/>
  <c r="AF228" i="2"/>
  <c r="M232" i="2"/>
  <c r="AF252" i="2"/>
  <c r="AF251" i="2" s="1"/>
  <c r="AG253" i="2"/>
  <c r="AG252" i="2" s="1"/>
  <c r="AG251" i="2" s="1"/>
  <c r="AB115" i="2"/>
  <c r="J178" i="2"/>
  <c r="AF179" i="2"/>
  <c r="AG180" i="2"/>
  <c r="AG179" i="2" s="1"/>
  <c r="AU187" i="2"/>
  <c r="J195" i="2"/>
  <c r="AF261" i="2"/>
  <c r="AF260" i="2" s="1"/>
  <c r="AG262" i="2"/>
  <c r="AG261" i="2" s="1"/>
  <c r="AG260" i="2" s="1"/>
  <c r="R77" i="2"/>
  <c r="S78" i="2"/>
  <c r="Q22" i="2"/>
  <c r="AF22" i="2"/>
  <c r="AG22" i="2" s="1"/>
  <c r="Y92" i="2"/>
  <c r="AD92" i="2"/>
  <c r="Q129" i="2"/>
  <c r="P128" i="2"/>
  <c r="AI153" i="2"/>
  <c r="AI152" i="2"/>
  <c r="O109" i="2"/>
  <c r="N108" i="2"/>
  <c r="M78" i="2"/>
  <c r="L77" i="2"/>
  <c r="AG216" i="2"/>
  <c r="J251" i="2"/>
  <c r="J29" i="2"/>
  <c r="AF30" i="2"/>
  <c r="AG30" i="2" s="1"/>
  <c r="AD57" i="2"/>
  <c r="Y57" i="2"/>
  <c r="AC56" i="2"/>
  <c r="AA17" i="2"/>
  <c r="AA29" i="2"/>
  <c r="AB30" i="2"/>
  <c r="L55" i="2"/>
  <c r="M55" i="2" s="1"/>
  <c r="M56" i="2"/>
  <c r="Y169" i="2"/>
  <c r="Y168" i="2" s="1"/>
  <c r="S22" i="2"/>
  <c r="M30" i="2"/>
  <c r="AD64" i="2"/>
  <c r="Y64" i="2"/>
  <c r="N77" i="2"/>
  <c r="O78" i="2"/>
  <c r="J86" i="2"/>
  <c r="Q86" i="2" s="1"/>
  <c r="S30" i="2"/>
  <c r="R87" i="2"/>
  <c r="AF87" i="2" s="1"/>
  <c r="AG87" i="2" s="1"/>
  <c r="S88" i="2"/>
  <c r="M87" i="2"/>
  <c r="L86" i="2"/>
  <c r="AF95" i="2"/>
  <c r="AG95" i="2" s="1"/>
  <c r="AD101" i="2"/>
  <c r="Y101" i="2"/>
  <c r="M104" i="2"/>
  <c r="AF104" i="2"/>
  <c r="AG104" i="2" s="1"/>
  <c r="Y144" i="2"/>
  <c r="AD144" i="2"/>
  <c r="Y150" i="2"/>
  <c r="AD150" i="2"/>
  <c r="AC149" i="2"/>
  <c r="AE153" i="2"/>
  <c r="AE152" i="2"/>
  <c r="J168" i="2"/>
  <c r="Q139" i="2"/>
  <c r="P138" i="2"/>
  <c r="Q138" i="2" s="1"/>
  <c r="AG206" i="2"/>
  <c r="AG205" i="2" s="1"/>
  <c r="AG204" i="2" s="1"/>
  <c r="AF205" i="2"/>
  <c r="AF204" i="2" s="1"/>
  <c r="N152" i="2"/>
  <c r="N15" i="2" s="1"/>
  <c r="N153" i="2"/>
  <c r="M165" i="2"/>
  <c r="M162" i="2" s="1"/>
  <c r="AC178" i="2"/>
  <c r="AC155" i="2" s="1"/>
  <c r="Y205" i="2"/>
  <c r="Y204" i="2" s="1"/>
  <c r="T153" i="2"/>
  <c r="T152" i="2"/>
  <c r="T15" i="2" s="1"/>
  <c r="AF190" i="2"/>
  <c r="AF187" i="2" s="1"/>
  <c r="AG191" i="2"/>
  <c r="AG190" i="2" s="1"/>
  <c r="AG187" i="2" s="1"/>
  <c r="J222" i="2"/>
  <c r="M228" i="2"/>
  <c r="AC251" i="2"/>
  <c r="S109" i="2"/>
  <c r="R108" i="2"/>
  <c r="AH152" i="2"/>
  <c r="O183" i="2"/>
  <c r="S232" i="2"/>
  <c r="P153" i="2"/>
  <c r="P152" i="2"/>
  <c r="P15" i="2" s="1"/>
  <c r="AU168" i="2"/>
  <c r="AU155" i="2" s="1"/>
  <c r="Q87" i="2"/>
  <c r="O179" i="2"/>
  <c r="AF232" i="2"/>
  <c r="AG233" i="2"/>
  <c r="AG232" i="2" s="1"/>
  <c r="Y251" i="2"/>
  <c r="J6" i="3"/>
  <c r="H6" i="3"/>
  <c r="K136" i="7" l="1"/>
  <c r="AR186" i="2"/>
  <c r="AM186" i="2"/>
  <c r="AR214" i="2"/>
  <c r="AM214" i="2"/>
  <c r="AR108" i="2"/>
  <c r="AM108" i="2"/>
  <c r="AR155" i="2"/>
  <c r="AM155" i="2"/>
  <c r="AR235" i="2"/>
  <c r="AM235" i="2"/>
  <c r="K16" i="2"/>
  <c r="AR29" i="2"/>
  <c r="K107" i="2"/>
  <c r="AM107" i="2" s="1"/>
  <c r="AQ268" i="2"/>
  <c r="AQ272" i="2" s="1"/>
  <c r="AR79" i="2"/>
  <c r="AP272" i="2"/>
  <c r="AK78" i="2"/>
  <c r="AK77" i="2" s="1"/>
  <c r="AK16" i="2" s="1"/>
  <c r="AK9" i="2" s="1"/>
  <c r="AP78" i="2"/>
  <c r="AP77" i="2" s="1"/>
  <c r="AP16" i="2" s="1"/>
  <c r="AP13" i="2" s="1"/>
  <c r="AQ17" i="2"/>
  <c r="AR17" i="2" s="1"/>
  <c r="AQ78" i="2"/>
  <c r="AR78" i="2" s="1"/>
  <c r="AQ56" i="2"/>
  <c r="AR56" i="2" s="1"/>
  <c r="K152" i="2"/>
  <c r="AM152" i="2" s="1"/>
  <c r="K153" i="2"/>
  <c r="AM153" i="2" s="1"/>
  <c r="K154" i="2"/>
  <c r="AM154" i="2" s="1"/>
  <c r="AD109" i="2"/>
  <c r="J186" i="2"/>
  <c r="W10" i="2"/>
  <c r="Z11" i="2"/>
  <c r="AO78" i="2"/>
  <c r="AC11" i="2"/>
  <c r="AD235" i="2"/>
  <c r="AD154" i="2" s="1"/>
  <c r="AD115" i="2"/>
  <c r="F9" i="2"/>
  <c r="F13" i="2"/>
  <c r="AC108" i="2"/>
  <c r="AD108" i="2" s="1"/>
  <c r="Q214" i="2"/>
  <c r="U10" i="2"/>
  <c r="U7" i="2" s="1"/>
  <c r="AG215" i="2"/>
  <c r="AG214" i="2" s="1"/>
  <c r="AG236" i="2"/>
  <c r="AG235" i="2" s="1"/>
  <c r="AG154" i="2" s="1"/>
  <c r="U13" i="2"/>
  <c r="S186" i="2"/>
  <c r="V10" i="2"/>
  <c r="J235" i="2"/>
  <c r="O235" i="2"/>
  <c r="O154" i="2" s="1"/>
  <c r="AB128" i="2"/>
  <c r="Q128" i="2"/>
  <c r="S128" i="2"/>
  <c r="O128" i="2"/>
  <c r="M128" i="2"/>
  <c r="AD178" i="2"/>
  <c r="AD155" i="2" s="1"/>
  <c r="AF29" i="2"/>
  <c r="AG29" i="2" s="1"/>
  <c r="X10" i="2"/>
  <c r="AF138" i="2"/>
  <c r="AG138" i="2" s="1"/>
  <c r="AD129" i="2"/>
  <c r="M77" i="2"/>
  <c r="Z29" i="2"/>
  <c r="F153" i="2"/>
  <c r="F10" i="2" s="1"/>
  <c r="F152" i="2"/>
  <c r="F15" i="2" s="1"/>
  <c r="M235" i="2"/>
  <c r="M154" i="2" s="1"/>
  <c r="Q235" i="2"/>
  <c r="Q154" i="2" s="1"/>
  <c r="AD214" i="2"/>
  <c r="S214" i="2"/>
  <c r="X13" i="2"/>
  <c r="AC128" i="2"/>
  <c r="AD128" i="2" s="1"/>
  <c r="AF178" i="2"/>
  <c r="AF155" i="2" s="1"/>
  <c r="O251" i="2"/>
  <c r="Y186" i="2"/>
  <c r="O178" i="2"/>
  <c r="O155" i="2" s="1"/>
  <c r="AF235" i="2"/>
  <c r="AF154" i="2" s="1"/>
  <c r="AC77" i="2"/>
  <c r="Y77" i="2" s="1"/>
  <c r="S154" i="2"/>
  <c r="AD186" i="2"/>
  <c r="V13" i="2"/>
  <c r="V9" i="2"/>
  <c r="O214" i="2"/>
  <c r="AD78" i="2"/>
  <c r="M86" i="2"/>
  <c r="O186" i="2"/>
  <c r="Q186" i="2"/>
  <c r="Z108" i="2"/>
  <c r="H153" i="2"/>
  <c r="H10" i="2" s="1"/>
  <c r="H152" i="2"/>
  <c r="H15" i="2" s="1"/>
  <c r="O86" i="2"/>
  <c r="H9" i="2"/>
  <c r="AF186" i="2"/>
  <c r="L107" i="2"/>
  <c r="L10" i="2" s="1"/>
  <c r="O77" i="2"/>
  <c r="S155" i="2"/>
  <c r="S77" i="2"/>
  <c r="AB152" i="2"/>
  <c r="P107" i="2"/>
  <c r="P10" i="2" s="1"/>
  <c r="Q155" i="2"/>
  <c r="M178" i="2"/>
  <c r="M155" i="2" s="1"/>
  <c r="AG186" i="2"/>
  <c r="M186" i="2"/>
  <c r="Y155" i="2"/>
  <c r="S108" i="2"/>
  <c r="R107" i="2"/>
  <c r="AC15" i="2"/>
  <c r="Z15" i="2"/>
  <c r="Z152" i="2"/>
  <c r="Z153" i="2"/>
  <c r="AC55" i="2"/>
  <c r="AD56" i="2"/>
  <c r="Y56" i="2"/>
  <c r="AC152" i="2"/>
  <c r="AC153" i="2"/>
  <c r="Y95" i="2"/>
  <c r="AD95" i="2"/>
  <c r="Y139" i="2"/>
  <c r="AC138" i="2"/>
  <c r="AD139" i="2"/>
  <c r="AB29" i="2"/>
  <c r="AB153" i="2"/>
  <c r="AF214" i="2"/>
  <c r="O108" i="2"/>
  <c r="N107" i="2"/>
  <c r="AU186" i="2"/>
  <c r="AU153" i="2" s="1"/>
  <c r="AF77" i="2"/>
  <c r="AG77" i="2" s="1"/>
  <c r="Q77" i="2"/>
  <c r="M29" i="2"/>
  <c r="Q29" i="2"/>
  <c r="P16" i="2"/>
  <c r="J155" i="2"/>
  <c r="S29" i="2"/>
  <c r="J16" i="2"/>
  <c r="AA14" i="2"/>
  <c r="AA10" i="2"/>
  <c r="Y22" i="2"/>
  <c r="AD22" i="2"/>
  <c r="AC17" i="2"/>
  <c r="O17" i="2"/>
  <c r="N16" i="2"/>
  <c r="AD40" i="2"/>
  <c r="Y40" i="2"/>
  <c r="AF108" i="2"/>
  <c r="AG108" i="2" s="1"/>
  <c r="J107" i="2"/>
  <c r="L16" i="2"/>
  <c r="M17" i="2"/>
  <c r="M214" i="2"/>
  <c r="AD149" i="2"/>
  <c r="Y149" i="2"/>
  <c r="M108" i="2"/>
  <c r="R86" i="2"/>
  <c r="S86" i="2" s="1"/>
  <c r="S87" i="2"/>
  <c r="J214" i="2"/>
  <c r="AA16" i="2"/>
  <c r="AB17" i="2"/>
  <c r="AG178" i="2"/>
  <c r="AG155" i="2" s="1"/>
  <c r="Y87" i="2"/>
  <c r="AD87" i="2"/>
  <c r="AC86" i="2"/>
  <c r="W16" i="2"/>
  <c r="AB108" i="2"/>
  <c r="AD30" i="2"/>
  <c r="AC29" i="2"/>
  <c r="Y30" i="2"/>
  <c r="T16" i="2"/>
  <c r="AB86" i="2"/>
  <c r="O29" i="2"/>
  <c r="T107" i="2"/>
  <c r="E6" i="3"/>
  <c r="K9" i="2" l="1"/>
  <c r="AM9" i="2" s="1"/>
  <c r="AM16" i="2"/>
  <c r="K13" i="2"/>
  <c r="AM13" i="2" s="1"/>
  <c r="K10" i="2"/>
  <c r="AR153" i="2"/>
  <c r="K15" i="2"/>
  <c r="AR152" i="2"/>
  <c r="K11" i="2"/>
  <c r="AR154" i="2"/>
  <c r="K14" i="2"/>
  <c r="AR107" i="2"/>
  <c r="AK13" i="2"/>
  <c r="AP9" i="2"/>
  <c r="AP7" i="2" s="1"/>
  <c r="AQ55" i="2"/>
  <c r="AQ77" i="2"/>
  <c r="F7" i="2"/>
  <c r="J154" i="2"/>
  <c r="J11" i="2" s="1"/>
  <c r="O11" i="2" s="1"/>
  <c r="Y128" i="2"/>
  <c r="AO77" i="2"/>
  <c r="AD153" i="2"/>
  <c r="AU10" i="2"/>
  <c r="Y108" i="2"/>
  <c r="V7" i="2"/>
  <c r="AC107" i="2"/>
  <c r="Y107" i="2" s="1"/>
  <c r="Y153" i="2"/>
  <c r="L14" i="2"/>
  <c r="AD77" i="2"/>
  <c r="P14" i="2"/>
  <c r="S152" i="2"/>
  <c r="Q153" i="2"/>
  <c r="R16" i="2"/>
  <c r="R9" i="2" s="1"/>
  <c r="O153" i="2"/>
  <c r="AF152" i="2"/>
  <c r="Q152" i="2"/>
  <c r="H7" i="2"/>
  <c r="AF153" i="2"/>
  <c r="S153" i="2"/>
  <c r="O152" i="2"/>
  <c r="M152" i="2"/>
  <c r="AD152" i="2"/>
  <c r="W9" i="2"/>
  <c r="W7" i="2" s="1"/>
  <c r="W13" i="2"/>
  <c r="N10" i="2"/>
  <c r="N14" i="2"/>
  <c r="O107" i="2"/>
  <c r="AD86" i="2"/>
  <c r="Y86" i="2"/>
  <c r="AA9" i="2"/>
  <c r="AA7" i="2" s="1"/>
  <c r="AA13" i="2"/>
  <c r="AB16" i="2"/>
  <c r="J14" i="2"/>
  <c r="AF107" i="2"/>
  <c r="AG107" i="2" s="1"/>
  <c r="J9" i="2"/>
  <c r="J13" i="2"/>
  <c r="AF86" i="2"/>
  <c r="AG86" i="2" s="1"/>
  <c r="M153" i="2"/>
  <c r="R10" i="2"/>
  <c r="R14" i="2"/>
  <c r="S107" i="2"/>
  <c r="AD17" i="2"/>
  <c r="AC16" i="2"/>
  <c r="Y17" i="2"/>
  <c r="Y138" i="2"/>
  <c r="AD138" i="2"/>
  <c r="M107" i="2"/>
  <c r="AG152" i="2"/>
  <c r="AG153" i="2"/>
  <c r="L9" i="2"/>
  <c r="L13" i="2"/>
  <c r="M16" i="2"/>
  <c r="N9" i="2"/>
  <c r="N13" i="2"/>
  <c r="O16" i="2"/>
  <c r="Y55" i="2"/>
  <c r="AD55" i="2"/>
  <c r="T10" i="2"/>
  <c r="Z107" i="2"/>
  <c r="T14" i="2"/>
  <c r="Y29" i="2"/>
  <c r="AD29" i="2"/>
  <c r="T9" i="2"/>
  <c r="T13" i="2"/>
  <c r="Z16" i="2"/>
  <c r="AB107" i="2"/>
  <c r="J152" i="2"/>
  <c r="J15" i="2" s="1"/>
  <c r="J153" i="2"/>
  <c r="J10" i="2" s="1"/>
  <c r="Q10" i="2" s="1"/>
  <c r="P9" i="2"/>
  <c r="Q16" i="2"/>
  <c r="P13" i="2"/>
  <c r="Q107" i="2"/>
  <c r="F33" i="3"/>
  <c r="AR11" i="2" l="1"/>
  <c r="AM11" i="2"/>
  <c r="AR14" i="2"/>
  <c r="AM14" i="2"/>
  <c r="AR15" i="2"/>
  <c r="AM15" i="2"/>
  <c r="AR10" i="2"/>
  <c r="AM10" i="2"/>
  <c r="K7" i="2"/>
  <c r="AM7" i="2" s="1"/>
  <c r="AR55" i="2"/>
  <c r="AR77" i="2"/>
  <c r="AQ16" i="2"/>
  <c r="AR16" i="2" s="1"/>
  <c r="Q11" i="2"/>
  <c r="AD11" i="2"/>
  <c r="S11" i="2"/>
  <c r="AD107" i="2"/>
  <c r="M11" i="2"/>
  <c r="AF11" i="2"/>
  <c r="AG11" i="2" s="1"/>
  <c r="AB11" i="2"/>
  <c r="AO16" i="2"/>
  <c r="S14" i="2"/>
  <c r="S16" i="2"/>
  <c r="R13" i="2"/>
  <c r="AF13" i="2" s="1"/>
  <c r="AG13" i="2" s="1"/>
  <c r="AF16" i="2"/>
  <c r="AG16" i="2" s="1"/>
  <c r="Q14" i="2"/>
  <c r="AB14" i="2"/>
  <c r="M14" i="2"/>
  <c r="AF9" i="2"/>
  <c r="AG9" i="2" s="1"/>
  <c r="M9" i="2"/>
  <c r="M13" i="2"/>
  <c r="L7" i="2"/>
  <c r="Q9" i="2"/>
  <c r="O10" i="2"/>
  <c r="N7" i="2"/>
  <c r="Q13" i="2"/>
  <c r="AF15" i="2"/>
  <c r="AG15" i="2" s="1"/>
  <c r="S15" i="2"/>
  <c r="M15" i="2"/>
  <c r="O15" i="2"/>
  <c r="AB15" i="2"/>
  <c r="Q15" i="2"/>
  <c r="T7" i="2"/>
  <c r="AC10" i="2"/>
  <c r="Z10" i="2"/>
  <c r="O9" i="2"/>
  <c r="AD16" i="2"/>
  <c r="Y16" i="2"/>
  <c r="AB13" i="2"/>
  <c r="Z13" i="2"/>
  <c r="AC13" i="2"/>
  <c r="AC14" i="2"/>
  <c r="Z14" i="2"/>
  <c r="R7" i="2"/>
  <c r="S10" i="2"/>
  <c r="J7" i="2"/>
  <c r="AF10" i="2"/>
  <c r="AG10" i="2" s="1"/>
  <c r="Z9" i="2"/>
  <c r="AC9" i="2"/>
  <c r="O13" i="2"/>
  <c r="AB10" i="2"/>
  <c r="M10" i="2"/>
  <c r="P7" i="2"/>
  <c r="AF14" i="2"/>
  <c r="AG14" i="2" s="1"/>
  <c r="AB9" i="2"/>
  <c r="AD15" i="2"/>
  <c r="O14" i="2"/>
  <c r="S9" i="2"/>
  <c r="J33" i="3"/>
  <c r="AQ9" i="2" l="1"/>
  <c r="AR9" i="2" s="1"/>
  <c r="AQ13" i="2"/>
  <c r="AO9" i="2"/>
  <c r="AO13" i="2"/>
  <c r="S13" i="2"/>
  <c r="AF7" i="2"/>
  <c r="AG7" i="2" s="1"/>
  <c r="S7" i="2"/>
  <c r="AD13" i="2"/>
  <c r="Y13" i="2"/>
  <c r="AC7" i="2"/>
  <c r="Z7" i="2"/>
  <c r="Q7" i="2"/>
  <c r="AD9" i="2"/>
  <c r="Y9" i="2"/>
  <c r="AB7" i="2"/>
  <c r="Y14" i="2"/>
  <c r="AD14" i="2"/>
  <c r="Y10" i="2"/>
  <c r="AD10" i="2"/>
  <c r="O7" i="2"/>
  <c r="M7" i="2"/>
  <c r="L33" i="3"/>
  <c r="AR13" i="2" l="1"/>
  <c r="AQ7" i="2"/>
  <c r="AD7" i="2"/>
  <c r="G33" i="3"/>
  <c r="C33" i="3"/>
  <c r="E33" i="3"/>
  <c r="AR7" i="2" l="1"/>
  <c r="C6" i="3"/>
  <c r="C7" i="3" l="1"/>
  <c r="L6" i="3" l="1"/>
  <c r="L34" i="3" l="1"/>
  <c r="L32" i="3"/>
  <c r="H34" i="3"/>
  <c r="H32" i="3"/>
  <c r="L24" i="3"/>
  <c r="L21" i="3"/>
  <c r="H24" i="3"/>
  <c r="J24" i="3"/>
  <c r="H21" i="3"/>
  <c r="D32" i="3" l="1"/>
  <c r="F32" i="3"/>
  <c r="F31" i="3"/>
  <c r="F34" i="3"/>
  <c r="D31" i="3"/>
  <c r="D33" i="3"/>
  <c r="D34" i="3"/>
  <c r="D14" i="3"/>
  <c r="D15" i="3"/>
  <c r="D17" i="3"/>
  <c r="D18" i="3"/>
  <c r="D20" i="3"/>
  <c r="D21" i="3"/>
  <c r="D22" i="3"/>
  <c r="D23" i="3"/>
  <c r="D24" i="3"/>
  <c r="D26" i="3"/>
  <c r="D27" i="3"/>
  <c r="D47" i="3" s="1"/>
  <c r="D28" i="3"/>
  <c r="F14" i="3"/>
  <c r="F15" i="3"/>
  <c r="F17" i="3"/>
  <c r="F18" i="3"/>
  <c r="F20" i="3"/>
  <c r="F21" i="3"/>
  <c r="F22" i="3"/>
  <c r="F23" i="3"/>
  <c r="F24" i="3"/>
  <c r="F26" i="3"/>
  <c r="F27" i="3"/>
  <c r="F47" i="3" s="1"/>
  <c r="F28" i="3"/>
  <c r="D4" i="3"/>
  <c r="F4" i="3"/>
  <c r="D5" i="3"/>
  <c r="F5" i="3"/>
  <c r="D6" i="3"/>
  <c r="F6" i="3"/>
  <c r="D7" i="3"/>
  <c r="D43" i="3" s="1"/>
  <c r="F7" i="3"/>
  <c r="F43" i="3" s="1"/>
  <c r="D8" i="3"/>
  <c r="F8" i="3"/>
  <c r="F44" i="3" s="1"/>
  <c r="D9" i="3"/>
  <c r="F9" i="3"/>
  <c r="D10" i="3"/>
  <c r="F10" i="3"/>
  <c r="F41" i="3" l="1"/>
  <c r="F46" i="3"/>
  <c r="D46" i="3"/>
  <c r="D44" i="3"/>
  <c r="D41" i="3"/>
  <c r="F3" i="3"/>
  <c r="F25" i="3"/>
  <c r="D25" i="3"/>
  <c r="F48" i="3"/>
  <c r="D48" i="3"/>
  <c r="K6" i="3"/>
  <c r="I6" i="3"/>
  <c r="M6" i="3"/>
  <c r="F19" i="3"/>
  <c r="F45" i="3" s="1"/>
  <c r="F16" i="3"/>
  <c r="F40" i="3" s="1"/>
  <c r="F13" i="3"/>
  <c r="F42" i="3" s="1"/>
  <c r="D19" i="3"/>
  <c r="D45" i="3" s="1"/>
  <c r="D16" i="3"/>
  <c r="D40" i="3" s="1"/>
  <c r="D13" i="3"/>
  <c r="D42" i="3" s="1"/>
  <c r="D3" i="3"/>
  <c r="D30" i="3"/>
  <c r="F30" i="3"/>
  <c r="D39" i="3" l="1"/>
  <c r="F39" i="3"/>
  <c r="D12" i="3"/>
  <c r="D36" i="3" s="1"/>
  <c r="F12" i="3"/>
  <c r="F36" i="3" s="1"/>
  <c r="J34" i="3" l="1"/>
  <c r="G34" i="3"/>
  <c r="C34" i="3"/>
  <c r="J21" i="3"/>
  <c r="G21" i="3"/>
  <c r="E21" i="3"/>
  <c r="C21" i="3"/>
  <c r="K21" i="3" l="1"/>
  <c r="I21" i="3"/>
  <c r="M21" i="3"/>
  <c r="K34" i="3"/>
  <c r="I34" i="3"/>
  <c r="M34" i="3"/>
  <c r="E34" i="3"/>
  <c r="J27" i="3" l="1"/>
  <c r="J47" i="3" s="1"/>
  <c r="L31" i="3" l="1"/>
  <c r="L30" i="3" s="1"/>
  <c r="L27" i="3"/>
  <c r="L47" i="3" s="1"/>
  <c r="H31" i="3"/>
  <c r="M33" i="3"/>
  <c r="H27" i="3"/>
  <c r="H47" i="3" s="1"/>
  <c r="J15" i="3"/>
  <c r="H15" i="3"/>
  <c r="J23" i="3"/>
  <c r="J25" i="3" s="1"/>
  <c r="H23" i="3"/>
  <c r="E31" i="3"/>
  <c r="C31" i="3"/>
  <c r="L23" i="3" l="1"/>
  <c r="L25" i="3" s="1"/>
  <c r="H25" i="3"/>
  <c r="J32" i="3"/>
  <c r="J31" i="3"/>
  <c r="G31" i="3"/>
  <c r="C32" i="3"/>
  <c r="E23" i="3"/>
  <c r="C23" i="3"/>
  <c r="E32" i="3"/>
  <c r="E30" i="3" s="1"/>
  <c r="G15" i="3"/>
  <c r="G32" i="3"/>
  <c r="G27" i="3"/>
  <c r="G47" i="3" s="1"/>
  <c r="E15" i="3"/>
  <c r="C15" i="3"/>
  <c r="E27" i="3"/>
  <c r="E47" i="3" s="1"/>
  <c r="H22" i="3"/>
  <c r="H48" i="3" s="1"/>
  <c r="H28" i="3"/>
  <c r="J20" i="3"/>
  <c r="J19" i="3" s="1"/>
  <c r="G20" i="3"/>
  <c r="E20" i="3"/>
  <c r="E19" i="3" s="1"/>
  <c r="C20" i="3"/>
  <c r="C19" i="3" s="1"/>
  <c r="L15" i="3" l="1"/>
  <c r="M15" i="3" s="1"/>
  <c r="L28" i="3"/>
  <c r="K47" i="3"/>
  <c r="M47" i="3"/>
  <c r="I47" i="3"/>
  <c r="L22" i="3"/>
  <c r="L48" i="3" s="1"/>
  <c r="J18" i="3"/>
  <c r="G30" i="3"/>
  <c r="L20" i="3"/>
  <c r="L19" i="3" s="1"/>
  <c r="H20" i="3"/>
  <c r="H19" i="3" s="1"/>
  <c r="H18" i="3"/>
  <c r="C30" i="3"/>
  <c r="K20" i="3"/>
  <c r="K27" i="3"/>
  <c r="I27" i="3"/>
  <c r="M27" i="3"/>
  <c r="K32" i="3"/>
  <c r="I32" i="3"/>
  <c r="M32" i="3"/>
  <c r="K15" i="3"/>
  <c r="I15" i="3"/>
  <c r="K31" i="3"/>
  <c r="I31" i="3"/>
  <c r="M31" i="3"/>
  <c r="J28" i="3"/>
  <c r="G23" i="3"/>
  <c r="J26" i="3"/>
  <c r="G19" i="3"/>
  <c r="E24" i="3"/>
  <c r="E25" i="3" s="1"/>
  <c r="H26" i="3"/>
  <c r="C22" i="3"/>
  <c r="C48" i="3" s="1"/>
  <c r="G24" i="3"/>
  <c r="C24" i="3"/>
  <c r="C25" i="3" s="1"/>
  <c r="C27" i="3"/>
  <c r="C47" i="3" s="1"/>
  <c r="I20" i="3" l="1"/>
  <c r="L26" i="3"/>
  <c r="L18" i="3"/>
  <c r="E22" i="3"/>
  <c r="E48" i="3" s="1"/>
  <c r="G14" i="3"/>
  <c r="C26" i="3"/>
  <c r="M30" i="3"/>
  <c r="G25" i="3"/>
  <c r="M20" i="3"/>
  <c r="L14" i="3"/>
  <c r="K24" i="3"/>
  <c r="I24" i="3"/>
  <c r="M24" i="3"/>
  <c r="K19" i="3"/>
  <c r="I19" i="3"/>
  <c r="M19" i="3"/>
  <c r="K23" i="3"/>
  <c r="I23" i="3"/>
  <c r="M23" i="3"/>
  <c r="E14" i="3"/>
  <c r="E13" i="3" s="1"/>
  <c r="E42" i="3" s="1"/>
  <c r="G26" i="3"/>
  <c r="E26" i="3"/>
  <c r="G18" i="3"/>
  <c r="G28" i="3"/>
  <c r="E18" i="3"/>
  <c r="E28" i="3"/>
  <c r="C18" i="3"/>
  <c r="C14" i="3"/>
  <c r="H17" i="3"/>
  <c r="H16" i="3" s="1"/>
  <c r="E17" i="3"/>
  <c r="G17" i="3"/>
  <c r="C17" i="3"/>
  <c r="M14" i="3" l="1"/>
  <c r="E16" i="3"/>
  <c r="E12" i="3" s="1"/>
  <c r="K25" i="3"/>
  <c r="I25" i="3"/>
  <c r="M25" i="3"/>
  <c r="C16" i="3"/>
  <c r="L13" i="3"/>
  <c r="L42" i="3" s="1"/>
  <c r="J17" i="3"/>
  <c r="J16" i="3" s="1"/>
  <c r="I17" i="3"/>
  <c r="K28" i="3"/>
  <c r="I28" i="3"/>
  <c r="M28" i="3"/>
  <c r="K18" i="3"/>
  <c r="I18" i="3"/>
  <c r="M18" i="3"/>
  <c r="K26" i="3"/>
  <c r="I26" i="3"/>
  <c r="M26" i="3"/>
  <c r="G22" i="3"/>
  <c r="G48" i="3" s="1"/>
  <c r="G13" i="3"/>
  <c r="G42" i="3" s="1"/>
  <c r="G16" i="3"/>
  <c r="C28" i="3"/>
  <c r="C13" i="3"/>
  <c r="C42" i="3" s="1"/>
  <c r="J9" i="3"/>
  <c r="J45" i="3" s="1"/>
  <c r="E9" i="3"/>
  <c r="E45" i="3" s="1"/>
  <c r="I48" i="3" l="1"/>
  <c r="M48" i="3"/>
  <c r="M42" i="3"/>
  <c r="C12" i="3"/>
  <c r="K17" i="3"/>
  <c r="H9" i="3"/>
  <c r="H45" i="3" s="1"/>
  <c r="K16" i="3"/>
  <c r="I16" i="3"/>
  <c r="M13" i="3"/>
  <c r="I22" i="3"/>
  <c r="M22" i="3"/>
  <c r="G12" i="3"/>
  <c r="E10" i="3"/>
  <c r="E46" i="3" s="1"/>
  <c r="C10" i="3"/>
  <c r="C46" i="3" s="1"/>
  <c r="G10" i="3" l="1"/>
  <c r="G46" i="3" s="1"/>
  <c r="G9" i="3"/>
  <c r="G45" i="3" s="1"/>
  <c r="I45" i="3" s="1"/>
  <c r="H10" i="3"/>
  <c r="H46" i="3" s="1"/>
  <c r="J10" i="3"/>
  <c r="J46" i="3" s="1"/>
  <c r="L9" i="3"/>
  <c r="L45" i="3" s="1"/>
  <c r="L10" i="3"/>
  <c r="L46" i="3" s="1"/>
  <c r="L7" i="3"/>
  <c r="L43" i="3" s="1"/>
  <c r="J7" i="3"/>
  <c r="J43" i="3" s="1"/>
  <c r="E7" i="3"/>
  <c r="E43" i="3" s="1"/>
  <c r="C9" i="3"/>
  <c r="C45" i="3" s="1"/>
  <c r="C43" i="3"/>
  <c r="J8" i="3"/>
  <c r="J44" i="3" s="1"/>
  <c r="H8" i="3"/>
  <c r="H44" i="3" s="1"/>
  <c r="E8" i="3"/>
  <c r="E44" i="3" s="1"/>
  <c r="I9" i="3" l="1"/>
  <c r="M45" i="3"/>
  <c r="K46" i="3"/>
  <c r="K45" i="3"/>
  <c r="K9" i="3"/>
  <c r="M46" i="3"/>
  <c r="I46" i="3"/>
  <c r="I10" i="3"/>
  <c r="K10" i="3"/>
  <c r="M9" i="3"/>
  <c r="M10" i="3"/>
  <c r="L8" i="3"/>
  <c r="L44" i="3" s="1"/>
  <c r="G8" i="3"/>
  <c r="G44" i="3" s="1"/>
  <c r="I44" i="3" s="1"/>
  <c r="C8" i="3"/>
  <c r="C44" i="3" s="1"/>
  <c r="L5" i="3"/>
  <c r="J5" i="3"/>
  <c r="J41" i="3" s="1"/>
  <c r="H5" i="3"/>
  <c r="H41" i="3" s="1"/>
  <c r="E5" i="3"/>
  <c r="E41" i="3" s="1"/>
  <c r="G5" i="3" l="1"/>
  <c r="G41" i="3" s="1"/>
  <c r="I41" i="3" s="1"/>
  <c r="L41" i="3"/>
  <c r="M44" i="3"/>
  <c r="K44" i="3"/>
  <c r="K8" i="3"/>
  <c r="I8" i="3"/>
  <c r="M8" i="3"/>
  <c r="C5" i="3"/>
  <c r="C41" i="3" s="1"/>
  <c r="M41" i="3" l="1"/>
  <c r="K41" i="3"/>
  <c r="K5" i="3"/>
  <c r="I5" i="3"/>
  <c r="M5" i="3"/>
  <c r="L4" i="3" l="1"/>
  <c r="J4" i="3"/>
  <c r="H4" i="3"/>
  <c r="H40" i="3" s="1"/>
  <c r="E4" i="3"/>
  <c r="E40" i="3" s="1"/>
  <c r="E39" i="3" s="1"/>
  <c r="G4" i="3"/>
  <c r="G40" i="3" s="1"/>
  <c r="C4" i="3"/>
  <c r="C40" i="3" s="1"/>
  <c r="C39" i="3" s="1"/>
  <c r="I40" i="3" l="1"/>
  <c r="J3" i="3"/>
  <c r="J40" i="3"/>
  <c r="L3" i="3"/>
  <c r="O3" i="3" s="1"/>
  <c r="I4" i="3"/>
  <c r="K4" i="3"/>
  <c r="M4" i="3"/>
  <c r="K40" i="3" l="1"/>
  <c r="H14" i="3" l="1"/>
  <c r="J14" i="3"/>
  <c r="J22" i="3"/>
  <c r="J48" i="3" s="1"/>
  <c r="K48" i="3" s="1"/>
  <c r="C3" i="3"/>
  <c r="C36" i="3" s="1"/>
  <c r="H7" i="3" l="1"/>
  <c r="L17" i="3"/>
  <c r="J13" i="3"/>
  <c r="K14" i="3"/>
  <c r="H13" i="3"/>
  <c r="I14" i="3"/>
  <c r="K22" i="3"/>
  <c r="G7" i="3"/>
  <c r="G43" i="3" s="1"/>
  <c r="E3" i="3"/>
  <c r="M43" i="3" l="1"/>
  <c r="K43" i="3"/>
  <c r="G39" i="3"/>
  <c r="K13" i="3"/>
  <c r="H3" i="3"/>
  <c r="H43" i="3"/>
  <c r="I43" i="3" s="1"/>
  <c r="J12" i="3"/>
  <c r="H12" i="3"/>
  <c r="I12" i="3" s="1"/>
  <c r="I13" i="3"/>
  <c r="L16" i="3"/>
  <c r="L40" i="3" s="1"/>
  <c r="M17" i="3"/>
  <c r="K7" i="3"/>
  <c r="I7" i="3"/>
  <c r="M7" i="3"/>
  <c r="G3" i="3"/>
  <c r="E36" i="3"/>
  <c r="L39" i="3" l="1"/>
  <c r="M39" i="3" s="1"/>
  <c r="M40" i="3"/>
  <c r="K12" i="3"/>
  <c r="L12" i="3"/>
  <c r="M16" i="3"/>
  <c r="M3" i="3"/>
  <c r="I3" i="3"/>
  <c r="K3" i="3"/>
  <c r="G36" i="3"/>
  <c r="M12" i="3" l="1"/>
  <c r="L36" i="3"/>
  <c r="M36" i="3" s="1"/>
  <c r="K33" i="3" l="1"/>
  <c r="J42" i="3"/>
  <c r="J30" i="3"/>
  <c r="J39" i="3" l="1"/>
  <c r="K39" i="3" s="1"/>
  <c r="K42" i="3"/>
  <c r="J36" i="3"/>
  <c r="K36" i="3" s="1"/>
  <c r="K30" i="3"/>
  <c r="H33" i="3" l="1"/>
  <c r="H30" i="3" s="1"/>
  <c r="H36" i="3" s="1"/>
  <c r="I36" i="3" s="1"/>
  <c r="H42" i="3" l="1"/>
  <c r="H39" i="3" s="1"/>
  <c r="I39" i="3" s="1"/>
  <c r="I33" i="3"/>
  <c r="I30" i="3"/>
  <c r="I42" i="3" l="1"/>
  <c r="AO158" i="2" l="1"/>
  <c r="AO156" i="2" s="1"/>
  <c r="AK156" i="2"/>
  <c r="AO160" i="2" l="1"/>
  <c r="AO159" i="2" l="1"/>
  <c r="AO163" i="2"/>
  <c r="AO164" i="2"/>
  <c r="AO166" i="2"/>
  <c r="AK165" i="2"/>
  <c r="AK162" i="2" s="1"/>
  <c r="AK267" i="2" s="1"/>
  <c r="AO167" i="2"/>
  <c r="AO165" i="2" l="1"/>
  <c r="AO162" i="2" l="1"/>
  <c r="AO267" i="2" s="1"/>
  <c r="AO170" i="2"/>
  <c r="AO171" i="2"/>
  <c r="AO172" i="2"/>
  <c r="AK169" i="2"/>
  <c r="AK268" i="2" s="1"/>
  <c r="AO174" i="2"/>
  <c r="AO180" i="2"/>
  <c r="AK179" i="2"/>
  <c r="AO181" i="2"/>
  <c r="AO169" i="2" l="1"/>
  <c r="AO179" i="2"/>
  <c r="AO182" i="2"/>
  <c r="AO185" i="2" l="1"/>
  <c r="AK190" i="2"/>
  <c r="AO192" i="2"/>
  <c r="AO190" i="2" l="1"/>
  <c r="AO193" i="2"/>
  <c r="AK187" i="2"/>
  <c r="AO194" i="2"/>
  <c r="AO187" i="2" l="1"/>
  <c r="AK196" i="2"/>
  <c r="AO198" i="2"/>
  <c r="AO199" i="2"/>
  <c r="AO200" i="2"/>
  <c r="AO202" i="2"/>
  <c r="AK201" i="2"/>
  <c r="AO196" i="2" l="1"/>
  <c r="AK195" i="2"/>
  <c r="AK186" i="2" s="1"/>
  <c r="AO203" i="2"/>
  <c r="AO201" i="2" l="1"/>
  <c r="AO195" i="2" l="1"/>
  <c r="AO207" i="2"/>
  <c r="AO208" i="2"/>
  <c r="AO209" i="2"/>
  <c r="AO210" i="2"/>
  <c r="AK212" i="2"/>
  <c r="AO213" i="2"/>
  <c r="AO216" i="2"/>
  <c r="AO217" i="2"/>
  <c r="AO218" i="2"/>
  <c r="AO220" i="2"/>
  <c r="AK219" i="2"/>
  <c r="AK215" i="2" s="1"/>
  <c r="AO221" i="2"/>
  <c r="AO215" i="2" l="1"/>
  <c r="AO186" i="2"/>
  <c r="AO212" i="2"/>
  <c r="AO219" i="2"/>
  <c r="AO224" i="2"/>
  <c r="AO225" i="2"/>
  <c r="AK223" i="2"/>
  <c r="AK222" i="2" s="1"/>
  <c r="AO223" i="2"/>
  <c r="AO226" i="2"/>
  <c r="AO227" i="2"/>
  <c r="AO229" i="2"/>
  <c r="AO230" i="2"/>
  <c r="AK228" i="2"/>
  <c r="AO231" i="2"/>
  <c r="AO228" i="2"/>
  <c r="AO233" i="2"/>
  <c r="AK232" i="2"/>
  <c r="AO234" i="2"/>
  <c r="AO239" i="2"/>
  <c r="AO240" i="2"/>
  <c r="AK238" i="2"/>
  <c r="AO241" i="2"/>
  <c r="AO232" i="2" l="1"/>
  <c r="AK214" i="2"/>
  <c r="AO222" i="2"/>
  <c r="AO238" i="2"/>
  <c r="AK236" i="2"/>
  <c r="AO242" i="2"/>
  <c r="AO214" i="2" l="1"/>
  <c r="AO236" i="2"/>
  <c r="AK245" i="2"/>
  <c r="AK266" i="2" s="1"/>
  <c r="AO247" i="2"/>
  <c r="AO245" i="2" l="1"/>
  <c r="AO266" i="2" s="1"/>
  <c r="AO248" i="2"/>
  <c r="AO249" i="2"/>
  <c r="AK244" i="2"/>
  <c r="AK235" i="2" s="1"/>
  <c r="AO250" i="2"/>
  <c r="AO244" i="2" l="1"/>
  <c r="AK252" i="2"/>
  <c r="AK251" i="2" s="1"/>
  <c r="AO254" i="2"/>
  <c r="AO252" i="2" l="1"/>
  <c r="AO235" i="2"/>
  <c r="AO251" i="2" l="1"/>
  <c r="AO259" i="2"/>
  <c r="AU259" i="2"/>
  <c r="AO262" i="2"/>
  <c r="AU262" i="2"/>
  <c r="AO206" i="2"/>
  <c r="AO175" i="2" l="1"/>
  <c r="AO268" i="2" s="1"/>
  <c r="AO177" i="2"/>
  <c r="AK168" i="2"/>
  <c r="AO168" i="2" l="1"/>
  <c r="AO211" i="2"/>
  <c r="AO270" i="2" s="1"/>
  <c r="AK211" i="2"/>
  <c r="AK270" i="2" s="1"/>
  <c r="AK205" i="2" l="1"/>
  <c r="AK204" i="2" s="1"/>
  <c r="AK269" i="2" s="1"/>
  <c r="AO205" i="2"/>
  <c r="AO261" i="2"/>
  <c r="AK261" i="2"/>
  <c r="AK154" i="2" l="1"/>
  <c r="AK11" i="2" s="1"/>
  <c r="AO204" i="2"/>
  <c r="AO269" i="2" s="1"/>
  <c r="AU261" i="2"/>
  <c r="AU154" i="2" s="1"/>
  <c r="AO154" i="2" l="1"/>
  <c r="AO11" i="2" s="1"/>
  <c r="AU11" i="2"/>
  <c r="AU7" i="2" s="1"/>
  <c r="AU152" i="2"/>
  <c r="AU15" i="2" s="1"/>
  <c r="AO260" i="2"/>
  <c r="AK260" i="2"/>
  <c r="AU260" i="2" l="1"/>
  <c r="AO258" i="2"/>
  <c r="AK258" i="2"/>
  <c r="AO257" i="2" l="1"/>
  <c r="AK257" i="2"/>
  <c r="AO184" i="2"/>
  <c r="AK183" i="2"/>
  <c r="AK178" i="2" s="1"/>
  <c r="AK271" i="2" s="1"/>
  <c r="AK155" i="2" l="1"/>
  <c r="AK152" i="2" s="1"/>
  <c r="AK15" i="2" s="1"/>
  <c r="AK272" i="2"/>
  <c r="AO183" i="2"/>
  <c r="AK153" i="2" l="1"/>
  <c r="AK10" i="2" s="1"/>
  <c r="AK7" i="2" s="1"/>
  <c r="AO178" i="2"/>
  <c r="AO155" i="2" l="1"/>
  <c r="AO153" i="2" s="1"/>
  <c r="AO152" i="2" s="1"/>
  <c r="AO15" i="2" s="1"/>
  <c r="AO271" i="2"/>
  <c r="AO272" i="2" s="1"/>
  <c r="AO10" i="2" l="1"/>
  <c r="AO7" i="2" s="1"/>
  <c r="Y154" i="2"/>
  <c r="Y152" i="2"/>
  <c r="Y11" i="2"/>
  <c r="X7" i="2"/>
  <c r="Y7" i="2"/>
  <c r="X154" i="2"/>
  <c r="X11" i="2"/>
  <c r="X235" i="2"/>
  <c r="X152" i="2"/>
  <c r="X15" i="2"/>
  <c r="Y15" i="2"/>
  <c r="X244" i="2"/>
  <c r="X245" i="2"/>
  <c r="X246" i="2"/>
  <c r="Y246" i="2"/>
  <c r="Y245" i="2"/>
  <c r="Y244" i="2"/>
  <c r="Y235" i="2"/>
</calcChain>
</file>

<file path=xl/comments1.xml><?xml version="1.0" encoding="utf-8"?>
<comments xmlns="http://schemas.openxmlformats.org/spreadsheetml/2006/main">
  <authors>
    <author>es-pelse</author>
  </authors>
  <commentList>
    <comment ref="F127" author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List>
</comments>
</file>

<file path=xl/comments2.xml><?xml version="1.0" encoding="utf-8"?>
<comments xmlns="http://schemas.openxmlformats.org/spreadsheetml/2006/main">
  <authors>
    <author>Edmunds Pieķis</author>
    <author>Gatis Meļņiks</author>
  </authors>
  <commentList>
    <comment ref="G11" authorId="0">
      <text>
        <r>
          <rPr>
            <b/>
            <sz val="9"/>
            <color indexed="81"/>
            <rFont val="Tahoma"/>
            <family val="2"/>
            <charset val="186"/>
          </rPr>
          <t xml:space="preserve">MK 2012.gada 27.jūnija rīkojums Nr.281  </t>
        </r>
      </text>
    </comment>
    <comment ref="K11" authorId="0">
      <text>
        <r>
          <rPr>
            <sz val="14"/>
            <color indexed="81"/>
            <rFont val="Tahoma"/>
            <family val="2"/>
            <charset val="186"/>
          </rPr>
          <t>MK sēdes prot.Nr.25, 26.§;
MK 2012.gada 15.maija sēdes prot. Nr.27, 31.§;
MK 2012.gada 5.jūnija sēdes prot. Nr.32, 14.§;
MK 2012.gada 12.jūnija sēdes prot. Nr.33, 61.§;
MK 2012.gada 27.jūnija rīkojums Nr.281 (MK 29.05.2012. (Latgales Rīcības plāns 2012-2013.g.))
MK 2012.gada 2.oktobra sēdes prot. Nr.54, 37.§
MK 2012.gada 16.oktobra sēdes prot. Nr.58, 29.§</t>
        </r>
      </text>
    </comment>
    <comment ref="V148" authorId="1">
      <text>
        <r>
          <rPr>
            <b/>
            <sz val="9"/>
            <color indexed="81"/>
            <rFont val="Tahoma"/>
            <family val="2"/>
            <charset val="186"/>
          </rPr>
          <t>Gatis Meļņiks:</t>
        </r>
        <r>
          <rPr>
            <sz val="9"/>
            <color indexed="81"/>
            <rFont val="Tahoma"/>
            <family val="2"/>
            <charset val="186"/>
          </rPr>
          <t xml:space="preserve">
Apakšaktivitātes 1.4.1.1.2. "Atbalstītās nodarbinātības pasākumi mērķgrupu bezdarbniekiem" noslēgto līgumu un veikto maksājumu apjoms samazināts no 932 985 LVL uz 930 710 LVL, atbilstoši apakšaktivitātes ieviešanu regulējošo Ministru kabineta noteikumos noteiktajam virssaistību apmēram (mazāks par 2 275 LVL - kopš 08.05.2012 konstatēto neatbilstoši veikto izmaksu summa).</t>
        </r>
      </text>
    </comment>
  </commentList>
</comments>
</file>

<file path=xl/sharedStrings.xml><?xml version="1.0" encoding="utf-8"?>
<sst xmlns="http://schemas.openxmlformats.org/spreadsheetml/2006/main" count="2223" uniqueCount="772">
  <si>
    <t>ESF</t>
  </si>
  <si>
    <t>-</t>
  </si>
  <si>
    <t>1.1.</t>
  </si>
  <si>
    <t>1.1.1.</t>
  </si>
  <si>
    <t>1.1.1.1.</t>
  </si>
  <si>
    <t>IZM</t>
  </si>
  <si>
    <t>1.1.1.3.</t>
  </si>
  <si>
    <t>1.1.2.</t>
  </si>
  <si>
    <t>1.1.2.1.</t>
  </si>
  <si>
    <t>1.1.2.2.</t>
  </si>
  <si>
    <t>1.1.2.2.1.</t>
  </si>
  <si>
    <t>1.1.2.2.2.</t>
  </si>
  <si>
    <t>1.2.</t>
  </si>
  <si>
    <t>1.2.1.</t>
  </si>
  <si>
    <t>1.2.1.1.</t>
  </si>
  <si>
    <t>1.2.1.2.</t>
  </si>
  <si>
    <t>1.2.2.</t>
  </si>
  <si>
    <t>1.2.2.1.</t>
  </si>
  <si>
    <t>1.2.2.1.1.</t>
  </si>
  <si>
    <t>1.2.2.1.2.</t>
  </si>
  <si>
    <t>1.2.2.1.3.</t>
  </si>
  <si>
    <t>1.2.2.1.5</t>
  </si>
  <si>
    <t>1.2.2.2.</t>
  </si>
  <si>
    <t>1.2.2.2.1.</t>
  </si>
  <si>
    <t>1.2.2.2.2.</t>
  </si>
  <si>
    <t>1.2.2.3.</t>
  </si>
  <si>
    <t>1.2.2.3.1.</t>
  </si>
  <si>
    <t>1.2.2.3.2.</t>
  </si>
  <si>
    <t>1.2.2.4.</t>
  </si>
  <si>
    <t>1.2.2.4.1.</t>
  </si>
  <si>
    <t>1.3.1.</t>
  </si>
  <si>
    <t>1.3.1.1.</t>
  </si>
  <si>
    <t>1.3.1.2.</t>
  </si>
  <si>
    <t>1.3.1.3.</t>
  </si>
  <si>
    <t>1.3.1.6.</t>
  </si>
  <si>
    <t>1.3.1.7.</t>
  </si>
  <si>
    <t>1.3.1.8.</t>
  </si>
  <si>
    <t>1.3.2.</t>
  </si>
  <si>
    <t>1.3.2.1.</t>
  </si>
  <si>
    <t>1.3.2.2.</t>
  </si>
  <si>
    <t>1.3.2.3.</t>
  </si>
  <si>
    <t>1.4.</t>
  </si>
  <si>
    <t>1.4.1.</t>
  </si>
  <si>
    <t>1.4.1.1.</t>
  </si>
  <si>
    <t>1.4.1.2.</t>
  </si>
  <si>
    <t>1.4.1.2.2.</t>
  </si>
  <si>
    <t>1.5.</t>
  </si>
  <si>
    <t>1.5.1.</t>
  </si>
  <si>
    <t>1.5.1.1.</t>
  </si>
  <si>
    <t>1.5.1.1.1.</t>
  </si>
  <si>
    <t>1.5.1.1.2.</t>
  </si>
  <si>
    <t>1.5.1.2.</t>
  </si>
  <si>
    <t>1.5.1.3.</t>
  </si>
  <si>
    <t>1.5.2.</t>
  </si>
  <si>
    <t>1.5.2.2.</t>
  </si>
  <si>
    <t>1.5.3.</t>
  </si>
  <si>
    <t>ERAF</t>
  </si>
  <si>
    <t>2.1.1.</t>
  </si>
  <si>
    <t>2.1.1.3.</t>
  </si>
  <si>
    <t>2.1.1.3.1.</t>
  </si>
  <si>
    <t>2.1.1.3.2.</t>
  </si>
  <si>
    <t>2.1.2.</t>
  </si>
  <si>
    <t>2.1.2.1.</t>
  </si>
  <si>
    <t>2.1.2.1.3.</t>
  </si>
  <si>
    <t>2.1.2.2.</t>
  </si>
  <si>
    <t>2.1.2.3.</t>
  </si>
  <si>
    <t>2.2.</t>
  </si>
  <si>
    <t>2.2.1.</t>
  </si>
  <si>
    <t>2.2.1.1.</t>
  </si>
  <si>
    <t>2.2.1.2.</t>
  </si>
  <si>
    <t>2.2.1.2.1.</t>
  </si>
  <si>
    <t>2.2.1.2.2.</t>
  </si>
  <si>
    <t>2.3.</t>
  </si>
  <si>
    <t>2.3.1.</t>
  </si>
  <si>
    <t>2.3.1.1.2.</t>
  </si>
  <si>
    <t>2.3.1.2.</t>
  </si>
  <si>
    <t>2.3.2.</t>
  </si>
  <si>
    <t>2.3.2.1.</t>
  </si>
  <si>
    <t>2.3.2.3.</t>
  </si>
  <si>
    <t>3.</t>
  </si>
  <si>
    <t>3.1.</t>
  </si>
  <si>
    <t>3.1.1.</t>
  </si>
  <si>
    <t>3.1.1.2.</t>
  </si>
  <si>
    <t>3.1.2.</t>
  </si>
  <si>
    <t>3.1.2.1.1.</t>
  </si>
  <si>
    <t>3.1.2.1.2.</t>
  </si>
  <si>
    <t>3.1.3.</t>
  </si>
  <si>
    <t>3.1.3.2.</t>
  </si>
  <si>
    <t>3.1.3.3.</t>
  </si>
  <si>
    <t>3.1.4.</t>
  </si>
  <si>
    <t>3.1.4.1.</t>
  </si>
  <si>
    <t>3.1.4.1.1.</t>
  </si>
  <si>
    <t>3.1.4.1.2.</t>
  </si>
  <si>
    <t>3.1.4.1.3.</t>
  </si>
  <si>
    <t>3.1.4.1.4.</t>
  </si>
  <si>
    <t>3.1.5.</t>
  </si>
  <si>
    <t>3.1.5.1.</t>
  </si>
  <si>
    <t>3.1.5.3.</t>
  </si>
  <si>
    <t>3.2.</t>
  </si>
  <si>
    <t>3.2.1.</t>
  </si>
  <si>
    <t>3.2.1.3.2.</t>
  </si>
  <si>
    <t>3.2.1.5.</t>
  </si>
  <si>
    <t>3.2.2.</t>
  </si>
  <si>
    <t>3.2.2.1.</t>
  </si>
  <si>
    <t>3.2.2.2.</t>
  </si>
  <si>
    <t>3.2.2.3.</t>
  </si>
  <si>
    <t>3.2.2.4.</t>
  </si>
  <si>
    <t>3.2.2.4.1.</t>
  </si>
  <si>
    <t>3.2.2.4.2.</t>
  </si>
  <si>
    <t>3.3.</t>
  </si>
  <si>
    <t>3.3.1.</t>
  </si>
  <si>
    <t>3.3.1.2.</t>
  </si>
  <si>
    <t>3.3.1.4.</t>
  </si>
  <si>
    <t>3.3.2.</t>
  </si>
  <si>
    <t>3.3.2.1.</t>
  </si>
  <si>
    <t>3.4.</t>
  </si>
  <si>
    <t>3.4.1.</t>
  </si>
  <si>
    <t>3.4.1.3.</t>
  </si>
  <si>
    <t>3.4.1.4.</t>
  </si>
  <si>
    <t>3.4.1.5.</t>
  </si>
  <si>
    <t>3.4.1.5.1.</t>
  </si>
  <si>
    <t>3.4.1.5.2.</t>
  </si>
  <si>
    <t>3.4.2.</t>
  </si>
  <si>
    <t>3.4.2.1.</t>
  </si>
  <si>
    <t>3.4.2.1.3.</t>
  </si>
  <si>
    <t>3.4.2.2.</t>
  </si>
  <si>
    <t>3.4.3.</t>
  </si>
  <si>
    <t>3.4.3.1.</t>
  </si>
  <si>
    <t>3.4.4.</t>
  </si>
  <si>
    <t>3.5.</t>
  </si>
  <si>
    <t>3.5.1.</t>
  </si>
  <si>
    <t>3.5.1.2.</t>
  </si>
  <si>
    <t>3.5.2.</t>
  </si>
  <si>
    <t>3.5.2.3.</t>
  </si>
  <si>
    <t>3.5.2.4.</t>
  </si>
  <si>
    <t>3.6.</t>
  </si>
  <si>
    <t>3.6.1.</t>
  </si>
  <si>
    <t>3.6.1.2.</t>
  </si>
  <si>
    <t xml:space="preserve"> -</t>
  </si>
  <si>
    <t>3.6.2.</t>
  </si>
  <si>
    <t>3.6.2.1.</t>
  </si>
  <si>
    <t xml:space="preserve"> - </t>
  </si>
  <si>
    <t>2.1.2.3.1.</t>
  </si>
  <si>
    <t>Apstiprinātie projekti 
(ES fondu fin.), LVL / Approved projects (EU funding), LVL</t>
  </si>
  <si>
    <t>Apstiprinātie projekti , % no ES fondu fin., % / Approved projects (EU funding), % of EU funding, %</t>
  </si>
  <si>
    <t>Noslēgtie līgumi (ES fondu fin.), 
LVL / Contracted 
(EU funding), 
LVL</t>
  </si>
  <si>
    <t>Noslēgtie līgumi , % no ES fondu fin., % / Contracted, % of EU funding, %</t>
  </si>
  <si>
    <t>Izmaksāts  finansējuma saņēmējam, % no ES fondu fin., % / Payments to final beneficiaries, % of EU funding, 
%</t>
  </si>
  <si>
    <t>ERAF/KF / ERDF/CF</t>
  </si>
  <si>
    <t>5a</t>
  </si>
  <si>
    <t>5b</t>
  </si>
  <si>
    <t>ES fonda finansējums atbilstoši EK apstiprinātajai DP, EUR</t>
  </si>
  <si>
    <t>ES fonda finansējums atbilstoši MK apstiprinātajam DPP, EUR</t>
  </si>
  <si>
    <t>ES fonda finansējums atbilstoši konceptuāli apst. MK p/l'iem, LVL2 / EU funding 2 , EUR</t>
  </si>
  <si>
    <t>3.3.1.6.</t>
  </si>
  <si>
    <t>EM</t>
  </si>
  <si>
    <t>LM</t>
  </si>
  <si>
    <t>FM</t>
  </si>
  <si>
    <t>Fonds/ Ministrija</t>
  </si>
  <si>
    <t>VK</t>
  </si>
  <si>
    <t>VesM</t>
  </si>
  <si>
    <t>EM 2DP</t>
  </si>
  <si>
    <t>EM 3DP</t>
  </si>
  <si>
    <t xml:space="preserve"> IZM</t>
  </si>
  <si>
    <t>IZM 2DP</t>
  </si>
  <si>
    <t>IZM 3DP</t>
  </si>
  <si>
    <t>FM 2DP</t>
  </si>
  <si>
    <t>FM 3DP</t>
  </si>
  <si>
    <t>SM</t>
  </si>
  <si>
    <t>VidM</t>
  </si>
  <si>
    <t>KM</t>
  </si>
  <si>
    <t>KF</t>
  </si>
  <si>
    <t>Kopā</t>
  </si>
  <si>
    <r>
      <t>ES fonda finansējums atbilstoši konceptuāli apst. MK p/l, LVL</t>
    </r>
    <r>
      <rPr>
        <b/>
        <vertAlign val="superscript"/>
        <sz val="10"/>
        <rFont val="Times New Roman"/>
        <family val="1"/>
        <charset val="204"/>
      </rPr>
      <t xml:space="preserve">2 / </t>
    </r>
    <r>
      <rPr>
        <b/>
        <sz val="10"/>
        <rFont val="Times New Roman"/>
        <family val="1"/>
        <charset val="204"/>
      </rPr>
      <t xml:space="preserve">EU funding according to decisions of Cabinet of Ministers </t>
    </r>
    <r>
      <rPr>
        <b/>
        <vertAlign val="superscript"/>
        <sz val="10"/>
        <rFont val="Times New Roman"/>
        <family val="1"/>
        <charset val="204"/>
      </rPr>
      <t xml:space="preserve">2 </t>
    </r>
    <r>
      <rPr>
        <b/>
        <sz val="10"/>
        <rFont val="Times New Roman"/>
        <family val="1"/>
        <charset val="204"/>
      </rPr>
      <t>, LVL</t>
    </r>
  </si>
  <si>
    <r>
      <t xml:space="preserve">ES fonda finansējums </t>
    </r>
    <r>
      <rPr>
        <b/>
        <sz val="10"/>
        <color rgb="FFFF0000"/>
        <rFont val="Times New Roman"/>
        <family val="1"/>
        <charset val="204"/>
      </rPr>
      <t>atbilstoši EK apstiprinātajai DP</t>
    </r>
    <r>
      <rPr>
        <b/>
        <sz val="10"/>
        <rFont val="Times New Roman"/>
        <family val="1"/>
        <charset val="204"/>
      </rPr>
      <t>, LVL</t>
    </r>
  </si>
  <si>
    <t>3.5.2.2.</t>
  </si>
  <si>
    <t>ES fonda finansējums atbilstoši konceptuāli apst. MK p/liem, LVL2 / EU funding 2 , EUR</t>
  </si>
  <si>
    <t>3.3.1.3.</t>
  </si>
  <si>
    <r>
      <t xml:space="preserve">Izmaksāts  finansējuma saņēmējam 
(ES fondu fin.), LVL </t>
    </r>
    <r>
      <rPr>
        <b/>
        <vertAlign val="superscript"/>
        <sz val="13"/>
        <rFont val="Times New Roman"/>
        <family val="1"/>
        <charset val="186"/>
      </rPr>
      <t xml:space="preserve">4 / </t>
    </r>
    <r>
      <rPr>
        <b/>
        <sz val="10"/>
        <rFont val="Times New Roman"/>
        <family val="1"/>
        <charset val="186"/>
      </rPr>
      <t xml:space="preserve">Payments to final beneficiaries 
(EU funding), 
LVL </t>
    </r>
    <r>
      <rPr>
        <b/>
        <vertAlign val="superscript"/>
        <sz val="10"/>
        <rFont val="Times New Roman"/>
        <family val="1"/>
        <charset val="186"/>
      </rPr>
      <t>4</t>
    </r>
  </si>
  <si>
    <r>
      <t xml:space="preserve">ES fonda finansējums </t>
    </r>
    <r>
      <rPr>
        <b/>
        <sz val="10"/>
        <color rgb="FFFF0000"/>
        <rFont val="Times New Roman"/>
        <family val="1"/>
        <charset val="204"/>
      </rPr>
      <t>atbilstoši MK apstiprinātajam DPP</t>
    </r>
    <r>
      <rPr>
        <b/>
        <sz val="10"/>
        <rFont val="Times New Roman"/>
        <family val="1"/>
        <charset val="204"/>
      </rPr>
      <t>, LVL</t>
    </r>
  </si>
  <si>
    <t>1.5.2.2.1.</t>
  </si>
  <si>
    <t>Ministrijas kopā</t>
  </si>
  <si>
    <t>2.1.</t>
  </si>
  <si>
    <t>2.3.1.1.</t>
  </si>
  <si>
    <t xml:space="preserve">2.3.1.1.1. </t>
  </si>
  <si>
    <t>3.5.1.2.2.</t>
  </si>
  <si>
    <t xml:space="preserve">1.1.2.1.1. </t>
  </si>
  <si>
    <t>RAPLM</t>
  </si>
  <si>
    <r>
      <t>VARAM (</t>
    </r>
    <r>
      <rPr>
        <b/>
        <sz val="11"/>
        <color rgb="FFFF0000"/>
        <rFont val="Calibri"/>
        <family val="2"/>
        <charset val="186"/>
        <scheme val="minor"/>
      </rPr>
      <t>VidM + RAPLM</t>
    </r>
    <r>
      <rPr>
        <b/>
        <sz val="11"/>
        <color theme="1"/>
        <rFont val="Calibri"/>
        <family val="2"/>
        <scheme val="minor"/>
      </rPr>
      <t>)</t>
    </r>
  </si>
  <si>
    <t>VARAM (VidM)</t>
  </si>
  <si>
    <t>VARAM (RAPLM)</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</si>
  <si>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</si>
  <si>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</si>
  <si>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</si>
  <si>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t>2.1.2.1.2.</t>
  </si>
  <si>
    <t>Dzēstie avansi / Discharged advance payments</t>
  </si>
  <si>
    <t>1.3.1.3.2.</t>
  </si>
  <si>
    <r>
      <t xml:space="preserve">ES fonda finansējums </t>
    </r>
    <r>
      <rPr>
        <b/>
        <sz val="13"/>
        <color rgb="FFFF0000"/>
        <rFont val="Times New Roman"/>
        <family val="1"/>
        <charset val="204"/>
      </rPr>
      <t>atbilstoši MK apstiprinātajam DPP</t>
    </r>
    <r>
      <rPr>
        <b/>
        <sz val="13"/>
        <rFont val="Times New Roman"/>
        <family val="1"/>
        <charset val="204"/>
      </rPr>
      <t xml:space="preserve">, LVL  </t>
    </r>
  </si>
  <si>
    <r>
      <t xml:space="preserve">ES fonda finansējums </t>
    </r>
    <r>
      <rPr>
        <b/>
        <sz val="13"/>
        <color rgb="FFFF0000"/>
        <rFont val="Times New Roman"/>
        <family val="1"/>
        <charset val="204"/>
      </rPr>
      <t>atbilstoši EK apstiprinātajai DP</t>
    </r>
    <r>
      <rPr>
        <b/>
        <sz val="13"/>
        <rFont val="Times New Roman"/>
        <family val="1"/>
        <charset val="204"/>
      </rPr>
      <t xml:space="preserve">, LVL   </t>
    </r>
  </si>
  <si>
    <t>2.2.1.4.1.</t>
  </si>
  <si>
    <t>2.2.1.4.2.</t>
  </si>
  <si>
    <t>Atgūtie maksājumi</t>
  </si>
  <si>
    <t>Reāli veiktie maksājumi FS (=kopā veiktie maksājumi - atgūtie maksājumi)</t>
  </si>
  <si>
    <t>3.8.1.</t>
  </si>
  <si>
    <t>3.7.1.</t>
  </si>
  <si>
    <t>2.4.1.</t>
  </si>
  <si>
    <t>1.6.1.</t>
  </si>
  <si>
    <t xml:space="preserve">1.1.2.1.2. </t>
  </si>
  <si>
    <t>3.2.2.1.1.</t>
  </si>
  <si>
    <t>3.1.5.2.</t>
  </si>
  <si>
    <t>3.5.2.1.2.</t>
  </si>
  <si>
    <t>3.1.5.3.1.</t>
  </si>
  <si>
    <t>3.1.5.3.2.</t>
  </si>
  <si>
    <t>3.4.3.3.</t>
  </si>
  <si>
    <t xml:space="preserve">1.3.1.3.1. </t>
  </si>
  <si>
    <t xml:space="preserve">1.3.1.1.5. </t>
  </si>
  <si>
    <t>3.4.4.1.</t>
  </si>
  <si>
    <t>2.1.2.1.1.</t>
  </si>
  <si>
    <t>2.1.2.2.4.</t>
  </si>
  <si>
    <t>3.5.2.1.</t>
  </si>
  <si>
    <t>1.3.1.1.1.</t>
  </si>
  <si>
    <t xml:space="preserve">1.3.1.1.6. </t>
  </si>
  <si>
    <t xml:space="preserve">1.4.1.2.1. </t>
  </si>
  <si>
    <t xml:space="preserve">2.1.1.2. </t>
  </si>
  <si>
    <t xml:space="preserve">2.2.1.4. </t>
  </si>
  <si>
    <t>3.4.2.1.2.</t>
  </si>
  <si>
    <t>3.3.1.1.</t>
  </si>
  <si>
    <t>3.5.2.1.1.</t>
  </si>
  <si>
    <t>1.2.1.2.2.</t>
  </si>
  <si>
    <t>3.2.1.1.</t>
  </si>
  <si>
    <t>3.3.1.5.</t>
  </si>
  <si>
    <t>3.5.1.1.</t>
  </si>
  <si>
    <t>1.5.2.1.*</t>
  </si>
  <si>
    <t>3.1.1.1.</t>
  </si>
  <si>
    <t>3.1.4.1.5.</t>
  </si>
  <si>
    <t>3.5.1.3.</t>
  </si>
  <si>
    <t>1.1.1.2.</t>
  </si>
  <si>
    <t xml:space="preserve">1.3. </t>
  </si>
  <si>
    <t>1.3.1.1.3.</t>
  </si>
  <si>
    <t>1.4.1.1.2.</t>
  </si>
  <si>
    <t>3.4.3.2.</t>
  </si>
  <si>
    <t>3.1.4.4.</t>
  </si>
  <si>
    <t xml:space="preserve">2.1.1.1. </t>
  </si>
  <si>
    <t xml:space="preserve">2.1.2.2.1. </t>
  </si>
  <si>
    <t>EK deklarējamie maksājumi finansējuma saņēmējiem / Payments to final beneficiaries that can be declared to EC</t>
  </si>
  <si>
    <t>3.4.4.2.</t>
  </si>
  <si>
    <t xml:space="preserve">1.2.2.4.2. </t>
  </si>
  <si>
    <t>3.1.3.3.2.</t>
  </si>
  <si>
    <t>3.5.1.2.1.</t>
  </si>
  <si>
    <t>3.1.4.2.</t>
  </si>
  <si>
    <t>1.2.1.1.1.</t>
  </si>
  <si>
    <t>1.3.1.1.4.</t>
  </si>
  <si>
    <t xml:space="preserve">2.1.2.2.3. </t>
  </si>
  <si>
    <t xml:space="preserve">2.2.1.3. </t>
  </si>
  <si>
    <t>3.2.2.1.2.</t>
  </si>
  <si>
    <t xml:space="preserve">1.4.1.2.4. </t>
  </si>
  <si>
    <t>1.5.1.3.2.</t>
  </si>
  <si>
    <t xml:space="preserve">1.5.1.3.1. </t>
  </si>
  <si>
    <t>1.4.1.1.1.</t>
  </si>
  <si>
    <t>1.3.1.9.</t>
  </si>
  <si>
    <t>1.2.1.2.3.</t>
  </si>
  <si>
    <t xml:space="preserve">1.2.1.1.3. </t>
  </si>
  <si>
    <t>3.1.4.3.</t>
  </si>
  <si>
    <t>3.1.5.1.2.</t>
  </si>
  <si>
    <t>3.1.3.3.1.</t>
  </si>
  <si>
    <t>uz/till 29.02.12.</t>
  </si>
  <si>
    <t>3.1.3.1.</t>
  </si>
  <si>
    <t>3.4.2.1.1.</t>
  </si>
  <si>
    <t>1.3.1.5.</t>
  </si>
  <si>
    <t xml:space="preserve">1.5.3.2. </t>
  </si>
  <si>
    <t>1.5.3.1.</t>
  </si>
  <si>
    <t>Prioritātes/Pasākuma/Aktivitātes numurs</t>
  </si>
  <si>
    <t xml:space="preserve">Prioritātes/Pasākuma/ Aktivitātes nosaukums </t>
  </si>
  <si>
    <t xml:space="preserve">Fonds </t>
  </si>
  <si>
    <t>Iesniegtie projekti (ES fondu fin), LVL</t>
  </si>
  <si>
    <t>Iesniegtie projekti (ES fondu fin), % no ES fondu fin.</t>
  </si>
  <si>
    <t>Noraidītie projekti (ES fondu fin.), LVL</t>
  </si>
  <si>
    <t>Noraidītie projekti (ES fondu fin.),  % no ES fondu fin.</t>
  </si>
  <si>
    <t xml:space="preserve">Apstiprinātie projekti 
(ES fondu fin.), LVL </t>
  </si>
  <si>
    <t xml:space="preserve">Noslēgtie līgumi (ES fondu fin.), 
LVL </t>
  </si>
  <si>
    <t>Lauztie/ pārtrauktie līgumi (ES fondu fin.), LVL</t>
  </si>
  <si>
    <t xml:space="preserve">Noslēgtie līgumi , % no ES fondu fin. </t>
  </si>
  <si>
    <t>Lauztie/ pārtrauktie līgumi (ES fondu fin.), % no ES fondu fin.</t>
  </si>
  <si>
    <r>
      <t xml:space="preserve">Izmaksāts  finansējuma saņēmējam 
(ES fondu fin.), LVL </t>
    </r>
    <r>
      <rPr>
        <b/>
        <vertAlign val="superscript"/>
        <sz val="13"/>
        <rFont val="Times New Roman"/>
        <family val="1"/>
        <charset val="186"/>
      </rPr>
      <t xml:space="preserve">4 </t>
    </r>
  </si>
  <si>
    <t>Izmaksāts  finansējuma saņēmējam, % no ES fondu fin.</t>
  </si>
  <si>
    <t>Apstiprinātie projekti , % no ES fondu fin.</t>
  </si>
  <si>
    <t>Neatbilstību kļūdas % pret noslēgtajiem līgumiem</t>
  </si>
  <si>
    <t>DPP noteiktā uzraudzības rādītāja plānotā izpilde, ņemot vērā uzņemtās saistības, % no DPP plāna līdz 2015.g.</t>
  </si>
  <si>
    <t>Vai nepieciešamas virssaistības - Jā / Nē</t>
  </si>
  <si>
    <t xml:space="preserve">1. </t>
  </si>
  <si>
    <t>1.2.1.1.4.</t>
  </si>
  <si>
    <t>1.2.1.2.1.</t>
  </si>
  <si>
    <t>1.3.1.4.</t>
  </si>
  <si>
    <t>1.5.2.2.2.</t>
  </si>
  <si>
    <t>1.5.2.2.3.</t>
  </si>
  <si>
    <t>1.6.</t>
  </si>
  <si>
    <t>1.6.1.1.</t>
  </si>
  <si>
    <t xml:space="preserve">2. </t>
  </si>
  <si>
    <t xml:space="preserve">2.1.2.2.2. </t>
  </si>
  <si>
    <t xml:space="preserve">2.1.2.4. </t>
  </si>
  <si>
    <t xml:space="preserve">2.3.2.2. </t>
  </si>
  <si>
    <t>2.4.</t>
  </si>
  <si>
    <t>2.4.1.1.</t>
  </si>
  <si>
    <t>3.1.5.1.1.</t>
  </si>
  <si>
    <t>3.2.1.2.</t>
  </si>
  <si>
    <t>3.2.1.3.</t>
  </si>
  <si>
    <t>3.2.1.3.1.</t>
  </si>
  <si>
    <t>3.2.1.4.</t>
  </si>
  <si>
    <t>3.4.1.1.</t>
  </si>
  <si>
    <t>3.5.1.2.3.</t>
  </si>
  <si>
    <t>3.5.1.4.</t>
  </si>
  <si>
    <t>3.6.1.1.</t>
  </si>
  <si>
    <t>3.7.</t>
  </si>
  <si>
    <t>3.7.1.1.</t>
  </si>
  <si>
    <t>3.8.</t>
  </si>
  <si>
    <t>3.8.1.1.</t>
  </si>
  <si>
    <t xml:space="preserve">Līdz 31.12.2011 ekonomiski aktīvo uzņēmumu, kuri apmācījuši darbiniekus ar ESF atbalstu, īpatsvars %- 0,35%  jeb 88% no plānotā uz 31.12.2013. </t>
  </si>
  <si>
    <t>Iznākuma rādītājs: jaunradītās darba vietas - 250 (2013.g.)</t>
  </si>
  <si>
    <t xml:space="preserve">Līdz 31.12.2011 apmācības uzņēmējdarbības un pašnodarbinātības uzsākšanai saņēmušas 1145 personas jeb 57% no periodā plānotā.
Izsniegti aizdevumi 538 personām.
Piešķirtā aizdevumu summa 6,16 milj. LVL. </t>
  </si>
  <si>
    <t>Līdz 31.12.2011 piesaistīti 3 augstas kvalifikācijas darbinieki jaunradītās darba vietās uzņēmumos, turklāt ņemot vērā, ka projekti ir pabeigti un tālākas atlases kārtas nav plānotas šis rādītājs nepalielināsies.</t>
  </si>
  <si>
    <t>Izveidoti 6 kompetences centri. (31.12.2011.)</t>
  </si>
  <si>
    <t>Pabeigti 4 projekti ar augstu pievienoto vērtību, 20 projekti tiek īstenoti (31.12.2011.)</t>
  </si>
  <si>
    <t>5 riska kapitāla finansējumu saņēmušie MVK; 21 uzņēmumi, kas saņēmuši atbalstu garantijas vai paaugstināta riska aizdevumus;  MVK ieguldītā riska kapitāla finansējuma apjoms ir 6 500 000 EUR
Jaunradītie komersanti augsto un vidējo tehnoloģiju nozarēs - 7
(31.12.2011)</t>
  </si>
  <si>
    <t>22 komersanti, kas saņēmuši īstermiņa eksporta garantijas; 155 uzņēmumi, kas saņēmuši atbalstu garantijas vai paaugstināta riska aizdevumus (31.12.2011)</t>
  </si>
  <si>
    <t>34 uzņēmumi, kas saņēmuši atbalstu garantijas vai paaugstināta riska aizdevumus (31.12..2011)</t>
  </si>
  <si>
    <t>Projektu īstenošanai izmanto Finansējuma saņēmēja pamatkapitālā sākotnēji 2.2.1.3.aktivitātes „Garantijas komersantu konkurētspējas uzlabošanai” īstenošanai piešķirto finansējumu 17 738 557 (septiņpadsmit miljoni septiņi simti trīsdesmit astoņi tūkstoši pieci simti piecdesmit septiņu) latu apmērā, t.sk., ERAF finansējumu 10 671 891 latu apmērā un valsts budžeta finansējumu 7 066 666 latu apmērā atbilstoši darbības programmas „Uzņēmējdarbība un inovācijas” papildinājumā (MK 05.07.2011. rīk. Nr.296 (LV.,6.jūlijs nr.103)) noteiktajam..</t>
  </si>
  <si>
    <t>566 uz ārējo tirgu apgūšanu vērsti atbalstītie projekti (31.12.2011)</t>
  </si>
  <si>
    <t xml:space="preserve">Atbalstīti 2 finansējuma saņēmēji (aģentūras) nozaru konkurētspējas stiprināšanai </t>
  </si>
  <si>
    <t>12116 motivācijas programmās iesaistītas personas</t>
  </si>
  <si>
    <t xml:space="preserve">421 ekonomiski aktīvie uzņēmumi, kas saņēmuši atbalstu biznesa inkubatoros; Izveidoti 10 biznesa inkubatori, klasteru; Attīstīto inkubatoru platība ir 25 520,57 m2 (31.12.2011)
</t>
  </si>
  <si>
    <t>Apgrozījuma pieaugums atbalstītajos uzņēmumos divus gadus pēc investīcijas saņemšanas – 94,97%; 76 atbalstu saņēmušie mikro un mazie komersanti ĪAT; 16 atbalstu saņēmušie vidējie komersanti ĪAT
(31.12.2011)</t>
  </si>
  <si>
    <r>
      <rPr>
        <b/>
        <sz val="12"/>
        <color indexed="8"/>
        <rFont val="Times New Roman"/>
        <family val="1"/>
        <charset val="186"/>
      </rPr>
      <t xml:space="preserve">Sasniedzamie rezultāti: </t>
    </r>
    <r>
      <rPr>
        <sz val="12"/>
        <color indexed="8"/>
        <rFont val="Times New Roman"/>
        <family val="1"/>
        <charset val="186"/>
      </rPr>
      <t xml:space="preserve">2011.gadā  izveidoti jauni, labiekārtoti veloceliņi 13,6km , 2013.gadā - 47 km. </t>
    </r>
    <r>
      <rPr>
        <b/>
        <sz val="12"/>
        <color indexed="8"/>
        <rFont val="Times New Roman"/>
        <family val="1"/>
        <charset val="186"/>
      </rPr>
      <t>Sasniegtie rezultāti:</t>
    </r>
    <r>
      <rPr>
        <sz val="12"/>
        <color indexed="8"/>
        <rFont val="Times New Roman"/>
        <family val="1"/>
        <charset val="186"/>
      </rPr>
      <t xml:space="preserve">Izveidoti jauni, labiekārtoti veloceliņi 13,6km, kas ir 100% no 2011. gadā plānojamās </t>
    </r>
    <r>
      <rPr>
        <i/>
        <sz val="12"/>
        <color indexed="8"/>
        <rFont val="Times New Roman"/>
        <family val="1"/>
        <charset val="186"/>
      </rPr>
      <t>sasniegtās</t>
    </r>
    <r>
      <rPr>
        <sz val="12"/>
        <color indexed="8"/>
        <rFont val="Times New Roman"/>
        <family val="1"/>
        <charset val="186"/>
      </rPr>
      <t xml:space="preserve"> vērtības un 27,8% no plānotās sasniedzamās vērtības 2013.gadā. Turpinās 7 projektu īstenošana.</t>
    </r>
  </si>
  <si>
    <r>
      <rPr>
        <b/>
        <sz val="12"/>
        <rFont val="Times New Roman"/>
        <family val="1"/>
        <charset val="186"/>
      </rPr>
      <t>Sasniedzamie rezultāti:</t>
    </r>
    <r>
      <rPr>
        <sz val="12"/>
        <rFont val="Times New Roman"/>
        <family val="1"/>
        <charset val="186"/>
      </rPr>
      <t xml:space="preserve"> Ieviesti energoefektivitātes pasākumi 2011.gadā 77 daudzdzīvokļu mājās, 2013.gadā - 477. </t>
    </r>
    <r>
      <rPr>
        <b/>
        <sz val="12"/>
        <rFont val="Times New Roman"/>
        <family val="1"/>
        <charset val="186"/>
      </rPr>
      <t xml:space="preserve">Sasniegtie rezultāti: </t>
    </r>
    <r>
      <rPr>
        <sz val="12"/>
        <rFont val="Times New Roman"/>
        <family val="1"/>
        <charset val="186"/>
      </rPr>
      <t xml:space="preserve">Ieviesti energoefektivitātes pasākumi 56 daudzdzīvokļu mājās, kas ir 72,7%  no 2011.gadā plānojamās sasniegtās vērtības un 46,7% no plānotās sasniedzamās vērtības 2013.gadā. Tturpinās 387 projektu īstenošana. Siltumenerģijas patēriņa samazinājums atbalstītajās daudzdzīvokļu mājās ir 47,68% </t>
    </r>
  </si>
  <si>
    <r>
      <rPr>
        <b/>
        <sz val="12"/>
        <color indexed="8"/>
        <rFont val="Times New Roman"/>
        <family val="1"/>
        <charset val="186"/>
      </rPr>
      <t>Sasniedzamie rezultāti:</t>
    </r>
    <r>
      <rPr>
        <sz val="12"/>
        <color indexed="8"/>
        <rFont val="Times New Roman"/>
        <family val="1"/>
        <charset val="186"/>
      </rPr>
      <t xml:space="preserve"> Izveidotas energoefektīvas sociālās mājas 2011.gadā 19 sociālajās mājās, 2013.gadā - 58. </t>
    </r>
    <r>
      <rPr>
        <b/>
        <sz val="12"/>
        <color indexed="8"/>
        <rFont val="Times New Roman"/>
        <family val="1"/>
        <charset val="186"/>
      </rPr>
      <t xml:space="preserve">Sasniegtie rezultāti: </t>
    </r>
    <r>
      <rPr>
        <sz val="12"/>
        <color indexed="8"/>
        <rFont val="Times New Roman"/>
        <family val="1"/>
        <charset val="186"/>
      </rPr>
      <t xml:space="preserve">2011.gadā izveidotas14 energoefektīvas sociālās mājas, kas ir 73,7%  no 2011. gadā plānojamās sasniegtās vērtības un 19,2% no plānotās sasniedzamās vērtības 2013.gadā. Turpinās 45 projektu īstenošana. Siltumenerģijas patēriņa samazinājums atbalstītajās sociālajās mājās (% no MWh gadā, pabeigtie projekti) ir 100,4% </t>
    </r>
  </si>
  <si>
    <t>Rādītāji nav sasniegti, jo 3.5.2.1.2. apakšaktivitātē notiek projektu atlase (no 01.12.2011. - 01.02.2012)</t>
  </si>
  <si>
    <t xml:space="preserve">Līdz 31.12.2012.  ESF atbalstu ir saņēmuši 552,95 atbilstoši pilna darba laika ekvivalentam nodarbinātie pētnieki jeb t.i., 55,29% no DPP plānotā uz 31.12.2013. (1000). Tas sastāda 6,13% no kopējā zinātnē un pētniecībā nodarbināto skaita jeb 61,3% no DPP plānotā uz 31.12.2013.). </t>
  </si>
  <si>
    <t xml:space="preserve">Līdz 31.12.2011. ESF atbalstu maģistrantūras studijām ir saņēmuši 1028 maģistrantūras studenti  jeb 41,12% no DPP plānotā uz 31.12.2013. (2500). </t>
  </si>
  <si>
    <t xml:space="preserve">Līdz 31.12.2011. ESF atbalstu doktorantūras studijām ir saņēmuši 1393 doktorantūras studenti jeb 87,06% no DPP plānotā uz 31.12.2013. (1600). 
ESF atbalstu studijām doktorantūrā saņēmuši 68% no kopējā doktorantūras studentu skaita, kas ir 85% no DPP plānotā uz 31.12.2013. </t>
  </si>
  <si>
    <t xml:space="preserve">09.05.2011. tika noslēgta vienošanās. Sasniedzamais rādītājs:Izvērtēto studiju programmu skaits augstākajā  izglītībā;                                                    mērķis 2013.gadā - 651. Projekta ietvaros līdz 31.12.2011. no 28 apstiprinātiem augstākās izglītības studiju virzieniem izvērtēti – 8, aptverot 177 studiju programmas, kas ir 27,18% no DPP plānotā. Sasniegtā rādītāja vērtība pārskata periodā norādīta ir 0, jo projekta progresa dokumentācija, kas iesniegta gada nogalē atrodas izskatīšanā.  </t>
  </si>
  <si>
    <t xml:space="preserve">Līdz 01.12.2010. noslēguta vienošanās. Sasniedzamais rādītājs: uzlaboto profesionālās izglītības programmu skaits:                          mērķis 2013.gadā - 55. Līdz 31.12.2011. ir izvērtētas 5 (ķīmiskā rūpniecība, enerģētika, tekstilizstrādājumi, tūrisms un skaistumkopšana) no 12 definētajām tautsaimniecības nozarēm un balstoties uz izvērtējuma rezultātiem tiks izstrādāti vai aktualizēti profesiju standarti, izstrādātas profesionālās izglītības programmas, izmantojot moduļu pieeju, un izstrādātas profesionālās kvalifikācijas eksāmenu satura bāzes, kā arī uzsākta ārpus formālās izglītības iegūto zināšanu, prasmju un kompetenču novērtēšana. </t>
  </si>
  <si>
    <t>Līdz 31.12.2011. 4239 profesionālās izglītības pedagogi ir pilnveidojuši savu kompetenci un kvalifikāciju jeb 80,80% no DPP plānotā uz 31.12.2013. (5 000). 
Analizējot profesionālās un vispārējās izglītības pedagogu apmācību aktivitāšu (1.2.1.1.2. un 1.2.1.2.3.) rezultātus secināms, ka līdz 31.12.2011. ar ESF atbalstu kvalifikāciju paaugstinājuši 23% no vispārējās un profesionālās izglītības pedagogu kopskaita valstī.</t>
  </si>
  <si>
    <t>Līdz 31.12.2011. viengadīgajās un pusotrgadīgajās grupās profesionālo kvalifikāciju ieguva 682 izglītojamie jeb apmēram 79% no mācības uzsākušajiem 2010. gada oktobrī, kas ir 34,1% no DPP noteiktā uz 2013.gadu. Sasniegtā iznākuma rādītāja vērtība pārskata periodā uzrādīta 0, jo projekta progresa dokumentācija, kas iesniegta 2012.gada janvārī atrodas izskatīšanā. 
Sasniedzamais rezultāta rādītājs 1.2.1.1.1. un 1.2.1.1.3.aktivitātēs: izglītojamo, kas apgūst uzlabotās profesionālās izglītības programmas, īpatsvars pret izglītojamo skaitu profesionālajā izglītībā mērķis  2013.gadā – 50 %. Rādītāju progress būs vērojams nākamajos pārskata periodos.</t>
  </si>
  <si>
    <t>Līdz 31.12.2011. mēķstipendijas ir piešķirtas 48 960 sākotnējā profesionālajā izglītībā studējošiem jauniešiem jeb 122,40% no DPP plānotā uz 31.12.2013. (40 000) un 78,8% no kopējā profesionālajā izglītībā izglītojamo skaita valstī ESF projekta īstenošanas laikā.</t>
  </si>
  <si>
    <t xml:space="preserve">Līdz 31.12.2011. ir uzlabotas 9 vispārējās izglītības programmas jeb 25% no DPP plānotā uz 31.12.2013. (4); uzlabotās vispārējās izglītības programmās tiek apmācītas 10,31% no kopējā izglītojamo skaita 7-12 klasē valstī.
Analizējot 1.2.1.1.1. un 1.2.1.2.1.aktivitāšu rezultātus, secināms, ka vispārējās izglītības un profesionālās izglītības iestāžu, kuras īsteno uzlabotās programmas īpatsvars pret kopējo vispārējās un profesionālās izglītības iestāžu skaituir sasniedzis 23%. </t>
  </si>
  <si>
    <t>Līdz 31.12.2011. mērķstipendijas ir saņēmuši 4262 pedagogi jeb 106,55% no DPP plānotā uz 31.12.2013. (4000).</t>
  </si>
  <si>
    <t xml:space="preserve">Līdz 31.12.2011. savu kompetenci paaugstinājuši un prasmes atjaunojuši 2437 pedagogi jeb 12,19% no DPP plānotā uz 31.12.2013. (20 000). </t>
  </si>
  <si>
    <t xml:space="preserve">Līdz 31.12.2011. apakšaktivitātē īstenotā projekta aktivitātēs kursus pabeiguši 28 226 pedagogi jeb 100,81% no DPP plānotā uz 31.12.2013. (28000).            </t>
  </si>
  <si>
    <t>11.05.2011.noslēgts līgums par atbalstu izglītības pētījumiem.  Iznākuma rādītāja "Starptautisko pētījumu virzienu izglītības politikas izstrādei, rīcībpolitikas ieviešanas un ietekmes izvērtēšanas skaits" mērķi (2013.gadā - 3) plānots sasniegt nākamajos pārskata periodos.</t>
  </si>
  <si>
    <t>Iznākuma rādītāju  "Izveidoti pašvaldību iekļaujošās izglītības atbalsta centri" (mērķis 2013.gaedam - 8 ) plānots sasniegt nākamajos pārskata periodos.</t>
  </si>
  <si>
    <t xml:space="preserve">Līdz 31.12.2011. 6864 sociālās atstumtības riska grupu izglītojamie ir saņēmuši ESF atbalstu mācībām jeb 68,64% no DPP noteiktā uz 31.12.2013. (10 000). </t>
  </si>
  <si>
    <t>Līdz 31.12.2011. apakšaktivitātē tiek īstenoti 20 projekti (iznākuma rādītājs), kuru ietvaros pārskata periodā ir iesniegti 76 starptautiskās sadarbības projektu pieteikumi, tai skaitā apstiprināti - 17.</t>
  </si>
  <si>
    <t xml:space="preserve">Sasniedzamie rādītāji: 35 modernizētu zinātnisko institūciju skaits 2013.gadā. Rādītājs netiks sasniegts atbilstoši DPP plānotajam, ņemot vērā apakšaktivitātes ieviešanas veida pārskatīšanu un sadalīšanu divās kārtās, kā arī Zinātnisko institūciju apvienošanu 9 Valsts nozīmes pētniecības centros, tādējādi nodrošinot resursu koncentrāciju un infrastruktūras nesadrumstalotību. Apakšaktivitātes ietvaros kopumā tiks modernizētas 27 zinātniskās institūcijas. Rādītāja progress būs vērojams projektu noslēgumā. </t>
  </si>
  <si>
    <t xml:space="preserve">Sasniedzamie rādītāji: 1 Latvijas akadēmiskais pamattīkls zinātniskās darbības un pētniecības nodrošināšanai 2013.gadā. Rādītāja progress būs vērojams projekta īstenošanas beigās – 2014.gadā.    </t>
  </si>
  <si>
    <t xml:space="preserve">Sasniedzamie rādītāji: profesionālās izglītības iestāžu skaits, kurās modernizēta infrastruktūra un mācību aprīkojums - 53 līdz plānošanas perioda beigām, ko nebūs iespējams pilnā apjomā sasniegt profesionālo izglītības iestāžu reformas dēļ. </t>
  </si>
  <si>
    <t>Līdz 31.12.2011. uzlabota infrastruktūra 6 augstākās izglītības iestādēs, sasniedzot 19,35% no plānošanas periodā plānotās vētības; 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 - 14,61%, sasniedzot 16,23% no plānošanas periodā plānotās vētības.</t>
  </si>
  <si>
    <t>Aktivitātes īstenošana atlikta.</t>
  </si>
  <si>
    <t>Līdz 31.12.2011. aktivitātes ietvaros nav pabeigto projektu. Aktivitātes ietvaros tiek īstenoti 4 projekti, jo Izglītības iestāžu reformas rezultātā nebūs iespējams sasniegt plānšanas periodā plānoto vērtību - 35 renovētas vispārējās izglītības iestādes.</t>
  </si>
  <si>
    <t>Izglītības iestādēs iegādātas 21 IKT vienība (DPP mērķis 15 883 IKT vienības). 2011.gada 3.ceturksnī noslēdzās centralizētais iepirkums par IKT vienību iegādi un ar 141 skolu tika noslēgts līgums par IKT vienību piegādi, 5 skolām piegāde jau notikusi un 236 skolas veikušas pasūtījumus daļā iekārtu.</t>
  </si>
  <si>
    <t>Nepieciešamo virssaistību %</t>
  </si>
  <si>
    <t>2010.gada 2.pusgadā apakšaktivitātes ietvaros uzsākta divu invaliditātes ekspertīzes institūciju infrastruktūru pilnveidošana Rīgas un Latgales plānošanas reģionos, kuru izpilde plānota 2013.gada 4.ceturksnī</t>
  </si>
  <si>
    <t>Projekta īstenošana apakšaktivitātes ietvaros ir noslēgusies  30.09.2010. Rekonstruētas trīs (3) Sociālās integrācijas valsts aģentūras struktūrvienības, kas nodrošina klientu apmācību un profesionālās kvalifikācijas iegūšanu, sociālās rehabilitācijas pakalpojumu sniegšanu un klientu nodrošināšanu ar dzīvesvietu pakalpojumu sniegšanas laikā. 3DPP noteiktais iznākuma rādītājs ir sasniegts 100 % apmērā.</t>
  </si>
  <si>
    <t xml:space="preserve">Apakšaktivitātes projekta ieviešana noslēgusies 29.12.2011. Veikta divu sociālās rehabilitācijas centru personām ar dzirdes invaliditāti (Rīgā un Liepājā) infrastruktūras izveidošana sociālās rehabilitācijas pakalpojumu saņemšanas iespēju paplašināšanai, pilnveidojot  valsts atbalsta sistēmu - sociālo pakalpojumu daudzveidību, pieejamību un kvalitāti. </t>
  </si>
  <si>
    <t>3DPP noteiktais rādītājs netiks sasniegts, jo saskaņā ar MK 07.04.09. sēdes protokola Nr.23 47.§ nolemts LM atlikt apakšaktivitātes  īstenošanu, izņemot finansējumu no apakšaktivitātes</t>
  </si>
  <si>
    <t>Apakšaktivitātes ietvaros līdz 31.12.2011. ir noslēgusies trīs projektu īstenošana:
- līdz 31.12.2009. apakšaktivitātes 1.kārtas ietvaros izveidota viena ilgstošas sociālās aprūpes institūcijas infrastruktūra Kurzemes reģionā sociālās rehabilitācijas pakalpojumu sniegšanai personām ar garīga rakstura traucējumiem;
-apakšaktivitātes 2. kārtas ietvaros līdz 31.12.2011. rekonstruēta un aprīkota valsts sociālās aprūpes centra "Vidzeme" filiāles "Valka" infrastruktūra un valsts sociālās aprūpes centra „Latgale” filiāles „Litene” infrastruktūra.
Līdz 31.12.2012. tiks turpināta trīs projektu īstenošana, kuru ietvaros rekonstruēta un aprīkota trīs teritoriālo struktūrvienību piecu filiāļu infrastruktūra Rīgas, Kurzemes un Zemgales plānošanas reģionos.  Tiks nodrošināta sociālās aprūpes pakalpojumu pieejamība personām ar garīga rakstura traucējumiem, uzlabojot ilgstošas sociālās aprūpes un sociālās rehabilitācijas pakalpojumu kvalitāti, vides pieejamību personām ar kustību traucējumiem un veicināta kompleksa valsts sociālās aprūpes sistēmas pilnveidošana.</t>
  </si>
  <si>
    <t>Aktivitātes ietvaros pabeigta divu plānoto projektu īstenošana:
- līdz 31.01.2010. VDI projekta ietvaros izveidota moderna uz klientiem vērsta VDI infrastuktūra, kas nodrošina kvalitatīvu un operatīvu pakalpojumu un konsultāciju sniegšanu, tai skaitā izveidota informācijas par darba tirgus institūciju sniegtajiem pakalpojumiem pieejas vieta, VDI iekšējais informatīvais centrs, kas sevī ietver mācību klasi un specializēto bibliotēku
- līdz 24.06.2011. pabeigta NVA projekta īstenošana, kura ietvaros izveidota moderna uz klientiem orientēta NVA struktūrvienību infrastruktūra (Dobele, Bauska, Daugavpils, Jēkabpils, Rīga, NVA pārvaldes 6.stāvs), nodrošinot kvalitatīvu un operatīvu pakalpojumu sniegšanu klientiem un sadarbības partneriem. Projekta ietvaros līdz 31.03.2010. izveidotas 32 pašapkalpošanās stacijas NVA filiālēs.</t>
  </si>
  <si>
    <t xml:space="preserve">Sasniedzamie rezultāti:
Piesaistīto jauno speciālistu skaits plānošanas reģionos, pilsētās un novados  2013.gadā - 240
Plānošanas reģionu un pašvaldību skaits, kuros nodrošināta administratīvās kapacitātes stiprināšana (%) 2013.gadā - 100
Sasniegtie rezultāti:
2011.gada beigās ar  243 speciālistiem faktiski uzsāktas darba attiecības, rādītāju sasniegšana  tiks vērtēta  projektu noslēgumā 2013. gadā.
Ekonomiskā ietekme:
Noteiktu speciālistu trūkums būtiski ietekmē vietējo pašvaldību un plānošanas reģionu administratīvo kapacitāti, veidojot nepilnīgu uzdevumu izpildes kvalitāti. Kvalificētu speciālistu piesaiste vietējā un reģionālā līmenī sekmēs bezdarba mazināšanos darbinieku ar augstāko izglītību vidū.
</t>
  </si>
  <si>
    <t xml:space="preserve">Sasniedzamie rezultāti:
Atbalstīto plānošanas reģionu un novadu pašvaldību skaits, kuros nodrošināta attīstības plānošanas kapacitātes stiprināšana (%) 2013.gadā - 57
Izstrādātie / aktualizētie attīstības plānošanas dokumenti plānošanas reģionos un vietējās pašvaldībās (skaits) 2013.gadā - 110
Sasniegtie rezultāti:
Ir uzsākta aktivitātes īstenošana 72 projektos, rezultatīvie rādītāji 2013.gadā tiks sasniegti.
Ekonomiskā ietekme:
Ar ESF atbalstu tiek uzlabota izstrādāto vietējo un reģionālo attīstības plānošanas dokumentu kvalitāte un attīstības plānošanas dokumentu savstarpējā sasaiste (kā arī sasaiste nacionālajā līmenī definētajām valsts attīstības prioritātēm), sekmēta integrētā skatījuma uz teritoriju attīstību attīstība un iedzīvotāju, komersantu un nevalstisko organizāciju iesaiste savas teritorijas attīstības plānošanā
</t>
  </si>
  <si>
    <r>
      <rPr>
        <b/>
        <sz val="12"/>
        <rFont val="Times New Roman"/>
        <family val="1"/>
        <charset val="186"/>
      </rPr>
      <t xml:space="preserve">Sasniedzamie rezultāti:
</t>
    </r>
    <r>
      <rPr>
        <sz val="12"/>
        <rFont val="Times New Roman"/>
        <family val="1"/>
        <charset val="186"/>
      </rPr>
      <t>1)</t>
    </r>
    <r>
      <rPr>
        <b/>
        <sz val="12"/>
        <rFont val="Times New Roman"/>
        <family val="1"/>
        <charset val="186"/>
      </rPr>
      <t xml:space="preserve"> </t>
    </r>
    <r>
      <rPr>
        <sz val="12"/>
        <rFont val="Times New Roman"/>
        <family val="1"/>
        <charset val="186"/>
      </rPr>
      <t xml:space="preserve">Jaunuzcelto vai paplašināto pirmsskolas izglītības iestāžu skaits - 2010.gadā - 13, 2013.gadā - 14
2) Renovēto vai labiekārtoto pirmsskolas izglītību iestāžu skaits –  2010.gadā - 39, 2013.gadā - 48
</t>
    </r>
    <r>
      <rPr>
        <b/>
        <sz val="12"/>
        <rFont val="Times New Roman"/>
        <family val="1"/>
        <charset val="186"/>
      </rPr>
      <t xml:space="preserve">
Sasniegtie rezultāti:
</t>
    </r>
    <r>
      <rPr>
        <sz val="12"/>
        <rFont val="Times New Roman"/>
        <family val="1"/>
        <charset val="186"/>
      </rPr>
      <t>1) uz 2011.gada 31.decembri jaunuzceltas vai paplašinātas ir 13 pirmsskolas izglītības iestādes, kas liecina, ka sasniegti 68,4% no plānošanas periodā sasniedzamās vērtības. Līdz 2013.gadam plānots sasniegt 2013.gada plānoto vērtību. Turpinās 15 projektu īstenošana; 
2) renovētas vai labiekārtotas 32 izglītības iestādes, kas liecina, ka plānotais rādītājs ir pārsniegts par 325%, turpinās 15 projektu īstenošana.</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</si>
  <si>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r>
      <rPr>
        <b/>
        <sz val="12"/>
        <rFont val="Times New Roman"/>
        <family val="1"/>
        <charset val="186"/>
      </rPr>
      <t xml:space="preserve">Sasniedzamie rezultāti:
</t>
    </r>
    <r>
      <rPr>
        <sz val="12"/>
        <rFont val="Times New Roman"/>
        <family val="1"/>
        <charset val="186"/>
      </rPr>
      <t xml:space="preserve">Atbalstīto alternatīvās aprūpes centru skaits - Atbildīgās iestādes plānotais skaits 2011.gadā - 25; 2013.gadā - 13
Alternatīvās aprūpes centru pakalpojumu izmantojošo personu skaits - 2011.gadā -6050 personas
</t>
    </r>
    <r>
      <rPr>
        <b/>
        <sz val="12"/>
        <rFont val="Times New Roman"/>
        <family val="1"/>
        <charset val="186"/>
      </rPr>
      <t xml:space="preserve">
Sasniegtie rezultāti:
</t>
    </r>
    <r>
      <rPr>
        <sz val="12"/>
        <rFont val="Times New Roman"/>
        <family val="1"/>
        <charset val="186"/>
      </rPr>
      <t>Atbalstīti 24 alternatīvās aprūpes centri, kas liecina, ka 2011,gadā plānotais rā'ditājs sasniegts par 88%, bet 2011.gadā plānotais rādītājs  veido 169% no 2013.gada plānotās sasniedzamās vērtības. 2011.gadā apkalpotas 6037 personas, kas ir 99,8% no plānotā.</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</si>
  <si>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t xml:space="preserve">Sasniedzamie rezultāti:
Izveidoti elektroniskie pakalpojumi (t.sk. publiski pieejamie elektroniskie pakalpojumi un publiskās pārvaldes elektroniskie pakalpojumi) - 150 plānošanas periodā (kopumā plānots šo rādītāju pat pārsneigt  izveidojot 280 elektroniskos pakalpojumus).
Sasniegtie rezultāti:
Šobrīd apakšaktivitātes ietvaros nav pabeigti projekti, līdz ar to uzraudzības rādītāju sasniegšana tiks nodrošināta 2012.gadā.
</t>
  </si>
  <si>
    <t xml:space="preserve">Sasniedzamie rezultāti:
Jaunizveidoto publisko interneta pieejas punktu skaits līdz plānošanas perioda beigām -400.
Sasniegtie rezultāti:
Šobrīd aktivitātes ietvaros nav uzsākta projektu īstenošana, līdz ar to uzraudzības rādītāju sasniegšana tiks nodrošināta nākošajos gados.
Ekonomiskā ietekme:
Interneta pieejamības līmenis dažādos reģionos un valstī kopumā joprojām nav pietiekami augsts, lai gan Rīgā un citās Latvijas lielākās pilsētās interneta pieejamības līmenis pēdējos gados ir strauji paaugstinājies. Pamatojoties uz Latvijas Republikas Centrālās statistikas pārvaldes datiem, var secināt, ka joprojām pastāv samērā lielās atšķirības starp interneta izmantošanas (mājās un darbā) intensitāti pilsētās un laukos, kas norāda uz dažādu ar interneta pieejamību saistīto problēmu lielāku izplatību lauku rajonos, tāpēc nepieciešams veicināt publisko interneta pieejas punktu izveidi, īpaši lauku pašvaldībās. 
Publisko interneta pieejas punktu izveide paaugstinās piekļuves iespējas internetam pēc iespējas plašākam iedzīvotāju lokam, nodrošinot piekļuvi publiskās pārvaldes un komercsabiedrību piedāvātajiem elektroniskajiem u.c. pakalpojumiem un informācijai, lai veicinātu iedzīvotāju iekļaušanos sabiedrības sociālajos, ekonomiskajos un kultūras procesos un uzlabotu viņu dzīves kvalitāti.
</t>
  </si>
  <si>
    <t>Lai sasniegtu plānoto optimālu uzturēšanas apstākļu nodrošināšana augu un dzīvnieku kolekcijām, kolekciju skaits - 2, aktivitātes īstenošana tiks uzsākta 2011.gadā</t>
  </si>
  <si>
    <t xml:space="preserve">Lai sasniegtu plānoto piesārņotās vietas platība, kas attīrīta no vēsturiskā piesārņojuma -7 ha, ir pašlaik ir noslēgti 2 projekti no 3 plānotājiem ar īstenošanas termiņu 4 gadi. </t>
  </si>
  <si>
    <t>Lai sasniegtu plānoto Plūdu apdraudēto teritoriju risku samazināšanas projekti, skaits - 5, pašlaik 
noslēgti 3 projekti</t>
  </si>
  <si>
    <t>Uz 2011.gada beigām bija plānots rekonstruēt 3 hidrotehnisko būvju kompleksu, bet projekta noslēguma maksājums tiks veikt 2012,gadā, līdz ar to rādītāja izpilde tiks nodrošināta 2012,gadā.</t>
  </si>
  <si>
    <t>Aktivitātes īstenošanas uzsākšana tiek plānota 2013.gadā</t>
  </si>
  <si>
    <t xml:space="preserve">Rekulitivētas 206 normatīvo aktu prasībām neatbilstošās izgāztuves,
</t>
  </si>
  <si>
    <t>Plānoto rādītāju papildu iedzīvotāju skaits, uz ko vērsti atkritumu apsaimniekošanas projekti - 2,1 milj., ir sasniegta vērtība 182 946.</t>
  </si>
  <si>
    <t xml:space="preserve"> Rādītāju Dalītās atkritumu savākšanas punktu skaitu nebūs iespējams sasniegt plānotajā vērtībā 8640, jo potenciāliem FS nav pieņēmami spēkā esošie aktivitātes valsts atbalsta nosacījumi un ir pieņemts, ka rādītājs tiks sasniegts ar vērrtību 100. uz doto brīdi rādītāja vērtība ir 0.</t>
  </si>
  <si>
    <t>rādītāji antropogēno slodzi samazinošo infrastruktūras projektu skaits Natura 2000 teritorijās - 50, Natura 2000 teritorijas un izvieotot robežzimju skaits Natura 2000 teritorijā netiks sasniegti, jo bija samazināts finansējums aktivitātes ietvaros., bet otrādi tiks pārsniegts rezultatīvais rādītājs. uz doto brīdi  uz doto brīdi rādītāja vērtība ir 0.</t>
  </si>
  <si>
    <t>Ar īstenotiem projektiem ir sasniegtas 2 ES direktīvas ūdeņu un gaisa stāvokļa kontrolei un uzraudzībai.</t>
  </si>
  <si>
    <r>
      <rPr>
        <b/>
        <sz val="12"/>
        <rFont val="Times New Roman"/>
        <family val="1"/>
        <charset val="186"/>
      </rPr>
      <t xml:space="preserve">Sasniedzamie rezultāti:
</t>
    </r>
    <r>
      <rPr>
        <sz val="12"/>
        <rFont val="Times New Roman"/>
        <family val="1"/>
        <charset val="186"/>
      </rPr>
      <t xml:space="preserve">- Projektu skaits, kas sekmē pilsētvides atjaunošanu un /vai revitalizāciju, nodrošinot pilsētu ilgtspējīgu attīstību un uzlabojot to pievilcību: 2011.gadā: 17; 2013.gadā: 26
- Projektu skaits, kas veicina pilsētu konkurētspējas celšanos, t.sk., sekmē uzņēmējdarbības un tehnoloģijas attīstību: 2011.gadā: 2; 2013.gadā: 16
- Projektu skaits, kas sekmē kopienas attīstību, uzlabojot pakalpojumu pieejamību, nodrošinot vienādas tiesības visām iedzīvotāju grupām: 2011.gadā: 3; 2013.gadā: 20
</t>
    </r>
    <r>
      <rPr>
        <b/>
        <sz val="12"/>
        <rFont val="Times New Roman"/>
        <family val="1"/>
        <charset val="186"/>
      </rPr>
      <t xml:space="preserve">
Sasniegtie rezultāti:
- </t>
    </r>
    <r>
      <rPr>
        <sz val="12"/>
        <rFont val="Times New Roman"/>
        <family val="1"/>
        <charset val="186"/>
      </rPr>
      <t xml:space="preserve">3.6.1.1.aktivitātes ietvaros tika pabeigti 22 projekti un tiek turpināts īstenot 50 projektus. 2011.gada rādītājs ir izpildīts par 62,5% un veido 38,46% no 2013.gada plānotās sasniedzamās vērtības. Līdz 2013.gadam plānots sasniegt 2013.gada plānoto vērtību. 
- 3.6.1.2.aktivitātes ietvaros ir uzsākta projektu  īstenošana un rezultatīvie rādītāji 2013.gadā tiks sasniegti.
- 3.6.2.1.aktivitātes ietvaros š.g. maijā tiks uzsākta projektu iesniegumu pieņemšana un rezultatīvie rādītāji 2013.gadā tiks sasniegti.
Teritorijas attīstības indeksa ranga pieaugums aktuālo vērtību uz 2010.gada 31.decembri norādīt nav iespējams, jo pēc administratīvi teritoriālās reformas dati nav salīdzināmi un nevar tikt sniegti uzraudzības rādītāja novērtēšanā. Saskaņā ar Ministru kabineta 2010.gada 25.maija noteikumiem Nr.482 „Noteikumi par teritorijas attīstības indeksa aprēķināšanas kārtību un tā vērtībām” teritorijas attīstības indeksa vērtības aprēķina atbilstoši administratīvi teritoriālajam iedalījumam, kas noteikts Administratīvo teritoriju un apdzīvoto vietu likumā. Administratīvo teritoriju un apdzīvoto vietu likums nosaka, ka Latvijas Republiku iedala trīs veidu administratīvajās teritorijās – apriņķos, republikas pilsētās un novados. Pēc vietējo pašvaldību vēlēšanām 2009.gadā teritorijas attīstības indeksa vērtības rēķina 110 novadiem un deviņām republikas pilsētām, neatspoguļojot novadu teritoriālo vienību – novadu pilsētu un pagastu – sociāli ekonomiskās attīstības līmeni.
</t>
    </r>
    <r>
      <rPr>
        <b/>
        <sz val="12"/>
        <rFont val="Times New Roman"/>
        <family val="1"/>
        <charset val="186"/>
      </rPr>
      <t>Ekonomiskā ietekme:</t>
    </r>
    <r>
      <rPr>
        <sz val="12"/>
        <rFont val="Times New Roman"/>
        <family val="1"/>
        <charset val="186"/>
      </rPr>
      <t xml:space="preserve">
Ieguldījumi, kas veikti ievērojot valsts policentriskas attīstīvas principus, balstoties uz integrētajām pašvaldību attīstības programmām, ir priekšnoteikums negatīvu sociāli ekonomiskās attīstības atšķirību mazināšanai starp Rīgas aglomerāciju un citām apdzīvotām vietām (nacionālajiem un reģionālajiem attīstības centriem), uzņēmējdarbības vides attīstībai, degradēto pilsētu teritoriju revitalizācijai, ekonomikās izaugsmes veicināšanai un starptautiskās konkurētspējas nostiprināšanai.
Pilsētu attīstība tiek virzīta ar mērķi panākt līdzsvaru starp ekonomiskās darbības, kopienas attīstības un vides kvalitātes aspektiem, kas ir būtiski pilsētu pievilcības un iedzīvotāju dzīves kvalitātes uzlabošanas priekšnoteikumi. Lai to nodrošinātu, pasākuma aktivitāšu ietvaros tiek sniegts atbalsts pilsētu izaugsmei būtisku faktoru attīstībai, nodrošinot pievilcīgu dzīves vidi, veicinot uzľēmējdarbības, īpaši uz zināšanām balstītas un inovatīvas uzľēmējdarbības aktivitāti, sekmējot pakalpojumu pieejamību un sasniedzamību, iedzīvotāju mobilitāti, kā arī vides kvalitātes stāvokļa uzlabošanos.</t>
    </r>
  </si>
  <si>
    <t xml:space="preserve">Noasfaltēti 181.1 km valsts 1.šķiras autoceļu. Kopumā noslēgto līgumu ietvaros plānots noasfaltēt 344 km (saskaņā ar darbības programmā plānoto -  330 km), līdz ar to rādītāju plānots sasniegt pa 104.2%. </t>
  </si>
  <si>
    <t>Rekonstruēti 13.1 km  tranzītielu (tas ir 5.46% no kopējo tranzītielu garuma), kopumā aktivitātes ietvaros līdz 2015.gadam plānots rekonstruēt tranzītielas 20 km garumā</t>
  </si>
  <si>
    <t xml:space="preserve">Iznākuma rādītājs „Realizēto satiksmes drošības uzlabošanas projektu skaits Rīgā” kvantifikācija 2015.gadā ir līdz 10.Apakšaktivitātes ietvaros ir noslēgtas 8 vienošanās par projektu īstenošanu. Rezultāta rādītājs „Ceļu satiksmes negadījumos bojā gājušo skaita attiecības pret satiksmes intensitātes pieaugumu samazinājums Rīgā”  kvantifikācija 2015.gadā ir par 2 %. Uz doto brīdi apakšaktivitātes ietvaros noteiktā rezultāta rādītāja sasniegšana nav plānota, jo projekti ir agrīnā ieviešanas stadijā un rādītājs ir sasniedzams projektu dzīves cikla beigās.  </t>
  </si>
  <si>
    <t>Aktivitātes īstenošana uzsākta tikai 2012.gada sākumā, līdz ar to plānotos rezultātus būs iespējams sasniegt nākošajos gados un palielināt interneta lietotāju  skaitu uz 100 iedzīvotājiem līdz 75%.</t>
  </si>
  <si>
    <t>Finansējums pārdalīts citu aktivitāšu īstenošanai.</t>
  </si>
  <si>
    <t>Aktivitātes īstenošana atlaikta.</t>
  </si>
  <si>
    <t xml:space="preserve">izbūvēti un rekonstruēti 23,5 km TEN autoceļa. Plānots, ka noslēgto līgumu ietvaros tiks izbūvēti un rekonstruēti ceļi 561 km garumā (saskaņā ar darbības programmā plānoto - 56.4 km), līdz ar to rādītāju plānots pārsniegt par  895%, jo tika pārdalīts papildu finansējums. </t>
  </si>
  <si>
    <r>
      <t>Sasniedzamie rezultāti:</t>
    </r>
    <r>
      <rPr>
        <sz val="12"/>
        <color indexed="8"/>
        <rFont val="Times New Roman"/>
        <family val="1"/>
        <charset val="186"/>
      </rPr>
      <t xml:space="preserve">
1) izbūvētā TEN dzelzceļa kopgarums 52 km;
2) Dzelzceļa posma Rīga - Krustpils (t.sk., Skrīveri-Krustpils iecirknis) caurlaides spēja 25 453 000 tonnas/gadā;
3) Rīgas dzelzceļa mezgla staciju pārstrādes spēja 37 500 000 tonnas/gadā.</t>
    </r>
  </si>
  <si>
    <r>
      <t>Sasniedzamie rezultāti:</t>
    </r>
    <r>
      <rPr>
        <sz val="12"/>
        <color indexed="8"/>
        <rFont val="Times New Roman"/>
        <family val="1"/>
        <charset val="186"/>
      </rPr>
      <t xml:space="preserve">
1) ostu skaits, kurās veiktas investīcijas pieejamības un hidrotehnisko būvju uzlabošanā - 3;
2) Palielināta ostu caurlaides spēja par 7 %.</t>
    </r>
  </si>
  <si>
    <r>
      <t>Sasniedzamie rezultāti:</t>
    </r>
    <r>
      <rPr>
        <sz val="12"/>
        <color indexed="8"/>
        <rFont val="Times New Roman"/>
        <family val="1"/>
        <charset val="186"/>
      </rPr>
      <t xml:space="preserve">
1) Lidostas „Rīga” termināla jaudas palielinājums par 25 %;
2) Lidostu skaits, kurās veikta infrastruktūras izbūve un/vai rekonstrukcija - 3.</t>
    </r>
  </si>
  <si>
    <r>
      <t>Sasniedzamie rezultāti:</t>
    </r>
    <r>
      <rPr>
        <sz val="12"/>
        <color indexed="8"/>
        <rFont val="Times New Roman"/>
        <family val="1"/>
        <charset val="186"/>
      </rPr>
      <t xml:space="preserve"> realizēto projektu skaits lielajās pilsētās - 2.</t>
    </r>
  </si>
  <si>
    <r>
      <t>Sasniedzamie rezultāti:</t>
    </r>
    <r>
      <rPr>
        <sz val="12"/>
        <color indexed="8"/>
        <rFont val="Times New Roman"/>
        <family val="1"/>
        <charset val="186"/>
      </rPr>
      <t xml:space="preserve">
1) iegādāto trīsvagonu dzīzeļvilcienu skaits - 7;
2) iegādāto jaunu elektrovilcienu skits- 34.</t>
    </r>
  </si>
  <si>
    <t>DPP rādītājs-atbalstīto veselības aprūpes un veselības veicināšanas profesionāļu skaits uz 31.12.2011. - 29 510 personas (2013.gadā plānots sasniegt 32 880);
DPP rādītājs-atbilstoši (sekmīgi nokārtota resertifikācija) apmācītā veselības aprūpes personāla īpatsvars [procentos] - 70.92% (sākotnēja vērtība - 65% un 2013.gadā plānots sasniegt 95%).</t>
  </si>
  <si>
    <t xml:space="preserve">DPP rādītājs-atbalstīto veselības aprūpes un veselības veicināšanas profesionāļu skaits (uz 02.05.2011) – 29 510  personas (2013.gadā plānots sasniegt 32 880);
DPP rādītājs-atbilstoši (sekmīgi nokārtota resertifikācija) apmācītā veselības aprūpes personāla īpatsvars [procentos] – 88,05% (sākotnēja vērtība - 65% un 2013.gadā plānots sasniegt 95%).
</t>
  </si>
  <si>
    <t>Stacionārās veselības aprūpes aktivitātē gultu noslogojuma rādītāja vērtība uz 2011.gada beigām bija 74.30, progress ir negatīvs, jo rādītāja sākotnēja vērtība bija 75.40 un turklāt AI plānotā vērtība uz 2011.gada beigām ir 79. VeM to skaidro ar to, ka rādītāja aprēķināšanai par pamatojumu tiek ņemti  slimnīcu dati un aprēķināšanas metodikas trūkumu dēļ aprēķinātas vērtības neatspoguļo reālo situāciju. Gultu noslodzi aprēķina ņemot vērā  visas fiziski esošās gultas slimnīcās, kā tas ticis darīts līdz šim kā rutīnas aprēķins, savukārt aprēķināšanai ir nepieciešams noslogoto un ar citiem resursiem atbalstīto gultu skaits. Esošo situāciju plānots uzlabot ar VeM izveidotās darba grupas par priekšlikumu izstrādi par stacionāro ārstniecības iestāžu darba kvalitātes vērtēšanas kritērijiem palīdzību, kuras ietvaros tiks izstrādāta metodika, kā objektīvi un reālistiski aprēķināt gultu noslodzi.</t>
  </si>
  <si>
    <t>DPP rādītājs - (uz 02.05.2011) iegādātas un uzstādītas 4 jaunās onkoloģijas slimnieku radioterapijas ārstēšanas aparatūras vienības 100% no plānota 
Projektu ietvaros:
1. Uzsākta jaunu pakalpojumu sniegšana 2 slimnīcās
2. SIA "Rīgas Austrumu klīniskā universitātes slimnīca" un  VSIA „ Paula Stradiņa klīniskās universitātes slimnīca”  pēc projektu pabeigšanas ir uzlabojusies spēja sniegt onkoloģijas pakalpojumus, maksimāli ierobežojot blakusefektus no staru terapijām, pieaudzis stacionārā sniegto  procedūru skaits un pieaudzis ambulatoro pacientu skaits.</t>
  </si>
  <si>
    <t xml:space="preserve">Pasākumu plāns administratīvā sloga samazināšanai komersantiem un iedzīvotajiem apstiprināts Ministru kabinetā  23.08.2011.  ietver 31 ministrijām  veicamu uzdevumu :
Izglītības iestāžu uzraudzības un kontroles pasākumu samazināšanas  plāns apstiprināts MK 8.11. 2011., kurā ietverti uzd. 6 ministrijām; 72 semināri tiesību aktu izstrādātājiem  ( 1345 dalībnieki)  par administratīvā sloga regulējuma analīzi, samazināšanas jautājumiem.  
</t>
  </si>
  <si>
    <t xml:space="preserve">KVS ieviestas un sertificētas 23 institūcijās; ieviesti KVS elementi izstrādātas KVS rokasgrāmatas un procesu apraksti; veiktas klientu aptaujas un izstrādātas klientu apmierinātības mērīšanas metodikas; apmācīti 1858  darbinieki par KVS. Publisko  pārvaldes  iestāžu  skaits ,kurās ieviesta KVS , skaita pieaugums par 12%. </t>
  </si>
  <si>
    <t xml:space="preserve">Projektos plānots: pakalpojumu kvalitātes novērtēšanas metodoloģiju izstrāde, adaptēšana un pilnveidošana; pakalpojumu kvalitātes izvērtēšanas pasākumi (pētījumi, aptaujas, auditi); apmācības un semināri darbiniekiem; jauni IT risinājumi un uzlabojumi pakalpojumu sniegšanā; pakalpojumu kvalitātes uzlabošanas pasākumu izstrāde un ieviešana u.tml. īpaši tām institūcijām , kuras strādā  šādās  jomās: nodokļu  administrēšanas, finanšu  plānošana un vadība, sociālās politikas jomā. </t>
  </si>
  <si>
    <t xml:space="preserve">Izveidotas 5 reģionālās LDDK un 5 reģionālās LBAS struktūrvienības; izveidotas 4 reģionālās Trīspusējās sadarbības padomes (Liepājā, Daugavpilī, Jūrmalā, Rēzeknē); izveidotas 3 reģionālās uzņēmēju apvienības; sniegtas konsultācijas darba devējiem; izstrādātas apmācību programmas. 
Kā rezultāta rādītājs aktivitātei noteikts darbinieku īpatsvars , ar kuriem noslēgts darba koplīgums. Uz 31.12. 2011. sasniegtā vērtība ir 17,4%  , kas ir 83% no DPP  noteiktās sasniedzamās vērtības – 21%.  
</t>
  </si>
  <si>
    <t xml:space="preserve">Projektos plānots: apmācības; līdzdalības veicināšana ES sadarbības un attīstības sadarbības tīklos; inovatīvu pakalpojumu attīstīšana; publisko pakalpojumu pielāgošana kvalitātes standartiem; pētījumi; konsultācijas un apmācības NVO pārstāvjiem u.tml.; 
Kā rezultāta rādītājs aktivitātei noteikts  NVO īpatsvars , kas piedalās ES  struktūrfondu finansēto pasākumu īstenošanā .  Uz 31.12. 2011. sasniegtā vērtība ir 1, 74% , kas ir 87% no DPP  noteiktās  sasniedzamās vērtības – 2%.  
Atbalstīto  NVO kopskaits pārsniedz sākotnēji DP plānoto ( 200) , jo atbalstu saņēmušas  arī NVO partnerorganizācijas. 
</t>
  </si>
  <si>
    <t>Projektos plānots: metodisko un informatīvo materiālu izstrāde; apmācības un konsultācijas pašvaldību darbiniekiem; ārvalstu finanšu palīdzības piesaistes plānošana; pētījumi u.tml.</t>
  </si>
  <si>
    <t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t>
  </si>
  <si>
    <t xml:space="preserve">Darbības programmas „Infrastruktūra un pakalpojumi” papildinājums nosaka, ka 3.4.3.pasākuma „Kultūrvides sociālekonomiskā ietekme” ietvaros tiek īstenota 3.4.3.1.aktivitāte „Nacionālas un reģionālas nozīmes daudzfunkcionālu centru izveide” (turpmāk – 3.4.3.1.aktivitāte), kuras mērķis ir kultūrvides sakārtošana un reģionu pievilcības palielināšana dzīves un darba apstākļiem, kas pēc 3.4.3.1.aktivitātes projektu īstenošanas veicinās augsti kvalificēta darbaspēka piesaisti un saglabāšanu, attīstīs teritoriju ekonomisko rosību, kā arī nodrošinās daudzfunkcionālu infrastruktūru pakalpojumu sniegšanai kultūras, izglītības, brīvā laika pavadīšanas, sabiedrisko pasākumu, uzņēmējdarbības, biznesa un citās jomā. 
3.4.3.1.aktivitātes ietvaros: 
• iznākuma rādītāja „Izveidoto daudzfunkcionālo kultūras centru skaits” 2013.gadā plānotā vērtība ir „4”. Uz doto brīdi aktivitātes ietvaros sasniegtā vērtība ir „0”; 
• rezultāta rādītāja „Kultūras pakalpojumu pieprasījums” 2013.gadā plānotā vērtība ir 2.47 milj. apmeklējumi, uz doto brīdi aktivitātes ietvaros sasniegtā vērtība ir „0”. 
Sasniegtās rādītāju vērtības skaidrojams ar to, ka rezultātu un iznākumu rādītāji tiks sasniegti, kad būs noslēgusies projektu īstenošana, tas ir atbilstoši projektu īstenošanas laika grafikiem sākot ar 2012.gada 3.ceturksni. Minētie rādītāji netiks sasniegti pilnā apjomā, jo ir noslēgtas 3 projekta vienošanās no 4 plānotām.
</t>
  </si>
  <si>
    <t xml:space="preserve">Darbības programmas „Infrastruktūra un pakalpojumi” papildinājums nosaka, ka 3.4.3.pasākuma „Kultūrvides sociālekonomiskā ietekme” ietvaros tiek īstenota 3.4.3.2.aktivitāte „Sociālekonomiski nozīmīgu kultūras mantojuma objektu atjaunošana” (turpmāk – 3.4.3.2.aktivitāte), kuras mērķis ir atjaunot kultūras mantojuma objektus, lai palielinātu to ekonomisku un inovatīvu izmantošanu, kas var kalpot kā nozīmīgs faktors teritoriju ekonomiskajai reģenerācijai, to pievilcības palielināšanai, dzīvei, darbam un uzņēmējdarbībai labvēlīgu apstākļu nodrošināšanai.
3.4.3.2.aktivitātes ietvaros: 
• iznākuma rādītāja „Atjaunoto un saglabāto kultūras mantojuma objektu skaits” 2013.gadā plānotā vērtība ir „10”, bet uz doto brīdi aktivitātes ietvaros sasniegtā vērtība ir „0”.
Sasniegtā vērtība skaidrojama ar to, ka projektu īstenošana sākusies 2011,gadā un rādītāji tiks sasniegti pēc projektu beigām. Rādītājs netiks sasniegts pilnā apmērā, jo vienošanās noslēgtas par 6 projektiem no plānotiem 10.
Aktivitātes ietvaros veicot nedzīvojamo ēku un būvju renovācijas, rekonstrukcijas, restaurācijas un konservācijas darbus būvniecības nozarē tiks radīti un veicināti priekšnoteikumi sociālekonomiskai attīstībai un pozitīvai darba tirgus attīstībai tādējādi sekmējot arī reģionu ilgtspējīgu attīstību.  
</t>
  </si>
  <si>
    <t xml:space="preserve">Darbības programmas „Infrastruktūra un pakalpojumi” papildinājums nosaka, ka 3.4.3.pasākuma „Kultūrvides sociālekonomiskā ietekme” ietvaros tiek īstenota 3.4.3.3.aktivitāte „„Atbalsts kultūras pieminekļu privātīpašniekiem kultūras pieminekļu saglabāšanā un to sociālekonomiskā potenciāla efektīvā izmantošanā”, kuras mērķis ir nodrošināt tādu kultūras pieminekļu saglabāšanu, pieejamību sabiedrībai un sociālekonomisku izmantošanu, kas atrodas privātīpašumā un nodrošina nozīmīgas publiskas funkcijas. 
3.4.3.3.aktivitātes ietvaros: 
• iznākuma rādītāja „Privātīpašumā esošo atjaunoto un saglabāto kultūras mantojuma objektu skaits” 2013.gadā plānotā vērtība ir „5”, uz doto brīdi aktivitātes ietvaros sasniegtā vērtība ir „0”;
• Rezultāta rādītāja „Kultūras pieminekļu īpatsvars, kuru tehniskais stāvoklis var tikt vērtēts kā labs vai apmierinošs” 2013.gadā plānotā vērtība ir „70 %”, uz doto brīdi aktivitātes ietvaros sasniegtā vērtība ir „0”, jo projekti vēl nav pabeigti, kā arī dēļ tā, ka finansējuma saņēmēji projektu pieteikumos nav norādījuši šim rādītājam procentos aprēķināmu sasniedzamo vērtību. 
Aktivitātes ietvaros veicot ēku un būvju remonta, restaurācijas un konservācijas  darbus būvniecības nozarē tiks radīti un veicināti priekšnoteikumi sociālekonomiskai attīstībai un pozitīvai darba tirgus attīstībai tādējādi sekmējot arī reģionu ilgtspējīgu attīstību.  
</t>
  </si>
  <si>
    <t>Jā</t>
  </si>
  <si>
    <t>Nē</t>
  </si>
  <si>
    <t>Līdz 31.12.2011. 124 vispārējās vidējās izglītības iestādēs modernizēti dabaszinātņu kabineti jeb 55.1% no DPP plānotā (225). Neplāno sasniegt rādītāju.</t>
  </si>
  <si>
    <t>Līdz 31.12.2011. uzlabota infrastruktūra un mācību vide izglītojamiem ar speciālām vajadzībām 29  speciālajās izglītības iestādēs jeb 45.31% no DPP plānotā (64). Izglītojamo ar speciālām vajadzībām īpatsvars, kam nodrošinātas izglītības iespējas uzlabotā mācību vidē ir 40.80% (DPP mērķis 2013.gadā 100%). Neplāno pilnībā sasniegt rādītāju par iestāžu skaitu.</t>
  </si>
  <si>
    <t>Līdz 31.12.2011. 27 vispārējās izglītības iestādes ir pielāgotas skolēniem ar funkcionāliem traucējumiem (DPP mērķis plānošanas periodā 38); izglītojamiem ar funkcionāliem traucējumiem pielāgoto vispārējās vidējās izglītības iestāžu īpatsvars no kopējā vispārējās vidējās izglītības iestāžu skaita ir 7.36% (DPP mērķis -  100%).  Neplāno sasniegt DPP noteiktos rādītājus.</t>
  </si>
  <si>
    <t xml:space="preserve">Rezultatīvo rādītaju nav plānots sasniegt. DPP rādītājs - atbalstīti veselības aprūpes centri (uz 31.12.2011) atbalstīti 13 veselības aprūpes centri (2013.gadā plānots sasniegt 25).
</t>
  </si>
  <si>
    <t xml:space="preserve">Rezultatīvo rādītaju nav plānots sasniegt. 1. 13.08.2010 apstiprināti aktivitātes MK noteikumi Nr.726 "Noteikumi par darbības programmas "Infrastruktūra un pakalpojumi" papildinājuma 3.1.5.1.1.apakšaktivitāti "Ģimenes ārstu tīkla attīstība". 
2. 1.atlases kārtas projektu iesniegšana  pabeigta 04.11.2010. Izvērtēšanai ir saņemti 230 projektu iesniegumi. 
3. Vērtēšana pabeigta 04.02.2011. 
4. Rezultātā: 188 līgumi noslēgti, 2 projekta iesniegumi apstiprināti, 4 projekts pabeigts, 24 - noraidīti un 11 - atsaukti 
5. Aktivitātes ietvaros rādītāja aktuālā vērtība ir 4, līdz plānošanas perioda beigām plāno atbalstīt 65 ģimenes ārstu prakses, aktīva rādītāja sasniegšana sāksies pēc projektu beigām, t.i. sākot ar 2012.gada martu                                                           6. 2011.gada novembrī izsludināta 2.projektu iesniegumu atlases  kārta </t>
  </si>
  <si>
    <t>Iznākuma rādītājs „Apstiprināto satiksmes drošības uzlabošanas projektu skaits apdzīvotās vietās ārpus Rīgas” kvantifikācija 2015.gadā ir 90. Apakšaktivitātes ietvaros ir noslēgtas 83 vienošanās par projektu īstenošanu. Iznākuma rādītājs ir sasniegts 92 % apmērā. Pabeigto projektu skaits ir 34,  šo projektu ietvaros – plānotās aktivitātes ir ieviestas un projektu mērķis ir sasniegts, veikti transporta infrastruktūras uzlabojumi. Rādītāju nav plānots ssniegt.</t>
  </si>
  <si>
    <t>Rādītājus plāno sasniegt. Papildu iedzīvotāju skaits, uz ko vērsti ūdenssaimniecības projekti - 16540;                             iedzīvotāju īpatsvars, kam nodrošināti normatīvo aktu prasībām atbilstoši notekūdens apsaimniekošanas pakalpojumi ir 54,22% (kopā ar bāzi)
Iedzīvotāju īpatsvars, kam nodrošināti normatīvo aktu prasībām atbilstoši dzeramā ūdens apsaimniekošanas pakalpojumi ir 44,60% (kopā ar bāzi)</t>
  </si>
  <si>
    <r>
      <rPr>
        <b/>
        <sz val="12"/>
        <color indexed="8"/>
        <rFont val="Times New Roman"/>
        <family val="1"/>
        <charset val="186"/>
      </rPr>
      <t>Rezultāta rādītāju plāno nesasniegt. Sasniedzamie rezultāti</t>
    </r>
    <r>
      <rPr>
        <sz val="12"/>
        <color indexed="8"/>
        <rFont val="Times New Roman"/>
        <family val="1"/>
        <charset val="186"/>
      </rPr>
      <t xml:space="preserve">: Rekonstruēti siltumtīkli 2011.gadā 7,2km, 2013.gadā - 105km. </t>
    </r>
    <r>
      <rPr>
        <b/>
        <sz val="12"/>
        <color indexed="8"/>
        <rFont val="Times New Roman"/>
        <family val="1"/>
        <charset val="186"/>
      </rPr>
      <t xml:space="preserve">Sasniegtie rezultāti: </t>
    </r>
    <r>
      <rPr>
        <sz val="12"/>
        <color indexed="8"/>
        <rFont val="Times New Roman"/>
        <family val="1"/>
        <charset val="186"/>
      </rPr>
      <t>2011.gadā rekonstruēti siltumtīkli 4,2km garumā, kas ir 58,3%  no 2011. gadā plānojamās sasniegtās vērtības un 2,6% no plānotās sasniedzamās vērtības 2013.gadā. Pabeigti 6 projekti, turpinās 26 projektu īstenošana.</t>
    </r>
  </si>
  <si>
    <t>Rādītājus plāno nesasniegt. Papildu iedzīvotāju skaits, uz ko vērsti ūdenssaimniecības projekti - 87283.
Iedzīvotāju īpatsvars, kam nodrošināti normatīvo aktu prasībām atbilstoši notekūdeņu apsaimniekošanas pakalpojumi ir 53,64%
Iedzīvotāju īpatsvars, kam nodrošināti normatīvo aktu prasībām atbilstoši ūdensapgādes pakalpojumi ir 58,30%</t>
  </si>
  <si>
    <t>Iesniegti 11 starptautisko patentu pieteikumi.  Tehnoloģiju pārneses kontaktpunkta sagatavoti 133 komercializācijas piedāvājumi.
 (31.12.2010)</t>
  </si>
  <si>
    <t>67 komersanti, kas ievieš jaunus produktus vai tehnoloģijas (31.12.2011.). Prognozējamais komersantu skaits, kas ievieš jaunus prod. vai tehnoloģijas - 88.</t>
  </si>
  <si>
    <t>35 komersanti, kas ievieš jaunus produktus vai tehnoloģijas (31.12.2011), līdz 2015.g. rādītājs tiks sasniegts pilnā apmērā.</t>
  </si>
  <si>
    <t>Pieejamais ES fondu finansējums jaunu saistību uzņemšanai, LVL</t>
  </si>
  <si>
    <t>Pieejamais ES fondu finansējums jaunu saistību uzņemšanai, % no ES fondu fin.</t>
  </si>
  <si>
    <t xml:space="preserve">Uz 31.12.2011. noslēgtas 122 vienošanās/līgumi, projektu īstenošana uzsākta 2010.gada beigās un 2011.gada sākumā. 
Sasniedzamie rādītāji: pieaudzis starptautiski atzītu publikāciju (tajā skaitā SCI) skaits gadā – 800 2013.gadā;  pieaudzis pieteikto starptautisko patentu skaits gadā – 43 2013.gadā.
Līdz 31.12.2011. aktivitātes ietvaros ir pieteikti 4 starptautiski patenti un apstiprinātas 79 publikācijas. Ņemot vērā, ka laiks no patenta pieteikšanas līdz tā apstiprināšanai vidēji ir vismaz 5 gadi, tad faktisko aktivitātes ieguldījumu varēs novērtēt pēc aktivitātes īstenošanas beigām, iegūstot datus no Patentu valdes par reģistrētajiem patentiem aktivitātes īstenošanas laika posmā. </t>
  </si>
  <si>
    <t>Aktivitāte iesaldēta</t>
  </si>
  <si>
    <t xml:space="preserve">Aktivitāte ir pārstrukturēta.  Koncepcijas projekts „Vienotas valsts iestāžu finanšu un vadības grāmatvedības sistēmas un finanšu analīzes rīka izveide, nodrošinot finanšu un cilvēkresursu vadību” atsevisķu nodevumu formātā tiek pārņemts, lai ERAF līdzfinanstētā projektā turpinatu ietrādes.  </t>
  </si>
  <si>
    <r>
      <rPr>
        <b/>
        <sz val="12"/>
        <color indexed="8"/>
        <rFont val="Times New Roman"/>
        <family val="1"/>
        <charset val="186"/>
      </rPr>
      <t>Sasniedzamie rezultāti:</t>
    </r>
    <r>
      <rPr>
        <sz val="12"/>
        <color indexed="8"/>
        <rFont val="Times New Roman"/>
        <family val="1"/>
        <charset val="186"/>
      </rPr>
      <t xml:space="preserve"> 2011,gadā izstrādāti 7 tūrisma maršruti 2013.gadā izstrādāti -19 tūrisma maršruti. </t>
    </r>
    <r>
      <rPr>
        <b/>
        <sz val="12"/>
        <color indexed="8"/>
        <rFont val="Times New Roman"/>
        <family val="1"/>
        <charset val="186"/>
      </rPr>
      <t>Sasniegtie rezultāti:</t>
    </r>
    <r>
      <rPr>
        <sz val="12"/>
        <color indexed="8"/>
        <rFont val="Times New Roman"/>
        <family val="1"/>
        <charset val="186"/>
      </rPr>
      <t xml:space="preserve"> Izstrādāti 5 tūrisma maršruti valsts nozīmes pilsētbūvniecības pieminekļu teritorijās, kas ir 33,3% no plānotās sasniedzamās vērtības 2013,gadā. Turpinās 16 projektu īstenošana.</t>
    </r>
  </si>
  <si>
    <t>Sasniedzamie rādītāji: ieslodzījuma vietu skaits, kurās modernizēti profesionālo mācību priekšmetu kabineti un darbnīcas - 8. Rādītāju progress būs vērojams nākamajos gados.</t>
  </si>
  <si>
    <t xml:space="preserve">Iznākuma rādītāja „Realizēto projektu skaits mazo ostu infrastruktūras uzlabošanā” kvantifikācija 2015.gadā ir līdz 3. Iznākuma rādītāja sasniegtā vērtība ir 2, jo ir noslēgusies abu projektu īstenošana. Rādītājs netiks sasniegts, jo tika atbalstīti tikai 2 projekti. Rezultāta rādītājs: „Kuģu ar kravnesību virs 5000 GT īpatsvars mazajā ostā” kvantifikācija 2015.gadā ir 15 %. Uz šo brīdi rezultāta sasnieguma pakāpe ir 0 - rezultāts tiks sasniegts 2013.gadā. </t>
  </si>
  <si>
    <t>Politiska vajadzība (jā/nē)</t>
  </si>
  <si>
    <t>Kopējās attiecināmās izmaksas, LVL</t>
  </si>
  <si>
    <t>nē</t>
  </si>
  <si>
    <t>jā</t>
  </si>
  <si>
    <t>augsts pieprasījums</t>
  </si>
  <si>
    <t>Apakšaktivitāte "Studiju programmu satura un īstenošanas uzlabošana un akadēmiskā personāla kompetences pilnveidošana"</t>
  </si>
  <si>
    <r>
      <t>I darbības programma  "Cilvēkreursi un nodarbinātība"</t>
    </r>
    <r>
      <rPr>
        <b/>
        <i/>
        <vertAlign val="superscript"/>
        <sz val="13"/>
        <color rgb="FFFF0000"/>
        <rFont val="Times New Roman"/>
        <family val="1"/>
        <charset val="186"/>
      </rPr>
      <t/>
    </r>
  </si>
  <si>
    <t>Prioritāte "Augstākā izglītība un zinātne"</t>
  </si>
  <si>
    <t>Pasākums "Zinātnes un pētniecības potenciāla attīstība"</t>
  </si>
  <si>
    <t>Kopā VISI fondi</t>
  </si>
  <si>
    <t>Kopā ESF</t>
  </si>
  <si>
    <t>Kopā ERAF</t>
  </si>
  <si>
    <t>Kopā KF</t>
  </si>
  <si>
    <t>I DP</t>
  </si>
  <si>
    <t>II DP</t>
  </si>
  <si>
    <t>III DP</t>
  </si>
  <si>
    <t xml:space="preserve">Aktivitāte "Zinātnes un inovāciju politikas veidošanas un administratīvās kapacitātes stiprināšana" </t>
  </si>
  <si>
    <t xml:space="preserve">Aktivitāte "Cilvēkresursu piesaiste zinātnei" </t>
  </si>
  <si>
    <t>Aktivitāte "Motivācijas veicināšana zinātniskajai darbībai"</t>
  </si>
  <si>
    <t>Pasākums "Augstākās izglītības attīstība"</t>
  </si>
  <si>
    <t>Aktivitāte "Atbalsts doktora un maģistra studiju īstenošanai"</t>
  </si>
  <si>
    <t>Apakšaktivitāte "Atbalsts maģistra studiju programmu īstenošanai"</t>
  </si>
  <si>
    <t>Apakšaktivitāte "Atbalsts doktora studiju programmu īstenošanai"</t>
  </si>
  <si>
    <t>Aktivitāte "Atbalsts augstākās izglītības studiju uzlabošanai"</t>
  </si>
  <si>
    <t> Apakšaktivitāte "Boloņas procesa principu ieviešana augstākajā izglītībā"</t>
  </si>
  <si>
    <t>Prioritāte "Izglītība un prasmes"</t>
  </si>
  <si>
    <t>Pasākums "Profesionālās izglītības un vispārējo prasmju attīstība"</t>
  </si>
  <si>
    <t>Aktivitāte "Profesionālās izglītības sistēmas attīstība, kvalitātes, atbilstības un pievilcības uzlabošana"</t>
  </si>
  <si>
    <t>Apakšaktivitāte "Nozaru kvalifikāciju sistēmas izveide un profesionālās izglītības pārstrukturizācija"</t>
  </si>
  <si>
    <t>Apakšaktivitāte "Profesionālajā izglītībā iesaistīto pedagogu kompetences paaugstināšana"</t>
  </si>
  <si>
    <t>Apakšaktivitāte "Atbalsts sākotnējās profesionālās izglītības programmu īstenošanas kvalitātes uzlabošanai un īstenošanai"</t>
  </si>
  <si>
    <t>Apakšaktivitāte "Sākotnējās profesionālās izglītības pievilcības veicināšana"</t>
  </si>
  <si>
    <t>Aktivitāte "Vispārējo zināšanu un prasmju uzlabošana"</t>
  </si>
  <si>
    <t>Apakšaktivitāte "Vispārējās vidējās izglītības satura reforma, mācību priekšmetu, metodikas un mācību sasniegumu vērtēšanas sistēmas uzlabošana"</t>
  </si>
  <si>
    <t>Apakšaktivitāte "Atbalsts vispārējās izglītības pedagogu nodrošināšanai prioritārajos mācību priekšmetos"</t>
  </si>
  <si>
    <t>Apakšaktivitāte "Vispārējās izglītības pedagogu kompetences paaugstināšana un prasmju atjaunošana"</t>
  </si>
  <si>
    <t>Pasākums "Mūžizglītības attīstība un izglītībā un mūžizglītībā iesaistīto institūciju rīcībspējas un sadarbības uzlabošana"</t>
  </si>
  <si>
    <t>Aktivitāte "Mūžizglītības attīstība"</t>
  </si>
  <si>
    <t>Apakšaktivitāte " Mūžizglītības pārvaldes struktūras izveide nacionālā līmenī un inovatīvu mūžizglītības politikas instrumentu izstrāde"</t>
  </si>
  <si>
    <t>Apakšaktivitāte "Atbalsts Mūžizglītības politikas pamatnostādņu īstenošanai"</t>
  </si>
  <si>
    <t>Apakšaktivitāte „Īpašu mūžizglītības politikas jomu atbalsts"</t>
  </si>
  <si>
    <t>Apakšaktivitāte "Pedagogu konkurētspējas veicināšana izglītības sistēmas optimizācijas apstākļos"</t>
  </si>
  <si>
    <t>Aktivitāte "Profesionālās orientācijas un karjeras izglītības attīstība, profesionāli orientētās izglītības attīstība"</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</si>
  <si>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</si>
  <si>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</si>
  <si>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</si>
  <si>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</si>
  <si>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Aktivitāte "Izglītības pieejamības nodrošināšana sociālās atstumtības riskam pakļautajiem jauniešiem un iekļaujošas izglītības attīstība"</t>
  </si>
  <si>
    <t>Apakšaktivitāte "Iekļaujošas izglītības un sociālās atstumtības riskam pakļauto jauniešu atbalsta sistēmas izveide, nepieciešamā personāla sagatavošana, nodrošināšana un kompetences paaugstināšana"</t>
  </si>
  <si>
    <t>Apakšaktivitāte "Atbalsta pasākumu īstenošana jauniešu sociālās atstumtības riska mazināšanai un jauniešu ar funkcionālajiem traucējumiem integrācijai izglītībā"</t>
  </si>
  <si>
    <t>Prioritāte "Nodarbinātības veicināšana un veselība darbā"</t>
  </si>
  <si>
    <t>Pasākums "Nodarbinātība"</t>
  </si>
  <si>
    <t>Aktivitāte "Darbaspējas vecuma iedzīvotāju konkurētspējas paaugstināšana darba tirgū, t.sk., nodarbināto pārkvalifikācija un aktīvie nodarbinātības pasākumi"</t>
  </si>
  <si>
    <t>Apakšaktivitāte "Atbalsts nodarbināto apmācībām komersantu konkurētspējas veicināšanai - atbalsts partnerībās organizētām apmācībām "</t>
  </si>
  <si>
    <t>Apakšaktivitāte "Bezdarbnieku un darba meklētāju apmācība"</t>
  </si>
  <si>
    <t>Apakšaktivitāte "Atbalsts nodarbināto apmācībām komersantu konkurētspējas veicināšanai - atbalsts komersantu individuāli organizētām apmācībām"</t>
  </si>
  <si>
    <t>Apakšaktivitāte "Atbalsts potenciālo bezdarbnieku apmācībai"</t>
  </si>
  <si>
    <t>Aktivitāte "Atbalsts darba vietu radīšanai"</t>
  </si>
  <si>
    <t>Aktivitāte "Atbalsts pašnodarbinātības un uzņēmējdarbības uzsākšanai"</t>
  </si>
  <si>
    <t>Aktivitāte "Darba attiecību un darba drošības normatīvo aktu  praktiska piemērošana un uzraudzības pilnveidošana"</t>
  </si>
  <si>
    <t>Apakšaktivitāte "Darba attiecību un darba drošības normatīvo aktu uzraudzības pilnveidošana"</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</si>
  <si>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</si>
  <si>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</si>
  <si>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</si>
  <si>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</si>
  <si>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</si>
  <si>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</si>
  <si>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Aktivitāte "Augstas kvalifikācijas darbinieku piesaiste"</t>
  </si>
  <si>
    <t>Pasākums "Veselība darbā"</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</si>
  <si>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</si>
  <si>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</si>
  <si>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</si>
  <si>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Prioritāte "Sociālās iekļaušanas veicināšana"</t>
  </si>
  <si>
    <t>Pasākums "Sociālā iekļaušana"</t>
  </si>
  <si>
    <t>Aktivitāte "Iedzīvotāju ekonomiskās aktivitātes stimulēšana"</t>
  </si>
  <si>
    <t>Apakšaktivitāte "Kompleksi atbalsta pasākumi iedzīvotāju integrēšanai darba tirgū"</t>
  </si>
  <si>
    <t>Apakšaktivitāte "Atbalstītās nodarbinātības pasākumi mērķgrupu bezdarbniekiem"</t>
  </si>
  <si>
    <t>Aktivitāte "Darbspēju vērtēšanas sistēmas un sociālo pakalpojumu ieviešanas sistēmas pilnveidošana"</t>
  </si>
  <si>
    <t>Apakšaktivitāte "Darbspēju vērtēšanas sistēmas pilnveidošana"</t>
  </si>
  <si>
    <t>Apakšaktivitāte "Sociālās rehabilitācijas pakalpojumu attīstība personām ar redzes un dzirdes traucējumiem"</t>
  </si>
  <si>
    <t>Sociālās rehabilitācijas un institūcijām alternatīvu sociālās aprūpes pakalpojumu attīstība reģionos"</t>
  </si>
  <si>
    <t>Prioritāte "Administratīvās kapacitātes stiprināšana"</t>
  </si>
  <si>
    <t>Pasākums "Labāka regulējuma politika"</t>
  </si>
  <si>
    <t>Aktivitāte "Politikas ietekmes novērtēšana un politikas pētījumu veikšana"</t>
  </si>
  <si>
    <t>Apakšaktivitāte "Atbalsts strukturālo reformu īstenošanai un analītisko spēju stiprināšanai valsts pārvaldē"</t>
  </si>
  <si>
    <t>Apakšaktivitāte "Politikas pētījumu veikšana"</t>
  </si>
  <si>
    <t>Aktivitāte "Administratīvo šķēršļu samazināšana un publisko pakalpojumu kvalitātes uzlabošana"</t>
  </si>
  <si>
    <t>Aktivitāte "Publisko varu realizējošo institūciju darbības kvalitātes un efektivitātes paaugstināšana"</t>
  </si>
  <si>
    <t>Apakšaktivitāte "Kvalitātes vadības sistēmas izveide un ieviešana"</t>
  </si>
  <si>
    <t>Apakšaktivitāte "Publisko pakalpojumu kvalitātes paaugstināšana valsts, reģionālā un vietējā līmenī"</t>
  </si>
  <si>
    <t>Pasākums "Cilvēkresursu kapacitātes stiprināšana"</t>
  </si>
  <si>
    <t>Aktivitāte "Publiskās pārvaldes cilvēkresursu plānošanas un vadības IT sistēmas izstrāde un ieviešana"</t>
  </si>
  <si>
    <t>Aktivitāte "Sociālo partneru, nevalstisko organizāciju un pašvaldību kapacitātes stiprināšana"</t>
  </si>
  <si>
    <t>Apakšaktivitāte "Sociālo partneru administratīvās kapacitātes stiprināšana"</t>
  </si>
  <si>
    <t>Apakšaktivitāte "NVO administratīvās kapacitātes stiprināšana"</t>
  </si>
  <si>
    <t>Apakšaktivitāte "Atbalsts pašvaldībām kapacitātes stiprināšanā Eiropas Savienības struktūrfondu finansēto pasākumu ieviešanā"</t>
  </si>
  <si>
    <t>Pasākums "Plānošanas reģionu un vietējo pašvaldību administratīvās un attīstības plānošanas kapacitātes stiprināšana"</t>
  </si>
  <si>
    <t>Aktivitāte "Speciālistu piesaiste plānošanas reģioniem, pilsētām un novadiem"</t>
  </si>
  <si>
    <t>Aktivitāte "Plānošanas reģionu un vietējo pašvaldību attīstības plānošanas kapacitātes paaugstināšana"</t>
  </si>
  <si>
    <t>Prioritāte "Tehniskā palīdzība"</t>
  </si>
  <si>
    <t>Pasākums "Atbalsts darbības programmas "Cilvēkresursi un nodarbinātība" vadībai"</t>
  </si>
  <si>
    <t>Aktivitāte "Programmas vadības un atbalsta funkciju nodrošināšana"</t>
  </si>
  <si>
    <r>
      <t>Darbības programma "Uzņēmējdarbība un inovācijas"</t>
    </r>
    <r>
      <rPr>
        <b/>
        <i/>
        <vertAlign val="superscript"/>
        <sz val="13"/>
        <color rgb="FFFF0000"/>
        <rFont val="Times New Roman"/>
        <family val="1"/>
        <charset val="204"/>
      </rPr>
      <t/>
    </r>
  </si>
  <si>
    <t>Prioritāte "Zinātne un inovācijas"</t>
  </si>
  <si>
    <t>Pasākums "Zinātne, pētniecība un attīstība"</t>
  </si>
  <si>
    <t>Aktivitāte "Atbalsts zinātnei un pētniecībai"</t>
  </si>
  <si>
    <t>Aktivitāte "Atbalsts starptautiskās sadarbības projektiem zinātnē un tehnoloģijās (EUREKA, 7.IP un citi)"</t>
  </si>
  <si>
    <t>Aktivitāte "Zinātnes un pētniecības infrastruktūras attīstība"</t>
  </si>
  <si>
    <t>Apakšaktivitāte "Zinātnes infrastruktūras attīstība"</t>
  </si>
  <si>
    <t>Apakšaktivitāte "Informācijas tehnoloģiju infrastruktūras un informācijas sistēmu uzlabošana zinātniskajai darbībai"</t>
  </si>
  <si>
    <t>Pasākums "Inovācijas"</t>
  </si>
  <si>
    <t xml:space="preserve"> Aktivitāte "Zinātnes komercializācija un tehnoloģiju pārnese"</t>
  </si>
  <si>
    <t>Apakšaktivitāte "Kompetences centri"</t>
  </si>
  <si>
    <t>Apakšaktivitāte "Tehnoloģiju pārneses kontaktpunkti"</t>
  </si>
  <si>
    <t>Apakšaktivitāte "Tehnoloģiju pārneses centri"</t>
  </si>
  <si>
    <t>Aktivitāte "Jaunu produktu un tehnoloģiju izstrāde"</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</si>
  <si>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</si>
  <si>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</si>
  <si>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</si>
  <si>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Apakšaktivitāte "MVK jaunu produktu un tehnoloģiju attīstības programma"</t>
  </si>
  <si>
    <t>Aktivitāte "Zinātnes un tehnoloģiju parks"</t>
  </si>
  <si>
    <t>Apakšaktivitāte "Rīgas zinātnes un tehnoloģiju parka (ZTP) attīstība"</t>
  </si>
  <si>
    <t>Aktivitāte "Augstas pievienotās vērtības investīcijas"</t>
  </si>
  <si>
    <t>Prioritāte "Finanšu pieejamība"</t>
  </si>
  <si>
    <t>Pasākums "Finanšu resursu pieejamība"</t>
  </si>
  <si>
    <t xml:space="preserve"> Aktivitāte "Ieguldījumu fonds investīcijām garantijās, paaugstināta riska aizdevumos, riska kapitāla fondos un cita veida finanšu instrumentos"</t>
  </si>
  <si>
    <t>Aktivitāte "Stratēģisko investoru piesaiste"</t>
  </si>
  <si>
    <t>Apakšaktivitāte "Biznesa eņģeļu tīkls"</t>
  </si>
  <si>
    <t>Apakšaktivitāte "Vērtspapīru birža MVK"</t>
  </si>
  <si>
    <t>Aktivitāte "Garantijas komersantu konkurētspējas uzlabošanai"</t>
  </si>
  <si>
    <t>Aktivitāte "Aizdevumi komersantu konkurētspējas uzlabošanai"</t>
  </si>
  <si>
    <t>Apakšaktivitāte "Atbalsts aizdevumu veidā komersantu konkurētspējas uzlabošanai"</t>
  </si>
  <si>
    <t>Apakšaktivitāte "Mezanīna aizdevumi investīcijām komersantu konkurētspējas uzlabošanai"</t>
  </si>
  <si>
    <t>Prioritāte "Uzņēmējdarbības veicināšana"</t>
  </si>
  <si>
    <t>Pasākums "Uzņēmējdarbības atbalsta aktivitātes"</t>
  </si>
  <si>
    <t>Aktivitāte "Ārējo tirgu apgūšana"</t>
  </si>
  <si>
    <t>Apakšaktivitāte „Ārējo tirgu apgūšana - ārējais mārketings”</t>
  </si>
  <si>
    <t xml:space="preserve">Apakšaktivitāte „Ārējo tirgu apgūšana – nozaru starptautiskās konkurētspējas stiprināšana” </t>
  </si>
  <si>
    <t>Aktivitāte "Pasākumi motivācijas celšanai inovācijām un uzņēmējdarbības uzsākšanai"</t>
  </si>
  <si>
    <t>Pasākums "Uzņēmējdarbības infrastruktūras un aprīkojuma uzlabojumi"</t>
  </si>
  <si>
    <t>Aktivitāte "Biznesa inkubatori"</t>
  </si>
  <si>
    <t>Aktivitāte "Atbalsts ieguldījumiem mikro, maziem un vidējiem komersantiem īpaši atbalstāmajās teritorijās (ĪAT)"</t>
  </si>
  <si>
    <t>Aktivitāte "Klasteru programma"</t>
  </si>
  <si>
    <t>Pasākums "Atbalsts darbības programmas "Uzņēmējdarbība un inovācijas" vadībai"</t>
  </si>
  <si>
    <t>III darbības programma "Infrastruktūra un pakalpojumi"</t>
  </si>
  <si>
    <t>III DP - ERAF</t>
  </si>
  <si>
    <t>III DP - KF</t>
  </si>
  <si>
    <t>Prioritāte "Infrastruktūra cilvēku kapitāla nostiprināšanai"</t>
  </si>
  <si>
    <t>Pasākums "Profesionālās izglītības infrastruktūra"</t>
  </si>
  <si>
    <t>Aktivitāte "Mācību aprīkojuma modernizācija un infrastruktūras uzlabošana profesionālās izglītības programmu īstenošanai"</t>
  </si>
  <si>
    <t>Aktivitāte "Profesionālās izglītības infrastruktūras attīstība un mācību aprīkojuma modernizācija ieslodzījuma vietās"</t>
  </si>
  <si>
    <t>Pasākums "Augstākās izglītības infrastruktūra"</t>
  </si>
  <si>
    <t>Apakšaktivitāte "Augstākās izglītības iestāžu telpu un iekārtu modernizēšana studiju programmu kvalitātes uzlabošanai, tajā skaitā, nodrošinot izglītības programmu apgūšanas iespējas arī personām ar funkcionāliem traucējumiem"</t>
  </si>
  <si>
    <t>Apakšaktivitāte "Jaunu koledžas studiju programmu attīstība aviācijas nozarē"</t>
  </si>
  <si>
    <t>Pasākums "Izglītības infrastruktūra vispārējo prasmju nodrošināšanai"</t>
  </si>
  <si>
    <t>Aktivitāte "Kvalitatīvai dabaszinātņu apguvei atbilstošas materiālās bāzes nodrošināšana"</t>
  </si>
  <si>
    <t>Aktivitāte "Atbalsts vispārējās izglītības iestāžu tīkla optimizācijai"</t>
  </si>
  <si>
    <t>Aktivitāte "Speciālās izglītības iestāžu un vispārējās izglītības iestāžu infrastruktūras uzlabošana izglītojamajiem ar speciālām vajadzībām"</t>
  </si>
  <si>
    <t>Apakšaktivitāte "Speciālās izglītības iestāžu infrastruktūras un aprīkojuma uzlabošana"</t>
  </si>
  <si>
    <t>Apakšaktivitāte "Vispārējās izglītības iestāžu infrastruktūras uzlabošana izglītojamajiem ar funkcionāliem traucējumiem"</t>
  </si>
  <si>
    <t>Pasākums "Nodarbinātības un sociālo pakalpojumu infrastruktūra"</t>
  </si>
  <si>
    <t>Aktivitāte "Darbspēju vērtēšanas un sociālo pakalpojumu ieviešanas institūciju infrastruktūras pilnveidošana"</t>
  </si>
  <si>
    <t>Apakšaktivitāte "Infrastruktūras pilnveidošana un zinātniski tehniskās bāzes nodrošināšana darbspēju un funkcionālo traucējumu izvērtēšanai"</t>
  </si>
  <si>
    <t>Aktivitāte "Infrastruktūras pilnveidošana profesionālās rehabilitācijas pakalpojumu sniegšanai"</t>
  </si>
  <si>
    <t>Apakšaktivitāte "Infrastruktūras pilnveidošana sociālās rehabilitācijas pakalpojumu sniegšanai personām ar redzes un dzirdes traucējumiem"</t>
  </si>
  <si>
    <t>Apakšaktivitāte "Jaunu filiāļu izveide tehnisko palīglīdzekļu nodrošināšanai"</t>
  </si>
  <si>
    <t>Apakšaktivitāte "Infrastruktūras pilnveidošana sociālās rehabilitācijas pakalpojumu sniegšanai personām ar garīga rakstura traucējumiem"</t>
  </si>
  <si>
    <t>Aktivitāte "Darba tirgus institūciju infrastruktūras pilnveidošana"</t>
  </si>
  <si>
    <t>Aktivitāte "Pirmsskolas izglītības iestāžu infrastruktūras attīstība nacionālas un reģionālas nozīmes attīstības centros"</t>
  </si>
  <si>
    <t>Aktivitāte "Atbalsts alternatīvās aprūpes pakalpojumu pieejamības attīstībai"</t>
  </si>
  <si>
    <t>Pasākums "Veselības aprūpes infrastruktūra"</t>
  </si>
  <si>
    <t>Aktivitāte "Ambulatorās veselības aprūpes attīstība"</t>
  </si>
  <si>
    <t>Aktivitāte "Ģimenes ārstu tīkla attīstība"</t>
  </si>
  <si>
    <t>Aktivitāte "Veselības aprūpes centru attīstība"</t>
  </si>
  <si>
    <t>Aktivitāte Neatliekamās medicīniskās palīdzības attīstība"</t>
  </si>
  <si>
    <t>Aktivitāte "Stacionārās veselības aprūpes pakalpojumu sniedzēju attīstība"</t>
  </si>
  <si>
    <t>Aktivitāte "Stacionārās veselības aprūpes attīstība"</t>
  </si>
  <si>
    <t>Aktivitāte "Onkoloģijas slimnieku radioterapijas ārstēšanas attīstība"</t>
  </si>
  <si>
    <t>Prioritāte "Teritoriju pieejamības un sasniedzamības veicināšana"</t>
  </si>
  <si>
    <t>Pasākums "Pieejamības un transporta sistēmas attīstība"</t>
  </si>
  <si>
    <t>Aktivitāte "Valsts 1.šķiras autoceļu maršrutu sakārtošana"</t>
  </si>
  <si>
    <t>Aktivitāte "Tranzītielu sakārtošana pilsētu teritorijās"</t>
  </si>
  <si>
    <t>Aktivitāte "Satiksmes drošības uzlabojumi apdzīvotās vietās un Rīgā"</t>
  </si>
  <si>
    <t>Apakšaktivitāte "Satiksmes drošības uzlabojumi apdzīvotās vietās ārpus Rīgas"</t>
  </si>
  <si>
    <t>Apakšaktivitāte "Satiksmes drošības uzlabojumi Rīgā"</t>
  </si>
  <si>
    <t>Aktivitāte "Mazo ostu infrastruktūras uzlabošana"</t>
  </si>
  <si>
    <t>Aktivitāte "Publiskais transports ārpus Rīgas"</t>
  </si>
  <si>
    <t xml:space="preserve">Pasākums "IKT infrastruktūra un pakalpojumi" </t>
  </si>
  <si>
    <t>Aktivitāte "Publiskās pārvaldes elektronisko pakalpojumu un informācijas sistēmu attīstība"</t>
  </si>
  <si>
    <t>Apakšaktivitāte "Informācijas sistēmu un elektronisko pakalpojumu attīstība"</t>
  </si>
  <si>
    <t>Apakšaktivitāte "Izglītības iestāžu informatizācija"</t>
  </si>
  <si>
    <t>Aktivitāte "Publisko interneta pieejas punktu attīstība"</t>
  </si>
  <si>
    <t>Aktivitāte "Elektronisko sakaru pakalpojumu vienlīdzīgas pieejamības nodrošināšana visā valsts teritorijā (platjoslas tīkla attīstība)"</t>
  </si>
  <si>
    <t>Aktivitāte "Valsts nozīmes elektronisko sakaru tīklu izveide, attīstība un pilnveidošana, informācijas datu pārraides drošības nodrošināšana"</t>
  </si>
  <si>
    <t>Apakšaktivitāte "Valsts nozīmes elektronisko sakaru tīklu izveide, attīstība un pilnveidošana"</t>
  </si>
  <si>
    <t>Apakšaktivitāte "Informācijas datu pārraides drošības nodrošināšana"</t>
  </si>
  <si>
    <t>Prioritāte "Eiropas nozīmes transporta tīklu attīstība un ilgtspējīga transporta veicināšana"</t>
  </si>
  <si>
    <t>Pasākums "Liela mēroga transporta infrastruktūras uzlabojumi un attīstība"</t>
  </si>
  <si>
    <t>Aktivitāte "TEN-T autoceļu tīkla uzlabojumi"</t>
  </si>
  <si>
    <t>Aktivitāte "TEN-T dzelzceļa posmu rekonstrukcija un attīstība (Austrumu-Rietumu dzelzceļa koridora infrastruktūras attīstība un Rail Baltica)"</t>
  </si>
  <si>
    <t>Aktivitāte "Lielo ostu infrastruktūras attīstība „Jūras maģistrāļu” ietvaros"</t>
  </si>
  <si>
    <t>Aktivitāte "Lidostu infrastruktūras attīstība"</t>
  </si>
  <si>
    <t>Aktivitāte "Pilsētu infrastruktūras uzlabojumi sasaistei ar TEN-T"</t>
  </si>
  <si>
    <t>Aktvitiāte "Liepājas Karostas ilgtspējīgas attīstības priekšnoteikumu nodrošināšana"</t>
  </si>
  <si>
    <t>Pasākums "Ilgtspējīgas transporta sistēmas attīstība"</t>
  </si>
  <si>
    <t>Aktivitāte "Ilgtspējīga sabiedriskā transporta sistēmas attīstība"</t>
  </si>
  <si>
    <t>    Prioritāte "Kvalitatīvas vides dzīvei un ekonomiskai aktivitātei nodrošināšana"</t>
  </si>
  <si>
    <t>      Pasākums "Vide"</t>
  </si>
  <si>
    <t>Aktivitāte "Ūdenssaimniecības infrastruktūras attīstība apdzīvotās vietās ar iedzīvotāju skaitu līdz 2000"</t>
  </si>
  <si>
    <t>Aktivitāte "Bioloģiskās daudzveidības saglabāšanas ex situ infrastruktūras izveide"</t>
  </si>
  <si>
    <t>Aktivitāte "Vēsturiski piesārņoto vietu sanācija"</t>
  </si>
  <si>
    <t>Aktivitāte "Vides risku samazināšana"</t>
  </si>
  <si>
    <t>Apakšaktivitāte "Plūdu risku samazināšana grūti prognozējamu vižņu-ledus parādību gadījumos"</t>
  </si>
  <si>
    <t>Apakšaktivitāte "Hidrotehnisko būvju rekonstrukcija plūdu draudu risku novēršanai un samazināšanai"</t>
  </si>
  <si>
    <t>Pasākums "Tūrisms"</t>
  </si>
  <si>
    <t>Aktivitāte "Nacionālās nozīmes tūrisma produkta attīstība"</t>
  </si>
  <si>
    <t>Apakšaktivitāte "Valsts nozīmes pilsētbūvniecības pieminekļu saglabāšana, atjaunošana un infrastruktūras pielāgošana tūrisma produkta attīstībai"</t>
  </si>
  <si>
    <t>Apakšaktivitāte "Nacionālās nozīmes velotūrisma produkta attīstība"</t>
  </si>
  <si>
    <t>Apakšaktivitāte "Nacionālās nozīmes kultūras, aktīvā, veselības un rekreatīvā tūrisma produkta attīstība"</t>
  </si>
  <si>
    <t>Aktivitāte "Tūrisma informācijas sistēmas attīstība"</t>
  </si>
  <si>
    <t>Pasākums "Kultūrvides sociālekonomiskā ietekme"</t>
  </si>
  <si>
    <t>Aktivitāte "Nacionālas un reģionālas nozīmes daudzfunkcionālu centru izveide"</t>
  </si>
  <si>
    <t>Aktivitāte "Sociālekonomiski nozīmīgu kultūras mantojuma objektu atjaunošana"</t>
  </si>
  <si>
    <t>Aktivitāte "Atbalsts kultūras pieminekļu privātīpašniekiem kultūras pieminekļu saglabāšanā un to sociālekonomiskā potenciāla efektīvā izmantošanā"</t>
  </si>
  <si>
    <t>Pasākums "Mājokļa energoefektivitāte"</t>
  </si>
  <si>
    <t>Aktivitāte "Daudzdzīvokļu māju siltumnoturības uzlabošanas pasākumi"</t>
  </si>
  <si>
    <r>
      <t>Aktivitāte "Sociālo dzīvojamo māju siltumnoturības uzlabošanas pasākumi"</t>
    </r>
    <r>
      <rPr>
        <vertAlign val="superscript"/>
        <sz val="13"/>
        <rFont val="Times New Roman"/>
        <family val="1"/>
        <charset val="186"/>
      </rPr>
      <t/>
    </r>
  </si>
  <si>
    <t>Prioritāte "Vides infrastruktūras un videi draudzīgas enerģētikas veicināšana"</t>
  </si>
  <si>
    <t>Pasākums "Vides aizsardzības infrastruktūra"</t>
  </si>
  <si>
    <t>Aktivitāte "Ūdenssaimniecības infrastruktūras attīstība aglomerācijās ar cilvēku ekvivalentu lielāku par 2000"</t>
  </si>
  <si>
    <t>Aktivitāte "Reģionālu atkritumu apsaimniekošanas sistēmu attīstība"</t>
  </si>
  <si>
    <t>Apakšaktivitāte "Normatīvo aktu prasībām neatbilstošo izgāztuvju rekultivācija"</t>
  </si>
  <si>
    <t>Apakšaktivitāte "Reģionālu atkritumu apsaimniekošanas sistēmu attīstība"</t>
  </si>
  <si>
    <t>Apakšaktivitāte "Dalītās atkritumu apsaimniekošanas sistēmas attīstība"</t>
  </si>
  <si>
    <t>Aktivitāte "Infrastruktūras izveide Natura 2000 teritorijās"</t>
  </si>
  <si>
    <t>Aktivitāte "Vides monitoringa un kontroles sistēmas attīstība"</t>
  </si>
  <si>
    <t>Pasākums "Enerģētika"</t>
  </si>
  <si>
    <t>Aktivitāte "Pasākumi siltumapgādes sistēmu efektivitātes paaugstināšanai"</t>
  </si>
  <si>
    <t>Apakšaktivitāte "Pasākumi centralizētās siltumapgādes sistēmu efektivitātes paaugstināšanai"</t>
  </si>
  <si>
    <t>Apakšaktivitāte "Pasākumi uzņēmumu siltumapgādes sistēmu efektivitātes paaugstināšanai"</t>
  </si>
  <si>
    <t>Aktivitāte "Atjaunojamo energoresursu izmantojošu koģenerācijas elektrostaciju attīstība"</t>
  </si>
  <si>
    <t>Aktivitāte "Vēja elektrostaciju attīstība"</t>
  </si>
  <si>
    <t>Aktivitāte "Daugavas hidroelektrostaciju aizsprostu pārgāžņu rekonstrukcija"</t>
  </si>
  <si>
    <t>Prioritāte "Policentriska attīstība"</t>
  </si>
  <si>
    <t>Pasākums "Atbalsts ilgtspējīgai pilsētvides un pilsētreģionu attīstībai"</t>
  </si>
  <si>
    <t>Aktivitāte "Nacionālas un reģionālas nozīmes attīstības centru izaugsmes veicināšana līdzsvarotai valsts attīstībai"</t>
  </si>
  <si>
    <t>Aktivitāte "Rīgas pilsētas ilgtspējīga attīstība"</t>
  </si>
  <si>
    <t>Pasākums "Komplekss atbalsts novadu pašvaldību izaugsmes sekmēšanai"</t>
  </si>
  <si>
    <t>Aktivitāte "Atbalsts novadu pašvaldību kompleksai attīstībai"</t>
  </si>
  <si>
    <t>Prioritāte "Tehniskā palīdzība ERAF ieviešanai"</t>
  </si>
  <si>
    <t>Pasākums "Atbalsts darbības programmas "Infrastruktūra un pakalpojumi" vadībai"</t>
  </si>
  <si>
    <t>Prioritāte "Tehniskā palīdzība KF ieviešanai"</t>
  </si>
  <si>
    <t>Pasākums "Atbalsts Kohēzijas fonda vadībai"</t>
  </si>
  <si>
    <r>
      <t>Ministrija</t>
    </r>
    <r>
      <rPr>
        <b/>
        <sz val="13"/>
        <rFont val="Times New Roman"/>
        <family val="1"/>
        <charset val="204"/>
      </rPr>
      <t/>
    </r>
  </si>
  <si>
    <t>1.2.1.1.2.</t>
  </si>
  <si>
    <t>VeM</t>
  </si>
  <si>
    <t>Vkanceleja</t>
  </si>
  <si>
    <t>VARAM</t>
  </si>
  <si>
    <t>Atbildīgo ministriju/ EK/ partneru piedāvātais virssaistību apmērs, LVL</t>
  </si>
  <si>
    <t>augsts pieprasījums, iespējas atbalstīt jauniešu nodarbinātības veicināšanu; AI izteikta nepieciešamība pēc virssaistībām</t>
  </si>
  <si>
    <t>iespējas atbalstīt jauniešu nodarbinātības veicināšanu;AI izteikta nepieciešamība pēc virssaistībām</t>
  </si>
  <si>
    <t>jauniešu bezdarba mazināšana ar subsidētajām darba vietām, netieši sniedzot atbalstu uzņēmējdarbībai; AI izteikta nepieciešamība pēc virssaistībām</t>
  </si>
  <si>
    <t>Liela ieinteresetība no iedzīvotāju puses, tai paša laikā vērsta uz ES 2020 mērķa sasniegšanu. Saskaņā ar Latgales reģiona rīcības plānā 2012.-2013.gadam plānoto; AI izteikta nepieciešamība pēc virssaistībām</t>
  </si>
  <si>
    <t>Publiskais finansējums (SF + VB) atbilstoši apst. MK p/l un not., LVL</t>
  </si>
  <si>
    <t>Nepieciešamo virssaistību summa, ES fondu daļa</t>
  </si>
  <si>
    <t>Ar šo krāsu iekrāsotas tās aktivitātes, kurās būtu paredzamas virssaistību iespējas</t>
  </si>
  <si>
    <t>ES fonda finansējums atbilstoši konceptuāli apst. MK p/l, LVL</t>
  </si>
  <si>
    <t>3. Virssaistību iespējas 2007.-2013.gada plānošanas perioda ES fondu projektos</t>
  </si>
  <si>
    <t>10=9/6</t>
  </si>
  <si>
    <t>Nepieciešamo virssaistību summa, Publiskais finansējums (SF+VB), pēc KDG 23.04.2012. sēdes</t>
  </si>
  <si>
    <t>Pamatojums virssaistību nepieciešamībai vai noraidīšanai</t>
  </si>
  <si>
    <t>Ņemot vērā pozitīvo maksājumu progresu, neatbilstību apjomu un to, ka nav plānots sasniegt DPP noteiktos rādītājus.AI izteikta nepieciešamība pēc virssaistībām.</t>
  </si>
  <si>
    <t>Eiro projekta ieviešanai</t>
  </si>
  <si>
    <t>Saskaņā ar Latgales reģiona rīcības plānā 2012.-2013.gadam plānoto. Papildus finansējums paredzēts 6 Latgales reģiona novada pašvaldībām  papildus projektu īstenošanai, kas veicinās saimnieciskās darbības teritoriju attīstību. Balvi, Krāslava, Ludza, Preiļi, Daugavpils, Rēzekne (novadi).</t>
  </si>
  <si>
    <t>Ņemot vērā, ka maksājumu progress ir pozitīvi vērtējams, taču  neatbilstību apjoms ir salīdzinoši liels. AI izteikta nepieciešamība pēc virssaistībām. Atbilstoši Demogrāfijas padomes lēmumam  finansējums bērnudārzu celtniecībai ir noteikta kā prioritāte.</t>
  </si>
  <si>
    <t>Nepieciešamība Latvijai nodrošināt direktīvu izpildi gaisa monitoringa pasākumu veikšanai (piesārņojuma integrēta novērtēšana un kontrole).</t>
  </si>
  <si>
    <t>Provizoriski papildus nepieciešamais pašvadlību finansējums, LVL</t>
  </si>
  <si>
    <t>I cet.</t>
  </si>
  <si>
    <t>II cet.</t>
  </si>
  <si>
    <t>III cet.</t>
  </si>
  <si>
    <t>IV cet.</t>
  </si>
  <si>
    <t>Gala cipars saskaņots ar AI - jā/nē</t>
  </si>
  <si>
    <t>1.kārtas projekti beidzas 2012.gadā, nepieciešams turpinājums 2013-2014.gadā, augsts  pieprasījums, lai veidotu jaunas darba vietas jaunajiem zinātniekiem un lai sasniegtu DPP noteiktos rezultāta rādītājus; nākamo kārtu plānots izsludināt 07.2012., projektus apstiprināt 2012.g. rudenī</t>
  </si>
  <si>
    <t xml:space="preserve">AI izteikta nepieciešamība pēc virssaistībām, augsts  pieprasījums; virssaistības 4,3 milj. saskaņā ar jauniešu bezdarba mazināšanas rīcības plānu, saņemts EK atbalsts papildu finansējuma piešķiršanai; virssaistību apguve jau sākot ar 2012.g. rudeni, uzņemot lielāku audzēkņu skaitu 1-1,5 gadīgajās programmās, iesaistot bezdarbniekus ar zemu izglītības līmeni </t>
  </si>
  <si>
    <t>Papildu finansējums 2 milj. LVL saskaņā ar jauniešu bezdarba mazināšanas rīcības plānu, saņemts EK atbalsta pasākuma īstenošanai; AI izteikta nepieciešamība pēc virssaistībām, projektu plānots apstiprināt 2012.gadā, karjeras izglītības pasākumu ieviešana sākot ar 2013.gadu</t>
  </si>
  <si>
    <t>Virssaistības jau ir piešķirtas 5 341 209 LVL 1.kārtas īstenošanai; papildus virssaistības 8,5 milj. LVL 2.kārtas īstenošanai, saskaņā ar Latgales rīcības plānu; AI izteikta nepieciešamība pēc virssaistībām</t>
  </si>
  <si>
    <t>VARAM piedāvājums uzņemties virssaistības nav atbalstāms, ņemot vērā nepieciešamību esošajā ekonomiskajā situācijā primāri atbalstīt pasākumu īstenošanu (nodarbinātības paaugstināšana, t.sk. jauniešu nodarbinātība), kas tiešā veidā veicina tautsaimniecības attīstību</t>
  </si>
  <si>
    <t>Lai nodrošinātu vienlīdzīgu pakalpojuma pieejamību visiem iedzīvotājiem, ir nepieciešams veidot jaunus neatliekamās medicīniskās palīdzības punktus un atjaunot neatliekamās medicīniskās palīdzības mašīnu parku. Neatliekamās medicīniskās palīdzības pieejamības uzlabošana kā uzdevums iekļauts Latvijas Stratēģiskās attīstības plānā 2010.–2013.gadam un Latvijas Nacionālajā attīstības plānā 2007-2013.</t>
  </si>
  <si>
    <t xml:space="preserve">1.3.2.3.aktivitātei augsta pieprasījuma dēļ nepieciešams nodrošināt papildus finansējumu aktivitātes ieviešanai 2013.-2015.gadā. Sākotnēji aktivitātei piešķirtais finansējums, kas tika samazināts 2010.gadā, bija 16 205 833 LVL. Problēma ar aktivitātes rādītāju ir atrisināta un problēma ar sertifikātu izsniegšanu ir daļēji atrisināta. Papildus šīs problēmas neietekmē aktivitātes turpmāko ieviešanu, jo liels pieprasījums no ārstniecības iestādēm un speciālistiem ir apmācībās, kur nebija problēmu ar sertifikātiem. Kas attiecas uz aktivitātes rezultātiem, tad tieši finansējuma samazināšana aktivitātei ietekmēja rādītāju izpildi un virssaistību piešķiršana viennozīmīgi uzlabotu rādītāju vērtības. Ārstu kvalifikācijas līmenis ietekmē nozares kopējo attīstību un veselības aprūpes pakalpojumu sniegšanu, kam ir nozīmīga ietekmē uz IKP un valsts izaugsmi.  </t>
  </si>
  <si>
    <t xml:space="preserve">1) Ieguldījums tautsaimniecības attīstībā, sekmējot pētniecības rezultātu komercializāciju un privātā sektora finansējuma piesaisti pētniecībai;
2) Augsts pieprasījums un nepieciešamība pēc finanšu atbalsta komercpētniecības infrastruktūras attīstībai, kur atklātās atlases ietvaros ar pieejamo finansējumu 46,3 milj LVL tika iesniegti projekti par 103 milj LVL . 
3) Šobrīd aktivitātē ir atlikums 13 milj LVL, ar virssaistībām 5 milj LVL kopējais 3.kārtai (komercpētniecības infrastruktūrai) pieejamais finansējums sastāda 18 milj LVL
4) Finansējuma neapguves risks 2.1.prioritātē "Zinātne un inovācijas" (IZM š.g. 18.aprīļa vēstule Nr. 01/10-1682)
</t>
  </si>
  <si>
    <t>2.3.2.2.2.</t>
  </si>
  <si>
    <t>Apakšaktivitāte "Atbalsts ieguldījumiem ražošanas telpu izveidei vai rekonstrukcijai"</t>
  </si>
  <si>
    <r>
      <t xml:space="preserve">1) Virssaistības 15 milj LVL nepieciešamas, lai atbalstītu </t>
    </r>
    <r>
      <rPr>
        <b/>
        <sz val="12"/>
        <rFont val="Times New Roman"/>
        <family val="1"/>
        <charset val="186"/>
      </rPr>
      <t xml:space="preserve">komersantu interesēs veiktus </t>
    </r>
    <r>
      <rPr>
        <sz val="12"/>
        <rFont val="Times New Roman"/>
        <family val="1"/>
        <charset val="204"/>
      </rPr>
      <t xml:space="preserve">praktiskas ievirzes pētniecības projektus, kas nepieciešami tehnoloģiju pārnesei un ieguldījumiem tautsaimniecības attīstībā;
2) Augsts pieprasījums pēc finanšu atbalsta, jo 1.kārtas projekti beidzas 2013.g sākumā, nepieciešams turpinājums 2013-2015.g., svarīgi nodrošināt  pēctecību periodā no 2013.gada līdz nākamajam plānošanas perioda uzsākumam;
3) 1.kārtā apstiprinātie 122 projekti nesasniedz DPP noteikto iznākuma un rezultāta rādītājus;
4) Šobrīd aktivitātē ir atlikums 3 milj LVL, ar virssaistībām 15 milj LVL kopējais 18 milj LVL finansējums  dotu iespēju papildu apstiprināt aptuveni 51 projektu: 51 projekts x 350 000 LVL ir aptuveni 18 000 000 LVL;       
5) Finansējuma neapguves risks 2.1.prioritātē "Zinātne un inovācijas" (IZM š.g. 18.aprīļa vēstule Nr. 01/10-1682)
</t>
    </r>
  </si>
  <si>
    <t>EM piedāvājums uzņemties virssaistības nav atbalstāms, ņemot vērā, ka daļas finansējuma saņēmēju projekta īstenošanas progress ir neapmierinošs un jau šobrīd tiek veikti grozījumi aktivitātes MK noteikumos, veicot iekšēju finansējuma pārdali projektiem ar apmierinošu īstenošanas progresu. Turklāt komersantu interese aktivitātes ietvaros veicināt jauniešu nodarbinātību ir nepietiekama.</t>
  </si>
  <si>
    <t>1) Virssaistību mērķis ir veicināt  EK iniciatīvas par jauniešu nodarbinātību ieviešanu, kā arī lai nodrošinātu profesionālās izglītības iestāžu tīkla optimizācijas pabeigšanu līdz 2015.gadam atbilstoši valdībā nolemtajam. 2) Papildu finansējums nepieciešams arī rīcības plāna Latgalei ieviešanai, lai nodrošinātu pietiekamu atbalstu Latgalē esošo skolu infrastruktūras sakārtošanai. 3) Saņemts EK atbalsts papildu finansējuma piešķiršanai. 4) Aktivitātes ietvaros ir augsts neatbilstību līmenis, kas var palielināties nākamjos gados, turklāt rādītāji nav sasniegti. AI izteikta nepieciešamība pēc virssaistībām.</t>
  </si>
  <si>
    <t>Ņemot vērā ceļu nozares nozīmību un saskaņā ar MK 23.11.2010. sēdes protokollēmumu Nr.67 1.§ FM jānodrošina papildu finansējums ceļu infrastruktūras sakārtošanai; AI izteikta nepieciešamība pēc virssaistībām</t>
  </si>
  <si>
    <t>Neatbalstām Vides aizsardzības un reģionālās attīstības ministrijas priekšlikumu palielināt virssaistību apjomu par 33 331 756 latiem, ņemot vērā, ka saskaņā ar Latgales reģiona rīcības plānā 2012.-2030.gadam plānoto virssaistības paredzētas tikai 3 Latgales reģiona pašvaldībām papildu projektu īstenošanai. Vienlaikus norādām, ka 3.6.prioritātē plānotais virssaistību apjoms sasniedz 15%. Šobrīd nav pamata apgalvot, ka 3.6.prioritātes projektu ietvaros varētu rasties neatbilstības vai tiktu pārtraukta projektu īstenošana tādos apmēros, lai nosegtu virssaistības pieprasītajā apjomā</t>
  </si>
  <si>
    <t xml:space="preserve">Rezerve ietaupījumiem 10% no neapstiprināto projektu summas.  Apakšaktivitātes ietvaros vēl jārekultivē 50 atkritumu izgāztuves, tai skaitā Rīgas pilsētā (Kleisti, Deglava iela), kur rekultivējamā platība sastāda gandrīz 50% no apakšaktivitātes ietvaros vēl rekultivējāmās platības, kas var apdraudēt atlikušo sadzīves atkritumu izgāztuvju rekultivāciju. </t>
  </si>
  <si>
    <t>Ņemot vērā ceļu nozares prioritāti un saskaņā ar MK 23.11.2010. sēdēs protokollēmumu Nr.67 1.§ FM jānodrošina papildu finansējums ceļu infrastruktūras sakārtošanai; AI izteikta nepieciešamība pēc virssaistībām.</t>
  </si>
  <si>
    <t>Kopā 2012-2015</t>
  </si>
  <si>
    <t>VM</t>
  </si>
  <si>
    <t>Saskaņā ar no EM saņemto informāciju, apakšaktivitātes ietvaros jau piešķirtās virssaistības 3 402 311 latu apmērā vairs nav nepieciešamas, līdz ar to EM ierosina minēto virssaistību apjomu pārdalīt 2.1.2.4.aktivitātes "Augstas pievienotās vērtības investīcijas" virssaistībām.</t>
  </si>
  <si>
    <r>
      <t xml:space="preserve">1. Saskaņā ar Latgales reģiona rīcības plānā 2012. – 2013.gadam paredzēto apakšaktivitātes īstenošanai ir piešķirts finansējums 6 000 000 latu apmērā, pārdalot neapgūto finansējumu no 2.3.2.2.aktivitātes "Atbalsts ieguldījumiem mikro, maziem un vidējiem komersantiem īpaši atbalstāmajās teritorijās (ĪAT)" (pēc EM precizētās informācijas - neapgūtā finansējuma apjoms jau ir sasniedzis 6 200 000 latu).                            2. Apakšaktivitātes ietvaros tiks veicināta nodarbinātība reģionos, mazinātas reģionālās attīstības atšķirības, kā arī izveidota atbilstoša infrastruktūras apstrādes rūpniecības uzņēmumu izveidei.
</t>
    </r>
    <r>
      <rPr>
        <b/>
        <sz val="13"/>
        <rFont val="Times New Roman"/>
        <family val="1"/>
        <charset val="186"/>
      </rPr>
      <t xml:space="preserve">     </t>
    </r>
  </si>
  <si>
    <t xml:space="preserve">1. Jau ir virssaistības 13 086 882 latu apmērā.                                                                      2. VI piekrīt papildus virssaistībām 9 969 442 LVL apmērā, tai skaitā, 6 567 131 LVL apmērā (atbilstoši KDG 23.aprīļa sēdē nolemtajam)  un    3 402 311  LVL apmērā (virssaistības, kas vairs nav nepieciešamas 2.1.2.2.2.apakšaktivitātes „Jaunu produktu un tehnoloģiju izstrāde-atbalsts jaunu produktu un tehnoloģiju ieviešanai ražošanā” ietvaros).
3. Augsts noraidīto un pārtraukto projektu apjoms. Pašlaik notiek projektu pieteikumu vērtēšana. Pieteikts 51 projekts, ERAF pieprasījums 82 milj.LVL. Ar papildus viristībām būtu iespējams nofinansēt vairāk kā pusi no iesniegto projekttu pieteikumu, kuru ietvaros izveido jaunas darba vietas ar augstu pievienoto vērtību. 
</t>
  </si>
  <si>
    <t>Ministrijas piedāvājums pēc KDG 23.04.2012. sēdes</t>
  </si>
  <si>
    <t>Nepieciešamo virssaistību summa, Publiskais finansējums (SF+VB)</t>
  </si>
  <si>
    <t>Finanšu ministrs</t>
  </si>
  <si>
    <t>A.Vilks</t>
  </si>
  <si>
    <t>S.Albiņa</t>
  </si>
  <si>
    <t>Izglītības un zinātnes ministrija</t>
  </si>
  <si>
    <t>Vides aizsardzības un reģionālās attīstības ministrija</t>
  </si>
  <si>
    <t>Satiksmes ministrija</t>
  </si>
  <si>
    <t>Ekonomikas ministrija</t>
  </si>
  <si>
    <t>Labklājības ministrija</t>
  </si>
  <si>
    <t>Veselības ministrija</t>
  </si>
  <si>
    <t>Finanšu ministrija</t>
  </si>
  <si>
    <t>Valsts kanceleja</t>
  </si>
  <si>
    <t>Noslēgtie līgumi 2011.gadā</t>
  </si>
  <si>
    <t>Veiktie maksājumi 2011.gadā</t>
  </si>
  <si>
    <t>MK 15.05.2012.</t>
  </si>
  <si>
    <t>MK 05.06.2012.</t>
  </si>
  <si>
    <t>MK 12.06.2012.</t>
  </si>
  <si>
    <t>MK 08.05.12. lemtās virssaistības</t>
  </si>
  <si>
    <t>MK 29.05.2012. (Latgales Rīcības plāns 2012-2013.g.)</t>
  </si>
  <si>
    <t>Piešķirto virssaistību summa</t>
  </si>
  <si>
    <t>Sociālekonomiski nozīmīgu kultūras mantojuma objektu atjaunošana</t>
  </si>
  <si>
    <t>Noslēgto līgumu apjoms (INDIKATĪVI)</t>
  </si>
  <si>
    <t>Atbalsts kultūras pieminekļu privātīpašniekiem kultūras pieminekļu saglabāšanā un to sociālekonomiskā potenciāla efektīvā izmantošanā*</t>
  </si>
  <si>
    <t>Virssaistību iespējas 2007.-2013.gada plānošanas perioda ES fondu projektos dalījumā pa ceturkšņiem un gadiem (LVL), kumulatīvi gada ietvaros</t>
  </si>
  <si>
    <t>Kultūras ministrija**</t>
  </si>
  <si>
    <t>** KM virssaistības konceptuāli apstiprinātas</t>
  </si>
  <si>
    <t>MK 16.10.2012.</t>
  </si>
  <si>
    <t>1.5.2.1.</t>
  </si>
  <si>
    <t>2.1.1.3.1.*</t>
  </si>
  <si>
    <t>3.1.1.1.*</t>
  </si>
  <si>
    <t>3.2.2.1.1.*</t>
  </si>
  <si>
    <t>1.3.2.3.*</t>
  </si>
  <si>
    <t>* Virssaistību apguves plāns tiks precizēts līdz 2012.gada 6.novembrim</t>
  </si>
  <si>
    <t>67083808, Signe.Albina@fm.gov.lv</t>
  </si>
  <si>
    <t>1.3.1.5.***</t>
  </si>
  <si>
    <t>09.11.2012.</t>
  </si>
  <si>
    <t xml:space="preserve">***aktivitātei pieejamās virssaistības 2007. -2015. gadam, t.sk. piešķirtās virssaistības aktivitātes 1.kārtas projektam 7 163 639 latu apmērā, saskaņā ar 22.02.2011. grozījumiem Ministru kabineta 14.07.2009 noteikumos Nr.774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</si>
</sst>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0"/>
    <numFmt numFmtId="167" formatCode="[$-1010426]#,##0.00;\-#,##0.00"/>
    <numFmt numFmtId="168" formatCode="#,##0.000"/>
    <numFmt numFmtId="169" formatCode="#,##0.0000"/>
  </numFmts>
  <fonts count="116">
    <font>
      <sz val="11"/>
      <color theme="1"/>
      <name val="Calibri"/>
      <family val="2"/>
      <charset val="186"/>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0"/>
      <name val="Arial"/>
      <family val="2"/>
      <charset val="186"/>
    </font>
    <font>
      <sz val="10"/>
      <name val="Arial"/>
      <family val="2"/>
      <charset val="186"/>
    </font>
    <font>
      <sz val="11"/>
      <color theme="1"/>
      <name val="Calibri"/>
      <family val="2"/>
      <charset val="186"/>
      <scheme val="minor"/>
    </font>
    <font>
      <sz val="13"/>
      <name val="Times New Roman"/>
      <family val="1"/>
      <charset val="204"/>
    </font>
    <font>
      <b/>
      <sz val="13"/>
      <name val="Times New Roman"/>
      <family val="1"/>
      <charset val="204"/>
    </font>
    <font>
      <b/>
      <vertAlign val="superscript"/>
      <sz val="13"/>
      <name val="Times New Roman"/>
      <family val="1"/>
      <charset val="186"/>
    </font>
    <font>
      <b/>
      <sz val="13"/>
      <name val="Times New Roman"/>
      <family val="1"/>
      <charset val="186"/>
    </font>
    <font>
      <sz val="14"/>
      <color indexed="81"/>
      <name val="Times New Roman"/>
      <family val="1"/>
      <charset val="186"/>
    </font>
    <font>
      <b/>
      <sz val="14"/>
      <color indexed="81"/>
      <name val="Times New Roman"/>
      <family val="1"/>
      <charset val="186"/>
    </font>
    <font>
      <sz val="10"/>
      <color theme="1"/>
      <name val="Times New Roman"/>
      <family val="2"/>
      <charset val="186"/>
    </font>
    <font>
      <b/>
      <sz val="11"/>
      <color theme="1"/>
      <name val="Calibri"/>
      <family val="2"/>
      <scheme val="minor"/>
    </font>
    <font>
      <b/>
      <i/>
      <sz val="11"/>
      <color theme="1"/>
      <name val="Calibri"/>
      <family val="2"/>
      <scheme val="minor"/>
    </font>
    <font>
      <sz val="11"/>
      <color rgb="FF000000"/>
      <name val="Calibri"/>
      <family val="2"/>
      <charset val="186"/>
      <scheme val="minor"/>
    </font>
    <font>
      <sz val="11"/>
      <color theme="1"/>
      <name val="Calibri"/>
      <family val="2"/>
      <scheme val="minor"/>
    </font>
    <font>
      <i/>
      <sz val="11"/>
      <color theme="1" tint="0.499984740745262"/>
      <name val="Calibri"/>
      <family val="2"/>
      <charset val="186"/>
      <scheme val="minor"/>
    </font>
    <font>
      <sz val="11"/>
      <color rgb="FFFF0000"/>
      <name val="Calibri"/>
      <family val="2"/>
      <charset val="186"/>
      <scheme val="minor"/>
    </font>
    <font>
      <b/>
      <sz val="10"/>
      <name val="Times New Roman"/>
      <family val="1"/>
      <charset val="204"/>
    </font>
    <font>
      <b/>
      <vertAlign val="superscript"/>
      <sz val="10"/>
      <name val="Times New Roman"/>
      <family val="1"/>
      <charset val="204"/>
    </font>
    <font>
      <b/>
      <sz val="10"/>
      <color rgb="FFFF0000"/>
      <name val="Times New Roman"/>
      <family val="1"/>
      <charset val="204"/>
    </font>
    <font>
      <b/>
      <sz val="10"/>
      <name val="Times New Roman"/>
      <family val="1"/>
      <charset val="186"/>
    </font>
    <font>
      <b/>
      <vertAlign val="superscript"/>
      <sz val="10"/>
      <name val="Times New Roman"/>
      <family val="1"/>
      <charset val="186"/>
    </font>
    <font>
      <sz val="10"/>
      <color theme="1"/>
      <name val="Times New Roman"/>
      <family val="1"/>
      <charset val="186"/>
    </font>
    <font>
      <b/>
      <sz val="10"/>
      <color theme="1"/>
      <name val="Times New Roman"/>
      <family val="1"/>
      <charset val="186"/>
    </font>
    <font>
      <sz val="10"/>
      <name val="Arial"/>
      <family val="2"/>
      <charset val="186"/>
    </font>
    <font>
      <sz val="13"/>
      <name val="Times New Roman"/>
      <family val="1"/>
      <charset val="186"/>
    </font>
    <font>
      <b/>
      <sz val="11"/>
      <color rgb="FFFF0000"/>
      <name val="Calibri"/>
      <family val="2"/>
      <scheme val="minor"/>
    </font>
    <font>
      <sz val="11"/>
      <color rgb="FFFF0000"/>
      <name val="Calibri"/>
      <family val="2"/>
      <scheme val="minor"/>
    </font>
    <font>
      <b/>
      <sz val="11"/>
      <color rgb="FFFF0000"/>
      <name val="Calibri"/>
      <family val="2"/>
      <charset val="186"/>
      <scheme val="minor"/>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0"/>
      <name val="Times New Roman"/>
      <family val="1"/>
      <charset val="186"/>
    </font>
    <font>
      <sz val="10"/>
      <name val="BaltHelvetica"/>
    </font>
    <font>
      <sz val="10"/>
      <name val="Helv"/>
    </font>
    <font>
      <sz val="11"/>
      <color indexed="8"/>
      <name val="Calibri"/>
      <family val="2"/>
    </font>
    <font>
      <sz val="11"/>
      <color indexed="9"/>
      <name val="Calibri"/>
      <family val="2"/>
    </font>
    <font>
      <b/>
      <sz val="11"/>
      <color indexed="8"/>
      <name val="Calibri"/>
      <family val="2"/>
    </font>
    <font>
      <sz val="10"/>
      <name val="BaltGaramond"/>
      <family val="2"/>
    </font>
    <font>
      <sz val="10"/>
      <color indexed="8"/>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0"/>
      <name val="BaltGaramond"/>
      <family val="2"/>
      <charset val="186"/>
    </font>
    <font>
      <b/>
      <sz val="10"/>
      <color indexed="8"/>
      <name val="Times New Roman"/>
      <family val="1"/>
      <charset val="186"/>
    </font>
    <font>
      <sz val="11"/>
      <color indexed="16"/>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name val="BaltOptima"/>
      <charset val="186"/>
    </font>
    <font>
      <sz val="10"/>
      <color indexed="12"/>
      <name val="Arial"/>
      <family val="2"/>
      <charset val="186"/>
    </font>
    <font>
      <sz val="10"/>
      <color theme="1"/>
      <name val="Arial"/>
      <family val="2"/>
      <charset val="186"/>
    </font>
    <font>
      <sz val="13"/>
      <color theme="1"/>
      <name val="Calibri"/>
      <family val="2"/>
      <charset val="186"/>
      <scheme val="minor"/>
    </font>
    <font>
      <sz val="13"/>
      <name val="Calibri"/>
      <family val="2"/>
      <charset val="186"/>
      <scheme val="minor"/>
    </font>
    <font>
      <b/>
      <sz val="13"/>
      <color rgb="FFFF0000"/>
      <name val="Times New Roman"/>
      <family val="1"/>
      <charset val="204"/>
    </font>
    <font>
      <b/>
      <sz val="13"/>
      <color theme="1"/>
      <name val="Times New Roman"/>
      <family val="1"/>
      <charset val="186"/>
    </font>
    <font>
      <b/>
      <i/>
      <sz val="13"/>
      <name val="Times New Roman"/>
      <family val="1"/>
      <charset val="204"/>
    </font>
    <font>
      <b/>
      <i/>
      <vertAlign val="superscript"/>
      <sz val="13"/>
      <color rgb="FFFF0000"/>
      <name val="Times New Roman"/>
      <family val="1"/>
      <charset val="186"/>
    </font>
    <font>
      <sz val="13"/>
      <color theme="1"/>
      <name val="Times New Roman"/>
      <family val="1"/>
      <charset val="186"/>
    </font>
    <font>
      <vertAlign val="superscript"/>
      <sz val="13"/>
      <name val="Times New Roman"/>
      <family val="1"/>
      <charset val="186"/>
    </font>
    <font>
      <b/>
      <i/>
      <vertAlign val="superscript"/>
      <sz val="13"/>
      <color rgb="FFFF0000"/>
      <name val="Times New Roman"/>
      <family val="1"/>
      <charset val="204"/>
    </font>
    <font>
      <sz val="13"/>
      <color theme="1"/>
      <name val="Times New Roman"/>
      <family val="1"/>
      <charset val="204"/>
    </font>
    <font>
      <sz val="13"/>
      <color rgb="FFFF0000"/>
      <name val="Times New Roman"/>
      <family val="1"/>
      <charset val="204"/>
    </font>
    <font>
      <sz val="13"/>
      <color rgb="FFFF0000"/>
      <name val="Calibri"/>
      <family val="2"/>
      <charset val="186"/>
      <scheme val="minor"/>
    </font>
    <font>
      <b/>
      <sz val="16"/>
      <color indexed="8"/>
      <name val="Times New Roman"/>
      <family val="1"/>
      <charset val="204"/>
    </font>
    <font>
      <i/>
      <sz val="16"/>
      <name val="Times New Roman"/>
      <family val="1"/>
      <charset val="204"/>
    </font>
    <font>
      <b/>
      <sz val="13"/>
      <color theme="1"/>
      <name val="Calibri"/>
      <family val="2"/>
      <charset val="186"/>
      <scheme val="minor"/>
    </font>
    <font>
      <sz val="11"/>
      <name val="Calibri"/>
      <family val="2"/>
      <charset val="186"/>
      <scheme val="minor"/>
    </font>
    <font>
      <sz val="12"/>
      <name val="Times New Roman"/>
      <family val="1"/>
      <charset val="186"/>
    </font>
    <font>
      <sz val="12"/>
      <color indexed="8"/>
      <name val="Times New Roman"/>
      <family val="1"/>
      <charset val="186"/>
    </font>
    <font>
      <b/>
      <sz val="12"/>
      <color indexed="8"/>
      <name val="Times New Roman"/>
      <family val="1"/>
      <charset val="186"/>
    </font>
    <font>
      <i/>
      <sz val="12"/>
      <color indexed="8"/>
      <name val="Times New Roman"/>
      <family val="1"/>
      <charset val="186"/>
    </font>
    <font>
      <b/>
      <sz val="12"/>
      <name val="Times New Roman"/>
      <family val="1"/>
      <charset val="186"/>
    </font>
    <font>
      <sz val="12"/>
      <color theme="1"/>
      <name val="Times New Roman"/>
      <family val="1"/>
      <charset val="186"/>
    </font>
    <font>
      <sz val="12"/>
      <name val="Times New Roman"/>
      <family val="2"/>
      <charset val="186"/>
    </font>
    <font>
      <sz val="11"/>
      <name val="Times New Roman"/>
      <family val="2"/>
      <charset val="186"/>
    </font>
    <font>
      <sz val="12"/>
      <name val="Times New Roman"/>
      <family val="1"/>
    </font>
    <font>
      <b/>
      <sz val="13"/>
      <name val="Times New Roman"/>
      <family val="1"/>
    </font>
    <font>
      <b/>
      <sz val="13"/>
      <color theme="1"/>
      <name val="Times New Roman"/>
      <family val="1"/>
    </font>
    <font>
      <b/>
      <sz val="12"/>
      <color indexed="8"/>
      <name val="Times New Roman"/>
      <family val="1"/>
      <charset val="204"/>
    </font>
    <font>
      <sz val="12"/>
      <color theme="1"/>
      <name val="Calibri"/>
      <family val="2"/>
      <charset val="186"/>
      <scheme val="minor"/>
    </font>
    <font>
      <b/>
      <sz val="12"/>
      <name val="Times New Roman"/>
      <family val="1"/>
      <charset val="204"/>
    </font>
    <font>
      <b/>
      <sz val="12"/>
      <color theme="1"/>
      <name val="Times New Roman"/>
      <family val="1"/>
      <charset val="186"/>
    </font>
    <font>
      <sz val="12"/>
      <name val="Times New Roman"/>
      <family val="1"/>
      <charset val="204"/>
    </font>
    <font>
      <b/>
      <i/>
      <sz val="13"/>
      <name val="Times New Roman"/>
      <family val="1"/>
    </font>
    <font>
      <sz val="16"/>
      <color indexed="8"/>
      <name val="Times New Roman"/>
      <family val="1"/>
      <charset val="186"/>
    </font>
    <font>
      <sz val="16"/>
      <name val="Times New Roman"/>
      <family val="1"/>
      <charset val="186"/>
    </font>
    <font>
      <sz val="12"/>
      <color rgb="FF000000"/>
      <name val="Times New Roman"/>
      <family val="1"/>
      <charset val="186"/>
    </font>
    <font>
      <sz val="14"/>
      <color theme="1"/>
      <name val="Calibri"/>
      <family val="2"/>
      <charset val="186"/>
      <scheme val="minor"/>
    </font>
    <font>
      <b/>
      <i/>
      <sz val="14"/>
      <name val="Times New Roman"/>
      <family val="1"/>
      <charset val="204"/>
    </font>
    <font>
      <sz val="14"/>
      <color indexed="81"/>
      <name val="Tahoma"/>
      <family val="2"/>
      <charset val="186"/>
    </font>
    <font>
      <b/>
      <sz val="9"/>
      <color indexed="81"/>
      <name val="Tahoma"/>
      <family val="2"/>
      <charset val="186"/>
    </font>
    <font>
      <b/>
      <sz val="14"/>
      <name val="Times New Roman"/>
      <family val="1"/>
      <charset val="204"/>
    </font>
    <font>
      <sz val="24"/>
      <name val="Times New Roman"/>
      <family val="1"/>
      <charset val="186"/>
    </font>
    <font>
      <sz val="24"/>
      <color theme="1"/>
      <name val="Calibri"/>
      <family val="2"/>
      <charset val="186"/>
      <scheme val="minor"/>
    </font>
    <font>
      <b/>
      <i/>
      <sz val="24"/>
      <name val="Times New Roman"/>
      <family val="1"/>
      <charset val="204"/>
    </font>
    <font>
      <sz val="9"/>
      <color indexed="81"/>
      <name val="Tahoma"/>
      <family val="2"/>
      <charset val="186"/>
    </font>
  </fonts>
  <fills count="57">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30">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diagonal/>
    </border>
    <border>
      <left style="thin">
        <color indexed="64"/>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s>
  <cellStyleXfs count="329">
    <xf numFmtId="0" fontId="0" fillId="0" borderId="0"/>
    <xf numFmtId="0" fontId="12" fillId="0" borderId="0"/>
    <xf numFmtId="0" fontId="12" fillId="0" borderId="0"/>
    <xf numFmtId="0" fontId="12" fillId="0" borderId="0"/>
    <xf numFmtId="0" fontId="12" fillId="0" borderId="0"/>
    <xf numFmtId="0" fontId="13" fillId="0" borderId="0"/>
    <xf numFmtId="0" fontId="13" fillId="0" borderId="0"/>
    <xf numFmtId="0" fontId="11" fillId="0" borderId="0"/>
    <xf numFmtId="0" fontId="12" fillId="0" borderId="0"/>
    <xf numFmtId="0" fontId="12" fillId="0" borderId="0"/>
    <xf numFmtId="0" fontId="12" fillId="0" borderId="0"/>
    <xf numFmtId="0" fontId="12" fillId="0" borderId="0"/>
    <xf numFmtId="0" fontId="13" fillId="0" borderId="0"/>
    <xf numFmtId="4" fontId="20" fillId="5" borderId="2"/>
    <xf numFmtId="9" fontId="13" fillId="0" borderId="0" applyFont="0" applyFill="0" applyBorder="0" applyAlignment="0" applyProtection="0"/>
    <xf numFmtId="0" fontId="34" fillId="0" borderId="0"/>
    <xf numFmtId="0" fontId="10" fillId="0" borderId="0"/>
    <xf numFmtId="9" fontId="10" fillId="0" borderId="0" applyFont="0" applyFill="0" applyBorder="0" applyAlignment="0" applyProtection="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0" fontId="11" fillId="0" borderId="0"/>
    <xf numFmtId="0" fontId="39" fillId="9"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5"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7" fillId="24"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7" fillId="31"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7" fillId="3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33" borderId="0" applyNumberFormat="0" applyBorder="0" applyAlignment="0" applyProtection="0"/>
    <xf numFmtId="0" fontId="46" fillId="27" borderId="0" applyNumberFormat="0" applyBorder="0" applyAlignment="0" applyProtection="0"/>
    <xf numFmtId="0" fontId="47" fillId="34" borderId="0" applyNumberFormat="0" applyBorder="0" applyAlignment="0" applyProtection="0"/>
    <xf numFmtId="0" fontId="61" fillId="27" borderId="0" applyNumberFormat="0" applyBorder="0" applyAlignment="0" applyProtection="0"/>
    <xf numFmtId="0" fontId="62" fillId="28" borderId="7" applyNumberFormat="0" applyAlignment="0" applyProtection="0"/>
    <xf numFmtId="43" fontId="11" fillId="0" borderId="0" applyFont="0" applyFill="0" applyBorder="0" applyAlignment="0" applyProtection="0"/>
    <xf numFmtId="43" fontId="10" fillId="0" borderId="0" applyFont="0" applyFill="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165" fontId="49" fillId="0" borderId="0" applyBorder="0" applyAlignment="0" applyProtection="0"/>
    <xf numFmtId="0" fontId="41" fillId="0" borderId="0" applyNumberFormat="0" applyFill="0" applyBorder="0" applyAlignment="0" applyProtection="0"/>
    <xf numFmtId="0" fontId="63" fillId="38"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0" borderId="10" applyNumberFormat="0" applyFill="0" applyAlignment="0" applyProtection="0"/>
    <xf numFmtId="0" fontId="66" fillId="0" borderId="0" applyNumberFormat="0" applyFill="0" applyBorder="0" applyAlignment="0" applyProtection="0"/>
    <xf numFmtId="166" fontId="49" fillId="39" borderId="0"/>
    <xf numFmtId="0" fontId="67" fillId="0" borderId="11" applyNumberFormat="0" applyFill="0" applyAlignment="0" applyProtection="0"/>
    <xf numFmtId="0" fontId="13"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0" fillId="0" borderId="0"/>
    <xf numFmtId="0" fontId="11" fillId="0" borderId="0"/>
    <xf numFmtId="0" fontId="13" fillId="0" borderId="0"/>
    <xf numFmtId="0" fontId="13" fillId="0" borderId="0"/>
    <xf numFmtId="0" fontId="13" fillId="0" borderId="0"/>
    <xf numFmtId="0" fontId="11" fillId="0" borderId="0"/>
    <xf numFmtId="0" fontId="11" fillId="0" borderId="0"/>
    <xf numFmtId="0" fontId="11" fillId="0" borderId="0"/>
    <xf numFmtId="0" fontId="13" fillId="0" borderId="0"/>
    <xf numFmtId="0" fontId="69" fillId="0" borderId="0"/>
    <xf numFmtId="0" fontId="13" fillId="0" borderId="0"/>
    <xf numFmtId="0" fontId="50" fillId="0" borderId="0"/>
    <xf numFmtId="0" fontId="11" fillId="0" borderId="0"/>
    <xf numFmtId="0" fontId="13" fillId="0" borderId="0"/>
    <xf numFmtId="0" fontId="68" fillId="0" borderId="0"/>
    <xf numFmtId="0" fontId="11" fillId="33" borderId="12" applyNumberFormat="0" applyFont="0" applyAlignment="0" applyProtection="0"/>
    <xf numFmtId="0" fontId="11" fillId="0" borderId="0"/>
    <xf numFmtId="0" fontId="11" fillId="0" borderId="0"/>
    <xf numFmtId="0" fontId="70" fillId="0" borderId="0"/>
    <xf numFmtId="0" fontId="11" fillId="0" borderId="0"/>
    <xf numFmtId="0" fontId="11" fillId="0" borderId="0"/>
    <xf numFmtId="0" fontId="11" fillId="0" borderId="0"/>
    <xf numFmtId="0" fontId="13" fillId="0" borderId="0"/>
    <xf numFmtId="0" fontId="11" fillId="0" borderId="0"/>
    <xf numFmtId="0" fontId="11" fillId="0" borderId="0"/>
    <xf numFmtId="0" fontId="44" fillId="0" borderId="0"/>
    <xf numFmtId="9" fontId="11" fillId="0" borderId="0" applyFont="0" applyFill="0" applyBorder="0" applyAlignment="0" applyProtection="0"/>
    <xf numFmtId="9" fontId="10" fillId="0" borderId="0" applyFont="0" applyFill="0" applyBorder="0" applyAlignment="0" applyProtection="0"/>
    <xf numFmtId="165" fontId="49" fillId="41" borderId="0" applyBorder="0" applyProtection="0"/>
    <xf numFmtId="4" fontId="51" fillId="40" borderId="13" applyNumberFormat="0" applyProtection="0">
      <alignment vertical="center"/>
    </xf>
    <xf numFmtId="4" fontId="60" fillId="0" borderId="0" applyNumberFormat="0" applyProtection="0"/>
    <xf numFmtId="4" fontId="52" fillId="40" borderId="13" applyNumberFormat="0" applyProtection="0">
      <alignment vertical="center"/>
    </xf>
    <xf numFmtId="4" fontId="52" fillId="42" borderId="13" applyNumberFormat="0" applyProtection="0">
      <alignment vertical="center"/>
    </xf>
    <xf numFmtId="4" fontId="51" fillId="40" borderId="13" applyNumberFormat="0" applyProtection="0">
      <alignment horizontal="left" vertical="center" indent="1"/>
    </xf>
    <xf numFmtId="4" fontId="60" fillId="0" borderId="0" applyNumberFormat="0" applyProtection="0">
      <alignment horizontal="left" wrapText="1" indent="1" shrinkToFit="1"/>
    </xf>
    <xf numFmtId="0" fontId="51" fillId="40" borderId="13" applyNumberFormat="0" applyProtection="0">
      <alignment horizontal="left" vertical="top" indent="1"/>
    </xf>
    <xf numFmtId="0" fontId="51" fillId="42" borderId="13" applyNumberFormat="0" applyProtection="0">
      <alignment horizontal="left" vertical="top" indent="1"/>
    </xf>
    <xf numFmtId="4" fontId="51" fillId="0" borderId="0" applyNumberFormat="0" applyProtection="0">
      <alignment horizontal="left" vertical="center" indent="1"/>
    </xf>
    <xf numFmtId="4" fontId="42" fillId="0" borderId="2" applyNumberFormat="0" applyProtection="0">
      <alignment horizontal="left" vertical="center" indent="1"/>
    </xf>
    <xf numFmtId="4" fontId="53" fillId="10" borderId="13" applyNumberFormat="0" applyProtection="0">
      <alignment horizontal="right" vertical="center"/>
    </xf>
    <xf numFmtId="4" fontId="53" fillId="11" borderId="13" applyNumberFormat="0" applyProtection="0">
      <alignment horizontal="right" vertical="center"/>
    </xf>
    <xf numFmtId="4" fontId="53" fillId="25" borderId="13" applyNumberFormat="0" applyProtection="0">
      <alignment horizontal="right" vertical="center"/>
    </xf>
    <xf numFmtId="4" fontId="53" fillId="20" borderId="13" applyNumberFormat="0" applyProtection="0">
      <alignment horizontal="right" vertical="center"/>
    </xf>
    <xf numFmtId="4" fontId="53" fillId="21" borderId="13" applyNumberFormat="0" applyProtection="0">
      <alignment horizontal="right" vertical="center"/>
    </xf>
    <xf numFmtId="4" fontId="53" fillId="32" borderId="13" applyNumberFormat="0" applyProtection="0">
      <alignment horizontal="right" vertical="center"/>
    </xf>
    <xf numFmtId="4" fontId="53" fillId="18" borderId="13" applyNumberFormat="0" applyProtection="0">
      <alignment horizontal="right" vertical="center"/>
    </xf>
    <xf numFmtId="4" fontId="53" fillId="43" borderId="13" applyNumberFormat="0" applyProtection="0">
      <alignment horizontal="right" vertical="center"/>
    </xf>
    <xf numFmtId="4" fontId="53" fillId="17" borderId="13" applyNumberFormat="0" applyProtection="0">
      <alignment horizontal="right" vertical="center"/>
    </xf>
    <xf numFmtId="4" fontId="51" fillId="44" borderId="14" applyNumberFormat="0" applyProtection="0">
      <alignment horizontal="left" vertical="center" indent="1"/>
    </xf>
    <xf numFmtId="4" fontId="53" fillId="45" borderId="0" applyNumberFormat="0" applyProtection="0">
      <alignment horizontal="left" vertical="center" indent="1"/>
    </xf>
    <xf numFmtId="4" fontId="54" fillId="16" borderId="0" applyNumberFormat="0" applyProtection="0">
      <alignment horizontal="left" vertical="center" indent="1"/>
    </xf>
    <xf numFmtId="4" fontId="54" fillId="46" borderId="0" applyNumberFormat="0" applyProtection="0">
      <alignment horizontal="left" vertical="center" indent="1"/>
    </xf>
    <xf numFmtId="4" fontId="53" fillId="9" borderId="13" applyNumberFormat="0" applyProtection="0">
      <alignment horizontal="right" vertical="center"/>
    </xf>
    <xf numFmtId="4" fontId="50" fillId="45" borderId="0" applyNumberFormat="0" applyProtection="0">
      <alignment horizontal="left" vertical="center" indent="1"/>
    </xf>
    <xf numFmtId="4" fontId="50" fillId="9" borderId="0" applyNumberFormat="0" applyProtection="0">
      <alignment horizontal="left" vertical="center" indent="1"/>
    </xf>
    <xf numFmtId="4" fontId="50" fillId="47" borderId="0" applyNumberFormat="0" applyProtection="0">
      <alignment horizontal="left" vertical="center" indent="1"/>
    </xf>
    <xf numFmtId="0" fontId="43" fillId="0" borderId="0" applyNumberFormat="0" applyProtection="0">
      <alignment horizontal="left" vertical="center" wrapText="1" indent="1" shrinkToFit="1"/>
    </xf>
    <xf numFmtId="0" fontId="43" fillId="0" borderId="0" applyNumberFormat="0" applyProtection="0">
      <alignment horizontal="left" wrapText="1" indent="1" shrinkToFit="1"/>
    </xf>
    <xf numFmtId="0" fontId="11" fillId="16" borderId="13" applyNumberFormat="0" applyProtection="0">
      <alignment horizontal="left" vertical="top" indent="1"/>
    </xf>
    <xf numFmtId="0" fontId="11" fillId="46" borderId="13" applyNumberFormat="0" applyProtection="0">
      <alignment horizontal="left" vertical="top" indent="1"/>
    </xf>
    <xf numFmtId="0" fontId="43" fillId="0" borderId="0" applyNumberFormat="0" applyProtection="0">
      <alignment horizontal="left" vertical="center" wrapText="1" indent="1" shrinkToFit="1"/>
    </xf>
    <xf numFmtId="0" fontId="43" fillId="0" borderId="0" applyNumberFormat="0" applyProtection="0">
      <alignment horizontal="left" wrapText="1" indent="1" shrinkToFit="1"/>
    </xf>
    <xf numFmtId="0" fontId="11" fillId="9" borderId="13" applyNumberFormat="0" applyProtection="0">
      <alignment horizontal="left" vertical="top" indent="1"/>
    </xf>
    <xf numFmtId="0" fontId="11" fillId="47" borderId="13" applyNumberFormat="0" applyProtection="0">
      <alignment horizontal="left" vertical="top" indent="1"/>
    </xf>
    <xf numFmtId="0" fontId="43" fillId="0" borderId="0" applyNumberFormat="0" applyProtection="0">
      <alignment horizontal="left" vertical="center" wrapText="1" indent="1" shrinkToFit="1"/>
    </xf>
    <xf numFmtId="0" fontId="43" fillId="0" borderId="0" applyNumberFormat="0" applyProtection="0">
      <alignment horizontal="left" wrapText="1" indent="1" shrinkToFit="1"/>
    </xf>
    <xf numFmtId="0" fontId="11" fillId="14" borderId="13" applyNumberFormat="0" applyProtection="0">
      <alignment horizontal="left" vertical="top" indent="1"/>
    </xf>
    <xf numFmtId="0" fontId="11" fillId="48" borderId="13" applyNumberFormat="0" applyProtection="0">
      <alignment horizontal="left" vertical="top" indent="1"/>
    </xf>
    <xf numFmtId="0" fontId="11" fillId="0" borderId="2" applyNumberFormat="0" applyProtection="0">
      <alignment horizontal="left" vertical="center" indent="1"/>
    </xf>
    <xf numFmtId="0" fontId="43" fillId="0" borderId="0" applyNumberFormat="0" applyProtection="0">
      <alignment horizontal="left" wrapText="1" indent="1" shrinkToFit="1"/>
    </xf>
    <xf numFmtId="0" fontId="11" fillId="45" borderId="13" applyNumberFormat="0" applyProtection="0">
      <alignment horizontal="left" vertical="top" indent="1"/>
    </xf>
    <xf numFmtId="0" fontId="11" fillId="49" borderId="13" applyNumberFormat="0" applyProtection="0">
      <alignment horizontal="left" vertical="top" indent="1"/>
    </xf>
    <xf numFmtId="0" fontId="11" fillId="13" borderId="2" applyNumberFormat="0">
      <protection locked="0"/>
    </xf>
    <xf numFmtId="0" fontId="11" fillId="50" borderId="2" applyNumberFormat="0">
      <protection locked="0"/>
    </xf>
    <xf numFmtId="4" fontId="53" fillId="12" borderId="13" applyNumberFormat="0" applyProtection="0">
      <alignment vertical="center"/>
    </xf>
    <xf numFmtId="4" fontId="53" fillId="39" borderId="13" applyNumberFormat="0" applyProtection="0">
      <alignment vertical="center"/>
    </xf>
    <xf numFmtId="4" fontId="55" fillId="12" borderId="13" applyNumberFormat="0" applyProtection="0">
      <alignment vertical="center"/>
    </xf>
    <xf numFmtId="4" fontId="55" fillId="39" borderId="13" applyNumberFormat="0" applyProtection="0">
      <alignment vertical="center"/>
    </xf>
    <xf numFmtId="4" fontId="53" fillId="12" borderId="13" applyNumberFormat="0" applyProtection="0">
      <alignment horizontal="left" vertical="center" indent="1"/>
    </xf>
    <xf numFmtId="4" fontId="53" fillId="0" borderId="2" applyNumberFormat="0" applyProtection="0">
      <alignment horizontal="left" vertical="center" indent="1"/>
    </xf>
    <xf numFmtId="0" fontId="53" fillId="12" borderId="13" applyNumberFormat="0" applyProtection="0">
      <alignment horizontal="left" vertical="top" indent="1"/>
    </xf>
    <xf numFmtId="0" fontId="53" fillId="39" borderId="13" applyNumberFormat="0" applyProtection="0">
      <alignment horizontal="left" vertical="top" indent="1"/>
    </xf>
    <xf numFmtId="4" fontId="53" fillId="0" borderId="2" applyNumberFormat="0" applyProtection="0">
      <alignment horizontal="right" vertical="center"/>
    </xf>
    <xf numFmtId="4" fontId="42" fillId="0" borderId="0" applyNumberFormat="0" applyProtection="0">
      <alignment horizontal="right"/>
    </xf>
    <xf numFmtId="4" fontId="42" fillId="0" borderId="0" applyNumberFormat="0" applyProtection="0">
      <alignment horizontal="right"/>
    </xf>
    <xf numFmtId="4" fontId="55" fillId="45" borderId="13" applyNumberFormat="0" applyProtection="0">
      <alignment horizontal="right" vertical="center"/>
    </xf>
    <xf numFmtId="4" fontId="53" fillId="0" borderId="2" applyNumberFormat="0" applyProtection="0">
      <alignment horizontal="left" wrapText="1" indent="1"/>
    </xf>
    <xf numFmtId="4" fontId="42" fillId="0" borderId="2" applyNumberFormat="0" applyProtection="0">
      <alignment horizontal="left" wrapText="1" indent="1"/>
    </xf>
    <xf numFmtId="4" fontId="42" fillId="0" borderId="0" applyNumberFormat="0" applyProtection="0">
      <alignment horizontal="left" wrapText="1" indent="1"/>
    </xf>
    <xf numFmtId="4" fontId="42" fillId="0" borderId="0" applyNumberFormat="0" applyProtection="0">
      <alignment horizontal="left" wrapText="1" indent="1" shrinkToFit="1"/>
    </xf>
    <xf numFmtId="0" fontId="53" fillId="9" borderId="13" applyNumberFormat="0" applyProtection="0">
      <alignment horizontal="left" vertical="top" indent="1"/>
    </xf>
    <xf numFmtId="0" fontId="53" fillId="47" borderId="13" applyNumberFormat="0" applyProtection="0">
      <alignment horizontal="left" vertical="top" indent="1"/>
    </xf>
    <xf numFmtId="4" fontId="56" fillId="51" borderId="0" applyNumberFormat="0" applyProtection="0">
      <alignment horizontal="left" vertical="center" indent="1"/>
    </xf>
    <xf numFmtId="4" fontId="57" fillId="45" borderId="13" applyNumberFormat="0" applyProtection="0">
      <alignment horizontal="right" vertical="center"/>
    </xf>
    <xf numFmtId="0" fontId="58" fillId="0" borderId="0" applyNumberFormat="0" applyFill="0" applyBorder="0" applyAlignment="0" applyProtection="0"/>
    <xf numFmtId="0" fontId="45" fillId="0" borderId="0"/>
    <xf numFmtId="0" fontId="45" fillId="0" borderId="0"/>
    <xf numFmtId="165" fontId="59" fillId="2" borderId="0" applyBorder="0" applyProtection="0"/>
    <xf numFmtId="0" fontId="9"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77">
    <xf numFmtId="0" fontId="0" fillId="0" borderId="0" xfId="0"/>
    <xf numFmtId="3" fontId="0" fillId="0" borderId="0" xfId="0" applyNumberFormat="1"/>
    <xf numFmtId="0" fontId="15" fillId="3" borderId="4" xfId="5"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wrapText="1"/>
    </xf>
    <xf numFmtId="3" fontId="15" fillId="3" borderId="2"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left" vertical="center" wrapText="1"/>
    </xf>
    <xf numFmtId="164" fontId="15" fillId="3" borderId="2" xfId="5" applyNumberFormat="1" applyFont="1" applyFill="1" applyBorder="1" applyAlignment="1" applyProtection="1">
      <alignment horizontal="center" vertical="center" wrapText="1"/>
    </xf>
    <xf numFmtId="3" fontId="15" fillId="3" borderId="2" xfId="5" applyNumberFormat="1" applyFont="1" applyFill="1" applyBorder="1" applyAlignment="1" applyProtection="1">
      <alignment horizontal="center" vertical="center" wrapText="1"/>
      <protection locked="0"/>
    </xf>
    <xf numFmtId="0" fontId="22" fillId="7" borderId="2" xfId="0" applyFont="1" applyFill="1" applyBorder="1"/>
    <xf numFmtId="3" fontId="22" fillId="7" borderId="2" xfId="0" applyNumberFormat="1" applyFont="1" applyFill="1" applyBorder="1"/>
    <xf numFmtId="0" fontId="21" fillId="0" borderId="2" xfId="0" applyFont="1" applyBorder="1"/>
    <xf numFmtId="3" fontId="23" fillId="0" borderId="2" xfId="0" applyNumberFormat="1" applyFont="1" applyBorder="1"/>
    <xf numFmtId="0" fontId="24" fillId="0" borderId="2" xfId="0" applyFont="1" applyBorder="1"/>
    <xf numFmtId="3" fontId="24" fillId="0" borderId="2" xfId="0" applyNumberFormat="1" applyFont="1" applyBorder="1"/>
    <xf numFmtId="0" fontId="21" fillId="0" borderId="2" xfId="0" applyFont="1" applyFill="1" applyBorder="1" applyAlignment="1">
      <alignment wrapText="1"/>
    </xf>
    <xf numFmtId="0" fontId="25" fillId="0" borderId="2" xfId="0" applyFont="1" applyFill="1" applyBorder="1" applyAlignment="1">
      <alignment wrapText="1"/>
    </xf>
    <xf numFmtId="3" fontId="25" fillId="0" borderId="2" xfId="0" applyNumberFormat="1" applyFont="1" applyBorder="1"/>
    <xf numFmtId="0" fontId="25" fillId="0" borderId="2" xfId="0" applyFont="1" applyBorder="1"/>
    <xf numFmtId="4" fontId="27" fillId="3" borderId="4" xfId="5" applyNumberFormat="1" applyFont="1" applyFill="1" applyBorder="1" applyAlignment="1" applyProtection="1">
      <alignment horizontal="center" vertical="center" wrapText="1"/>
    </xf>
    <xf numFmtId="0" fontId="27" fillId="3" borderId="4" xfId="5" applyFont="1" applyFill="1" applyBorder="1" applyAlignment="1" applyProtection="1">
      <alignment horizontal="center" vertical="center" wrapText="1"/>
    </xf>
    <xf numFmtId="0" fontId="21" fillId="6" borderId="2" xfId="0" applyFont="1" applyFill="1" applyBorder="1" applyAlignment="1">
      <alignment horizontal="center" vertical="center" wrapText="1"/>
    </xf>
    <xf numFmtId="3" fontId="23" fillId="0" borderId="0" xfId="0" applyNumberFormat="1" applyFont="1" applyBorder="1"/>
    <xf numFmtId="0" fontId="26" fillId="0" borderId="5" xfId="0" applyFont="1" applyBorder="1" applyAlignment="1">
      <alignment wrapText="1"/>
    </xf>
    <xf numFmtId="0" fontId="26" fillId="0" borderId="0" xfId="0" applyFont="1" applyAlignment="1">
      <alignment wrapText="1"/>
    </xf>
    <xf numFmtId="4" fontId="27" fillId="3" borderId="6" xfId="5" applyNumberFormat="1" applyFont="1" applyFill="1" applyBorder="1" applyAlignment="1" applyProtection="1">
      <alignment horizontal="center" vertical="center" wrapText="1"/>
    </xf>
    <xf numFmtId="3" fontId="15" fillId="0" borderId="0" xfId="5" applyNumberFormat="1" applyFont="1" applyFill="1" applyBorder="1" applyAlignment="1" applyProtection="1">
      <alignment horizontal="center" vertical="center" wrapText="1"/>
    </xf>
    <xf numFmtId="9" fontId="22" fillId="7" borderId="2" xfId="14" applyFont="1" applyFill="1" applyBorder="1" applyAlignment="1">
      <alignment horizontal="center" vertical="center"/>
    </xf>
    <xf numFmtId="9" fontId="13" fillId="0" borderId="2" xfId="14" applyFont="1" applyFill="1" applyBorder="1" applyAlignment="1">
      <alignment horizontal="center" vertical="center"/>
    </xf>
    <xf numFmtId="9" fontId="23" fillId="0" borderId="2" xfId="14" applyFont="1" applyBorder="1" applyAlignment="1">
      <alignment horizontal="center"/>
    </xf>
    <xf numFmtId="9" fontId="23" fillId="0" borderId="2" xfId="14" applyFont="1" applyBorder="1" applyAlignment="1">
      <alignment horizontal="center" vertical="center"/>
    </xf>
    <xf numFmtId="9" fontId="22" fillId="7" borderId="2" xfId="14" applyFont="1" applyFill="1" applyBorder="1" applyAlignment="1">
      <alignment horizontal="center"/>
    </xf>
    <xf numFmtId="9" fontId="24" fillId="0" borderId="2" xfId="14" applyFont="1" applyBorder="1" applyAlignment="1">
      <alignment horizontal="center"/>
    </xf>
    <xf numFmtId="9" fontId="22" fillId="7" borderId="2" xfId="14" applyNumberFormat="1" applyFont="1" applyFill="1" applyBorder="1" applyAlignment="1">
      <alignment horizontal="center" vertical="center"/>
    </xf>
    <xf numFmtId="0" fontId="32" fillId="0" borderId="0" xfId="0" applyFont="1"/>
    <xf numFmtId="0" fontId="33" fillId="6" borderId="2" xfId="0" applyFont="1" applyFill="1" applyBorder="1" applyAlignment="1">
      <alignment horizontal="center" vertical="center" wrapText="1"/>
    </xf>
    <xf numFmtId="3" fontId="30" fillId="0" borderId="0" xfId="5" applyNumberFormat="1" applyFont="1" applyFill="1" applyBorder="1" applyAlignment="1" applyProtection="1">
      <alignment horizontal="center" vertical="center" wrapText="1"/>
    </xf>
    <xf numFmtId="3" fontId="30" fillId="3" borderId="2" xfId="5" applyNumberFormat="1" applyFont="1" applyFill="1" applyBorder="1" applyAlignment="1" applyProtection="1">
      <alignment horizontal="center" vertical="center" wrapText="1"/>
    </xf>
    <xf numFmtId="3" fontId="0" fillId="0" borderId="2" xfId="0" applyNumberFormat="1" applyBorder="1"/>
    <xf numFmtId="0" fontId="36" fillId="0" borderId="2" xfId="0" applyFont="1" applyBorder="1"/>
    <xf numFmtId="3" fontId="37" fillId="0" borderId="2" xfId="0" applyNumberFormat="1" applyFont="1" applyBorder="1"/>
    <xf numFmtId="9" fontId="37" fillId="0" borderId="2" xfId="14" applyFont="1" applyFill="1" applyBorder="1" applyAlignment="1">
      <alignment horizontal="center" vertical="center"/>
    </xf>
    <xf numFmtId="9" fontId="37" fillId="0" borderId="2" xfId="14" applyFont="1" applyBorder="1" applyAlignment="1">
      <alignment horizontal="center"/>
    </xf>
    <xf numFmtId="0" fontId="71" fillId="0" borderId="0" xfId="0" applyFont="1"/>
    <xf numFmtId="0" fontId="71" fillId="0" borderId="0" xfId="0" applyFont="1" applyAlignment="1">
      <alignment wrapText="1"/>
    </xf>
    <xf numFmtId="10" fontId="71" fillId="0" borderId="0" xfId="0" applyNumberFormat="1" applyFont="1"/>
    <xf numFmtId="4" fontId="71" fillId="0" borderId="0" xfId="0" applyNumberFormat="1" applyFont="1"/>
    <xf numFmtId="3" fontId="71" fillId="0" borderId="0" xfId="0" applyNumberFormat="1" applyFont="1"/>
    <xf numFmtId="3" fontId="71" fillId="0" borderId="0" xfId="0" applyNumberFormat="1" applyFont="1" applyProtection="1"/>
    <xf numFmtId="0" fontId="72" fillId="0" borderId="0" xfId="0" applyFont="1"/>
    <xf numFmtId="3" fontId="72" fillId="0" borderId="0" xfId="0" applyNumberFormat="1" applyFont="1"/>
    <xf numFmtId="0" fontId="15" fillId="3" borderId="3" xfId="5" applyFont="1" applyFill="1" applyBorder="1" applyAlignment="1" applyProtection="1">
      <alignment horizontal="left" vertical="center" wrapText="1"/>
    </xf>
    <xf numFmtId="0" fontId="15" fillId="3" borderId="4" xfId="5" applyFont="1" applyFill="1" applyBorder="1" applyAlignment="1" applyProtection="1">
      <alignment horizontal="left" vertical="center" wrapText="1"/>
    </xf>
    <xf numFmtId="0" fontId="71" fillId="0" borderId="0" xfId="0" applyFont="1" applyProtection="1"/>
    <xf numFmtId="0" fontId="71" fillId="0" borderId="2" xfId="0" applyFont="1" applyBorder="1" applyProtection="1"/>
    <xf numFmtId="0" fontId="74" fillId="0" borderId="2" xfId="0" applyFont="1" applyBorder="1" applyAlignment="1" applyProtection="1">
      <alignment horizontal="left" vertical="center" wrapText="1"/>
    </xf>
    <xf numFmtId="0" fontId="74" fillId="0" borderId="2" xfId="0" applyFont="1" applyBorder="1" applyProtection="1"/>
    <xf numFmtId="3" fontId="74" fillId="0" borderId="2" xfId="0" applyNumberFormat="1" applyFont="1" applyBorder="1" applyAlignment="1" applyProtection="1">
      <alignment horizontal="center" vertical="center"/>
      <protection locked="0"/>
    </xf>
    <xf numFmtId="3" fontId="17" fillId="0" borderId="2" xfId="0" applyNumberFormat="1" applyFont="1" applyBorder="1" applyAlignment="1" applyProtection="1">
      <alignment horizontal="center" vertical="center"/>
      <protection locked="0"/>
    </xf>
    <xf numFmtId="3" fontId="74" fillId="0" borderId="2" xfId="0" applyNumberFormat="1" applyFont="1" applyBorder="1" applyAlignment="1" applyProtection="1">
      <alignment horizontal="center" vertical="center"/>
    </xf>
    <xf numFmtId="164" fontId="74" fillId="0" borderId="2" xfId="0" applyNumberFormat="1" applyFont="1" applyBorder="1" applyAlignment="1" applyProtection="1">
      <alignment horizontal="center" vertical="center"/>
    </xf>
    <xf numFmtId="3" fontId="74" fillId="0" borderId="2" xfId="0" applyNumberFormat="1" applyFont="1" applyBorder="1" applyProtection="1"/>
    <xf numFmtId="0" fontId="75" fillId="2" borderId="2" xfId="5" applyFont="1" applyFill="1" applyBorder="1" applyAlignment="1" applyProtection="1">
      <alignment horizontal="left" vertical="center" wrapText="1"/>
    </xf>
    <xf numFmtId="0" fontId="75" fillId="2" borderId="2" xfId="5" applyFont="1" applyFill="1" applyBorder="1" applyAlignment="1" applyProtection="1">
      <alignment horizontal="center" vertical="center" wrapText="1"/>
    </xf>
    <xf numFmtId="3" fontId="75" fillId="2" borderId="2" xfId="5" applyNumberFormat="1" applyFont="1" applyFill="1" applyBorder="1" applyAlignment="1" applyProtection="1">
      <alignment horizontal="center" vertical="center" wrapText="1"/>
    </xf>
    <xf numFmtId="164" fontId="15" fillId="4" borderId="2" xfId="5" applyNumberFormat="1" applyFont="1" applyFill="1" applyBorder="1" applyAlignment="1" applyProtection="1">
      <alignment horizontal="center" vertical="center" wrapText="1"/>
    </xf>
    <xf numFmtId="164" fontId="75" fillId="2" borderId="2" xfId="5" applyNumberFormat="1" applyFont="1" applyFill="1" applyBorder="1" applyAlignment="1" applyProtection="1">
      <alignment horizontal="center" vertical="center"/>
      <protection locked="0"/>
    </xf>
    <xf numFmtId="0" fontId="15" fillId="0" borderId="2" xfId="5" applyFont="1" applyFill="1" applyBorder="1" applyAlignment="1" applyProtection="1">
      <alignment horizontal="left" vertical="center" wrapText="1"/>
    </xf>
    <xf numFmtId="0" fontId="15" fillId="0" borderId="2" xfId="5" applyFont="1" applyFill="1" applyBorder="1" applyAlignment="1" applyProtection="1">
      <alignment horizontal="center" vertical="center" wrapText="1"/>
    </xf>
    <xf numFmtId="3" fontId="15" fillId="0" borderId="2" xfId="5"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protection locked="0"/>
    </xf>
    <xf numFmtId="0" fontId="14" fillId="0" borderId="2" xfId="5" applyFont="1" applyFill="1" applyBorder="1" applyAlignment="1" applyProtection="1">
      <alignment horizontal="left" vertical="center" wrapText="1"/>
      <protection locked="0"/>
    </xf>
    <xf numFmtId="0" fontId="14" fillId="0" borderId="2" xfId="5" applyFont="1" applyFill="1" applyBorder="1" applyAlignment="1" applyProtection="1">
      <alignment horizontal="center" vertical="center" wrapText="1"/>
      <protection locked="0"/>
    </xf>
    <xf numFmtId="3" fontId="14" fillId="0" borderId="2" xfId="5" applyNumberFormat="1" applyFont="1" applyFill="1" applyBorder="1" applyAlignment="1" applyProtection="1">
      <alignment horizontal="center" vertical="center"/>
      <protection locked="0"/>
    </xf>
    <xf numFmtId="164" fontId="35" fillId="0" borderId="2" xfId="5" applyNumberFormat="1" applyFont="1" applyFill="1" applyBorder="1" applyAlignment="1" applyProtection="1">
      <alignment horizontal="center" vertical="center" wrapText="1"/>
    </xf>
    <xf numFmtId="3" fontId="35" fillId="0" borderId="2" xfId="5" applyNumberFormat="1" applyFont="1" applyFill="1" applyBorder="1" applyAlignment="1" applyProtection="1">
      <alignment horizontal="center" vertical="center" wrapText="1"/>
      <protection locked="0"/>
    </xf>
    <xf numFmtId="164" fontId="14" fillId="0" borderId="2" xfId="5" applyNumberFormat="1" applyFont="1" applyFill="1" applyBorder="1" applyAlignment="1" applyProtection="1">
      <alignment horizontal="center" vertical="center" wrapText="1"/>
    </xf>
    <xf numFmtId="0" fontId="14" fillId="0" borderId="2" xfId="5" applyFont="1" applyFill="1" applyBorder="1" applyAlignment="1" applyProtection="1">
      <alignment horizontal="left" vertical="center" wrapText="1"/>
    </xf>
    <xf numFmtId="0" fontId="14" fillId="0" borderId="2" xfId="5" applyFont="1" applyFill="1" applyBorder="1" applyAlignment="1" applyProtection="1">
      <alignment horizontal="center" vertical="center" wrapText="1"/>
    </xf>
    <xf numFmtId="3" fontId="14" fillId="0" borderId="2" xfId="5" applyNumberFormat="1" applyFont="1" applyFill="1" applyBorder="1" applyAlignment="1" applyProtection="1">
      <alignment horizontal="center" vertical="center" wrapText="1"/>
      <protection locked="0"/>
    </xf>
    <xf numFmtId="3" fontId="14" fillId="0" borderId="2" xfId="0" applyNumberFormat="1" applyFont="1" applyFill="1" applyBorder="1" applyAlignment="1" applyProtection="1">
      <alignment horizontal="center" vertical="center"/>
      <protection locked="0"/>
    </xf>
    <xf numFmtId="3" fontId="14" fillId="0" borderId="2" xfId="5" applyNumberFormat="1" applyFont="1" applyFill="1" applyBorder="1" applyAlignment="1" applyProtection="1">
      <alignment horizontal="center" vertical="center" wrapText="1"/>
    </xf>
    <xf numFmtId="3" fontId="14" fillId="8" borderId="2" xfId="5" applyNumberFormat="1" applyFont="1" applyFill="1" applyBorder="1" applyAlignment="1" applyProtection="1">
      <alignment horizontal="center" vertical="center" wrapText="1"/>
      <protection locked="0"/>
    </xf>
    <xf numFmtId="0" fontId="71" fillId="0" borderId="0" xfId="0" applyFont="1" applyFill="1"/>
    <xf numFmtId="3" fontId="14" fillId="0" borderId="2" xfId="5" applyNumberFormat="1" applyFont="1" applyFill="1" applyBorder="1" applyAlignment="1" applyProtection="1">
      <alignment horizontal="center" vertical="center"/>
    </xf>
    <xf numFmtId="3" fontId="81" fillId="0" borderId="2" xfId="5" applyNumberFormat="1" applyFont="1" applyFill="1" applyBorder="1" applyAlignment="1" applyProtection="1">
      <alignment horizontal="center" vertical="center"/>
      <protection locked="0"/>
    </xf>
    <xf numFmtId="3" fontId="81" fillId="0" borderId="2" xfId="5" applyNumberFormat="1" applyFont="1" applyFill="1" applyBorder="1" applyAlignment="1" applyProtection="1">
      <alignment horizontal="center" vertical="center" wrapText="1"/>
      <protection locked="0"/>
    </xf>
    <xf numFmtId="3" fontId="80" fillId="0" borderId="2" xfId="5" applyNumberFormat="1" applyFont="1" applyFill="1" applyBorder="1" applyAlignment="1" applyProtection="1">
      <alignment horizontal="center" vertical="center" wrapText="1"/>
      <protection locked="0"/>
    </xf>
    <xf numFmtId="3" fontId="75" fillId="4" borderId="2" xfId="5" applyNumberFormat="1" applyFont="1" applyFill="1" applyBorder="1" applyAlignment="1" applyProtection="1">
      <alignment horizontal="center" vertical="center" wrapText="1"/>
      <protection locked="0"/>
    </xf>
    <xf numFmtId="3" fontId="73" fillId="0" borderId="2" xfId="5" applyNumberFormat="1" applyFont="1" applyFill="1" applyBorder="1" applyAlignment="1" applyProtection="1">
      <alignment horizontal="center" vertical="center" wrapText="1"/>
      <protection locked="0"/>
    </xf>
    <xf numFmtId="0" fontId="80" fillId="0" borderId="1" xfId="5" applyFont="1" applyFill="1" applyBorder="1" applyAlignment="1" applyProtection="1">
      <alignment horizontal="left" vertical="center" wrapText="1"/>
      <protection locked="0"/>
    </xf>
    <xf numFmtId="3" fontId="17" fillId="0" borderId="2" xfId="5" applyNumberFormat="1" applyFont="1" applyFill="1" applyBorder="1" applyAlignment="1" applyProtection="1">
      <alignment horizontal="center" vertical="center" wrapText="1"/>
    </xf>
    <xf numFmtId="0" fontId="81" fillId="0" borderId="2" xfId="5" applyFont="1" applyFill="1" applyBorder="1" applyAlignment="1" applyProtection="1">
      <alignment horizontal="center" vertical="center" wrapText="1"/>
      <protection locked="0"/>
    </xf>
    <xf numFmtId="0" fontId="82" fillId="0" borderId="0" xfId="0" applyFont="1"/>
    <xf numFmtId="3" fontId="15" fillId="8" borderId="2" xfId="5" applyNumberFormat="1" applyFont="1" applyFill="1" applyBorder="1" applyAlignment="1" applyProtection="1">
      <alignment horizontal="center" vertical="center" wrapText="1"/>
      <protection locked="0"/>
    </xf>
    <xf numFmtId="3" fontId="14" fillId="8" borderId="2" xfId="5" applyNumberFormat="1" applyFont="1" applyFill="1" applyBorder="1" applyAlignment="1" applyProtection="1">
      <alignment horizontal="center" vertical="center"/>
      <protection locked="0"/>
    </xf>
    <xf numFmtId="164" fontId="14" fillId="0" borderId="2" xfId="5" applyNumberFormat="1" applyFont="1" applyFill="1" applyBorder="1" applyAlignment="1" applyProtection="1">
      <alignment horizontal="center" vertical="center"/>
      <protection locked="0"/>
    </xf>
    <xf numFmtId="164" fontId="15" fillId="0" borderId="2" xfId="5" applyNumberFormat="1" applyFont="1" applyFill="1" applyBorder="1" applyAlignment="1" applyProtection="1">
      <alignment horizontal="center" vertical="center"/>
      <protection locked="0"/>
    </xf>
    <xf numFmtId="0" fontId="71" fillId="0" borderId="0" xfId="0" applyFont="1" applyFill="1" applyProtection="1"/>
    <xf numFmtId="0" fontId="72" fillId="0" borderId="0" xfId="0" applyFont="1" applyFill="1" applyProtection="1"/>
    <xf numFmtId="0" fontId="72" fillId="0" borderId="0" xfId="0" applyFont="1" applyFill="1"/>
    <xf numFmtId="0" fontId="80" fillId="0" borderId="2" xfId="5" applyFont="1" applyFill="1" applyBorder="1" applyAlignment="1" applyProtection="1">
      <alignment horizontal="left" vertical="center" wrapText="1"/>
      <protection locked="0"/>
    </xf>
    <xf numFmtId="0" fontId="80" fillId="0" borderId="2" xfId="5" applyFont="1" applyFill="1" applyBorder="1" applyAlignment="1" applyProtection="1">
      <alignment horizontal="center" vertical="center" wrapText="1"/>
      <protection locked="0"/>
    </xf>
    <xf numFmtId="3" fontId="15" fillId="0" borderId="2" xfId="5" applyNumberFormat="1" applyFont="1" applyFill="1" applyBorder="1" applyAlignment="1" applyProtection="1">
      <alignment horizontal="center" vertical="center"/>
      <protection locked="0"/>
    </xf>
    <xf numFmtId="0" fontId="85" fillId="0" borderId="0" xfId="0" applyFont="1" applyFill="1" applyProtection="1"/>
    <xf numFmtId="3" fontId="35" fillId="8" borderId="2" xfId="5" applyNumberFormat="1" applyFont="1" applyFill="1" applyBorder="1" applyAlignment="1" applyProtection="1">
      <alignment horizontal="center" vertical="center" wrapText="1"/>
      <protection locked="0"/>
    </xf>
    <xf numFmtId="16" fontId="15" fillId="3" borderId="2" xfId="5" applyNumberFormat="1" applyFont="1" applyFill="1" applyBorder="1" applyAlignment="1" applyProtection="1">
      <alignment horizontal="center" vertical="center" wrapText="1"/>
    </xf>
    <xf numFmtId="0" fontId="14" fillId="8" borderId="1" xfId="5" applyFont="1" applyFill="1" applyBorder="1" applyAlignment="1" applyProtection="1">
      <alignment horizontal="left" vertical="center" wrapText="1"/>
      <protection locked="0"/>
    </xf>
    <xf numFmtId="0" fontId="14" fillId="8" borderId="2" xfId="5" applyFont="1" applyFill="1" applyBorder="1" applyAlignment="1" applyProtection="1">
      <alignment horizontal="left" vertical="center" wrapText="1"/>
      <protection locked="0"/>
    </xf>
    <xf numFmtId="3" fontId="14" fillId="8" borderId="2" xfId="13" applyNumberFormat="1" applyFont="1" applyFill="1" applyBorder="1" applyAlignment="1">
      <alignment horizontal="center" vertical="center"/>
    </xf>
    <xf numFmtId="3" fontId="15" fillId="8" borderId="2" xfId="5" applyNumberFormat="1" applyFont="1" applyFill="1" applyBorder="1" applyAlignment="1" applyProtection="1">
      <alignment horizontal="center" vertical="center" wrapText="1"/>
    </xf>
    <xf numFmtId="3" fontId="14" fillId="8" borderId="2" xfId="5" applyNumberFormat="1" applyFont="1" applyFill="1" applyBorder="1" applyAlignment="1" applyProtection="1">
      <alignment horizontal="center" vertical="center" wrapText="1"/>
    </xf>
    <xf numFmtId="3" fontId="14" fillId="0" borderId="2" xfId="13" applyNumberFormat="1" applyFont="1" applyFill="1" applyBorder="1" applyAlignment="1">
      <alignment horizontal="center" vertical="center"/>
    </xf>
    <xf numFmtId="3" fontId="17" fillId="8" borderId="2" xfId="5" applyNumberFormat="1" applyFont="1" applyFill="1" applyBorder="1" applyAlignment="1" applyProtection="1">
      <alignment horizontal="center" vertical="center" wrapText="1"/>
      <protection locked="0"/>
    </xf>
    <xf numFmtId="1" fontId="14" fillId="0" borderId="2" xfId="5" applyNumberFormat="1" applyFont="1" applyFill="1" applyBorder="1" applyAlignment="1" applyProtection="1">
      <alignment horizontal="center" vertical="center" wrapText="1"/>
      <protection locked="0"/>
    </xf>
    <xf numFmtId="3" fontId="14" fillId="0" borderId="2" xfId="0" applyNumberFormat="1" applyFont="1" applyBorder="1" applyAlignment="1" applyProtection="1">
      <alignment horizontal="center" vertical="center"/>
      <protection locked="0"/>
    </xf>
    <xf numFmtId="3" fontId="14" fillId="0" borderId="2" xfId="0" applyNumberFormat="1" applyFont="1" applyBorder="1" applyAlignment="1" applyProtection="1">
      <alignment horizontal="center" vertical="center"/>
    </xf>
    <xf numFmtId="165" fontId="14" fillId="0" borderId="2" xfId="5" applyNumberFormat="1" applyFont="1" applyFill="1" applyBorder="1" applyAlignment="1" applyProtection="1">
      <alignment horizontal="center" vertical="center" wrapText="1"/>
      <protection locked="0"/>
    </xf>
    <xf numFmtId="3" fontId="14" fillId="0" borderId="2" xfId="0" applyNumberFormat="1" applyFont="1" applyFill="1" applyBorder="1" applyAlignment="1" applyProtection="1">
      <alignment horizontal="center" vertical="center"/>
    </xf>
    <xf numFmtId="167" fontId="14" fillId="0" borderId="2" xfId="5" applyNumberFormat="1" applyFont="1" applyFill="1" applyBorder="1" applyAlignment="1" applyProtection="1">
      <alignment horizontal="center" vertical="center" wrapText="1"/>
      <protection locked="0"/>
    </xf>
    <xf numFmtId="3" fontId="75" fillId="4" borderId="2" xfId="5" applyNumberFormat="1" applyFont="1" applyFill="1" applyBorder="1" applyAlignment="1" applyProtection="1">
      <alignment horizontal="center" vertical="center" wrapText="1"/>
    </xf>
    <xf numFmtId="1" fontId="35" fillId="0" borderId="2" xfId="5" applyNumberFormat="1"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xf>
    <xf numFmtId="3" fontId="35" fillId="0" borderId="2" xfId="0" applyNumberFormat="1" applyFont="1" applyFill="1" applyBorder="1" applyAlignment="1" applyProtection="1">
      <alignment horizontal="center" vertical="center"/>
      <protection locked="0"/>
    </xf>
    <xf numFmtId="164" fontId="73" fillId="0" borderId="2" xfId="5" applyNumberFormat="1" applyFont="1" applyFill="1" applyBorder="1" applyAlignment="1" applyProtection="1">
      <alignment horizontal="center" vertical="center"/>
      <protection locked="0"/>
    </xf>
    <xf numFmtId="164" fontId="81" fillId="0" borderId="2" xfId="5" applyNumberFormat="1" applyFont="1" applyFill="1" applyBorder="1" applyAlignment="1" applyProtection="1">
      <alignment horizontal="center" vertical="center"/>
      <protection locked="0"/>
    </xf>
    <xf numFmtId="164" fontId="17" fillId="0" borderId="2" xfId="14" applyNumberFormat="1" applyFont="1" applyBorder="1" applyAlignment="1" applyProtection="1">
      <alignment horizontal="center" vertical="center"/>
      <protection locked="0"/>
    </xf>
    <xf numFmtId="164" fontId="15" fillId="3" borderId="2" xfId="14" applyNumberFormat="1" applyFont="1" applyFill="1" applyBorder="1" applyAlignment="1" applyProtection="1">
      <alignment horizontal="center" vertical="center" wrapText="1"/>
      <protection locked="0"/>
    </xf>
    <xf numFmtId="164" fontId="75" fillId="2" borderId="2" xfId="14" applyNumberFormat="1" applyFont="1" applyFill="1" applyBorder="1" applyAlignment="1" applyProtection="1">
      <alignment horizontal="center" vertical="center" wrapText="1"/>
      <protection locked="0"/>
    </xf>
    <xf numFmtId="164" fontId="15" fillId="0" borderId="2" xfId="14" applyNumberFormat="1" applyFont="1" applyFill="1" applyBorder="1" applyAlignment="1" applyProtection="1">
      <alignment horizontal="center" vertical="center" wrapText="1"/>
      <protection locked="0"/>
    </xf>
    <xf numFmtId="164" fontId="14" fillId="0" borderId="2" xfId="14" applyNumberFormat="1" applyFont="1" applyFill="1" applyBorder="1" applyAlignment="1" applyProtection="1">
      <alignment horizontal="center" vertical="center"/>
      <protection locked="0"/>
    </xf>
    <xf numFmtId="164" fontId="75" fillId="4" borderId="2" xfId="14" applyNumberFormat="1" applyFont="1" applyFill="1" applyBorder="1" applyAlignment="1" applyProtection="1">
      <alignment horizontal="center" vertical="center" wrapText="1"/>
      <protection locked="0"/>
    </xf>
    <xf numFmtId="164" fontId="35" fillId="0" borderId="2" xfId="14" applyNumberFormat="1" applyFont="1" applyBorder="1" applyAlignment="1" applyProtection="1">
      <alignment horizontal="center" vertical="center"/>
      <protection locked="0"/>
    </xf>
    <xf numFmtId="164" fontId="74" fillId="0" borderId="2" xfId="14" applyNumberFormat="1" applyFont="1" applyBorder="1" applyAlignment="1" applyProtection="1">
      <alignment horizontal="center" vertical="center"/>
    </xf>
    <xf numFmtId="164" fontId="15" fillId="3" borderId="2" xfId="14" applyNumberFormat="1" applyFont="1" applyFill="1" applyBorder="1" applyAlignment="1" applyProtection="1">
      <alignment horizontal="center" vertical="center" wrapText="1"/>
    </xf>
    <xf numFmtId="164" fontId="75" fillId="2" borderId="2" xfId="14" applyNumberFormat="1" applyFont="1" applyFill="1" applyBorder="1" applyAlignment="1" applyProtection="1">
      <alignment horizontal="center" vertical="center" wrapText="1"/>
    </xf>
    <xf numFmtId="164" fontId="14" fillId="0" borderId="2" xfId="14" applyNumberFormat="1" applyFont="1" applyFill="1" applyBorder="1" applyAlignment="1" applyProtection="1">
      <alignment horizontal="center" vertical="center"/>
    </xf>
    <xf numFmtId="164" fontId="35" fillId="0" borderId="2" xfId="14" applyNumberFormat="1" applyFont="1" applyFill="1" applyBorder="1" applyAlignment="1" applyProtection="1">
      <alignment horizontal="center" vertical="center"/>
      <protection locked="0"/>
    </xf>
    <xf numFmtId="164" fontId="15" fillId="0" borderId="2" xfId="14" applyNumberFormat="1" applyFont="1" applyFill="1" applyBorder="1" applyAlignment="1" applyProtection="1">
      <alignment horizontal="center" vertical="center" wrapText="1"/>
    </xf>
    <xf numFmtId="164" fontId="14" fillId="0" borderId="2" xfId="14" applyNumberFormat="1" applyFont="1" applyBorder="1" applyAlignment="1" applyProtection="1">
      <alignment horizontal="center" vertical="center"/>
      <protection locked="0"/>
    </xf>
    <xf numFmtId="164" fontId="14" fillId="0" borderId="2" xfId="14" applyNumberFormat="1" applyFont="1" applyBorder="1" applyAlignment="1" applyProtection="1">
      <alignment horizontal="center" vertical="center"/>
    </xf>
    <xf numFmtId="164" fontId="14" fillId="0" borderId="2" xfId="14" applyNumberFormat="1" applyFont="1" applyFill="1" applyBorder="1" applyAlignment="1" applyProtection="1">
      <alignment horizontal="center" vertical="center" wrapText="1"/>
    </xf>
    <xf numFmtId="164" fontId="86" fillId="0" borderId="2" xfId="14" applyNumberFormat="1" applyFont="1" applyBorder="1" applyAlignment="1">
      <alignment horizontal="center" vertical="center"/>
    </xf>
    <xf numFmtId="0" fontId="87" fillId="8" borderId="2" xfId="0" applyFont="1" applyFill="1" applyBorder="1" applyAlignment="1">
      <alignment horizontal="left" vertical="center" wrapText="1"/>
    </xf>
    <xf numFmtId="3" fontId="87" fillId="8" borderId="2" xfId="0" applyNumberFormat="1" applyFont="1" applyFill="1" applyBorder="1" applyAlignment="1">
      <alignment horizontal="left" vertical="center" wrapText="1"/>
    </xf>
    <xf numFmtId="3" fontId="87" fillId="0" borderId="2" xfId="0" applyNumberFormat="1" applyFont="1" applyFill="1" applyBorder="1" applyAlignment="1">
      <alignment horizontal="left" vertical="center" wrapText="1"/>
    </xf>
    <xf numFmtId="3" fontId="88" fillId="0" borderId="2" xfId="0" applyNumberFormat="1" applyFont="1" applyFill="1" applyBorder="1" applyAlignment="1">
      <alignment horizontal="left" vertical="center" wrapText="1"/>
    </xf>
    <xf numFmtId="3" fontId="88" fillId="8" borderId="2" xfId="0" applyNumberFormat="1" applyFont="1" applyFill="1" applyBorder="1" applyAlignment="1">
      <alignment horizontal="left" vertical="center" wrapText="1"/>
    </xf>
    <xf numFmtId="0" fontId="88" fillId="0" borderId="2" xfId="0" applyFont="1" applyFill="1" applyBorder="1" applyAlignment="1">
      <alignment horizontal="left" vertical="center" wrapText="1"/>
    </xf>
    <xf numFmtId="0" fontId="88" fillId="8" borderId="2" xfId="15" applyFont="1" applyFill="1" applyBorder="1" applyAlignment="1">
      <alignment horizontal="left" vertical="center" wrapText="1"/>
    </xf>
    <xf numFmtId="0" fontId="88" fillId="0" borderId="2" xfId="15" applyFont="1" applyFill="1" applyBorder="1" applyAlignment="1">
      <alignment horizontal="left" vertical="center" wrapText="1"/>
    </xf>
    <xf numFmtId="0" fontId="87" fillId="0" borderId="2" xfId="15" applyFont="1" applyFill="1" applyBorder="1" applyAlignment="1">
      <alignment horizontal="left" vertical="center" wrapText="1"/>
    </xf>
    <xf numFmtId="3" fontId="88" fillId="0" borderId="2" xfId="15" applyNumberFormat="1" applyFont="1" applyFill="1" applyBorder="1" applyAlignment="1">
      <alignment horizontal="left" vertical="center" wrapText="1"/>
    </xf>
    <xf numFmtId="0" fontId="87" fillId="8" borderId="2" xfId="15" applyFont="1" applyFill="1" applyBorder="1" applyAlignment="1">
      <alignment horizontal="left" vertical="center" wrapText="1"/>
    </xf>
    <xf numFmtId="0" fontId="92" fillId="8" borderId="2" xfId="15" applyFont="1" applyFill="1" applyBorder="1" applyAlignment="1">
      <alignment horizontal="left" vertical="center" wrapText="1"/>
    </xf>
    <xf numFmtId="0" fontId="93" fillId="0" borderId="2" xfId="15" applyFont="1" applyFill="1" applyBorder="1" applyAlignment="1">
      <alignment horizontal="left" vertical="center" wrapText="1"/>
    </xf>
    <xf numFmtId="0" fontId="94" fillId="0" borderId="2" xfId="15" applyFont="1" applyFill="1" applyBorder="1" applyAlignment="1">
      <alignment horizontal="left" vertical="center" wrapText="1"/>
    </xf>
    <xf numFmtId="3" fontId="87" fillId="8" borderId="2" xfId="15" applyNumberFormat="1" applyFont="1" applyFill="1" applyBorder="1" applyAlignment="1">
      <alignment horizontal="left" vertical="top" wrapText="1"/>
    </xf>
    <xf numFmtId="3" fontId="88" fillId="8" borderId="2" xfId="15" applyNumberFormat="1" applyFont="1" applyFill="1" applyBorder="1" applyAlignment="1">
      <alignment horizontal="justify" vertical="top" wrapText="1"/>
    </xf>
    <xf numFmtId="3" fontId="87" fillId="8" borderId="2" xfId="15" applyNumberFormat="1" applyFont="1" applyFill="1" applyBorder="1" applyAlignment="1">
      <alignment horizontal="left" vertical="center" wrapText="1"/>
    </xf>
    <xf numFmtId="0" fontId="88" fillId="0" borderId="2" xfId="15" applyFont="1" applyFill="1" applyBorder="1" applyAlignment="1">
      <alignment horizontal="center" vertical="center" wrapText="1"/>
    </xf>
    <xf numFmtId="0" fontId="89" fillId="0" borderId="2" xfId="15" applyFont="1" applyBorder="1" applyAlignment="1">
      <alignment horizontal="left" vertical="center" wrapText="1"/>
    </xf>
    <xf numFmtId="0" fontId="89" fillId="50" borderId="2" xfId="15" applyFont="1" applyFill="1" applyBorder="1" applyAlignment="1">
      <alignment horizontal="justify" vertical="center" wrapText="1"/>
    </xf>
    <xf numFmtId="0" fontId="89" fillId="0" borderId="2" xfId="15" applyFont="1" applyBorder="1" applyAlignment="1">
      <alignment horizontal="justify" vertical="center" wrapText="1"/>
    </xf>
    <xf numFmtId="3" fontId="95" fillId="8" borderId="2" xfId="15" applyNumberFormat="1" applyFont="1" applyFill="1" applyBorder="1" applyAlignment="1">
      <alignment horizontal="left" vertical="center" wrapText="1"/>
    </xf>
    <xf numFmtId="0" fontId="88" fillId="8" borderId="2" xfId="15" applyNumberFormat="1" applyFont="1" applyFill="1" applyBorder="1" applyAlignment="1">
      <alignment wrapText="1"/>
    </xf>
    <xf numFmtId="0" fontId="88" fillId="8" borderId="2" xfId="15" applyFont="1" applyFill="1" applyBorder="1" applyAlignment="1">
      <alignment wrapText="1"/>
    </xf>
    <xf numFmtId="0" fontId="87" fillId="0" borderId="2" xfId="15" applyFont="1" applyBorder="1" applyAlignment="1">
      <alignment horizontal="left" vertical="center" wrapText="1"/>
    </xf>
    <xf numFmtId="3" fontId="88" fillId="8" borderId="2" xfId="15" applyNumberFormat="1" applyFont="1" applyFill="1" applyBorder="1" applyAlignment="1">
      <alignment horizontal="left" vertical="center" wrapText="1"/>
    </xf>
    <xf numFmtId="4" fontId="88" fillId="8" borderId="2" xfId="0" applyNumberFormat="1" applyFont="1" applyFill="1" applyBorder="1" applyAlignment="1">
      <alignment horizontal="left" vertical="center" wrapText="1"/>
    </xf>
    <xf numFmtId="164" fontId="14" fillId="0" borderId="2" xfId="5" applyNumberFormat="1" applyFont="1" applyFill="1" applyBorder="1" applyAlignment="1" applyProtection="1">
      <alignment horizontal="center" vertical="center" wrapText="1"/>
      <protection locked="0"/>
    </xf>
    <xf numFmtId="3" fontId="77" fillId="0" borderId="2" xfId="0" applyNumberFormat="1" applyFont="1" applyBorder="1" applyAlignment="1" applyProtection="1">
      <alignment horizontal="center" vertical="center"/>
    </xf>
    <xf numFmtId="164" fontId="77" fillId="0" borderId="2" xfId="0" applyNumberFormat="1" applyFont="1" applyBorder="1" applyAlignment="1" applyProtection="1">
      <alignment horizontal="center" vertical="center"/>
    </xf>
    <xf numFmtId="3" fontId="74" fillId="0" borderId="2" xfId="0" applyNumberFormat="1" applyFont="1" applyFill="1" applyBorder="1" applyAlignment="1" applyProtection="1">
      <alignment horizontal="center" vertical="center"/>
    </xf>
    <xf numFmtId="3" fontId="77" fillId="0" borderId="2" xfId="0" applyNumberFormat="1" applyFont="1" applyFill="1" applyBorder="1" applyAlignment="1" applyProtection="1">
      <alignment horizontal="center" vertical="center"/>
    </xf>
    <xf numFmtId="9" fontId="14" fillId="0" borderId="2" xfId="14" applyFont="1" applyFill="1" applyBorder="1" applyAlignment="1" applyProtection="1">
      <alignment horizontal="center" vertical="center"/>
      <protection locked="0"/>
    </xf>
    <xf numFmtId="9" fontId="14" fillId="0" borderId="2" xfId="5" applyNumberFormat="1" applyFont="1" applyFill="1" applyBorder="1" applyAlignment="1" applyProtection="1">
      <alignment horizontal="center" vertical="center"/>
      <protection locked="0"/>
    </xf>
    <xf numFmtId="164" fontId="96" fillId="0" borderId="2" xfId="14" applyNumberFormat="1" applyFont="1" applyFill="1" applyBorder="1" applyAlignment="1" applyProtection="1">
      <alignment horizontal="center" vertical="center"/>
      <protection locked="0"/>
    </xf>
    <xf numFmtId="3" fontId="96" fillId="0" borderId="2" xfId="5" applyNumberFormat="1" applyFont="1" applyFill="1" applyBorder="1" applyAlignment="1" applyProtection="1">
      <alignment horizontal="center" vertical="center"/>
      <protection locked="0"/>
    </xf>
    <xf numFmtId="164" fontId="74" fillId="0" borderId="2" xfId="0" applyNumberFormat="1" applyFont="1" applyFill="1" applyBorder="1" applyAlignment="1" applyProtection="1">
      <alignment horizontal="center" vertical="center"/>
    </xf>
    <xf numFmtId="164" fontId="97" fillId="0" borderId="2" xfId="0" applyNumberFormat="1" applyFont="1" applyFill="1" applyBorder="1" applyAlignment="1" applyProtection="1">
      <alignment horizontal="center" vertical="center"/>
    </xf>
    <xf numFmtId="164" fontId="96" fillId="0" borderId="2" xfId="5" applyNumberFormat="1" applyFont="1" applyFill="1" applyBorder="1" applyAlignment="1" applyProtection="1">
      <alignment horizontal="center" vertical="center" wrapText="1"/>
    </xf>
    <xf numFmtId="164" fontId="77" fillId="0" borderId="2" xfId="0" applyNumberFormat="1" applyFont="1" applyFill="1" applyBorder="1" applyAlignment="1" applyProtection="1">
      <alignment horizontal="center" vertical="center"/>
    </xf>
    <xf numFmtId="0" fontId="14" fillId="53" borderId="2" xfId="5" applyFont="1" applyFill="1" applyBorder="1" applyAlignment="1" applyProtection="1">
      <alignment horizontal="center" vertical="center" wrapText="1"/>
      <protection locked="0"/>
    </xf>
    <xf numFmtId="164" fontId="14" fillId="53" borderId="2" xfId="14" applyNumberFormat="1" applyFont="1" applyFill="1" applyBorder="1" applyAlignment="1" applyProtection="1">
      <alignment horizontal="center" vertical="center"/>
      <protection locked="0"/>
    </xf>
    <xf numFmtId="164" fontId="35" fillId="53" borderId="2" xfId="14" applyNumberFormat="1" applyFont="1" applyFill="1" applyBorder="1" applyAlignment="1" applyProtection="1">
      <alignment horizontal="center" vertical="center"/>
      <protection locked="0"/>
    </xf>
    <xf numFmtId="164" fontId="14" fillId="53" borderId="2" xfId="5" applyNumberFormat="1" applyFont="1" applyFill="1" applyBorder="1" applyAlignment="1" applyProtection="1">
      <alignment horizontal="center" vertical="center" wrapText="1"/>
    </xf>
    <xf numFmtId="3" fontId="14" fillId="53" borderId="2" xfId="5" applyNumberFormat="1" applyFont="1" applyFill="1" applyBorder="1" applyAlignment="1" applyProtection="1">
      <alignment horizontal="center" vertical="center" wrapText="1"/>
      <protection locked="0"/>
    </xf>
    <xf numFmtId="1" fontId="14" fillId="53" borderId="2" xfId="5" applyNumberFormat="1" applyFont="1" applyFill="1" applyBorder="1" applyAlignment="1" applyProtection="1">
      <alignment horizontal="center" vertical="center" wrapText="1"/>
      <protection locked="0"/>
    </xf>
    <xf numFmtId="3" fontId="14" fillId="53" borderId="2" xfId="0" applyNumberFormat="1" applyFont="1" applyFill="1" applyBorder="1" applyAlignment="1" applyProtection="1">
      <alignment horizontal="center" vertical="center"/>
      <protection locked="0"/>
    </xf>
    <xf numFmtId="3" fontId="77" fillId="53" borderId="2" xfId="0" applyNumberFormat="1" applyFont="1" applyFill="1" applyBorder="1" applyAlignment="1" applyProtection="1">
      <alignment horizontal="center" vertical="center"/>
    </xf>
    <xf numFmtId="164" fontId="77" fillId="53" borderId="2" xfId="0" applyNumberFormat="1" applyFont="1" applyFill="1" applyBorder="1" applyAlignment="1" applyProtection="1">
      <alignment horizontal="center" vertical="center"/>
    </xf>
    <xf numFmtId="0" fontId="88" fillId="53" borderId="2" xfId="15" applyFont="1" applyFill="1" applyBorder="1" applyAlignment="1">
      <alignment horizontal="left" vertical="center" wrapText="1"/>
    </xf>
    <xf numFmtId="9" fontId="14" fillId="53" borderId="2" xfId="14" applyFont="1" applyFill="1" applyBorder="1" applyAlignment="1" applyProtection="1">
      <alignment horizontal="center" vertical="center"/>
      <protection locked="0"/>
    </xf>
    <xf numFmtId="164" fontId="14" fillId="53" borderId="2" xfId="5" applyNumberFormat="1" applyFont="1" applyFill="1" applyBorder="1" applyAlignment="1" applyProtection="1">
      <alignment horizontal="center" vertical="center" wrapText="1"/>
      <protection locked="0"/>
    </xf>
    <xf numFmtId="0" fontId="87" fillId="53" borderId="2" xfId="15" applyFont="1" applyFill="1" applyBorder="1" applyAlignment="1">
      <alignment horizontal="left" vertical="center" wrapText="1"/>
    </xf>
    <xf numFmtId="164" fontId="81" fillId="53" borderId="2" xfId="5" applyNumberFormat="1" applyFont="1" applyFill="1" applyBorder="1" applyAlignment="1" applyProtection="1">
      <alignment horizontal="center" vertical="center"/>
      <protection locked="0"/>
    </xf>
    <xf numFmtId="9" fontId="14" fillId="8" borderId="2" xfId="14" applyFont="1" applyFill="1" applyBorder="1" applyAlignment="1" applyProtection="1">
      <alignment horizontal="center" vertical="center"/>
      <protection locked="0"/>
    </xf>
    <xf numFmtId="164" fontId="17" fillId="0" borderId="2" xfId="14"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4" fillId="53" borderId="2" xfId="0" applyNumberFormat="1" applyFont="1" applyFill="1" applyBorder="1" applyAlignment="1">
      <alignment horizontal="center" vertical="center"/>
    </xf>
    <xf numFmtId="164" fontId="14" fillId="53" borderId="2" xfId="14" applyNumberFormat="1" applyFont="1" applyFill="1" applyBorder="1" applyAlignment="1" applyProtection="1">
      <alignment horizontal="center" vertical="center"/>
    </xf>
    <xf numFmtId="9" fontId="14" fillId="53" borderId="2" xfId="5" applyNumberFormat="1" applyFont="1" applyFill="1" applyBorder="1" applyAlignment="1" applyProtection="1">
      <alignment horizontal="center" vertical="center"/>
      <protection locked="0"/>
    </xf>
    <xf numFmtId="3" fontId="81" fillId="53" borderId="2" xfId="5" applyNumberFormat="1" applyFont="1" applyFill="1" applyBorder="1" applyAlignment="1" applyProtection="1">
      <alignment horizontal="center" vertical="center" wrapText="1"/>
      <protection locked="0"/>
    </xf>
    <xf numFmtId="3" fontId="14" fillId="53" borderId="2" xfId="0" applyNumberFormat="1" applyFont="1" applyFill="1" applyBorder="1" applyAlignment="1" applyProtection="1">
      <alignment horizontal="center" vertical="center"/>
    </xf>
    <xf numFmtId="3" fontId="87" fillId="53" borderId="2" xfId="0" applyNumberFormat="1" applyFont="1" applyFill="1" applyBorder="1" applyAlignment="1">
      <alignment horizontal="left" vertical="center" wrapText="1"/>
    </xf>
    <xf numFmtId="3" fontId="35" fillId="53" borderId="2" xfId="5" applyNumberFormat="1" applyFont="1" applyFill="1" applyBorder="1" applyAlignment="1" applyProtection="1">
      <alignment horizontal="center" vertical="center" wrapText="1"/>
      <protection locked="0"/>
    </xf>
    <xf numFmtId="3" fontId="14" fillId="53" borderId="2" xfId="13" applyNumberFormat="1" applyFont="1" applyFill="1" applyBorder="1" applyAlignment="1">
      <alignment horizontal="center" vertical="center"/>
    </xf>
    <xf numFmtId="3" fontId="87" fillId="53" borderId="2" xfId="15" applyNumberFormat="1" applyFont="1" applyFill="1" applyBorder="1" applyAlignment="1">
      <alignment horizontal="left" vertical="top" wrapText="1"/>
    </xf>
    <xf numFmtId="0" fontId="88" fillId="53" borderId="2" xfId="15" applyFont="1" applyFill="1" applyBorder="1" applyAlignment="1">
      <alignment vertical="center" wrapText="1"/>
    </xf>
    <xf numFmtId="3" fontId="87" fillId="53" borderId="2" xfId="15" applyNumberFormat="1" applyFont="1" applyFill="1" applyBorder="1" applyAlignment="1">
      <alignment horizontal="left" vertical="center" wrapText="1"/>
    </xf>
    <xf numFmtId="164" fontId="15" fillId="0" borderId="2" xfId="5" applyNumberFormat="1" applyFont="1" applyFill="1" applyBorder="1" applyAlignment="1" applyProtection="1">
      <alignment horizontal="center" vertical="center" wrapText="1"/>
      <protection locked="0"/>
    </xf>
    <xf numFmtId="164" fontId="14" fillId="53" borderId="2" xfId="5" applyNumberFormat="1" applyFont="1" applyFill="1" applyBorder="1" applyAlignment="1" applyProtection="1">
      <alignment horizontal="center" vertical="center"/>
      <protection locked="0"/>
    </xf>
    <xf numFmtId="3" fontId="95" fillId="8" borderId="2" xfId="15" applyNumberFormat="1" applyFont="1" applyFill="1" applyBorder="1" applyAlignment="1">
      <alignment horizontal="center" vertical="center" wrapText="1"/>
    </xf>
    <xf numFmtId="3" fontId="87" fillId="8" borderId="2" xfId="15" applyNumberFormat="1" applyFont="1" applyFill="1" applyBorder="1" applyAlignment="1">
      <alignment horizontal="center" vertical="center" wrapText="1"/>
    </xf>
    <xf numFmtId="3" fontId="88" fillId="0" borderId="2" xfId="0" applyNumberFormat="1" applyFont="1" applyFill="1" applyBorder="1" applyAlignment="1">
      <alignment horizontal="center" vertical="center" wrapText="1"/>
    </xf>
    <xf numFmtId="3" fontId="88" fillId="8" borderId="2" xfId="0" applyNumberFormat="1" applyFont="1" applyFill="1" applyBorder="1" applyAlignment="1">
      <alignment horizontal="center" vertical="center" wrapText="1"/>
    </xf>
    <xf numFmtId="3" fontId="88" fillId="8" borderId="2" xfId="15" applyNumberFormat="1" applyFont="1" applyFill="1" applyBorder="1" applyAlignment="1">
      <alignment horizontal="center" vertical="center" wrapText="1"/>
    </xf>
    <xf numFmtId="3" fontId="87" fillId="53" borderId="2" xfId="0" applyNumberFormat="1" applyFont="1" applyFill="1" applyBorder="1" applyAlignment="1">
      <alignment horizontal="center" vertical="center" wrapText="1"/>
    </xf>
    <xf numFmtId="3" fontId="87" fillId="53" borderId="2" xfId="15" applyNumberFormat="1" applyFont="1" applyFill="1" applyBorder="1" applyAlignment="1">
      <alignment horizontal="center" vertical="center" wrapText="1"/>
    </xf>
    <xf numFmtId="3" fontId="92" fillId="8" borderId="2" xfId="15" applyNumberFormat="1" applyFont="1" applyFill="1" applyBorder="1" applyAlignment="1">
      <alignment horizontal="center" vertical="center" wrapText="1"/>
    </xf>
    <xf numFmtId="3" fontId="75" fillId="2" borderId="2" xfId="5" applyNumberFormat="1" applyFont="1" applyFill="1" applyBorder="1" applyAlignment="1" applyProtection="1">
      <alignment horizontal="center" vertical="center"/>
      <protection locked="0"/>
    </xf>
    <xf numFmtId="3" fontId="73" fillId="0" borderId="2" xfId="5" applyNumberFormat="1" applyFont="1" applyFill="1" applyBorder="1" applyAlignment="1" applyProtection="1">
      <alignment horizontal="center" vertical="center"/>
      <protection locked="0"/>
    </xf>
    <xf numFmtId="3" fontId="88" fillId="53" borderId="2" xfId="15" applyNumberFormat="1" applyFont="1" applyFill="1" applyBorder="1" applyAlignment="1">
      <alignment horizontal="left" vertical="center" wrapText="1"/>
    </xf>
    <xf numFmtId="3" fontId="87" fillId="0" borderId="2" xfId="15" applyNumberFormat="1" applyFont="1" applyFill="1" applyBorder="1" applyAlignment="1">
      <alignment horizontal="left" vertical="center" wrapText="1"/>
    </xf>
    <xf numFmtId="3" fontId="81" fillId="53" borderId="2" xfId="5" applyNumberFormat="1" applyFont="1" applyFill="1" applyBorder="1" applyAlignment="1" applyProtection="1">
      <alignment horizontal="center" vertical="center"/>
      <protection locked="0"/>
    </xf>
    <xf numFmtId="3" fontId="88" fillId="8" borderId="2" xfId="15" applyNumberFormat="1" applyFont="1" applyFill="1" applyBorder="1" applyAlignment="1">
      <alignment wrapText="1"/>
    </xf>
    <xf numFmtId="3" fontId="87" fillId="0" borderId="2" xfId="15" applyNumberFormat="1" applyFont="1" applyBorder="1" applyAlignment="1">
      <alignment horizontal="left" vertical="center" wrapText="1"/>
    </xf>
    <xf numFmtId="3" fontId="93" fillId="0" borderId="2" xfId="15" applyNumberFormat="1" applyFont="1" applyFill="1" applyBorder="1" applyAlignment="1">
      <alignment horizontal="center" vertical="center" wrapText="1"/>
    </xf>
    <xf numFmtId="3" fontId="88" fillId="53" borderId="2" xfId="15" applyNumberFormat="1" applyFont="1" applyFill="1" applyBorder="1" applyAlignment="1">
      <alignment horizontal="center" vertical="center" wrapText="1"/>
    </xf>
    <xf numFmtId="3" fontId="88" fillId="0" borderId="2" xfId="15" applyNumberFormat="1" applyFont="1" applyFill="1" applyBorder="1" applyAlignment="1">
      <alignment horizontal="center" vertical="center" wrapText="1"/>
    </xf>
    <xf numFmtId="3" fontId="89" fillId="0" borderId="2" xfId="15" applyNumberFormat="1" applyFont="1" applyBorder="1" applyAlignment="1">
      <alignment horizontal="center" vertical="center" wrapText="1"/>
    </xf>
    <xf numFmtId="3" fontId="87" fillId="0" borderId="2" xfId="15" applyNumberFormat="1" applyFont="1" applyBorder="1" applyAlignment="1">
      <alignment horizontal="center" vertical="center" wrapText="1"/>
    </xf>
    <xf numFmtId="3" fontId="88" fillId="0" borderId="2" xfId="15" applyNumberFormat="1" applyFont="1" applyBorder="1" applyAlignment="1">
      <alignment horizontal="center" vertical="center" wrapText="1"/>
    </xf>
    <xf numFmtId="3" fontId="88" fillId="50" borderId="2" xfId="15" applyNumberFormat="1" applyFont="1" applyFill="1" applyBorder="1" applyAlignment="1">
      <alignment horizontal="center" vertical="center" wrapText="1"/>
    </xf>
    <xf numFmtId="3" fontId="14" fillId="53" borderId="0" xfId="14" applyNumberFormat="1" applyFont="1" applyFill="1" applyBorder="1" applyAlignment="1" applyProtection="1">
      <alignment horizontal="center" vertical="center"/>
      <protection locked="0"/>
    </xf>
    <xf numFmtId="0" fontId="71" fillId="0" borderId="2" xfId="0" applyFont="1" applyBorder="1"/>
    <xf numFmtId="164" fontId="14" fillId="8" borderId="2" xfId="14" applyNumberFormat="1" applyFont="1" applyFill="1" applyBorder="1" applyAlignment="1" applyProtection="1">
      <alignment horizontal="center" vertical="center"/>
      <protection locked="0"/>
    </xf>
    <xf numFmtId="0" fontId="74" fillId="0" borderId="2" xfId="0" applyNumberFormat="1" applyFont="1" applyBorder="1" applyAlignment="1" applyProtection="1">
      <alignment horizontal="center" vertical="center"/>
    </xf>
    <xf numFmtId="0" fontId="17" fillId="0" borderId="2" xfId="5" applyNumberFormat="1" applyFont="1" applyFill="1" applyBorder="1" applyAlignment="1" applyProtection="1">
      <alignment horizontal="center" vertical="center"/>
      <protection locked="0"/>
    </xf>
    <xf numFmtId="0" fontId="17" fillId="3" borderId="2" xfId="5" applyNumberFormat="1" applyFont="1" applyFill="1" applyBorder="1" applyAlignment="1" applyProtection="1">
      <alignment horizontal="center" vertical="center" wrapText="1"/>
    </xf>
    <xf numFmtId="0" fontId="17" fillId="4" borderId="2" xfId="5" applyNumberFormat="1" applyFont="1" applyFill="1" applyBorder="1" applyAlignment="1" applyProtection="1">
      <alignment horizontal="center" vertical="center" wrapText="1"/>
      <protection locked="0"/>
    </xf>
    <xf numFmtId="0" fontId="17" fillId="0" borderId="2" xfId="5" applyNumberFormat="1" applyFont="1" applyFill="1" applyBorder="1" applyAlignment="1" applyProtection="1">
      <alignment horizontal="center" vertical="center" wrapText="1"/>
      <protection locked="0"/>
    </xf>
    <xf numFmtId="0" fontId="35" fillId="0" borderId="2" xfId="5" applyNumberFormat="1" applyFont="1" applyFill="1" applyBorder="1" applyAlignment="1" applyProtection="1">
      <alignment horizontal="center" vertical="center"/>
      <protection locked="0"/>
    </xf>
    <xf numFmtId="0" fontId="35" fillId="53" borderId="2" xfId="5" applyNumberFormat="1" applyFont="1" applyFill="1" applyBorder="1" applyAlignment="1" applyProtection="1">
      <alignment horizontal="center" vertical="center"/>
      <protection locked="0"/>
    </xf>
    <xf numFmtId="0" fontId="17" fillId="2" borderId="2" xfId="5" applyNumberFormat="1" applyFont="1" applyFill="1" applyBorder="1" applyAlignment="1" applyProtection="1">
      <alignment horizontal="center" vertical="center" wrapText="1"/>
    </xf>
    <xf numFmtId="0" fontId="17" fillId="2" borderId="2" xfId="5" applyNumberFormat="1" applyFont="1" applyFill="1" applyBorder="1" applyAlignment="1" applyProtection="1">
      <alignment horizontal="center" vertical="center" wrapText="1"/>
      <protection locked="0"/>
    </xf>
    <xf numFmtId="164" fontId="15" fillId="0" borderId="2" xfId="0" applyNumberFormat="1" applyFont="1" applyFill="1" applyBorder="1" applyAlignment="1" applyProtection="1">
      <alignment horizontal="center" vertical="center"/>
    </xf>
    <xf numFmtId="0" fontId="71" fillId="0" borderId="0" xfId="0" applyFont="1" applyBorder="1"/>
    <xf numFmtId="0" fontId="71" fillId="0" borderId="0" xfId="0" applyFont="1" applyBorder="1" applyProtection="1"/>
    <xf numFmtId="164" fontId="75" fillId="2" borderId="0" xfId="5" applyNumberFormat="1" applyFont="1" applyFill="1" applyBorder="1" applyAlignment="1" applyProtection="1">
      <alignment horizontal="center" vertical="center" wrapText="1"/>
      <protection locked="0"/>
    </xf>
    <xf numFmtId="0" fontId="83" fillId="0" borderId="0" xfId="5" applyFont="1" applyAlignment="1" applyProtection="1">
      <alignment horizontal="center"/>
      <protection locked="0"/>
    </xf>
    <xf numFmtId="0" fontId="84" fillId="0" borderId="0" xfId="5" applyFont="1" applyBorder="1" applyAlignment="1" applyProtection="1">
      <alignment horizontal="center"/>
      <protection locked="0"/>
    </xf>
    <xf numFmtId="0" fontId="15" fillId="3" borderId="0" xfId="5" applyFont="1" applyFill="1" applyBorder="1" applyAlignment="1" applyProtection="1">
      <alignment horizontal="center" vertical="center" wrapText="1"/>
    </xf>
    <xf numFmtId="3" fontId="17" fillId="0" borderId="0" xfId="0" applyNumberFormat="1" applyFont="1" applyBorder="1" applyAlignment="1" applyProtection="1">
      <alignment horizontal="center" vertical="center"/>
      <protection locked="0"/>
    </xf>
    <xf numFmtId="3" fontId="15" fillId="3" borderId="0" xfId="5" applyNumberFormat="1" applyFont="1" applyFill="1" applyBorder="1" applyAlignment="1" applyProtection="1">
      <alignment horizontal="center" vertical="center" wrapText="1"/>
    </xf>
    <xf numFmtId="3" fontId="75" fillId="2" borderId="0" xfId="5" applyNumberFormat="1" applyFont="1" applyFill="1" applyBorder="1" applyAlignment="1" applyProtection="1">
      <alignment horizontal="center" vertical="center" wrapText="1"/>
    </xf>
    <xf numFmtId="3" fontId="81" fillId="0" borderId="0" xfId="5" applyNumberFormat="1" applyFont="1" applyFill="1" applyBorder="1" applyAlignment="1" applyProtection="1">
      <alignment horizontal="center" vertical="center"/>
      <protection locked="0"/>
    </xf>
    <xf numFmtId="3" fontId="14" fillId="53" borderId="0" xfId="5" applyNumberFormat="1"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center" vertical="center"/>
      <protection locked="0"/>
    </xf>
    <xf numFmtId="3" fontId="15" fillId="0" borderId="0" xfId="5" applyNumberFormat="1" applyFont="1" applyFill="1" applyBorder="1" applyAlignment="1" applyProtection="1">
      <alignment horizontal="center" vertical="center" wrapText="1"/>
      <protection locked="0"/>
    </xf>
    <xf numFmtId="3" fontId="14" fillId="0" borderId="0" xfId="5" applyNumberFormat="1" applyFont="1" applyFill="1" applyBorder="1" applyAlignment="1" applyProtection="1">
      <alignment horizontal="center" vertical="center"/>
      <protection locked="0"/>
    </xf>
    <xf numFmtId="3" fontId="14" fillId="0" borderId="0" xfId="5" applyNumberFormat="1" applyFont="1" applyFill="1" applyBorder="1" applyAlignment="1" applyProtection="1">
      <alignment horizontal="center" vertical="center" wrapText="1"/>
    </xf>
    <xf numFmtId="3" fontId="14" fillId="53" borderId="0" xfId="5" applyNumberFormat="1" applyFont="1" applyFill="1" applyBorder="1" applyAlignment="1" applyProtection="1">
      <alignment horizontal="center" vertical="center" wrapText="1"/>
      <protection locked="0"/>
    </xf>
    <xf numFmtId="3" fontId="17" fillId="0" borderId="0" xfId="5" applyNumberFormat="1" applyFont="1" applyFill="1" applyBorder="1" applyAlignment="1" applyProtection="1">
      <alignment horizontal="center" vertical="center"/>
      <protection locked="0"/>
    </xf>
    <xf numFmtId="3" fontId="15" fillId="54" borderId="0" xfId="5" applyNumberFormat="1" applyFont="1" applyFill="1" applyBorder="1" applyAlignment="1" applyProtection="1">
      <alignment horizontal="center" vertical="center" wrapText="1"/>
      <protection locked="0"/>
    </xf>
    <xf numFmtId="3" fontId="14" fillId="54" borderId="0" xfId="5" applyNumberFormat="1" applyFont="1" applyFill="1" applyBorder="1" applyAlignment="1" applyProtection="1">
      <alignment horizontal="center" vertical="center"/>
      <protection locked="0"/>
    </xf>
    <xf numFmtId="3" fontId="75" fillId="2" borderId="0" xfId="5" applyNumberFormat="1" applyFont="1" applyFill="1" applyBorder="1" applyAlignment="1" applyProtection="1">
      <alignment horizontal="center" vertical="center" wrapText="1"/>
      <protection locked="0"/>
    </xf>
    <xf numFmtId="3" fontId="96" fillId="0" borderId="0" xfId="5" applyNumberFormat="1" applyFont="1" applyFill="1" applyBorder="1" applyAlignment="1" applyProtection="1">
      <alignment horizontal="center" vertical="center"/>
      <protection locked="0"/>
    </xf>
    <xf numFmtId="3" fontId="14" fillId="53" borderId="2" xfId="14" applyNumberFormat="1" applyFont="1" applyFill="1" applyBorder="1" applyAlignment="1" applyProtection="1">
      <alignment horizontal="center" vertical="center"/>
      <protection locked="0"/>
    </xf>
    <xf numFmtId="3" fontId="14" fillId="54" borderId="2" xfId="5" applyNumberFormat="1" applyFont="1" applyFill="1" applyBorder="1" applyAlignment="1" applyProtection="1">
      <alignment horizontal="center" vertical="center"/>
      <protection locked="0"/>
    </xf>
    <xf numFmtId="10" fontId="99" fillId="0" borderId="0" xfId="0" applyNumberFormat="1" applyFont="1" applyAlignment="1">
      <alignment horizontal="left"/>
    </xf>
    <xf numFmtId="164" fontId="101" fillId="0" borderId="2" xfId="0" applyNumberFormat="1" applyFont="1" applyBorder="1" applyAlignment="1" applyProtection="1">
      <alignment horizontal="left" vertical="center"/>
    </xf>
    <xf numFmtId="3" fontId="100" fillId="3" borderId="2" xfId="5" applyNumberFormat="1" applyFont="1" applyFill="1" applyBorder="1" applyAlignment="1" applyProtection="1">
      <alignment horizontal="left" vertical="center" wrapText="1"/>
    </xf>
    <xf numFmtId="164" fontId="102" fillId="53" borderId="2" xfId="5" applyNumberFormat="1" applyFont="1" applyFill="1" applyBorder="1" applyAlignment="1" applyProtection="1">
      <alignment horizontal="left" vertical="center" wrapText="1"/>
      <protection locked="0"/>
    </xf>
    <xf numFmtId="164" fontId="100" fillId="0" borderId="2" xfId="5" applyNumberFormat="1" applyFont="1" applyFill="1" applyBorder="1" applyAlignment="1" applyProtection="1">
      <alignment horizontal="left" vertical="center"/>
      <protection locked="0"/>
    </xf>
    <xf numFmtId="0" fontId="99" fillId="0" borderId="0" xfId="0" applyFont="1" applyAlignment="1">
      <alignment horizontal="left"/>
    </xf>
    <xf numFmtId="0" fontId="84" fillId="0" borderId="0" xfId="5" applyFont="1" applyBorder="1" applyAlignment="1" applyProtection="1">
      <alignment horizontal="center"/>
      <protection locked="0"/>
    </xf>
    <xf numFmtId="10" fontId="71" fillId="0" borderId="0" xfId="14" applyNumberFormat="1" applyFont="1"/>
    <xf numFmtId="0" fontId="14" fillId="0" borderId="0" xfId="5" applyFont="1" applyFill="1" applyBorder="1" applyAlignment="1" applyProtection="1">
      <alignment horizontal="left" vertical="center" wrapText="1"/>
      <protection locked="0"/>
    </xf>
    <xf numFmtId="0" fontId="14" fillId="0" borderId="0" xfId="5" applyFont="1" applyFill="1" applyBorder="1" applyAlignment="1" applyProtection="1">
      <alignment horizontal="center" vertical="center" wrapText="1"/>
      <protection locked="0"/>
    </xf>
    <xf numFmtId="3" fontId="14" fillId="0" borderId="0" xfId="13" applyNumberFormat="1" applyFont="1" applyFill="1" applyBorder="1" applyAlignment="1">
      <alignment horizontal="center" vertical="center"/>
    </xf>
    <xf numFmtId="3" fontId="14" fillId="0" borderId="0" xfId="5" applyNumberFormat="1" applyFont="1" applyFill="1" applyBorder="1" applyAlignment="1" applyProtection="1">
      <alignment horizontal="center" vertical="center" wrapText="1"/>
      <protection locked="0"/>
    </xf>
    <xf numFmtId="164" fontId="14" fillId="0" borderId="0" xfId="14" applyNumberFormat="1" applyFont="1" applyFill="1" applyBorder="1" applyAlignment="1" applyProtection="1">
      <alignment horizontal="center" vertical="center"/>
      <protection locked="0"/>
    </xf>
    <xf numFmtId="164" fontId="35" fillId="0" borderId="0" xfId="14" applyNumberFormat="1" applyFont="1" applyBorder="1" applyAlignment="1" applyProtection="1">
      <alignment horizontal="center" vertical="center"/>
      <protection locked="0"/>
    </xf>
    <xf numFmtId="164" fontId="14" fillId="0" borderId="0" xfId="5" applyNumberFormat="1" applyFont="1" applyFill="1" applyBorder="1" applyAlignment="1" applyProtection="1">
      <alignment horizontal="center" vertical="center" wrapText="1"/>
    </xf>
    <xf numFmtId="167" fontId="14" fillId="0" borderId="0" xfId="5" applyNumberFormat="1" applyFont="1" applyFill="1" applyBorder="1" applyAlignment="1" applyProtection="1">
      <alignment horizontal="center" vertical="center" wrapText="1"/>
      <protection locked="0"/>
    </xf>
    <xf numFmtId="3" fontId="14" fillId="0" borderId="0" xfId="0" applyNumberFormat="1" applyFont="1" applyFill="1" applyBorder="1" applyAlignment="1" applyProtection="1">
      <alignment horizontal="center" vertical="center"/>
    </xf>
    <xf numFmtId="164" fontId="86" fillId="0" borderId="0" xfId="14" applyNumberFormat="1" applyFont="1" applyBorder="1" applyAlignment="1">
      <alignment horizontal="center" vertical="center"/>
    </xf>
    <xf numFmtId="3" fontId="77" fillId="0" borderId="0" xfId="0" applyNumberFormat="1" applyFont="1" applyBorder="1" applyAlignment="1" applyProtection="1">
      <alignment horizontal="center" vertical="center"/>
    </xf>
    <xf numFmtId="164" fontId="77" fillId="0" borderId="0" xfId="0" applyNumberFormat="1" applyFont="1" applyBorder="1" applyAlignment="1" applyProtection="1">
      <alignment horizontal="center" vertical="center"/>
    </xf>
    <xf numFmtId="0" fontId="87" fillId="0" borderId="0" xfId="15" applyFont="1" applyBorder="1" applyAlignment="1">
      <alignment horizontal="left" vertical="center" wrapText="1"/>
    </xf>
    <xf numFmtId="3" fontId="87" fillId="0" borderId="0" xfId="15" applyNumberFormat="1" applyFont="1" applyBorder="1" applyAlignment="1">
      <alignment horizontal="center" vertical="center" wrapText="1"/>
    </xf>
    <xf numFmtId="0" fontId="35" fillId="0" borderId="0" xfId="5" applyNumberFormat="1" applyFont="1" applyFill="1" applyBorder="1" applyAlignment="1" applyProtection="1">
      <alignment horizontal="center" vertical="center"/>
      <protection locked="0"/>
    </xf>
    <xf numFmtId="164" fontId="14" fillId="0" borderId="0" xfId="5" applyNumberFormat="1" applyFont="1" applyFill="1" applyBorder="1" applyAlignment="1" applyProtection="1">
      <alignment horizontal="center" vertical="center"/>
      <protection locked="0"/>
    </xf>
    <xf numFmtId="164" fontId="15" fillId="8" borderId="2" xfId="14" applyNumberFormat="1" applyFont="1" applyFill="1" applyBorder="1" applyAlignment="1" applyProtection="1">
      <alignment horizontal="center" vertical="center" wrapText="1"/>
      <protection locked="0"/>
    </xf>
    <xf numFmtId="164" fontId="87" fillId="8" borderId="2" xfId="5" applyNumberFormat="1" applyFont="1" applyFill="1" applyBorder="1" applyAlignment="1" applyProtection="1">
      <alignment horizontal="left" vertical="center" wrapText="1"/>
      <protection locked="0"/>
    </xf>
    <xf numFmtId="0" fontId="84" fillId="0" borderId="0" xfId="5" applyFont="1" applyBorder="1" applyAlignment="1" applyProtection="1">
      <alignment horizontal="center"/>
      <protection locked="0"/>
    </xf>
    <xf numFmtId="0" fontId="84" fillId="53" borderId="15" xfId="5" applyFont="1" applyFill="1" applyBorder="1" applyAlignment="1" applyProtection="1">
      <alignment horizontal="center"/>
      <protection locked="0"/>
    </xf>
    <xf numFmtId="0" fontId="83" fillId="0" borderId="0" xfId="5" applyFont="1" applyAlignment="1" applyProtection="1">
      <alignment horizontal="center"/>
      <protection locked="0"/>
    </xf>
    <xf numFmtId="0" fontId="84" fillId="53" borderId="16" xfId="5" applyFont="1" applyFill="1" applyBorder="1" applyAlignment="1" applyProtection="1">
      <protection locked="0"/>
    </xf>
    <xf numFmtId="0" fontId="84" fillId="53" borderId="15" xfId="5" applyFont="1" applyFill="1" applyBorder="1" applyAlignment="1" applyProtection="1">
      <protection locked="0"/>
    </xf>
    <xf numFmtId="0" fontId="84" fillId="53" borderId="17" xfId="5" applyFont="1" applyFill="1" applyBorder="1" applyAlignment="1" applyProtection="1">
      <protection locked="0"/>
    </xf>
    <xf numFmtId="0" fontId="83" fillId="0" borderId="0" xfId="5" applyFont="1" applyAlignment="1" applyProtection="1">
      <protection locked="0"/>
    </xf>
    <xf numFmtId="0" fontId="98" fillId="0" borderId="0" xfId="5" applyFont="1" applyAlignment="1" applyProtection="1">
      <protection locked="0"/>
    </xf>
    <xf numFmtId="0" fontId="84" fillId="0" borderId="0" xfId="5" applyFont="1" applyBorder="1" applyAlignment="1" applyProtection="1">
      <protection locked="0"/>
    </xf>
    <xf numFmtId="164" fontId="81" fillId="0" borderId="2" xfId="5" applyNumberFormat="1" applyFont="1" applyFill="1" applyBorder="1" applyAlignment="1" applyProtection="1">
      <alignment horizontal="center" vertical="center" wrapText="1"/>
      <protection locked="0"/>
    </xf>
    <xf numFmtId="164" fontId="102" fillId="0" borderId="2" xfId="5" applyNumberFormat="1" applyFont="1" applyFill="1" applyBorder="1" applyAlignment="1" applyProtection="1">
      <alignment horizontal="left" vertical="center" wrapText="1"/>
      <protection locked="0"/>
    </xf>
    <xf numFmtId="3" fontId="92" fillId="53" borderId="2" xfId="15" applyNumberFormat="1" applyFont="1" applyFill="1" applyBorder="1" applyAlignment="1">
      <alignment horizontal="justify" vertical="top" wrapText="1"/>
    </xf>
    <xf numFmtId="3" fontId="92" fillId="53" borderId="2" xfId="15" applyNumberFormat="1" applyFont="1" applyFill="1" applyBorder="1" applyAlignment="1">
      <alignment horizontal="center" vertical="center" wrapText="1"/>
    </xf>
    <xf numFmtId="164" fontId="35" fillId="0" borderId="2" xfId="5" applyNumberFormat="1" applyFont="1" applyFill="1" applyBorder="1" applyAlignment="1" applyProtection="1">
      <alignment horizontal="center" vertical="center" wrapText="1"/>
      <protection locked="0"/>
    </xf>
    <xf numFmtId="164" fontId="96" fillId="0" borderId="2" xfId="5" applyNumberFormat="1" applyFont="1" applyFill="1" applyBorder="1" applyAlignment="1" applyProtection="1">
      <alignment horizontal="center" vertical="center"/>
      <protection locked="0"/>
    </xf>
    <xf numFmtId="164" fontId="96" fillId="4" borderId="2" xfId="5" applyNumberFormat="1" applyFont="1" applyFill="1" applyBorder="1" applyAlignment="1" applyProtection="1">
      <alignment horizontal="center" vertical="center"/>
      <protection locked="0"/>
    </xf>
    <xf numFmtId="164" fontId="80" fillId="0" borderId="2" xfId="5" applyNumberFormat="1" applyFont="1" applyFill="1" applyBorder="1" applyAlignment="1" applyProtection="1">
      <alignment horizontal="center" vertical="center" wrapText="1"/>
      <protection locked="0"/>
    </xf>
    <xf numFmtId="164" fontId="80" fillId="53" borderId="2" xfId="5" applyNumberFormat="1" applyFont="1" applyFill="1" applyBorder="1" applyAlignment="1" applyProtection="1">
      <alignment horizontal="center" vertical="center" wrapText="1"/>
      <protection locked="0"/>
    </xf>
    <xf numFmtId="164" fontId="96" fillId="4" borderId="0" xfId="5" applyNumberFormat="1" applyFont="1" applyFill="1" applyBorder="1" applyAlignment="1" applyProtection="1">
      <alignment horizontal="center" vertical="center"/>
      <protection locked="0"/>
    </xf>
    <xf numFmtId="3" fontId="96" fillId="4" borderId="2" xfId="5" applyNumberFormat="1" applyFont="1" applyFill="1" applyBorder="1" applyAlignment="1" applyProtection="1">
      <alignment horizontal="center" vertical="center"/>
      <protection locked="0"/>
    </xf>
    <xf numFmtId="3" fontId="103" fillId="4" borderId="2" xfId="5" applyNumberFormat="1" applyFont="1" applyFill="1" applyBorder="1" applyAlignment="1" applyProtection="1">
      <alignment horizontal="center" vertical="center"/>
      <protection locked="0"/>
    </xf>
    <xf numFmtId="3" fontId="103" fillId="0" borderId="2" xfId="5" applyNumberFormat="1" applyFont="1" applyFill="1" applyBorder="1" applyAlignment="1" applyProtection="1">
      <alignment horizontal="center" vertical="center"/>
      <protection locked="0"/>
    </xf>
    <xf numFmtId="0" fontId="84" fillId="0" borderId="0" xfId="5" applyFont="1" applyFill="1" applyBorder="1" applyAlignment="1" applyProtection="1">
      <protection locked="0"/>
    </xf>
    <xf numFmtId="0" fontId="104" fillId="0" borderId="0" xfId="5" applyFont="1" applyAlignment="1" applyProtection="1">
      <alignment horizontal="center"/>
      <protection locked="0"/>
    </xf>
    <xf numFmtId="0" fontId="105" fillId="0" borderId="0" xfId="5" applyFont="1" applyBorder="1" applyAlignment="1" applyProtection="1">
      <alignment horizontal="center"/>
      <protection locked="0"/>
    </xf>
    <xf numFmtId="0" fontId="92" fillId="53" borderId="2" xfId="0" applyFont="1" applyFill="1" applyBorder="1" applyAlignment="1">
      <alignment horizontal="center" vertical="center" wrapText="1"/>
    </xf>
    <xf numFmtId="3" fontId="92" fillId="53" borderId="2" xfId="0" applyNumberFormat="1" applyFont="1" applyFill="1" applyBorder="1" applyAlignment="1">
      <alignment horizontal="center" vertical="center" wrapText="1"/>
    </xf>
    <xf numFmtId="164" fontId="102" fillId="53" borderId="2" xfId="5" applyNumberFormat="1" applyFont="1" applyFill="1" applyBorder="1" applyAlignment="1" applyProtection="1">
      <alignment horizontal="center" vertical="center" wrapText="1"/>
      <protection locked="0"/>
    </xf>
    <xf numFmtId="3" fontId="77" fillId="53" borderId="2" xfId="0" applyNumberFormat="1" applyFont="1" applyFill="1" applyBorder="1" applyAlignment="1">
      <alignment horizontal="center" vertical="center" wrapText="1"/>
    </xf>
    <xf numFmtId="0" fontId="77" fillId="53" borderId="2" xfId="0" applyFont="1" applyFill="1" applyBorder="1" applyAlignment="1">
      <alignment horizontal="center" vertical="center" wrapText="1"/>
    </xf>
    <xf numFmtId="0" fontId="71" fillId="0" borderId="2" xfId="0" applyFont="1" applyFill="1" applyBorder="1" applyProtection="1"/>
    <xf numFmtId="3" fontId="95" fillId="53" borderId="2" xfId="15" applyNumberFormat="1" applyFont="1" applyFill="1" applyBorder="1" applyAlignment="1">
      <alignment horizontal="left" vertical="center" wrapText="1"/>
    </xf>
    <xf numFmtId="3" fontId="95" fillId="53" borderId="2" xfId="15" applyNumberFormat="1" applyFont="1" applyFill="1" applyBorder="1" applyAlignment="1">
      <alignment horizontal="center" vertical="center" wrapText="1"/>
    </xf>
    <xf numFmtId="3" fontId="80" fillId="53" borderId="2" xfId="5" applyNumberFormat="1" applyFont="1" applyFill="1" applyBorder="1" applyAlignment="1" applyProtection="1">
      <alignment horizontal="center" vertical="center" wrapText="1"/>
      <protection locked="0"/>
    </xf>
    <xf numFmtId="164" fontId="17" fillId="53" borderId="2" xfId="14" applyNumberFormat="1" applyFont="1" applyFill="1" applyBorder="1" applyAlignment="1" applyProtection="1">
      <alignment horizontal="center" vertical="center"/>
      <protection locked="0"/>
    </xf>
    <xf numFmtId="164" fontId="102" fillId="53" borderId="2" xfId="5" applyNumberFormat="1" applyFont="1" applyFill="1" applyBorder="1" applyAlignment="1" applyProtection="1">
      <alignment horizontal="justify" vertical="center" wrapText="1"/>
      <protection locked="0"/>
    </xf>
    <xf numFmtId="0" fontId="14" fillId="8" borderId="2" xfId="5" applyFont="1" applyFill="1" applyBorder="1" applyAlignment="1" applyProtection="1">
      <alignment horizontal="left" vertical="center" wrapText="1"/>
    </xf>
    <xf numFmtId="0" fontId="14" fillId="8" borderId="2" xfId="5" applyFont="1" applyFill="1" applyBorder="1" applyAlignment="1" applyProtection="1">
      <alignment horizontal="center" vertical="center" wrapText="1"/>
    </xf>
    <xf numFmtId="164" fontId="35" fillId="8" borderId="2" xfId="14" applyNumberFormat="1" applyFont="1" applyFill="1" applyBorder="1" applyAlignment="1" applyProtection="1">
      <alignment horizontal="center" vertical="center"/>
      <protection locked="0"/>
    </xf>
    <xf numFmtId="164" fontId="14" fillId="8" borderId="2" xfId="5" applyNumberFormat="1" applyFont="1" applyFill="1" applyBorder="1" applyAlignment="1" applyProtection="1">
      <alignment horizontal="center" vertical="center" wrapText="1"/>
    </xf>
    <xf numFmtId="3" fontId="14" fillId="8" borderId="2" xfId="0" applyNumberFormat="1" applyFont="1" applyFill="1" applyBorder="1" applyAlignment="1" applyProtection="1">
      <alignment horizontal="center" vertical="center"/>
    </xf>
    <xf numFmtId="164" fontId="14" fillId="8" borderId="2" xfId="14" applyNumberFormat="1" applyFont="1" applyFill="1" applyBorder="1" applyAlignment="1" applyProtection="1">
      <alignment horizontal="center" vertical="center"/>
    </xf>
    <xf numFmtId="164" fontId="14" fillId="8" borderId="2" xfId="14" applyNumberFormat="1" applyFont="1" applyFill="1" applyBorder="1" applyAlignment="1" applyProtection="1">
      <alignment horizontal="center" vertical="center" wrapText="1"/>
    </xf>
    <xf numFmtId="3" fontId="77" fillId="8" borderId="2" xfId="0" applyNumberFormat="1" applyFont="1" applyFill="1" applyBorder="1" applyAlignment="1" applyProtection="1">
      <alignment horizontal="center" vertical="center"/>
    </xf>
    <xf numFmtId="164" fontId="77" fillId="8" borderId="2" xfId="0" applyNumberFormat="1" applyFont="1" applyFill="1" applyBorder="1" applyAlignment="1" applyProtection="1">
      <alignment horizontal="center" vertical="center"/>
    </xf>
    <xf numFmtId="164" fontId="14" fillId="8" borderId="2" xfId="5" applyNumberFormat="1" applyFont="1" applyFill="1" applyBorder="1" applyAlignment="1" applyProtection="1">
      <alignment horizontal="center" vertical="center"/>
      <protection locked="0"/>
    </xf>
    <xf numFmtId="0" fontId="35" fillId="8" borderId="2" xfId="5" applyNumberFormat="1" applyFont="1" applyFill="1" applyBorder="1" applyAlignment="1" applyProtection="1">
      <alignment horizontal="center" vertical="center"/>
      <protection locked="0"/>
    </xf>
    <xf numFmtId="164" fontId="14" fillId="8" borderId="2" xfId="14" applyNumberFormat="1" applyFont="1" applyFill="1" applyBorder="1" applyAlignment="1" applyProtection="1">
      <alignment horizontal="center" vertical="center" wrapText="1"/>
      <protection locked="0"/>
    </xf>
    <xf numFmtId="164" fontId="14" fillId="0" borderId="2" xfId="14" applyNumberFormat="1" applyFont="1" applyFill="1" applyBorder="1" applyAlignment="1" applyProtection="1">
      <alignment horizontal="center" vertical="center" wrapText="1"/>
      <protection locked="0"/>
    </xf>
    <xf numFmtId="9" fontId="14" fillId="0" borderId="2" xfId="14" applyFont="1" applyFill="1" applyBorder="1" applyAlignment="1" applyProtection="1">
      <alignment horizontal="center" vertical="center" wrapText="1"/>
      <protection locked="0"/>
    </xf>
    <xf numFmtId="3" fontId="102" fillId="0" borderId="2" xfId="5" applyNumberFormat="1" applyFont="1" applyFill="1" applyBorder="1" applyAlignment="1" applyProtection="1">
      <alignment horizontal="center" vertical="center" wrapText="1"/>
      <protection locked="0"/>
    </xf>
    <xf numFmtId="164" fontId="102" fillId="0" borderId="2" xfId="5" applyNumberFormat="1" applyFont="1" applyFill="1" applyBorder="1" applyAlignment="1" applyProtection="1">
      <alignment horizontal="center" vertical="center" wrapText="1"/>
      <protection locked="0"/>
    </xf>
    <xf numFmtId="164" fontId="35" fillId="53" borderId="2" xfId="5" applyNumberFormat="1" applyFont="1" applyFill="1" applyBorder="1" applyAlignment="1" applyProtection="1">
      <alignment horizontal="center" vertical="center" wrapText="1"/>
      <protection locked="0"/>
    </xf>
    <xf numFmtId="0" fontId="14" fillId="53" borderId="2" xfId="5" applyFont="1" applyFill="1" applyBorder="1" applyAlignment="1" applyProtection="1">
      <alignment horizontal="left" vertical="center" wrapText="1"/>
      <protection locked="0"/>
    </xf>
    <xf numFmtId="3" fontId="14" fillId="0" borderId="2" xfId="5" applyNumberFormat="1" applyFont="1" applyFill="1" applyBorder="1" applyAlignment="1" applyProtection="1">
      <alignment horizontal="center" vertical="center"/>
      <protection locked="0"/>
    </xf>
    <xf numFmtId="3" fontId="75" fillId="2" borderId="2" xfId="5" applyNumberFormat="1" applyFont="1" applyFill="1" applyBorder="1" applyAlignment="1" applyProtection="1">
      <alignment horizontal="center" vertical="center" wrapText="1"/>
      <protection locked="0"/>
    </xf>
    <xf numFmtId="3" fontId="15" fillId="0" borderId="2" xfId="5" applyNumberFormat="1" applyFont="1" applyFill="1" applyBorder="1" applyAlignment="1" applyProtection="1">
      <alignment horizontal="center" vertical="center" wrapText="1"/>
      <protection locked="0"/>
    </xf>
    <xf numFmtId="3" fontId="14" fillId="0" borderId="2" xfId="5" applyNumberFormat="1" applyFont="1" applyFill="1" applyBorder="1" applyAlignment="1" applyProtection="1">
      <alignment horizontal="center" vertical="center"/>
      <protection locked="0"/>
    </xf>
    <xf numFmtId="3" fontId="14" fillId="53" borderId="2" xfId="5" applyNumberFormat="1" applyFont="1" applyFill="1" applyBorder="1" applyAlignment="1" applyProtection="1">
      <alignment horizontal="center" vertical="center"/>
      <protection locked="0"/>
    </xf>
    <xf numFmtId="3" fontId="71" fillId="0" borderId="2" xfId="0" applyNumberFormat="1" applyFont="1" applyBorder="1"/>
    <xf numFmtId="3" fontId="82" fillId="0" borderId="2" xfId="0" applyNumberFormat="1" applyFont="1" applyBorder="1"/>
    <xf numFmtId="9" fontId="14" fillId="53" borderId="2" xfId="14" applyFont="1" applyFill="1" applyBorder="1" applyAlignment="1" applyProtection="1">
      <alignment horizontal="center" vertical="center" wrapText="1"/>
      <protection locked="0"/>
    </xf>
    <xf numFmtId="0" fontId="35" fillId="53" borderId="2" xfId="5" applyFont="1" applyFill="1" applyBorder="1" applyAlignment="1" applyProtection="1">
      <alignment horizontal="center" vertical="center" wrapText="1"/>
      <protection locked="0"/>
    </xf>
    <xf numFmtId="0" fontId="77" fillId="53" borderId="2" xfId="0" applyFont="1" applyFill="1" applyBorder="1" applyAlignment="1">
      <alignment horizontal="left" vertical="center" wrapText="1"/>
    </xf>
    <xf numFmtId="0" fontId="35" fillId="53" borderId="2" xfId="0" applyFont="1" applyFill="1" applyBorder="1" applyAlignment="1">
      <alignment horizontal="center" wrapText="1"/>
    </xf>
    <xf numFmtId="0" fontId="93" fillId="0" borderId="2" xfId="6" applyFont="1" applyFill="1" applyBorder="1" applyAlignment="1">
      <alignment horizontal="left" vertical="top" wrapText="1"/>
    </xf>
    <xf numFmtId="3" fontId="93" fillId="0" borderId="2" xfId="6" applyNumberFormat="1" applyFont="1" applyFill="1" applyBorder="1" applyAlignment="1">
      <alignment horizontal="center" vertical="center" wrapText="1"/>
    </xf>
    <xf numFmtId="0" fontId="15" fillId="3" borderId="21" xfId="5" applyFont="1" applyFill="1" applyBorder="1" applyAlignment="1" applyProtection="1">
      <alignment horizontal="left" vertical="center" wrapText="1"/>
    </xf>
    <xf numFmtId="0" fontId="15" fillId="3" borderId="22" xfId="5" applyFont="1" applyFill="1" applyBorder="1" applyAlignment="1" applyProtection="1">
      <alignment horizontal="left" vertical="center" wrapText="1"/>
    </xf>
    <xf numFmtId="0" fontId="15" fillId="3" borderId="22" xfId="5" applyFont="1" applyFill="1" applyBorder="1" applyAlignment="1" applyProtection="1">
      <alignment horizontal="center" vertical="center" wrapText="1"/>
    </xf>
    <xf numFmtId="3" fontId="15" fillId="3" borderId="22" xfId="5" applyNumberFormat="1" applyFont="1" applyFill="1" applyBorder="1" applyAlignment="1" applyProtection="1">
      <alignment horizontal="center" vertical="center" wrapText="1"/>
    </xf>
    <xf numFmtId="3" fontId="17" fillId="3" borderId="22" xfId="5" applyNumberFormat="1" applyFont="1" applyFill="1" applyBorder="1" applyAlignment="1" applyProtection="1">
      <alignment horizontal="center" vertical="center" wrapText="1"/>
    </xf>
    <xf numFmtId="0" fontId="17" fillId="3" borderId="22" xfId="5" applyFont="1" applyFill="1" applyBorder="1" applyAlignment="1" applyProtection="1">
      <alignment horizontal="center" vertical="center" wrapText="1"/>
    </xf>
    <xf numFmtId="0" fontId="17" fillId="52" borderId="22" xfId="5" applyFont="1" applyFill="1" applyBorder="1" applyAlignment="1" applyProtection="1">
      <alignment horizontal="center" vertical="center" wrapText="1"/>
    </xf>
    <xf numFmtId="3" fontId="17" fillId="52" borderId="22" xfId="5" applyNumberFormat="1" applyFont="1" applyFill="1" applyBorder="1" applyAlignment="1" applyProtection="1">
      <alignment horizontal="center" vertical="center" wrapText="1"/>
    </xf>
    <xf numFmtId="0" fontId="15" fillId="3" borderId="24" xfId="5" applyFont="1" applyFill="1" applyBorder="1" applyAlignment="1" applyProtection="1">
      <alignment horizontal="center" vertical="center" wrapText="1"/>
    </xf>
    <xf numFmtId="0" fontId="71" fillId="0" borderId="24" xfId="0" applyFont="1" applyBorder="1" applyProtection="1"/>
    <xf numFmtId="3" fontId="17" fillId="0" borderId="25" xfId="0" applyNumberFormat="1" applyFont="1" applyBorder="1" applyAlignment="1" applyProtection="1">
      <alignment horizontal="center" vertical="center"/>
      <protection locked="0"/>
    </xf>
    <xf numFmtId="0" fontId="15" fillId="3" borderId="24" xfId="5" applyFont="1" applyFill="1" applyBorder="1" applyAlignment="1" applyProtection="1">
      <alignment horizontal="left" vertical="center" wrapText="1"/>
    </xf>
    <xf numFmtId="3" fontId="15" fillId="3" borderId="25" xfId="5" applyNumberFormat="1" applyFont="1" applyFill="1" applyBorder="1" applyAlignment="1" applyProtection="1">
      <alignment horizontal="center" vertical="center" wrapText="1"/>
    </xf>
    <xf numFmtId="0" fontId="75" fillId="2" borderId="24" xfId="5" applyFont="1" applyFill="1" applyBorder="1" applyAlignment="1" applyProtection="1">
      <alignment horizontal="left" vertical="center" wrapText="1"/>
    </xf>
    <xf numFmtId="3" fontId="75" fillId="2" borderId="25" xfId="5" applyNumberFormat="1" applyFont="1" applyFill="1" applyBorder="1" applyAlignment="1" applyProtection="1">
      <alignment horizontal="center" vertical="center" wrapText="1"/>
    </xf>
    <xf numFmtId="0" fontId="15" fillId="0" borderId="24" xfId="5" applyFont="1" applyFill="1" applyBorder="1" applyAlignment="1" applyProtection="1">
      <alignment horizontal="left" vertical="center" wrapText="1"/>
    </xf>
    <xf numFmtId="3" fontId="15" fillId="0" borderId="25" xfId="5" applyNumberFormat="1" applyFont="1" applyFill="1" applyBorder="1" applyAlignment="1" applyProtection="1">
      <alignment horizontal="center" vertical="center" wrapText="1"/>
    </xf>
    <xf numFmtId="0" fontId="14" fillId="0" borderId="24" xfId="5" applyFont="1" applyFill="1" applyBorder="1" applyAlignment="1" applyProtection="1">
      <alignment horizontal="left" vertical="center" wrapText="1"/>
      <protection locked="0"/>
    </xf>
    <xf numFmtId="3" fontId="81" fillId="0" borderId="25" xfId="5" applyNumberFormat="1" applyFont="1" applyFill="1" applyBorder="1" applyAlignment="1" applyProtection="1">
      <alignment horizontal="center" vertical="center"/>
      <protection locked="0"/>
    </xf>
    <xf numFmtId="0" fontId="14" fillId="53" borderId="24" xfId="5" applyFont="1" applyFill="1" applyBorder="1" applyAlignment="1" applyProtection="1">
      <alignment horizontal="left" vertical="center" wrapText="1"/>
      <protection locked="0"/>
    </xf>
    <xf numFmtId="3" fontId="14" fillId="53" borderId="25" xfId="5" applyNumberFormat="1" applyFont="1" applyFill="1" applyBorder="1" applyAlignment="1" applyProtection="1">
      <alignment horizontal="center" vertical="center"/>
      <protection locked="0"/>
    </xf>
    <xf numFmtId="3" fontId="14" fillId="0" borderId="25" xfId="0" applyNumberFormat="1" applyFont="1" applyFill="1" applyBorder="1" applyAlignment="1" applyProtection="1">
      <alignment horizontal="center" vertical="center"/>
      <protection locked="0"/>
    </xf>
    <xf numFmtId="3" fontId="15" fillId="0" borderId="25" xfId="5" applyNumberFormat="1" applyFont="1" applyFill="1" applyBorder="1" applyAlignment="1" applyProtection="1">
      <alignment horizontal="center" vertical="center" wrapText="1"/>
      <protection locked="0"/>
    </xf>
    <xf numFmtId="0" fontId="14" fillId="0" borderId="24" xfId="5" applyFont="1" applyFill="1" applyBorder="1" applyAlignment="1" applyProtection="1">
      <alignment horizontal="left" vertical="center" wrapText="1"/>
    </xf>
    <xf numFmtId="3" fontId="14" fillId="0" borderId="25" xfId="5" applyNumberFormat="1" applyFont="1" applyFill="1" applyBorder="1" applyAlignment="1" applyProtection="1">
      <alignment horizontal="center" vertical="center"/>
      <protection locked="0"/>
    </xf>
    <xf numFmtId="3" fontId="14" fillId="0" borderId="25" xfId="5" applyNumberFormat="1" applyFont="1" applyFill="1" applyBorder="1" applyAlignment="1" applyProtection="1">
      <alignment horizontal="center" vertical="center" wrapText="1"/>
    </xf>
    <xf numFmtId="3" fontId="14" fillId="53" borderId="25" xfId="14" applyNumberFormat="1" applyFont="1" applyFill="1" applyBorder="1" applyAlignment="1" applyProtection="1">
      <alignment horizontal="center" vertical="center"/>
      <protection locked="0"/>
    </xf>
    <xf numFmtId="3" fontId="14" fillId="0" borderId="25" xfId="5" applyNumberFormat="1" applyFont="1" applyFill="1" applyBorder="1" applyAlignment="1" applyProtection="1">
      <alignment horizontal="center" vertical="center" wrapText="1"/>
      <protection locked="0"/>
    </xf>
    <xf numFmtId="0" fontId="80" fillId="0" borderId="24" xfId="5" applyFont="1" applyFill="1" applyBorder="1" applyAlignment="1" applyProtection="1">
      <alignment horizontal="left" vertical="center" wrapText="1"/>
      <protection locked="0"/>
    </xf>
    <xf numFmtId="168" fontId="14" fillId="53" borderId="25" xfId="14" applyNumberFormat="1" applyFont="1" applyFill="1" applyBorder="1" applyAlignment="1" applyProtection="1">
      <alignment horizontal="center" vertical="center"/>
      <protection locked="0"/>
    </xf>
    <xf numFmtId="3" fontId="17" fillId="0" borderId="25" xfId="5" applyNumberFormat="1" applyFont="1" applyFill="1" applyBorder="1" applyAlignment="1" applyProtection="1">
      <alignment horizontal="center" vertical="center"/>
      <protection locked="0"/>
    </xf>
    <xf numFmtId="3" fontId="35" fillId="53" borderId="25" xfId="5" applyNumberFormat="1" applyFont="1" applyFill="1" applyBorder="1" applyAlignment="1" applyProtection="1">
      <alignment horizontal="center" vertical="center"/>
      <protection locked="0"/>
    </xf>
    <xf numFmtId="3" fontId="15" fillId="8" borderId="25" xfId="5" applyNumberFormat="1" applyFont="1" applyFill="1" applyBorder="1" applyAlignment="1" applyProtection="1">
      <alignment horizontal="center" vertical="center" wrapText="1"/>
      <protection locked="0"/>
    </xf>
    <xf numFmtId="169" fontId="14" fillId="53" borderId="25" xfId="5" applyNumberFormat="1" applyFont="1" applyFill="1" applyBorder="1" applyAlignment="1" applyProtection="1">
      <alignment horizontal="center" vertical="center"/>
      <protection locked="0"/>
    </xf>
    <xf numFmtId="0" fontId="14" fillId="8" borderId="24" xfId="5" applyFont="1" applyFill="1" applyBorder="1" applyAlignment="1" applyProtection="1">
      <alignment horizontal="left" vertical="center" wrapText="1"/>
    </xf>
    <xf numFmtId="168" fontId="14" fillId="53" borderId="25" xfId="5" applyNumberFormat="1" applyFont="1" applyFill="1" applyBorder="1" applyAlignment="1" applyProtection="1">
      <alignment horizontal="center" vertical="center"/>
      <protection locked="0"/>
    </xf>
    <xf numFmtId="0" fontId="14" fillId="8" borderId="24" xfId="5" applyFont="1" applyFill="1" applyBorder="1" applyAlignment="1" applyProtection="1">
      <alignment horizontal="left" vertical="center" wrapText="1"/>
      <protection locked="0"/>
    </xf>
    <xf numFmtId="0" fontId="14" fillId="53" borderId="25" xfId="5" applyFont="1" applyFill="1" applyBorder="1" applyAlignment="1" applyProtection="1">
      <alignment horizontal="left" vertical="center" wrapText="1"/>
      <protection locked="0"/>
    </xf>
    <xf numFmtId="3" fontId="75" fillId="2" borderId="25" xfId="5" applyNumberFormat="1" applyFont="1" applyFill="1" applyBorder="1" applyAlignment="1" applyProtection="1">
      <alignment horizontal="center" vertical="center" wrapText="1"/>
      <protection locked="0"/>
    </xf>
    <xf numFmtId="3" fontId="96" fillId="0" borderId="25" xfId="5" applyNumberFormat="1" applyFont="1" applyFill="1" applyBorder="1" applyAlignment="1" applyProtection="1">
      <alignment horizontal="center" vertical="center"/>
      <protection locked="0"/>
    </xf>
    <xf numFmtId="168" fontId="14" fillId="0" borderId="25" xfId="5" applyNumberFormat="1" applyFont="1" applyFill="1" applyBorder="1" applyAlignment="1" applyProtection="1">
      <alignment horizontal="center" vertical="center"/>
      <protection locked="0"/>
    </xf>
    <xf numFmtId="0" fontId="14" fillId="0" borderId="26" xfId="5" applyFont="1" applyFill="1" applyBorder="1" applyAlignment="1" applyProtection="1">
      <alignment horizontal="left" vertical="center" wrapText="1"/>
      <protection locked="0"/>
    </xf>
    <xf numFmtId="0" fontId="14" fillId="0" borderId="27" xfId="5" applyFont="1" applyFill="1" applyBorder="1" applyAlignment="1" applyProtection="1">
      <alignment horizontal="left" vertical="center" wrapText="1"/>
      <protection locked="0"/>
    </xf>
    <xf numFmtId="0" fontId="14" fillId="0" borderId="27" xfId="5" applyFont="1" applyFill="1" applyBorder="1" applyAlignment="1" applyProtection="1">
      <alignment horizontal="center" vertical="center" wrapText="1"/>
      <protection locked="0"/>
    </xf>
    <xf numFmtId="3" fontId="14" fillId="0" borderId="27" xfId="13" applyNumberFormat="1" applyFont="1" applyFill="1" applyBorder="1" applyAlignment="1">
      <alignment horizontal="center" vertical="center"/>
    </xf>
    <xf numFmtId="3" fontId="14" fillId="0" borderId="27" xfId="5" applyNumberFormat="1" applyFont="1" applyFill="1" applyBorder="1" applyAlignment="1" applyProtection="1">
      <alignment horizontal="center" vertical="center" wrapText="1"/>
      <protection locked="0"/>
    </xf>
    <xf numFmtId="3" fontId="14" fillId="0" borderId="27" xfId="5" applyNumberFormat="1" applyFont="1" applyFill="1" applyBorder="1" applyAlignment="1" applyProtection="1">
      <alignment horizontal="center" vertical="center"/>
      <protection locked="0"/>
    </xf>
    <xf numFmtId="164" fontId="14" fillId="0" borderId="27" xfId="14" applyNumberFormat="1" applyFont="1" applyFill="1" applyBorder="1" applyAlignment="1" applyProtection="1">
      <alignment horizontal="center" vertical="center"/>
      <protection locked="0"/>
    </xf>
    <xf numFmtId="164" fontId="35" fillId="0" borderId="27" xfId="14" applyNumberFormat="1" applyFont="1" applyBorder="1" applyAlignment="1" applyProtection="1">
      <alignment horizontal="center" vertical="center"/>
      <protection locked="0"/>
    </xf>
    <xf numFmtId="164" fontId="14" fillId="0" borderId="27" xfId="5" applyNumberFormat="1" applyFont="1" applyFill="1" applyBorder="1" applyAlignment="1" applyProtection="1">
      <alignment horizontal="center" vertical="center" wrapText="1"/>
    </xf>
    <xf numFmtId="167" fontId="14" fillId="0" borderId="27" xfId="5" applyNumberFormat="1" applyFont="1" applyFill="1" applyBorder="1" applyAlignment="1" applyProtection="1">
      <alignment horizontal="center" vertical="center" wrapText="1"/>
      <protection locked="0"/>
    </xf>
    <xf numFmtId="3" fontId="14" fillId="0" borderId="27" xfId="0" applyNumberFormat="1" applyFont="1" applyFill="1" applyBorder="1" applyAlignment="1" applyProtection="1">
      <alignment horizontal="center" vertical="center"/>
    </xf>
    <xf numFmtId="164" fontId="86" fillId="0" borderId="27" xfId="14" applyNumberFormat="1" applyFont="1" applyBorder="1" applyAlignment="1">
      <alignment horizontal="center" vertical="center"/>
    </xf>
    <xf numFmtId="3" fontId="77" fillId="0" borderId="27" xfId="0" applyNumberFormat="1" applyFont="1" applyBorder="1" applyAlignment="1" applyProtection="1">
      <alignment horizontal="center" vertical="center"/>
    </xf>
    <xf numFmtId="164" fontId="77" fillId="0" borderId="27" xfId="0" applyNumberFormat="1" applyFont="1" applyBorder="1" applyAlignment="1" applyProtection="1">
      <alignment horizontal="center" vertical="center"/>
    </xf>
    <xf numFmtId="0" fontId="87" fillId="0" borderId="27" xfId="15" applyFont="1" applyBorder="1" applyAlignment="1">
      <alignment horizontal="left" vertical="center" wrapText="1"/>
    </xf>
    <xf numFmtId="3" fontId="87" fillId="0" borderId="27" xfId="15" applyNumberFormat="1" applyFont="1" applyBorder="1" applyAlignment="1">
      <alignment horizontal="center" vertical="center" wrapText="1"/>
    </xf>
    <xf numFmtId="0" fontId="35" fillId="0" borderId="27" xfId="5" applyNumberFormat="1" applyFont="1" applyFill="1" applyBorder="1" applyAlignment="1" applyProtection="1">
      <alignment horizontal="center" vertical="center"/>
      <protection locked="0"/>
    </xf>
    <xf numFmtId="164" fontId="14" fillId="0" borderId="27" xfId="5" applyNumberFormat="1" applyFont="1" applyFill="1" applyBorder="1" applyAlignment="1" applyProtection="1">
      <alignment horizontal="center" vertical="center"/>
      <protection locked="0"/>
    </xf>
    <xf numFmtId="3" fontId="14" fillId="0" borderId="28" xfId="5" applyNumberFormat="1" applyFont="1" applyFill="1" applyBorder="1" applyAlignment="1" applyProtection="1">
      <alignment horizontal="center" vertical="center"/>
      <protection locked="0"/>
    </xf>
    <xf numFmtId="3" fontId="71" fillId="0" borderId="0" xfId="0" applyNumberFormat="1" applyFont="1" applyBorder="1"/>
    <xf numFmtId="3" fontId="82" fillId="0" borderId="0" xfId="0" applyNumberFormat="1" applyFont="1" applyBorder="1"/>
    <xf numFmtId="0" fontId="17" fillId="3" borderId="23" xfId="5"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wrapText="1"/>
    </xf>
    <xf numFmtId="0" fontId="91" fillId="3" borderId="2" xfId="5" applyFont="1" applyFill="1" applyBorder="1" applyAlignment="1" applyProtection="1">
      <alignment horizontal="center" vertical="center" wrapText="1"/>
    </xf>
    <xf numFmtId="0" fontId="17" fillId="3" borderId="25" xfId="5" applyFont="1" applyFill="1" applyBorder="1" applyAlignment="1" applyProtection="1">
      <alignment horizontal="center" vertical="center" wrapText="1"/>
    </xf>
    <xf numFmtId="0" fontId="71" fillId="0" borderId="0" xfId="0" applyFont="1" applyAlignment="1">
      <alignment horizontal="center"/>
    </xf>
    <xf numFmtId="0" fontId="71" fillId="0" borderId="0" xfId="0" applyFont="1" applyFill="1" applyAlignment="1">
      <alignment wrapText="1"/>
    </xf>
    <xf numFmtId="0" fontId="71" fillId="0" borderId="0" xfId="0" applyFont="1" applyFill="1" applyBorder="1"/>
    <xf numFmtId="164" fontId="75" fillId="0" borderId="0" xfId="5" applyNumberFormat="1" applyFont="1" applyFill="1" applyBorder="1" applyAlignment="1" applyProtection="1">
      <alignment horizontal="center" vertical="center" wrapText="1"/>
      <protection locked="0"/>
    </xf>
    <xf numFmtId="0" fontId="107" fillId="0" borderId="0" xfId="0" applyFont="1"/>
    <xf numFmtId="0" fontId="107" fillId="0" borderId="0" xfId="0" applyFont="1" applyFill="1"/>
    <xf numFmtId="164" fontId="108" fillId="0" borderId="0" xfId="5" applyNumberFormat="1" applyFont="1" applyFill="1" applyBorder="1" applyAlignment="1" applyProtection="1">
      <alignment horizontal="center" vertical="center" wrapText="1"/>
      <protection locked="0"/>
    </xf>
    <xf numFmtId="0" fontId="106" fillId="0" borderId="0" xfId="0" applyFont="1" applyFill="1" applyAlignment="1">
      <alignment vertical="center"/>
    </xf>
    <xf numFmtId="0" fontId="106" fillId="0" borderId="0" xfId="0" applyFont="1" applyFill="1" applyAlignment="1">
      <alignment horizontal="left" vertical="center"/>
    </xf>
    <xf numFmtId="3" fontId="15" fillId="56" borderId="2" xfId="0" applyNumberFormat="1" applyFont="1" applyFill="1" applyBorder="1" applyAlignment="1" applyProtection="1">
      <alignment horizontal="center" vertical="center"/>
      <protection locked="0"/>
    </xf>
    <xf numFmtId="0" fontId="85" fillId="56" borderId="0" xfId="0" applyFont="1" applyFill="1"/>
    <xf numFmtId="0" fontId="17" fillId="56" borderId="19" xfId="5" applyFont="1" applyFill="1" applyBorder="1" applyAlignment="1" applyProtection="1">
      <alignment horizontal="left" vertical="center" wrapText="1"/>
      <protection locked="0"/>
    </xf>
    <xf numFmtId="0" fontId="15" fillId="3" borderId="6" xfId="5" applyFont="1" applyFill="1" applyBorder="1" applyAlignment="1" applyProtection="1">
      <alignment horizontal="center" vertical="center" wrapText="1"/>
    </xf>
    <xf numFmtId="3" fontId="35" fillId="56" borderId="2" xfId="0" applyNumberFormat="1" applyFont="1" applyFill="1" applyBorder="1" applyAlignment="1" applyProtection="1">
      <alignment horizontal="center" vertical="center"/>
      <protection locked="0"/>
    </xf>
    <xf numFmtId="3" fontId="17" fillId="0" borderId="2" xfId="0" applyNumberFormat="1" applyFont="1" applyBorder="1" applyAlignment="1" applyProtection="1">
      <alignment horizontal="center" vertical="center"/>
      <protection locked="0"/>
    </xf>
    <xf numFmtId="3" fontId="14" fillId="0" borderId="2" xfId="5" applyNumberFormat="1" applyFont="1" applyFill="1" applyBorder="1" applyAlignment="1" applyProtection="1">
      <alignment horizontal="center" vertical="center"/>
      <protection locked="0"/>
    </xf>
    <xf numFmtId="0" fontId="14" fillId="0" borderId="2" xfId="5" applyFont="1" applyFill="1" applyBorder="1" applyAlignment="1" applyProtection="1">
      <alignment horizontal="left" vertical="center" wrapText="1"/>
      <protection locked="0"/>
    </xf>
    <xf numFmtId="0" fontId="14" fillId="0" borderId="2" xfId="5" applyFont="1" applyFill="1" applyBorder="1" applyAlignment="1" applyProtection="1">
      <alignment horizontal="center" vertical="center" wrapText="1"/>
      <protection locked="0"/>
    </xf>
    <xf numFmtId="3" fontId="14" fillId="0" borderId="2" xfId="5" applyNumberFormat="1" applyFont="1" applyFill="1" applyBorder="1" applyAlignment="1" applyProtection="1">
      <alignment horizontal="center" vertical="center"/>
      <protection locked="0"/>
    </xf>
    <xf numFmtId="0" fontId="17" fillId="56" borderId="19" xfId="5" applyFont="1" applyFill="1" applyBorder="1" applyAlignment="1" applyProtection="1">
      <alignment horizontal="left" vertical="center" wrapText="1"/>
      <protection locked="0"/>
    </xf>
    <xf numFmtId="0" fontId="14" fillId="0" borderId="0" xfId="5" applyFont="1" applyFill="1" applyBorder="1" applyAlignment="1" applyProtection="1">
      <alignment horizontal="left" vertical="center"/>
      <protection locked="0"/>
    </xf>
    <xf numFmtId="3" fontId="81" fillId="8" borderId="2" xfId="5" applyNumberFormat="1" applyFont="1" applyFill="1" applyBorder="1" applyAlignment="1" applyProtection="1">
      <alignment horizontal="center" vertical="center" wrapText="1"/>
      <protection locked="0"/>
    </xf>
    <xf numFmtId="0" fontId="83" fillId="0" borderId="0" xfId="5" applyFont="1" applyAlignment="1" applyProtection="1">
      <alignment horizontal="center"/>
      <protection locked="0"/>
    </xf>
    <xf numFmtId="0" fontId="84" fillId="55" borderId="2" xfId="5" applyFont="1" applyFill="1" applyBorder="1" applyAlignment="1" applyProtection="1">
      <alignment horizontal="center" vertical="center"/>
      <protection locked="0"/>
    </xf>
    <xf numFmtId="14" fontId="87" fillId="0" borderId="0" xfId="0" applyNumberFormat="1" applyFont="1" applyFill="1" applyAlignment="1">
      <alignment vertical="center"/>
    </xf>
    <xf numFmtId="0" fontId="85" fillId="0" borderId="0" xfId="0" applyFont="1" applyBorder="1"/>
    <xf numFmtId="3" fontId="17" fillId="0" borderId="2" xfId="0" applyNumberFormat="1" applyFont="1" applyFill="1" applyBorder="1" applyAlignment="1" applyProtection="1">
      <alignment horizontal="center" vertical="center"/>
      <protection locked="0"/>
    </xf>
    <xf numFmtId="3" fontId="71" fillId="0" borderId="0" xfId="0" applyNumberFormat="1" applyFont="1" applyFill="1"/>
    <xf numFmtId="0" fontId="102" fillId="0" borderId="0" xfId="5" applyFont="1" applyFill="1" applyBorder="1" applyAlignment="1" applyProtection="1">
      <alignment horizontal="left" vertical="center"/>
      <protection locked="0"/>
    </xf>
    <xf numFmtId="0" fontId="71" fillId="0" borderId="0" xfId="0" applyFont="1" applyFill="1" applyAlignment="1"/>
    <xf numFmtId="0" fontId="113" fillId="0" borderId="0" xfId="0" applyFont="1" applyFill="1" applyAlignment="1"/>
    <xf numFmtId="0" fontId="112" fillId="0" borderId="0" xfId="0" applyFont="1" applyAlignment="1"/>
    <xf numFmtId="164" fontId="114" fillId="0" borderId="0" xfId="5" applyNumberFormat="1" applyFont="1" applyFill="1" applyBorder="1" applyAlignment="1" applyProtection="1">
      <alignment horizontal="center" wrapText="1"/>
      <protection locked="0"/>
    </xf>
    <xf numFmtId="3" fontId="87" fillId="8" borderId="2" xfId="15" applyNumberFormat="1" applyFont="1" applyFill="1" applyBorder="1" applyAlignment="1">
      <alignment horizontal="left" vertical="top" wrapText="1"/>
    </xf>
    <xf numFmtId="0" fontId="17" fillId="56" borderId="29" xfId="5" applyFont="1" applyFill="1" applyBorder="1" applyAlignment="1" applyProtection="1">
      <alignment horizontal="left" vertical="center" wrapText="1"/>
      <protection locked="0"/>
    </xf>
    <xf numFmtId="0" fontId="17" fillId="56" borderId="18" xfId="5" applyFont="1" applyFill="1" applyBorder="1" applyAlignment="1" applyProtection="1">
      <alignment horizontal="left" vertical="center" wrapText="1"/>
      <protection locked="0"/>
    </xf>
    <xf numFmtId="0" fontId="17" fillId="56" borderId="19" xfId="5" applyFont="1" applyFill="1" applyBorder="1" applyAlignment="1" applyProtection="1">
      <alignment horizontal="left" vertical="center" wrapText="1"/>
      <protection locked="0"/>
    </xf>
    <xf numFmtId="0" fontId="101" fillId="0" borderId="0" xfId="0" applyFont="1" applyAlignment="1"/>
    <xf numFmtId="0" fontId="83" fillId="0" borderId="0" xfId="5" applyFont="1" applyAlignment="1" applyProtection="1">
      <alignment horizontal="center"/>
      <protection locked="0"/>
    </xf>
    <xf numFmtId="0" fontId="84" fillId="55" borderId="2" xfId="5" applyFont="1" applyFill="1" applyBorder="1" applyAlignment="1" applyProtection="1">
      <alignment horizontal="center" vertical="center"/>
      <protection locked="0"/>
    </xf>
    <xf numFmtId="0" fontId="84" fillId="55" borderId="20" xfId="5" applyFont="1" applyFill="1" applyBorder="1" applyAlignment="1" applyProtection="1">
      <alignment horizontal="center" vertical="center"/>
      <protection locked="0"/>
    </xf>
    <xf numFmtId="0" fontId="84" fillId="55" borderId="18" xfId="5" applyFont="1" applyFill="1" applyBorder="1" applyAlignment="1" applyProtection="1">
      <alignment horizontal="center" vertical="center"/>
      <protection locked="0"/>
    </xf>
    <xf numFmtId="0" fontId="15" fillId="5" borderId="2" xfId="5" applyFont="1" applyFill="1" applyBorder="1" applyAlignment="1" applyProtection="1">
      <alignment horizontal="center" vertical="center" wrapText="1"/>
    </xf>
    <xf numFmtId="0" fontId="111" fillId="5" borderId="2" xfId="5" applyFont="1" applyFill="1" applyBorder="1" applyAlignment="1" applyProtection="1">
      <alignment horizontal="center" vertical="center" wrapText="1"/>
    </xf>
    <xf numFmtId="0" fontId="111" fillId="5" borderId="20" xfId="5" applyFont="1" applyFill="1" applyBorder="1" applyAlignment="1" applyProtection="1">
      <alignment horizontal="center" vertical="center" wrapText="1"/>
    </xf>
    <xf numFmtId="0" fontId="111" fillId="5" borderId="18" xfId="5" applyFont="1" applyFill="1" applyBorder="1" applyAlignment="1" applyProtection="1">
      <alignment horizontal="center" vertical="center" wrapText="1"/>
    </xf>
    <xf numFmtId="0" fontId="111" fillId="5" borderId="19" xfId="5" applyFont="1" applyFill="1" applyBorder="1" applyAlignment="1" applyProtection="1">
      <alignment horizontal="center" vertical="center" wrapText="1"/>
    </xf>
  </cellXfs>
  <cellStyles count="329">
    <cellStyle name="20% - Accent1 2" xfId="29"/>
    <cellStyle name="20% - Accent2 2" xfId="30"/>
    <cellStyle name="20% - Accent3 2" xfId="31"/>
    <cellStyle name="20% - Accent4 2" xfId="32"/>
    <cellStyle name="20% - Accent5 2" xfId="33"/>
    <cellStyle name="20% - Accent6 2" xfId="34"/>
    <cellStyle name="40% - Accent1 2" xfId="35"/>
    <cellStyle name="40% - Accent2 2" xfId="36"/>
    <cellStyle name="40% - Accent3 2" xfId="37"/>
    <cellStyle name="40% - Accent4 2" xfId="38"/>
    <cellStyle name="40% - Accent5 2" xfId="39"/>
    <cellStyle name="40% - Accent6 2" xfId="40"/>
    <cellStyle name="60% - Accent1 2" xfId="41"/>
    <cellStyle name="60% - Accent2 2" xfId="42"/>
    <cellStyle name="60% - Accent3 2" xfId="43"/>
    <cellStyle name="60% - Accent4 2" xfId="44"/>
    <cellStyle name="60% - Accent5 2" xfId="45"/>
    <cellStyle name="60% - Accent6 2" xfId="46"/>
    <cellStyle name="Accent1 - 20%" xfId="47"/>
    <cellStyle name="Accent1 - 40%" xfId="48"/>
    <cellStyle name="Accent1 - 60%" xfId="49"/>
    <cellStyle name="Accent2 - 20%" xfId="50"/>
    <cellStyle name="Accent2 - 40%" xfId="51"/>
    <cellStyle name="Accent2 - 60%" xfId="52"/>
    <cellStyle name="Accent3 - 20%" xfId="53"/>
    <cellStyle name="Accent3 - 40%" xfId="54"/>
    <cellStyle name="Accent3 - 60%" xfId="55"/>
    <cellStyle name="Accent4 - 20%" xfId="56"/>
    <cellStyle name="Accent4 - 40%" xfId="57"/>
    <cellStyle name="Accent4 - 60%" xfId="58"/>
    <cellStyle name="Accent5 - 20%" xfId="59"/>
    <cellStyle name="Accent5 - 40%" xfId="60"/>
    <cellStyle name="Accent5 - 60%" xfId="61"/>
    <cellStyle name="Accent6 - 20%" xfId="62"/>
    <cellStyle name="Accent6 - 40%" xfId="63"/>
    <cellStyle name="Accent6 - 60%" xfId="64"/>
    <cellStyle name="Aktivitāte" xfId="13"/>
    <cellStyle name="Bad 2" xfId="65"/>
    <cellStyle name="Check Cell 2" xfId="66"/>
    <cellStyle name="Comma 2" xfId="67"/>
    <cellStyle name="Comma 3" xfId="68"/>
    <cellStyle name="Comma 3 2" xfId="212"/>
    <cellStyle name="Comma 3 2 2" xfId="246"/>
    <cellStyle name="Comma 3 2 3" xfId="288"/>
    <cellStyle name="Comma 3 3" xfId="217"/>
    <cellStyle name="Comma 3 3 2" xfId="247"/>
    <cellStyle name="Comma 3 3 3" xfId="289"/>
    <cellStyle name="Comma 3 4" xfId="226"/>
    <cellStyle name="Comma 3 4 2" xfId="248"/>
    <cellStyle name="Comma 3 4 3" xfId="290"/>
    <cellStyle name="Comma 3 5" xfId="233"/>
    <cellStyle name="Comma 3 5 2" xfId="249"/>
    <cellStyle name="Comma 3 5 3" xfId="291"/>
    <cellStyle name="Comma 3 6" xfId="240"/>
    <cellStyle name="Comma 3 6 2" xfId="250"/>
    <cellStyle name="Comma 3 6 3" xfId="292"/>
    <cellStyle name="Comma 3 7" xfId="245"/>
    <cellStyle name="Comma 3 8" xfId="287"/>
    <cellStyle name="Emphasis 1" xfId="69"/>
    <cellStyle name="Emphasis 2" xfId="70"/>
    <cellStyle name="Emphasis 3" xfId="71"/>
    <cellStyle name="exo" xfId="72"/>
    <cellStyle name="Explanatory Text 2" xfId="73"/>
    <cellStyle name="Good 2" xfId="74"/>
    <cellStyle name="Heading 1 2" xfId="75"/>
    <cellStyle name="Heading 2 2" xfId="76"/>
    <cellStyle name="Heading 3 2" xfId="77"/>
    <cellStyle name="Heading 4 2" xfId="78"/>
    <cellStyle name="Koefic." xfId="79"/>
    <cellStyle name="Linked Cell 2" xfId="80"/>
    <cellStyle name="Normal" xfId="0" builtinId="0"/>
    <cellStyle name="Normal 10" xfId="1"/>
    <cellStyle name="Normal 10 2" xfId="19"/>
    <cellStyle name="Normal 11" xfId="81"/>
    <cellStyle name="Normal 12" xfId="2"/>
    <cellStyle name="Normal 12 2" xfId="20"/>
    <cellStyle name="Normal 13" xfId="16"/>
    <cellStyle name="Normal 13 2" xfId="210"/>
    <cellStyle name="Normal 13 2 2" xfId="252"/>
    <cellStyle name="Normal 13 2 3" xfId="294"/>
    <cellStyle name="Normal 13 3" xfId="218"/>
    <cellStyle name="Normal 13 3 2" xfId="253"/>
    <cellStyle name="Normal 13 3 3" xfId="295"/>
    <cellStyle name="Normal 13 4" xfId="224"/>
    <cellStyle name="Normal 13 4 2" xfId="254"/>
    <cellStyle name="Normal 13 4 3" xfId="296"/>
    <cellStyle name="Normal 13 5" xfId="231"/>
    <cellStyle name="Normal 13 5 2" xfId="255"/>
    <cellStyle name="Normal 13 5 3" xfId="297"/>
    <cellStyle name="Normal 13 6" xfId="238"/>
    <cellStyle name="Normal 13 6 2" xfId="256"/>
    <cellStyle name="Normal 13 6 3" xfId="298"/>
    <cellStyle name="Normal 13 7" xfId="251"/>
    <cellStyle name="Normal 13 8" xfId="293"/>
    <cellStyle name="Normal 14" xfId="3"/>
    <cellStyle name="Normal 14 2" xfId="21"/>
    <cellStyle name="Normal 15" xfId="4"/>
    <cellStyle name="Normal 15 2" xfId="22"/>
    <cellStyle name="Normal 16" xfId="209"/>
    <cellStyle name="Normal 16 2" xfId="216"/>
    <cellStyle name="Normal 16 2 2" xfId="258"/>
    <cellStyle name="Normal 16 2 3" xfId="300"/>
    <cellStyle name="Normal 16 3" xfId="219"/>
    <cellStyle name="Normal 16 3 2" xfId="259"/>
    <cellStyle name="Normal 16 3 3" xfId="301"/>
    <cellStyle name="Normal 16 4" xfId="230"/>
    <cellStyle name="Normal 16 4 2" xfId="260"/>
    <cellStyle name="Normal 16 4 3" xfId="302"/>
    <cellStyle name="Normal 16 5" xfId="237"/>
    <cellStyle name="Normal 16 5 2" xfId="261"/>
    <cellStyle name="Normal 16 5 3" xfId="303"/>
    <cellStyle name="Normal 16 6" xfId="244"/>
    <cellStyle name="Normal 16 6 2" xfId="262"/>
    <cellStyle name="Normal 16 6 3" xfId="304"/>
    <cellStyle name="Normal 16 7" xfId="257"/>
    <cellStyle name="Normal 16 8" xfId="299"/>
    <cellStyle name="Normal 2" xfId="15"/>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5"/>
    <cellStyle name="Normal 2 2 2" xfId="93"/>
    <cellStyle name="Normal 2 2 3" xfId="94"/>
    <cellStyle name="Normal 2 2 4" xfId="95"/>
    <cellStyle name="Normal 2 2 5" xfId="96"/>
    <cellStyle name="Normal 2 2 6" xfId="97"/>
    <cellStyle name="Normal 2 2 7" xfId="98"/>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6"/>
    <cellStyle name="Normal 2 3 2" xfId="109"/>
    <cellStyle name="Normal 2 30" xfId="110"/>
    <cellStyle name="Normal 2 31" xfId="111"/>
    <cellStyle name="Normal 2 31 2" xfId="214"/>
    <cellStyle name="Normal 2 31 2 2" xfId="264"/>
    <cellStyle name="Normal 2 31 2 3" xfId="306"/>
    <cellStyle name="Normal 2 31 3" xfId="220"/>
    <cellStyle name="Normal 2 31 3 2" xfId="265"/>
    <cellStyle name="Normal 2 31 3 3" xfId="307"/>
    <cellStyle name="Normal 2 31 4" xfId="228"/>
    <cellStyle name="Normal 2 31 4 2" xfId="266"/>
    <cellStyle name="Normal 2 31 4 3" xfId="308"/>
    <cellStyle name="Normal 2 31 5" xfId="235"/>
    <cellStyle name="Normal 2 31 5 2" xfId="267"/>
    <cellStyle name="Normal 2 31 5 3" xfId="309"/>
    <cellStyle name="Normal 2 31 6" xfId="242"/>
    <cellStyle name="Normal 2 31 6 2" xfId="268"/>
    <cellStyle name="Normal 2 31 6 3" xfId="310"/>
    <cellStyle name="Normal 2 31 7" xfId="263"/>
    <cellStyle name="Normal 2 31 8" xfId="305"/>
    <cellStyle name="Normal 2 32" xfId="112"/>
    <cellStyle name="Normal 2 33" xfId="82"/>
    <cellStyle name="Normal 2 33 2" xfId="213"/>
    <cellStyle name="Normal 2 33 2 2" xfId="270"/>
    <cellStyle name="Normal 2 33 2 3" xfId="312"/>
    <cellStyle name="Normal 2 33 3" xfId="221"/>
    <cellStyle name="Normal 2 33 3 2" xfId="271"/>
    <cellStyle name="Normal 2 33 3 3" xfId="313"/>
    <cellStyle name="Normal 2 33 4" xfId="227"/>
    <cellStyle name="Normal 2 33 4 2" xfId="272"/>
    <cellStyle name="Normal 2 33 4 3" xfId="314"/>
    <cellStyle name="Normal 2 33 5" xfId="234"/>
    <cellStyle name="Normal 2 33 5 2" xfId="273"/>
    <cellStyle name="Normal 2 33 5 3" xfId="315"/>
    <cellStyle name="Normal 2 33 6" xfId="241"/>
    <cellStyle name="Normal 2 33 6 2" xfId="274"/>
    <cellStyle name="Normal 2 33 6 3" xfId="316"/>
    <cellStyle name="Normal 2 33 7" xfId="269"/>
    <cellStyle name="Normal 2 33 8" xfId="311"/>
    <cellStyle name="Normal 2 34" xfId="28"/>
    <cellStyle name="Normal 2 4" xfId="113"/>
    <cellStyle name="Normal 2 5" xfId="114"/>
    <cellStyle name="Normal 2 6" xfId="115"/>
    <cellStyle name="Normal 2 7" xfId="116"/>
    <cellStyle name="Normal 2 8" xfId="117"/>
    <cellStyle name="Normal 2 9" xfId="118"/>
    <cellStyle name="Normal 3" xfId="12"/>
    <cellStyle name="Normal 3 2" xfId="119"/>
    <cellStyle name="Normal 3 3" xfId="120"/>
    <cellStyle name="Normal 3 4" xfId="121"/>
    <cellStyle name="Normal 3 5" xfId="122"/>
    <cellStyle name="Normal 4" xfId="7"/>
    <cellStyle name="Normal 4 2" xfId="123"/>
    <cellStyle name="Normal 4 3" xfId="124"/>
    <cellStyle name="Normal 5" xfId="8"/>
    <cellStyle name="Normal 5 2" xfId="125"/>
    <cellStyle name="Normal 5 3" xfId="23"/>
    <cellStyle name="Normal 6" xfId="9"/>
    <cellStyle name="Normal 6 2" xfId="24"/>
    <cellStyle name="Normal 7" xfId="10"/>
    <cellStyle name="Normal 7 2" xfId="25"/>
    <cellStyle name="Normal 8" xfId="18"/>
    <cellStyle name="Normal 9" xfId="11"/>
    <cellStyle name="Normal 9 2" xfId="26"/>
    <cellStyle name="Note 2" xfId="126"/>
    <cellStyle name="Parastais 13" xfId="127"/>
    <cellStyle name="Parastais 2" xfId="128"/>
    <cellStyle name="Parastais 2 2" xfId="129"/>
    <cellStyle name="Parastais 2 3" xfId="130"/>
    <cellStyle name="Parastais 2_FMRik_260209_marts_sad1II.variants" xfId="131"/>
    <cellStyle name="Parastais 3" xfId="132"/>
    <cellStyle name="Parastais 4" xfId="133"/>
    <cellStyle name="Parastais 5" xfId="134"/>
    <cellStyle name="Parastais 6" xfId="135"/>
    <cellStyle name="Parastais_FMLikp01_p05_221205_pap_afp_makp" xfId="136"/>
    <cellStyle name="Percent" xfId="14" builtinId="5"/>
    <cellStyle name="Percent 2" xfId="27"/>
    <cellStyle name="Percent 2 2" xfId="137"/>
    <cellStyle name="Percent 3" xfId="138"/>
    <cellStyle name="Percent 3 2" xfId="215"/>
    <cellStyle name="Percent 3 2 2" xfId="276"/>
    <cellStyle name="Percent 3 2 3" xfId="318"/>
    <cellStyle name="Percent 3 3" xfId="222"/>
    <cellStyle name="Percent 3 3 2" xfId="277"/>
    <cellStyle name="Percent 3 3 3" xfId="319"/>
    <cellStyle name="Percent 3 4" xfId="229"/>
    <cellStyle name="Percent 3 4 2" xfId="278"/>
    <cellStyle name="Percent 3 4 3" xfId="320"/>
    <cellStyle name="Percent 3 5" xfId="236"/>
    <cellStyle name="Percent 3 5 2" xfId="279"/>
    <cellStyle name="Percent 3 5 3" xfId="321"/>
    <cellStyle name="Percent 3 6" xfId="243"/>
    <cellStyle name="Percent 3 6 2" xfId="280"/>
    <cellStyle name="Percent 3 6 3" xfId="322"/>
    <cellStyle name="Percent 3 7" xfId="275"/>
    <cellStyle name="Percent 3 8" xfId="317"/>
    <cellStyle name="Percent 4" xfId="17"/>
    <cellStyle name="Percent 4 2" xfId="211"/>
    <cellStyle name="Percent 4 2 2" xfId="282"/>
    <cellStyle name="Percent 4 2 3" xfId="324"/>
    <cellStyle name="Percent 4 3" xfId="223"/>
    <cellStyle name="Percent 4 3 2" xfId="283"/>
    <cellStyle name="Percent 4 3 3" xfId="325"/>
    <cellStyle name="Percent 4 4" xfId="225"/>
    <cellStyle name="Percent 4 4 2" xfId="284"/>
    <cellStyle name="Percent 4 4 3" xfId="326"/>
    <cellStyle name="Percent 4 5" xfId="232"/>
    <cellStyle name="Percent 4 5 2" xfId="285"/>
    <cellStyle name="Percent 4 5 3" xfId="327"/>
    <cellStyle name="Percent 4 6" xfId="239"/>
    <cellStyle name="Percent 4 6 2" xfId="286"/>
    <cellStyle name="Percent 4 6 3" xfId="328"/>
    <cellStyle name="Percent 4 7" xfId="281"/>
    <cellStyle name="Percent 4 8" xfId="323"/>
    <cellStyle name="Pie??m." xfId="139"/>
    <cellStyle name="SAPBEXaggData" xfId="140"/>
    <cellStyle name="SAPBEXaggData 2" xfId="141"/>
    <cellStyle name="SAPBEXaggDataEmph" xfId="142"/>
    <cellStyle name="SAPBEXaggDataEmph 2" xfId="143"/>
    <cellStyle name="SAPBEXaggItem" xfId="144"/>
    <cellStyle name="SAPBEXaggItem 2" xfId="145"/>
    <cellStyle name="SAPBEXaggItemX" xfId="146"/>
    <cellStyle name="SAPBEXaggItemX 2" xfId="147"/>
    <cellStyle name="SAPBEXchaText" xfId="148"/>
    <cellStyle name="SAPBEXchaText 2"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ilterText 2" xfId="162"/>
    <cellStyle name="SAPBEXformats" xfId="163"/>
    <cellStyle name="SAPBEXheaderItem" xfId="164"/>
    <cellStyle name="SAPBEXheaderText" xfId="165"/>
    <cellStyle name="SAPBEXheaderText 2" xfId="166"/>
    <cellStyle name="SAPBEXHLevel0" xfId="167"/>
    <cellStyle name="SAPBEXHLevel0 2" xfId="168"/>
    <cellStyle name="SAPBEXHLevel0X" xfId="169"/>
    <cellStyle name="SAPBEXHLevel0X 2" xfId="170"/>
    <cellStyle name="SAPBEXHLevel1" xfId="171"/>
    <cellStyle name="SAPBEXHLevel1 2" xfId="172"/>
    <cellStyle name="SAPBEXHLevel1X" xfId="173"/>
    <cellStyle name="SAPBEXHLevel1X 2" xfId="174"/>
    <cellStyle name="SAPBEXHLevel2" xfId="175"/>
    <cellStyle name="SAPBEXHLevel2 2" xfId="176"/>
    <cellStyle name="SAPBEXHLevel2X" xfId="177"/>
    <cellStyle name="SAPBEXHLevel2X 2" xfId="178"/>
    <cellStyle name="SAPBEXHLevel3" xfId="179"/>
    <cellStyle name="SAPBEXHLevel3 2" xfId="180"/>
    <cellStyle name="SAPBEXHLevel3X" xfId="181"/>
    <cellStyle name="SAPBEXHLevel3X 2" xfId="182"/>
    <cellStyle name="SAPBEXinputData" xfId="183"/>
    <cellStyle name="SAPBEXinputData 2" xfId="184"/>
    <cellStyle name="SAPBEXresData" xfId="185"/>
    <cellStyle name="SAPBEXresData 2" xfId="186"/>
    <cellStyle name="SAPBEXresDataEmph" xfId="187"/>
    <cellStyle name="SAPBEXresDataEmph 2" xfId="188"/>
    <cellStyle name="SAPBEXresItem" xfId="189"/>
    <cellStyle name="SAPBEXresItem 2" xfId="190"/>
    <cellStyle name="SAPBEXresItemX" xfId="191"/>
    <cellStyle name="SAPBEXresItemX 2" xfId="192"/>
    <cellStyle name="SAPBEXstdData" xfId="193"/>
    <cellStyle name="SAPBEXstdData 2" xfId="194"/>
    <cellStyle name="SAPBEXstdData_2009 g _150609" xfId="195"/>
    <cellStyle name="SAPBEXstdDataEmph" xfId="196"/>
    <cellStyle name="SAPBEXstdItem" xfId="197"/>
    <cellStyle name="SAPBEXstdItem 2" xfId="198"/>
    <cellStyle name="SAPBEXstdItem 3" xfId="199"/>
    <cellStyle name="SAPBEXstdItem_FMLikp03_081208_15_aprrez" xfId="200"/>
    <cellStyle name="SAPBEXstdItemX" xfId="201"/>
    <cellStyle name="SAPBEXstdItemX 2" xfId="202"/>
    <cellStyle name="SAPBEXtitle" xfId="203"/>
    <cellStyle name="SAPBEXundefined" xfId="204"/>
    <cellStyle name="Sheet Title" xfId="205"/>
    <cellStyle name="Stils 1" xfId="206"/>
    <cellStyle name="Style 1" xfId="207"/>
    <cellStyle name="V?st." xfId="2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900546</xdr:colOff>
      <xdr:row>0</xdr:row>
      <xdr:rowOff>0</xdr:rowOff>
    </xdr:from>
    <xdr:to>
      <xdr:col>21</xdr:col>
      <xdr:colOff>1662546</xdr:colOff>
      <xdr:row>5</xdr:row>
      <xdr:rowOff>17318</xdr:rowOff>
    </xdr:to>
    <xdr:sp macro="" textlink="">
      <xdr:nvSpPr>
        <xdr:cNvPr id="2" name="TextBox 1"/>
        <xdr:cNvSpPr txBox="1"/>
      </xdr:nvSpPr>
      <xdr:spPr>
        <a:xfrm flipH="1">
          <a:off x="10650682" y="0"/>
          <a:ext cx="6477000" cy="1177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lv-LV" sz="1400" b="1" baseline="0">
              <a:solidFill>
                <a:sysClr val="windowText" lastClr="000000"/>
              </a:solidFill>
              <a:latin typeface="Times New Roman" pitchFamily="18" charset="0"/>
              <a:ea typeface="+mn-ea"/>
              <a:cs typeface="Times New Roman" pitchFamily="18" charset="0"/>
            </a:rPr>
            <a:t>2.</a:t>
          </a:r>
          <a:r>
            <a:rPr lang="lv-LV" sz="1400" b="1" baseline="0">
              <a:solidFill>
                <a:schemeClr val="dk1"/>
              </a:solidFill>
              <a:latin typeface="Times New Roman" pitchFamily="18" charset="0"/>
              <a:ea typeface="+mn-ea"/>
              <a:cs typeface="Times New Roman" pitchFamily="18" charset="0"/>
            </a:rPr>
            <a:t>pielikums</a:t>
          </a:r>
        </a:p>
        <a:p>
          <a:pPr marL="0" indent="0" algn="l"/>
          <a:r>
            <a:rPr lang="lv-LV" sz="1400" b="1" baseline="0">
              <a:solidFill>
                <a:sysClr val="windowText" lastClr="000000"/>
              </a:solidFill>
              <a:latin typeface="Times New Roman" pitchFamily="18" charset="0"/>
              <a:ea typeface="+mn-ea"/>
              <a:cs typeface="Times New Roman" pitchFamily="18" charset="0"/>
            </a:rPr>
            <a:t>Informatīvajam ziņojumam par Eiropas Savienības struktūrfondu un Kohēzijas fonda, Eiropas Ekonomikas zonas finanšu instrumenta, Norvēģijas finanšu instrumenta un Latvijas–Šveices sadarbības programmas apguvi līdz 2012.gada 30.septembrim.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305"/>
  <sheetViews>
    <sheetView view="pageBreakPreview" zoomScale="70" zoomScaleNormal="50" zoomScaleSheetLayoutView="70" workbookViewId="0">
      <pane xSplit="3" ySplit="6" topLeftCell="D43" activePane="bottomRight" state="frozen"/>
      <selection pane="topRight" activeCell="D1" sqref="D1"/>
      <selection pane="bottomLeft" activeCell="A7" sqref="A7"/>
      <selection pane="bottomRight" activeCell="AQ14" sqref="AQ14"/>
    </sheetView>
  </sheetViews>
  <sheetFormatPr defaultColWidth="9.140625" defaultRowHeight="17.25" outlineLevelCol="1"/>
  <cols>
    <col min="1" max="1" width="13" style="42" customWidth="1"/>
    <col min="2" max="2" width="31.140625" style="43" customWidth="1"/>
    <col min="3" max="3" width="12.7109375" style="42" customWidth="1"/>
    <col min="4" max="4" width="12.42578125" style="42" customWidth="1"/>
    <col min="5" max="5" width="18.28515625" style="42" hidden="1" customWidth="1"/>
    <col min="6" max="6" width="23.140625" style="42" hidden="1" customWidth="1"/>
    <col min="7" max="7" width="17.140625" style="42" hidden="1" customWidth="1"/>
    <col min="8" max="8" width="21" style="42" hidden="1" customWidth="1"/>
    <col min="9" max="9" width="27.85546875" style="42" hidden="1" customWidth="1"/>
    <col min="10" max="10" width="18" style="48" customWidth="1"/>
    <col min="11" max="11" width="17.28515625" style="48" customWidth="1"/>
    <col min="12" max="15" width="17.7109375" style="48" hidden="1" customWidth="1"/>
    <col min="16" max="16" width="18.85546875" style="42" hidden="1" customWidth="1"/>
    <col min="17" max="17" width="16.42578125" style="42" hidden="1" customWidth="1"/>
    <col min="18" max="18" width="17.85546875" style="42" hidden="1" customWidth="1"/>
    <col min="19" max="19" width="14.140625" style="42" hidden="1" customWidth="1"/>
    <col min="20" max="20" width="22.140625" style="42" hidden="1" customWidth="1"/>
    <col min="21" max="25" width="21.42578125" style="42" hidden="1" customWidth="1"/>
    <col min="26" max="29" width="19.85546875" style="42" hidden="1" customWidth="1"/>
    <col min="30" max="30" width="15.85546875" style="42" hidden="1" customWidth="1"/>
    <col min="31" max="31" width="17.85546875" style="42" hidden="1" customWidth="1"/>
    <col min="32" max="32" width="20.7109375" style="42" hidden="1" customWidth="1"/>
    <col min="33" max="33" width="17.85546875" style="42" hidden="1" customWidth="1"/>
    <col min="34" max="34" width="42.85546875" style="42" hidden="1" customWidth="1"/>
    <col min="35" max="35" width="23" style="46" hidden="1" customWidth="1"/>
    <col min="36" max="36" width="17" style="42" customWidth="1"/>
    <col min="37" max="37" width="16.28515625" style="42" hidden="1" customWidth="1"/>
    <col min="38" max="38" width="16.7109375" style="42" hidden="1" customWidth="1"/>
    <col min="39" max="39" width="13.140625" style="42" hidden="1" customWidth="1"/>
    <col min="40" max="40" width="12.140625" style="42" hidden="1" customWidth="1"/>
    <col min="41" max="41" width="19" style="42" hidden="1" customWidth="1" outlineLevel="1"/>
    <col min="42" max="42" width="21.85546875" style="276" hidden="1" customWidth="1" collapsed="1"/>
    <col min="43" max="44" width="21.28515625" style="276" customWidth="1"/>
    <col min="45" max="45" width="20.140625" style="276" hidden="1" customWidth="1"/>
    <col min="46" max="46" width="44.85546875" style="276" customWidth="1" collapsed="1"/>
    <col min="47" max="47" width="25.42578125" style="42" customWidth="1"/>
    <col min="48" max="48" width="16.7109375" style="42" customWidth="1"/>
    <col min="49" max="49" width="18.5703125" style="248" customWidth="1"/>
    <col min="50" max="50" width="17" style="248" bestFit="1" customWidth="1"/>
    <col min="51" max="51" width="18" style="248" customWidth="1"/>
    <col min="52" max="16384" width="9.140625" style="42"/>
  </cols>
  <sheetData>
    <row r="1" spans="1:51" ht="17.25" customHeight="1">
      <c r="A1" s="303" t="s">
        <v>697</v>
      </c>
      <c r="B1" s="303"/>
      <c r="C1" s="303"/>
      <c r="D1" s="303"/>
      <c r="E1" s="299"/>
      <c r="F1" s="299"/>
      <c r="G1" s="299"/>
      <c r="H1" s="299"/>
      <c r="I1" s="299"/>
      <c r="J1" s="303"/>
      <c r="K1" s="303"/>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303"/>
      <c r="AK1" s="303"/>
      <c r="AL1" s="303"/>
      <c r="AM1" s="303"/>
      <c r="AN1" s="299"/>
      <c r="AO1" s="303"/>
      <c r="AP1" s="304"/>
      <c r="AQ1" s="304"/>
      <c r="AR1" s="304"/>
      <c r="AS1" s="304"/>
      <c r="AT1" s="304"/>
      <c r="AU1" s="320"/>
      <c r="AV1" s="251"/>
    </row>
    <row r="2" spans="1:51" ht="17.25" customHeight="1" thickBot="1">
      <c r="A2" s="305"/>
      <c r="B2" s="305"/>
      <c r="C2" s="305"/>
      <c r="D2" s="305"/>
      <c r="E2" s="297"/>
      <c r="F2" s="297"/>
      <c r="G2" s="297"/>
      <c r="H2" s="297"/>
      <c r="I2" s="297"/>
      <c r="J2" s="305"/>
      <c r="K2" s="305"/>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305"/>
      <c r="AK2" s="305"/>
      <c r="AL2" s="305"/>
      <c r="AM2" s="305"/>
      <c r="AN2" s="297"/>
      <c r="AO2" s="305"/>
      <c r="AP2" s="305"/>
      <c r="AQ2" s="305"/>
      <c r="AR2" s="305"/>
      <c r="AS2" s="305"/>
      <c r="AT2" s="305"/>
      <c r="AU2" s="321"/>
      <c r="AV2" s="252"/>
    </row>
    <row r="3" spans="1:51" ht="17.25" customHeight="1" thickBot="1">
      <c r="A3" s="300" t="s">
        <v>695</v>
      </c>
      <c r="B3" s="301"/>
      <c r="C3" s="301"/>
      <c r="D3" s="301"/>
      <c r="E3" s="298"/>
      <c r="F3" s="298"/>
      <c r="G3" s="298"/>
      <c r="H3" s="298"/>
      <c r="I3" s="298"/>
      <c r="J3" s="301"/>
      <c r="K3" s="301"/>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301"/>
      <c r="AK3" s="301"/>
      <c r="AL3" s="301"/>
      <c r="AM3" s="301"/>
      <c r="AN3" s="298"/>
      <c r="AO3" s="301"/>
      <c r="AP3" s="301"/>
      <c r="AQ3" s="301"/>
      <c r="AR3" s="301"/>
      <c r="AS3" s="301"/>
      <c r="AT3" s="301"/>
      <c r="AU3" s="302"/>
      <c r="AV3" s="277"/>
    </row>
    <row r="4" spans="1:51" ht="18" thickBot="1">
      <c r="D4" s="46"/>
      <c r="E4" s="46"/>
      <c r="F4" s="47"/>
      <c r="G4" s="46"/>
      <c r="H4" s="46"/>
      <c r="I4" s="46"/>
      <c r="L4" s="49"/>
      <c r="M4" s="49"/>
      <c r="N4" s="49"/>
      <c r="O4" s="49"/>
      <c r="P4" s="46"/>
      <c r="Q4" s="46"/>
      <c r="AC4" s="46"/>
      <c r="AD4" s="46"/>
      <c r="AE4" s="45"/>
      <c r="AF4" s="45"/>
      <c r="AG4" s="45"/>
      <c r="AH4" s="44"/>
      <c r="AJ4" s="45"/>
      <c r="AK4" s="278"/>
      <c r="AL4" s="45"/>
      <c r="AM4" s="45"/>
      <c r="AN4" s="45"/>
      <c r="AO4" s="45"/>
      <c r="AP4" s="271"/>
      <c r="AQ4" s="271"/>
      <c r="AR4" s="271"/>
      <c r="AS4" s="271"/>
      <c r="AT4" s="271"/>
      <c r="AU4" s="45"/>
      <c r="AV4" s="45"/>
    </row>
    <row r="5" spans="1:51" s="52" customFormat="1" ht="145.5" customHeight="1">
      <c r="A5" s="364" t="s">
        <v>271</v>
      </c>
      <c r="B5" s="365" t="s">
        <v>272</v>
      </c>
      <c r="C5" s="366" t="s">
        <v>273</v>
      </c>
      <c r="D5" s="366" t="s">
        <v>683</v>
      </c>
      <c r="E5" s="366" t="s">
        <v>151</v>
      </c>
      <c r="F5" s="366" t="s">
        <v>198</v>
      </c>
      <c r="G5" s="366" t="s">
        <v>152</v>
      </c>
      <c r="H5" s="366" t="s">
        <v>197</v>
      </c>
      <c r="I5" s="366" t="s">
        <v>176</v>
      </c>
      <c r="J5" s="367" t="s">
        <v>696</v>
      </c>
      <c r="K5" s="368" t="s">
        <v>693</v>
      </c>
      <c r="L5" s="368" t="s">
        <v>274</v>
      </c>
      <c r="M5" s="368" t="s">
        <v>275</v>
      </c>
      <c r="N5" s="368" t="s">
        <v>276</v>
      </c>
      <c r="O5" s="368" t="s">
        <v>277</v>
      </c>
      <c r="P5" s="368" t="s">
        <v>278</v>
      </c>
      <c r="Q5" s="368" t="s">
        <v>285</v>
      </c>
      <c r="R5" s="368" t="s">
        <v>279</v>
      </c>
      <c r="S5" s="368" t="s">
        <v>281</v>
      </c>
      <c r="T5" s="368" t="s">
        <v>191</v>
      </c>
      <c r="U5" s="368" t="s">
        <v>193</v>
      </c>
      <c r="V5" s="368" t="s">
        <v>192</v>
      </c>
      <c r="W5" s="368" t="s">
        <v>195</v>
      </c>
      <c r="X5" s="368" t="s">
        <v>201</v>
      </c>
      <c r="Y5" s="368" t="s">
        <v>202</v>
      </c>
      <c r="Z5" s="368" t="s">
        <v>244</v>
      </c>
      <c r="AA5" s="368" t="s">
        <v>280</v>
      </c>
      <c r="AB5" s="368" t="s">
        <v>282</v>
      </c>
      <c r="AC5" s="368" t="s">
        <v>283</v>
      </c>
      <c r="AD5" s="368" t="s">
        <v>284</v>
      </c>
      <c r="AE5" s="369" t="s">
        <v>286</v>
      </c>
      <c r="AF5" s="369" t="s">
        <v>422</v>
      </c>
      <c r="AG5" s="369" t="s">
        <v>423</v>
      </c>
      <c r="AH5" s="370" t="s">
        <v>287</v>
      </c>
      <c r="AI5" s="371" t="s">
        <v>431</v>
      </c>
      <c r="AJ5" s="369" t="s">
        <v>288</v>
      </c>
      <c r="AK5" s="369" t="s">
        <v>694</v>
      </c>
      <c r="AL5" s="369" t="s">
        <v>699</v>
      </c>
      <c r="AM5" s="369" t="s">
        <v>358</v>
      </c>
      <c r="AN5" s="369" t="s">
        <v>430</v>
      </c>
      <c r="AO5" s="369" t="s">
        <v>688</v>
      </c>
      <c r="AP5" s="369" t="s">
        <v>734</v>
      </c>
      <c r="AQ5" s="369" t="s">
        <v>735</v>
      </c>
      <c r="AR5" s="369" t="s">
        <v>358</v>
      </c>
      <c r="AS5" s="369" t="s">
        <v>711</v>
      </c>
      <c r="AT5" s="369" t="s">
        <v>700</v>
      </c>
      <c r="AU5" s="426" t="s">
        <v>706</v>
      </c>
      <c r="AV5" s="253"/>
      <c r="AW5" s="249"/>
      <c r="AX5" s="249"/>
      <c r="AY5" s="249"/>
    </row>
    <row r="6" spans="1:51" s="52" customFormat="1" ht="21" customHeight="1">
      <c r="A6" s="372">
        <v>1</v>
      </c>
      <c r="B6" s="3">
        <v>2</v>
      </c>
      <c r="C6" s="3">
        <v>3</v>
      </c>
      <c r="D6" s="3">
        <v>4</v>
      </c>
      <c r="E6" s="3">
        <v>0.70280399999999998</v>
      </c>
      <c r="F6" s="3" t="s">
        <v>149</v>
      </c>
      <c r="G6" s="3">
        <v>0.70280399999999998</v>
      </c>
      <c r="H6" s="3" t="s">
        <v>150</v>
      </c>
      <c r="I6" s="3">
        <v>0.70280399999999998</v>
      </c>
      <c r="J6" s="3">
        <v>5</v>
      </c>
      <c r="K6" s="3">
        <v>6</v>
      </c>
      <c r="L6" s="3"/>
      <c r="M6" s="3"/>
      <c r="N6" s="3"/>
      <c r="O6" s="3"/>
      <c r="P6" s="3"/>
      <c r="Q6" s="3"/>
      <c r="R6" s="3"/>
      <c r="S6" s="3"/>
      <c r="T6" s="106"/>
      <c r="U6" s="3"/>
      <c r="V6" s="3"/>
      <c r="W6" s="3"/>
      <c r="X6" s="3"/>
      <c r="Y6" s="3"/>
      <c r="Z6" s="3"/>
      <c r="AA6" s="3"/>
      <c r="AB6" s="3"/>
      <c r="AC6" s="4"/>
      <c r="AD6" s="3"/>
      <c r="AE6" s="3"/>
      <c r="AF6" s="3"/>
      <c r="AG6" s="3"/>
      <c r="AH6" s="3"/>
      <c r="AI6" s="4"/>
      <c r="AJ6" s="427">
        <v>7</v>
      </c>
      <c r="AK6" s="427">
        <v>8</v>
      </c>
      <c r="AL6" s="427">
        <v>9</v>
      </c>
      <c r="AM6" s="427" t="s">
        <v>698</v>
      </c>
      <c r="AN6" s="427"/>
      <c r="AO6" s="427"/>
      <c r="AP6" s="428"/>
      <c r="AQ6" s="428">
        <v>8</v>
      </c>
      <c r="AR6" s="428">
        <v>9</v>
      </c>
      <c r="AS6" s="428">
        <v>13</v>
      </c>
      <c r="AT6" s="428">
        <v>10</v>
      </c>
      <c r="AU6" s="429">
        <v>11</v>
      </c>
      <c r="AV6" s="253"/>
      <c r="AW6" s="249"/>
      <c r="AX6" s="249"/>
      <c r="AY6" s="249"/>
    </row>
    <row r="7" spans="1:51" s="52" customFormat="1" ht="35.25" customHeight="1">
      <c r="A7" s="373"/>
      <c r="B7" s="54" t="s">
        <v>439</v>
      </c>
      <c r="C7" s="55"/>
      <c r="D7" s="55"/>
      <c r="E7" s="55"/>
      <c r="F7" s="56">
        <f>SUM(F10,F9,F11)</f>
        <v>3184016715.766396</v>
      </c>
      <c r="G7" s="56"/>
      <c r="H7" s="56">
        <f>SUM(H10,H9,H11)</f>
        <v>3184016716.8854599</v>
      </c>
      <c r="I7" s="56"/>
      <c r="J7" s="57">
        <f>SUM(J10,J9,J11)</f>
        <v>3184016716.7319355</v>
      </c>
      <c r="K7" s="57">
        <f>SUM(K10,K9,K11)</f>
        <v>3385029899.1612759</v>
      </c>
      <c r="L7" s="57">
        <f t="shared" ref="L7:N7" si="0">SUM(L10,L9,L11)</f>
        <v>3821909632.96</v>
      </c>
      <c r="M7" s="126">
        <f>L7/J7</f>
        <v>1.2003422007415827</v>
      </c>
      <c r="N7" s="57">
        <f t="shared" si="0"/>
        <v>785984839.34000003</v>
      </c>
      <c r="O7" s="126">
        <f>N7/J7</f>
        <v>0.24685323893234215</v>
      </c>
      <c r="P7" s="58">
        <f>SUM(P10,P9,P11)</f>
        <v>2799708662.0100002</v>
      </c>
      <c r="Q7" s="59">
        <f>P7/J7</f>
        <v>0.87930086776793437</v>
      </c>
      <c r="R7" s="58">
        <f>SUM(R10,R9,R11)</f>
        <v>2751451063.8000002</v>
      </c>
      <c r="S7" s="59">
        <f>R7/J7</f>
        <v>0.86414466649662591</v>
      </c>
      <c r="T7" s="58">
        <f t="shared" ref="T7:X7" si="1">SUM(T10,T9,T11)</f>
        <v>951751111.95999992</v>
      </c>
      <c r="U7" s="58">
        <f t="shared" si="1"/>
        <v>36911837.420000002</v>
      </c>
      <c r="V7" s="58">
        <f t="shared" si="1"/>
        <v>459373526.00999999</v>
      </c>
      <c r="W7" s="58">
        <f t="shared" si="1"/>
        <v>105547921.95</v>
      </c>
      <c r="X7" s="58">
        <f t="shared" ca="1" si="1"/>
        <v>45137197.980000004</v>
      </c>
      <c r="Y7" s="91">
        <f t="shared" ref="Y7:Y71" ca="1" si="2">AC7-X7</f>
        <v>1402899277.4099998</v>
      </c>
      <c r="Z7" s="58">
        <f>T7+U7+W7</f>
        <v>1094210871.3299999</v>
      </c>
      <c r="AA7" s="58">
        <f>SUM(AA10,AA9,AA11)</f>
        <v>142487857.40694422</v>
      </c>
      <c r="AB7" s="133">
        <f>AA7/J7</f>
        <v>4.475097654424167E-2</v>
      </c>
      <c r="AC7" s="58">
        <f>SUM(T7:V7)</f>
        <v>1448036475.3899999</v>
      </c>
      <c r="AD7" s="59">
        <f>AC7/J7</f>
        <v>0.4547829374703346</v>
      </c>
      <c r="AE7" s="59">
        <v>6.8918429366785581E-3</v>
      </c>
      <c r="AF7" s="58">
        <f>J7-R7</f>
        <v>432565652.93193531</v>
      </c>
      <c r="AG7" s="59">
        <f>AF7/J7</f>
        <v>0.13585533350337409</v>
      </c>
      <c r="AH7" s="59"/>
      <c r="AI7" s="58"/>
      <c r="AJ7" s="238" t="s">
        <v>408</v>
      </c>
      <c r="AK7" s="57">
        <f>SUM(AK10,AK9,AK11)</f>
        <v>226454564.23037243</v>
      </c>
      <c r="AL7" s="57">
        <f>SUM(AL10,AL9,AL11)</f>
        <v>241355170.61496401</v>
      </c>
      <c r="AM7" s="59">
        <f>AL7/K7</f>
        <v>7.1300750009554034E-2</v>
      </c>
      <c r="AN7" s="59"/>
      <c r="AO7" s="57">
        <f>SUM(AO10,AO9,AO11)</f>
        <v>237944631.61496401</v>
      </c>
      <c r="AP7" s="57">
        <f>SUM(AP10,AP9,AP11)</f>
        <v>298040395.814964</v>
      </c>
      <c r="AQ7" s="57">
        <f>SUM(AQ10,AQ9,AQ11)</f>
        <v>256238009.814964</v>
      </c>
      <c r="AR7" s="59">
        <f>AQ7/K7</f>
        <v>7.5697414040110322E-2</v>
      </c>
      <c r="AS7" s="272"/>
      <c r="AT7" s="272"/>
      <c r="AU7" s="374">
        <f>SUM(AU10,AU9,AU11)</f>
        <v>11632889.058823533</v>
      </c>
      <c r="AV7" s="254"/>
      <c r="AW7" s="249"/>
      <c r="AX7" s="249"/>
      <c r="AY7" s="249"/>
    </row>
    <row r="8" spans="1:51" s="52" customFormat="1" ht="15" customHeight="1">
      <c r="A8" s="375"/>
      <c r="B8" s="5"/>
      <c r="C8" s="3"/>
      <c r="D8" s="3"/>
      <c r="E8" s="3"/>
      <c r="F8" s="3"/>
      <c r="G8" s="3"/>
      <c r="H8" s="3"/>
      <c r="I8" s="3"/>
      <c r="J8" s="7"/>
      <c r="K8" s="7"/>
      <c r="L8" s="7"/>
      <c r="M8" s="127"/>
      <c r="N8" s="7"/>
      <c r="O8" s="7"/>
      <c r="P8" s="4"/>
      <c r="Q8" s="4"/>
      <c r="R8" s="4"/>
      <c r="S8" s="4"/>
      <c r="T8" s="6"/>
      <c r="U8" s="6"/>
      <c r="V8" s="6"/>
      <c r="W8" s="6"/>
      <c r="X8" s="6"/>
      <c r="Y8" s="6"/>
      <c r="Z8" s="6"/>
      <c r="AA8" s="6"/>
      <c r="AB8" s="134"/>
      <c r="AC8" s="4"/>
      <c r="AD8" s="4"/>
      <c r="AE8" s="4"/>
      <c r="AF8" s="4"/>
      <c r="AG8" s="4"/>
      <c r="AH8" s="4"/>
      <c r="AI8" s="4"/>
      <c r="AJ8" s="240"/>
      <c r="AK8" s="4"/>
      <c r="AL8" s="4"/>
      <c r="AM8" s="6"/>
      <c r="AN8" s="4"/>
      <c r="AO8" s="4"/>
      <c r="AP8" s="273"/>
      <c r="AQ8" s="273"/>
      <c r="AR8" s="6"/>
      <c r="AS8" s="273"/>
      <c r="AT8" s="273"/>
      <c r="AU8" s="376"/>
      <c r="AV8" s="255"/>
      <c r="AW8" s="249"/>
      <c r="AX8" s="249"/>
      <c r="AY8" s="249"/>
    </row>
    <row r="9" spans="1:51" s="52" customFormat="1" ht="19.5" customHeight="1">
      <c r="A9" s="373"/>
      <c r="B9" s="54" t="s">
        <v>440</v>
      </c>
      <c r="C9" s="55"/>
      <c r="D9" s="55"/>
      <c r="E9" s="55"/>
      <c r="F9" s="56">
        <f>SUM(F16)</f>
        <v>409807622.18692803</v>
      </c>
      <c r="G9" s="56"/>
      <c r="H9" s="56">
        <f>SUM(H16)</f>
        <v>409807622.33852804</v>
      </c>
      <c r="I9" s="56"/>
      <c r="J9" s="57">
        <f>SUM(J16)</f>
        <v>409807622.37605202</v>
      </c>
      <c r="K9" s="57">
        <f>SUM(K16)</f>
        <v>459151878.95125997</v>
      </c>
      <c r="L9" s="57">
        <f t="shared" ref="L9:N9" si="3">SUM(L16)</f>
        <v>576872134.60000002</v>
      </c>
      <c r="M9" s="126">
        <f t="shared" ref="M9:M11" si="4">L9/J9</f>
        <v>1.4076657023979033</v>
      </c>
      <c r="N9" s="57">
        <f t="shared" si="3"/>
        <v>181473589.42999998</v>
      </c>
      <c r="O9" s="126">
        <f t="shared" ref="O9:O70" si="5">N9/J9</f>
        <v>0.44282629097482784</v>
      </c>
      <c r="P9" s="58">
        <f>SUM(P16)</f>
        <v>392134278.05999994</v>
      </c>
      <c r="Q9" s="59">
        <f>P9/J9</f>
        <v>0.95687404686720423</v>
      </c>
      <c r="R9" s="58">
        <f>SUM(R16)</f>
        <v>391149774.02999997</v>
      </c>
      <c r="S9" s="59">
        <f>R9/J9</f>
        <v>0.95447169030708989</v>
      </c>
      <c r="T9" s="58">
        <f t="shared" ref="T9:X9" si="6">SUM(T16)</f>
        <v>233757468.81999993</v>
      </c>
      <c r="U9" s="58">
        <f t="shared" si="6"/>
        <v>0</v>
      </c>
      <c r="V9" s="58">
        <f t="shared" si="6"/>
        <v>23307132.310000002</v>
      </c>
      <c r="W9" s="58">
        <f t="shared" si="6"/>
        <v>1869272.0499999993</v>
      </c>
      <c r="X9" s="58">
        <f t="shared" si="6"/>
        <v>37807.360000000001</v>
      </c>
      <c r="Y9" s="91">
        <f t="shared" si="2"/>
        <v>257026793.76999992</v>
      </c>
      <c r="Z9" s="58">
        <f t="shared" ref="Z9:Z11" si="7">T9+U9+W9</f>
        <v>235626740.86999995</v>
      </c>
      <c r="AA9" s="58">
        <f>SUM(AA16)</f>
        <v>3327297.68</v>
      </c>
      <c r="AB9" s="133">
        <f>AA9/J9</f>
        <v>8.1191698209721677E-3</v>
      </c>
      <c r="AC9" s="58">
        <f t="shared" ref="AC9:AC11" si="8">SUM(T9:V9)</f>
        <v>257064601.12999994</v>
      </c>
      <c r="AD9" s="59">
        <f>AC9/J9</f>
        <v>0.6272811609494896</v>
      </c>
      <c r="AE9" s="59">
        <v>2.7874582035421506E-3</v>
      </c>
      <c r="AF9" s="58">
        <f>J9-R9</f>
        <v>18657848.346052051</v>
      </c>
      <c r="AG9" s="59">
        <f>AF9/J9</f>
        <v>4.55283096929101E-2</v>
      </c>
      <c r="AH9" s="59"/>
      <c r="AI9" s="58"/>
      <c r="AJ9" s="238" t="s">
        <v>408</v>
      </c>
      <c r="AK9" s="57">
        <f>SUM(AK16)</f>
        <v>30474860.137943044</v>
      </c>
      <c r="AL9" s="57">
        <f>SUM(AL16)</f>
        <v>35347029.270906001</v>
      </c>
      <c r="AM9" s="59">
        <f>AL9/K9</f>
        <v>7.6983305288092205E-2</v>
      </c>
      <c r="AN9" s="58"/>
      <c r="AO9" s="57">
        <f>SUM(AO16)</f>
        <v>34847029.270906001</v>
      </c>
      <c r="AP9" s="57">
        <f>SUM(AP16)</f>
        <v>40287101.270905994</v>
      </c>
      <c r="AQ9" s="57">
        <f>SUM(AQ16)</f>
        <v>36847029.270905994</v>
      </c>
      <c r="AR9" s="59">
        <f>AQ9/K9</f>
        <v>8.0250198158978658E-2</v>
      </c>
      <c r="AS9" s="272"/>
      <c r="AT9" s="272"/>
      <c r="AU9" s="374">
        <f>SUM(AU16)</f>
        <v>0</v>
      </c>
      <c r="AV9" s="254"/>
      <c r="AW9" s="249"/>
      <c r="AX9" s="249"/>
      <c r="AY9" s="249"/>
    </row>
    <row r="10" spans="1:51" s="52" customFormat="1">
      <c r="A10" s="373"/>
      <c r="B10" s="54" t="s">
        <v>441</v>
      </c>
      <c r="C10" s="55"/>
      <c r="D10" s="55"/>
      <c r="E10" s="55"/>
      <c r="F10" s="56">
        <f>SUM(F107,F153)</f>
        <v>1692047973.0248561</v>
      </c>
      <c r="G10" s="56"/>
      <c r="H10" s="56">
        <f>SUM(H107,H153)</f>
        <v>1692047973.9923201</v>
      </c>
      <c r="I10" s="56"/>
      <c r="J10" s="57">
        <f>SUM(J107,J153)</f>
        <v>1692047973.8012719</v>
      </c>
      <c r="K10" s="57">
        <f>SUM(K107,K153)</f>
        <v>1786100440.8940639</v>
      </c>
      <c r="L10" s="57">
        <f>SUM(L107,L153)</f>
        <v>2081214460.0700002</v>
      </c>
      <c r="M10" s="126">
        <f t="shared" si="4"/>
        <v>1.229997312306959</v>
      </c>
      <c r="N10" s="57">
        <f>SUM(N107,N153)</f>
        <v>514990944.18000007</v>
      </c>
      <c r="O10" s="126">
        <f t="shared" si="5"/>
        <v>0.30435954071860427</v>
      </c>
      <c r="P10" s="58">
        <f>SUM(P107,P153)</f>
        <v>1445985574.1100001</v>
      </c>
      <c r="Q10" s="59">
        <f>P10/J10</f>
        <v>0.8545771730464119</v>
      </c>
      <c r="R10" s="58">
        <f>SUM(R107,R153)</f>
        <v>1406307444.6900001</v>
      </c>
      <c r="S10" s="59">
        <f>R10/J10</f>
        <v>0.83112740682562258</v>
      </c>
      <c r="T10" s="58">
        <f>SUM(T107,T153)</f>
        <v>466390211.63999999</v>
      </c>
      <c r="U10" s="58">
        <f>SUM(U107,U153)</f>
        <v>27216414.289999999</v>
      </c>
      <c r="V10" s="58">
        <f>SUM(V107,V153)</f>
        <v>240856177.59</v>
      </c>
      <c r="W10" s="58">
        <f>SUM(W107,W153)</f>
        <v>67261053.090000004</v>
      </c>
      <c r="X10" s="58">
        <f>SUM(X107,X153)</f>
        <v>42041693.020000003</v>
      </c>
      <c r="Y10" s="91">
        <f t="shared" si="2"/>
        <v>692421110.5</v>
      </c>
      <c r="Z10" s="58">
        <f t="shared" si="7"/>
        <v>560867679.01999998</v>
      </c>
      <c r="AA10" s="58">
        <f>SUM(AA107,AA153)</f>
        <v>63853959.700000003</v>
      </c>
      <c r="AB10" s="133">
        <f>AA10/J10</f>
        <v>3.7737676879544282E-2</v>
      </c>
      <c r="AC10" s="58">
        <f t="shared" si="8"/>
        <v>734462803.51999998</v>
      </c>
      <c r="AD10" s="59">
        <f>AC10/J10</f>
        <v>0.43406736386438965</v>
      </c>
      <c r="AE10" s="59">
        <v>1.1466418387746919E-2</v>
      </c>
      <c r="AF10" s="58">
        <f>J10-R10</f>
        <v>285740529.11127186</v>
      </c>
      <c r="AG10" s="59">
        <f>AF10/J10</f>
        <v>0.16887259317437744</v>
      </c>
      <c r="AH10" s="59"/>
      <c r="AI10" s="58"/>
      <c r="AJ10" s="238" t="s">
        <v>408</v>
      </c>
      <c r="AK10" s="57">
        <f>SUM(AK107,AK153)</f>
        <v>156862738.64195937</v>
      </c>
      <c r="AL10" s="57">
        <f>SUM(AL107,AL153)</f>
        <v>161584023.80000001</v>
      </c>
      <c r="AM10" s="59">
        <f t="shared" ref="AM10:AM15" si="9">AL10/K10</f>
        <v>9.046749001367263E-2</v>
      </c>
      <c r="AN10" s="58"/>
      <c r="AO10" s="57">
        <f>SUM(AO107,AO153)</f>
        <v>158673484.80000001</v>
      </c>
      <c r="AP10" s="57">
        <f>SUM(AP107,AP153)</f>
        <v>210546338</v>
      </c>
      <c r="AQ10" s="57">
        <f>SUM(AQ107,AQ153)</f>
        <v>172184024</v>
      </c>
      <c r="AR10" s="59">
        <f>AQ10/K10</f>
        <v>9.6402206761569506E-2</v>
      </c>
      <c r="AS10" s="272"/>
      <c r="AT10" s="272"/>
      <c r="AU10" s="374">
        <f>SUM(AU107,AU153)</f>
        <v>11264494.235294122</v>
      </c>
      <c r="AV10" s="254"/>
      <c r="AW10" s="249"/>
      <c r="AX10" s="249"/>
      <c r="AY10" s="249"/>
    </row>
    <row r="11" spans="1:51" s="52" customFormat="1">
      <c r="A11" s="373"/>
      <c r="B11" s="54" t="s">
        <v>442</v>
      </c>
      <c r="C11" s="55"/>
      <c r="D11" s="55"/>
      <c r="E11" s="55"/>
      <c r="F11" s="56">
        <f>F154</f>
        <v>1082161120.5546119</v>
      </c>
      <c r="G11" s="56"/>
      <c r="H11" s="56">
        <f>H154</f>
        <v>1082161120.5546119</v>
      </c>
      <c r="I11" s="56"/>
      <c r="J11" s="57">
        <f>J154</f>
        <v>1082161120.5546119</v>
      </c>
      <c r="K11" s="57">
        <f>K154</f>
        <v>1139777579.3159521</v>
      </c>
      <c r="L11" s="57">
        <f t="shared" ref="L11:N11" si="10">L154</f>
        <v>1163823038.29</v>
      </c>
      <c r="M11" s="126">
        <f t="shared" si="4"/>
        <v>1.0754618847270505</v>
      </c>
      <c r="N11" s="57">
        <f t="shared" si="10"/>
        <v>89520305.730000004</v>
      </c>
      <c r="O11" s="126">
        <f t="shared" si="5"/>
        <v>8.2723638864534779E-2</v>
      </c>
      <c r="P11" s="58">
        <f>P154</f>
        <v>961588809.84000015</v>
      </c>
      <c r="Q11" s="59">
        <f>P11/J11</f>
        <v>0.88858192331580166</v>
      </c>
      <c r="R11" s="58">
        <f>R154</f>
        <v>953993845.08000004</v>
      </c>
      <c r="S11" s="59">
        <f>R11/J11</f>
        <v>0.88156359248156535</v>
      </c>
      <c r="T11" s="58">
        <f>T154</f>
        <v>251603431.50000003</v>
      </c>
      <c r="U11" s="58">
        <f t="shared" ref="U11:X11" si="11">U154</f>
        <v>9695423.129999999</v>
      </c>
      <c r="V11" s="58">
        <f t="shared" si="11"/>
        <v>195210216.11000001</v>
      </c>
      <c r="W11" s="58">
        <f t="shared" si="11"/>
        <v>36417596.810000002</v>
      </c>
      <c r="X11" s="58">
        <f t="shared" ca="1" si="11"/>
        <v>3057697.6</v>
      </c>
      <c r="Y11" s="91">
        <f t="shared" ca="1" si="2"/>
        <v>453451373.13999999</v>
      </c>
      <c r="Z11" s="58">
        <f t="shared" si="7"/>
        <v>297716451.44000006</v>
      </c>
      <c r="AA11" s="58">
        <f>AA154</f>
        <v>75306600.02694422</v>
      </c>
      <c r="AB11" s="133">
        <f>AA11/J11</f>
        <v>6.9589082990108977E-2</v>
      </c>
      <c r="AC11" s="58">
        <f t="shared" si="8"/>
        <v>456509070.74000001</v>
      </c>
      <c r="AD11" s="59">
        <f>AC11/J11</f>
        <v>0.42184944743351827</v>
      </c>
      <c r="AE11" s="59">
        <v>1.330500265475954E-3</v>
      </c>
      <c r="AF11" s="58">
        <f>J11-R11</f>
        <v>128167275.47461188</v>
      </c>
      <c r="AG11" s="59">
        <f>AF11/J11</f>
        <v>0.11843640751843462</v>
      </c>
      <c r="AH11" s="59"/>
      <c r="AI11" s="58"/>
      <c r="AJ11" s="238" t="s">
        <v>408</v>
      </c>
      <c r="AK11" s="57">
        <f>AK154</f>
        <v>39116965.45047003</v>
      </c>
      <c r="AL11" s="57">
        <f>AL154</f>
        <v>44424117.54405801</v>
      </c>
      <c r="AM11" s="59">
        <f t="shared" si="9"/>
        <v>3.8976128632675466E-2</v>
      </c>
      <c r="AN11" s="58"/>
      <c r="AO11" s="57">
        <f>AO154</f>
        <v>44424117.54405801</v>
      </c>
      <c r="AP11" s="57">
        <f>AP154</f>
        <v>47206956.54405801</v>
      </c>
      <c r="AQ11" s="57">
        <f>AQ154</f>
        <v>47206956.54405801</v>
      </c>
      <c r="AR11" s="59">
        <f>AQ11/K11</f>
        <v>4.1417691838077475E-2</v>
      </c>
      <c r="AS11" s="272"/>
      <c r="AT11" s="272"/>
      <c r="AU11" s="374">
        <f>AU154</f>
        <v>368394.82352941157</v>
      </c>
      <c r="AV11" s="254"/>
      <c r="AW11" s="249"/>
      <c r="AX11" s="249"/>
      <c r="AY11" s="249"/>
    </row>
    <row r="12" spans="1:51" s="52" customFormat="1">
      <c r="A12" s="375"/>
      <c r="B12" s="5"/>
      <c r="C12" s="3"/>
      <c r="D12" s="3"/>
      <c r="E12" s="3"/>
      <c r="F12" s="3"/>
      <c r="G12" s="3"/>
      <c r="H12" s="3"/>
      <c r="I12" s="3"/>
      <c r="J12" s="7"/>
      <c r="K12" s="7"/>
      <c r="L12" s="7"/>
      <c r="M12" s="127"/>
      <c r="N12" s="7"/>
      <c r="O12" s="7"/>
      <c r="P12" s="4"/>
      <c r="Q12" s="4"/>
      <c r="R12" s="4"/>
      <c r="S12" s="4"/>
      <c r="T12" s="6"/>
      <c r="U12" s="6"/>
      <c r="V12" s="6"/>
      <c r="W12" s="6"/>
      <c r="X12" s="6"/>
      <c r="Y12" s="6"/>
      <c r="Z12" s="6"/>
      <c r="AA12" s="6"/>
      <c r="AB12" s="134"/>
      <c r="AC12" s="4"/>
      <c r="AD12" s="4"/>
      <c r="AE12" s="4"/>
      <c r="AF12" s="4"/>
      <c r="AG12" s="4"/>
      <c r="AH12" s="4"/>
      <c r="AI12" s="4"/>
      <c r="AJ12" s="240"/>
      <c r="AK12" s="4"/>
      <c r="AL12" s="4"/>
      <c r="AM12" s="6"/>
      <c r="AN12" s="4"/>
      <c r="AO12" s="4"/>
      <c r="AP12" s="273"/>
      <c r="AQ12" s="273"/>
      <c r="AR12" s="6"/>
      <c r="AS12" s="273"/>
      <c r="AT12" s="273"/>
      <c r="AU12" s="376"/>
      <c r="AV12" s="255"/>
      <c r="AW12" s="249"/>
      <c r="AX12" s="249"/>
      <c r="AY12" s="249"/>
    </row>
    <row r="13" spans="1:51" s="52" customFormat="1">
      <c r="A13" s="373"/>
      <c r="B13" s="54" t="s">
        <v>443</v>
      </c>
      <c r="C13" s="55"/>
      <c r="D13" s="60"/>
      <c r="E13" s="60"/>
      <c r="F13" s="56">
        <f>F16</f>
        <v>409807622.18692803</v>
      </c>
      <c r="G13" s="56"/>
      <c r="H13" s="56">
        <f>H16</f>
        <v>409807622.33852804</v>
      </c>
      <c r="I13" s="56"/>
      <c r="J13" s="57">
        <f>J16</f>
        <v>409807622.37605202</v>
      </c>
      <c r="K13" s="57">
        <f>K16</f>
        <v>459151878.95125997</v>
      </c>
      <c r="L13" s="57">
        <f t="shared" ref="L13:N13" si="12">L16</f>
        <v>576872134.60000002</v>
      </c>
      <c r="M13" s="126">
        <f t="shared" ref="M13:M15" si="13">L13/J13</f>
        <v>1.4076657023979033</v>
      </c>
      <c r="N13" s="57">
        <f t="shared" si="12"/>
        <v>181473589.42999998</v>
      </c>
      <c r="O13" s="126">
        <f t="shared" si="5"/>
        <v>0.44282629097482784</v>
      </c>
      <c r="P13" s="58">
        <f>P16</f>
        <v>392134278.05999994</v>
      </c>
      <c r="Q13" s="59">
        <f t="shared" ref="Q13:Q18" si="14">P13/J13</f>
        <v>0.95687404686720423</v>
      </c>
      <c r="R13" s="58">
        <f>R16</f>
        <v>391149774.02999997</v>
      </c>
      <c r="S13" s="59">
        <f t="shared" ref="S13:S18" si="15">R13/J13</f>
        <v>0.95447169030708989</v>
      </c>
      <c r="T13" s="58">
        <f t="shared" ref="T13:X13" si="16">T16</f>
        <v>233757468.81999993</v>
      </c>
      <c r="U13" s="58">
        <f t="shared" si="16"/>
        <v>0</v>
      </c>
      <c r="V13" s="58">
        <f t="shared" si="16"/>
        <v>23307132.310000002</v>
      </c>
      <c r="W13" s="58">
        <f t="shared" si="16"/>
        <v>1869272.0499999993</v>
      </c>
      <c r="X13" s="58">
        <f t="shared" si="16"/>
        <v>37807.360000000001</v>
      </c>
      <c r="Y13" s="91">
        <f t="shared" si="2"/>
        <v>257026793.76999992</v>
      </c>
      <c r="Z13" s="58">
        <f t="shared" ref="Z13:Z77" si="17">T13+U13+W13</f>
        <v>235626740.86999995</v>
      </c>
      <c r="AA13" s="58">
        <f>AA16</f>
        <v>3327297.68</v>
      </c>
      <c r="AB13" s="133">
        <f t="shared" ref="AB13:AB18" si="18">AA13/J13</f>
        <v>8.1191698209721677E-3</v>
      </c>
      <c r="AC13" s="58">
        <f t="shared" ref="AC13:AC15" si="19">SUM(T13:V13)</f>
        <v>257064601.12999994</v>
      </c>
      <c r="AD13" s="59">
        <f t="shared" ref="AD13:AD18" si="20">AC13/J13</f>
        <v>0.6272811609494896</v>
      </c>
      <c r="AE13" s="59">
        <v>2.7874582035421506E-3</v>
      </c>
      <c r="AF13" s="58">
        <f t="shared" ref="AF13:AF18" si="21">J13-R13</f>
        <v>18657848.346052051</v>
      </c>
      <c r="AG13" s="59">
        <f t="shared" ref="AG13:AG18" si="22">AF13/J13</f>
        <v>4.55283096929101E-2</v>
      </c>
      <c r="AH13" s="59"/>
      <c r="AI13" s="58"/>
      <c r="AJ13" s="238" t="s">
        <v>408</v>
      </c>
      <c r="AK13" s="58">
        <f>AK16</f>
        <v>30474860.137943044</v>
      </c>
      <c r="AL13" s="57">
        <f>AL16</f>
        <v>35347029.270906001</v>
      </c>
      <c r="AM13" s="59">
        <f t="shared" si="9"/>
        <v>7.6983305288092205E-2</v>
      </c>
      <c r="AN13" s="59"/>
      <c r="AO13" s="57">
        <f>AO16</f>
        <v>34847029.270906001</v>
      </c>
      <c r="AP13" s="57">
        <f>AP16</f>
        <v>40287101.270905994</v>
      </c>
      <c r="AQ13" s="57">
        <f>AQ16</f>
        <v>36847029.270905994</v>
      </c>
      <c r="AR13" s="59">
        <f t="shared" ref="AR13:AR18" si="23">AQ13/K13</f>
        <v>8.0250198158978658E-2</v>
      </c>
      <c r="AS13" s="59"/>
      <c r="AT13" s="59"/>
      <c r="AU13" s="374">
        <f>AU16</f>
        <v>0</v>
      </c>
      <c r="AV13" s="254"/>
      <c r="AW13" s="249"/>
      <c r="AX13" s="249"/>
      <c r="AY13" s="249"/>
    </row>
    <row r="14" spans="1:51" s="52" customFormat="1">
      <c r="A14" s="373"/>
      <c r="B14" s="54" t="s">
        <v>444</v>
      </c>
      <c r="C14" s="55"/>
      <c r="D14" s="60"/>
      <c r="E14" s="60"/>
      <c r="F14" s="56">
        <f>F107</f>
        <v>517777457.92000002</v>
      </c>
      <c r="G14" s="56"/>
      <c r="H14" s="56">
        <f>H107</f>
        <v>517777458.88746399</v>
      </c>
      <c r="I14" s="56"/>
      <c r="J14" s="57">
        <f>J107</f>
        <v>517777458.69641602</v>
      </c>
      <c r="K14" s="57">
        <f>K107</f>
        <v>543127102.19716406</v>
      </c>
      <c r="L14" s="57">
        <f t="shared" ref="L14:N14" si="24">L107</f>
        <v>743582613.66999996</v>
      </c>
      <c r="M14" s="126">
        <f t="shared" si="13"/>
        <v>1.4361046453085906</v>
      </c>
      <c r="N14" s="57">
        <f t="shared" si="24"/>
        <v>247285298.18000004</v>
      </c>
      <c r="O14" s="126">
        <f t="shared" si="5"/>
        <v>0.47758992599364719</v>
      </c>
      <c r="P14" s="58">
        <f>P107</f>
        <v>454524953.69000006</v>
      </c>
      <c r="Q14" s="59">
        <f t="shared" si="14"/>
        <v>0.87783843436200593</v>
      </c>
      <c r="R14" s="58">
        <f>R107</f>
        <v>420530666.39000005</v>
      </c>
      <c r="S14" s="59">
        <f t="shared" si="15"/>
        <v>0.81218419096256211</v>
      </c>
      <c r="T14" s="58">
        <f t="shared" ref="T14:X14" si="25">T107</f>
        <v>184437939.13</v>
      </c>
      <c r="U14" s="58">
        <f t="shared" si="25"/>
        <v>27216414.289999999</v>
      </c>
      <c r="V14" s="58">
        <f t="shared" si="25"/>
        <v>31188847.080000002</v>
      </c>
      <c r="W14" s="58">
        <f t="shared" si="25"/>
        <v>157589.03</v>
      </c>
      <c r="X14" s="58">
        <f t="shared" si="25"/>
        <v>38269239.380000003</v>
      </c>
      <c r="Y14" s="91">
        <f t="shared" si="2"/>
        <v>204573961.12</v>
      </c>
      <c r="Z14" s="58">
        <f t="shared" si="17"/>
        <v>211811942.44999999</v>
      </c>
      <c r="AA14" s="58">
        <f>AA107</f>
        <v>41271926.560000002</v>
      </c>
      <c r="AB14" s="133">
        <f t="shared" si="18"/>
        <v>7.970977852900045E-2</v>
      </c>
      <c r="AC14" s="58">
        <f t="shared" si="19"/>
        <v>242843200.5</v>
      </c>
      <c r="AD14" s="59">
        <f t="shared" si="20"/>
        <v>0.46901076209728193</v>
      </c>
      <c r="AE14" s="59">
        <v>1.0598521556582139E-2</v>
      </c>
      <c r="AF14" s="58">
        <f t="shared" si="21"/>
        <v>97246792.306415975</v>
      </c>
      <c r="AG14" s="59">
        <f t="shared" si="22"/>
        <v>0.18781580903743791</v>
      </c>
      <c r="AH14" s="59"/>
      <c r="AI14" s="58"/>
      <c r="AJ14" s="238" t="s">
        <v>408</v>
      </c>
      <c r="AK14" s="58">
        <f>AK107</f>
        <v>48521508.271780893</v>
      </c>
      <c r="AL14" s="57">
        <f>AL107</f>
        <v>49056323.799999997</v>
      </c>
      <c r="AM14" s="59">
        <f t="shared" si="9"/>
        <v>9.0321995719874329E-2</v>
      </c>
      <c r="AN14" s="59"/>
      <c r="AO14" s="57">
        <f>AO107</f>
        <v>43056323.799999997</v>
      </c>
      <c r="AP14" s="57">
        <f>AP107</f>
        <v>54086882</v>
      </c>
      <c r="AQ14" s="57">
        <f>AQ107</f>
        <v>49056324</v>
      </c>
      <c r="AR14" s="59">
        <f t="shared" si="23"/>
        <v>9.0321996088112255E-2</v>
      </c>
      <c r="AS14" s="59"/>
      <c r="AT14" s="59"/>
      <c r="AU14" s="374">
        <f>AU107</f>
        <v>0</v>
      </c>
      <c r="AV14" s="254"/>
      <c r="AW14" s="249"/>
      <c r="AX14" s="249"/>
      <c r="AY14" s="249"/>
    </row>
    <row r="15" spans="1:51" s="52" customFormat="1">
      <c r="A15" s="373"/>
      <c r="B15" s="54" t="s">
        <v>445</v>
      </c>
      <c r="C15" s="55"/>
      <c r="D15" s="60"/>
      <c r="E15" s="60"/>
      <c r="F15" s="56">
        <f>F152</f>
        <v>2256431635.6594682</v>
      </c>
      <c r="G15" s="56"/>
      <c r="H15" s="56">
        <f>H152</f>
        <v>2256431635.6594682</v>
      </c>
      <c r="I15" s="56"/>
      <c r="J15" s="57">
        <f>J152</f>
        <v>2256431635.6594682</v>
      </c>
      <c r="K15" s="57">
        <f>K152</f>
        <v>2382750918.0128522</v>
      </c>
      <c r="L15" s="57">
        <f t="shared" ref="L15:N15" si="26">L152</f>
        <v>2501454884.6900001</v>
      </c>
      <c r="M15" s="126">
        <f t="shared" si="13"/>
        <v>1.1085888201345488</v>
      </c>
      <c r="N15" s="57">
        <f t="shared" si="26"/>
        <v>357225951.73000002</v>
      </c>
      <c r="O15" s="126">
        <f t="shared" si="5"/>
        <v>0.15831454677579745</v>
      </c>
      <c r="P15" s="58">
        <f>P152</f>
        <v>1953049430.26</v>
      </c>
      <c r="Q15" s="59">
        <f t="shared" si="14"/>
        <v>0.86554779652750202</v>
      </c>
      <c r="R15" s="58">
        <f>R152</f>
        <v>1939770623.3799999</v>
      </c>
      <c r="S15" s="59">
        <f t="shared" si="15"/>
        <v>0.85966292650966114</v>
      </c>
      <c r="T15" s="58">
        <f t="shared" ref="T15:X15" si="27">T152</f>
        <v>533555704.00999999</v>
      </c>
      <c r="U15" s="58">
        <f t="shared" si="27"/>
        <v>9695423.129999999</v>
      </c>
      <c r="V15" s="58">
        <f t="shared" si="27"/>
        <v>404877546.62</v>
      </c>
      <c r="W15" s="58">
        <f t="shared" si="27"/>
        <v>103521060.87</v>
      </c>
      <c r="X15" s="58">
        <f t="shared" ca="1" si="27"/>
        <v>6830151.2400000002</v>
      </c>
      <c r="Y15" s="91">
        <f t="shared" ca="1" si="2"/>
        <v>941298522.51999998</v>
      </c>
      <c r="Z15" s="58">
        <f t="shared" si="17"/>
        <v>646772188.00999999</v>
      </c>
      <c r="AA15" s="58">
        <f>AA152</f>
        <v>97888633.166944236</v>
      </c>
      <c r="AB15" s="133">
        <f t="shared" si="18"/>
        <v>4.3382051385897694E-2</v>
      </c>
      <c r="AC15" s="58">
        <f t="shared" si="19"/>
        <v>948128673.75999999</v>
      </c>
      <c r="AD15" s="59">
        <f t="shared" si="20"/>
        <v>0.4201894082569439</v>
      </c>
      <c r="AE15" s="59">
        <v>6.8249609961308555E-3</v>
      </c>
      <c r="AF15" s="58">
        <f t="shared" si="21"/>
        <v>316661012.2794683</v>
      </c>
      <c r="AG15" s="59">
        <f t="shared" si="22"/>
        <v>0.14033707349033886</v>
      </c>
      <c r="AH15" s="59"/>
      <c r="AI15" s="58"/>
      <c r="AJ15" s="238" t="s">
        <v>408</v>
      </c>
      <c r="AK15" s="58">
        <f>AK152</f>
        <v>147458195.82064852</v>
      </c>
      <c r="AL15" s="57">
        <f>AL152</f>
        <v>156951817.54405802</v>
      </c>
      <c r="AM15" s="59">
        <f t="shared" si="9"/>
        <v>6.5870006116691152E-2</v>
      </c>
      <c r="AN15" s="59"/>
      <c r="AO15" s="57">
        <f>AO152</f>
        <v>160041278.54405802</v>
      </c>
      <c r="AP15" s="57">
        <f>AP152</f>
        <v>203666412.54405802</v>
      </c>
      <c r="AQ15" s="57">
        <f>AQ152</f>
        <v>170334656.54405802</v>
      </c>
      <c r="AR15" s="59">
        <f t="shared" si="23"/>
        <v>7.1486555836105761E-2</v>
      </c>
      <c r="AS15" s="59"/>
      <c r="AT15" s="59"/>
      <c r="AU15" s="374">
        <f>AU152</f>
        <v>11632889.058823533</v>
      </c>
      <c r="AV15" s="254"/>
      <c r="AW15" s="249"/>
      <c r="AX15" s="249"/>
      <c r="AY15" s="249"/>
    </row>
    <row r="16" spans="1:51" s="52" customFormat="1" ht="51.75">
      <c r="A16" s="377" t="s">
        <v>289</v>
      </c>
      <c r="B16" s="61" t="s">
        <v>436</v>
      </c>
      <c r="C16" s="62" t="s">
        <v>0</v>
      </c>
      <c r="D16" s="62" t="s">
        <v>1</v>
      </c>
      <c r="E16" s="62"/>
      <c r="F16" s="352">
        <f>F17+F29+F55+F77+F86+F104</f>
        <v>409807622.18692803</v>
      </c>
      <c r="G16" s="352"/>
      <c r="H16" s="352">
        <f>H17+H29+H55+H77+H86+H104</f>
        <v>409807622.33852804</v>
      </c>
      <c r="I16" s="352"/>
      <c r="J16" s="352">
        <f>J17+J29+J55+J77+J86+J104</f>
        <v>409807622.37605202</v>
      </c>
      <c r="K16" s="352">
        <f>K17+K29+K55+K77+K86+K104</f>
        <v>459151878.95125997</v>
      </c>
      <c r="L16" s="352">
        <f t="shared" ref="L16:N16" si="28">L17+L29+L55+L77+L86+L104</f>
        <v>576872134.60000002</v>
      </c>
      <c r="M16" s="128">
        <f>L16/J16</f>
        <v>1.4076657023979033</v>
      </c>
      <c r="N16" s="352">
        <f t="shared" si="28"/>
        <v>181473589.42999998</v>
      </c>
      <c r="O16" s="128">
        <f t="shared" si="5"/>
        <v>0.44282629097482784</v>
      </c>
      <c r="P16" s="63">
        <f>P17+P29+P55+P77+P86+P104</f>
        <v>392134278.05999994</v>
      </c>
      <c r="Q16" s="64">
        <f t="shared" si="14"/>
        <v>0.95687404686720423</v>
      </c>
      <c r="R16" s="63">
        <f>R17+R29+R55+R77+R86+R104</f>
        <v>391149774.02999997</v>
      </c>
      <c r="S16" s="64">
        <f t="shared" si="15"/>
        <v>0.95447169030708989</v>
      </c>
      <c r="T16" s="63">
        <f t="shared" ref="T16:X16" si="29">T17+T29+T55+T77+T86+T104</f>
        <v>233757468.81999993</v>
      </c>
      <c r="U16" s="63">
        <f t="shared" si="29"/>
        <v>0</v>
      </c>
      <c r="V16" s="63">
        <f t="shared" si="29"/>
        <v>23307132.310000002</v>
      </c>
      <c r="W16" s="63">
        <f t="shared" si="29"/>
        <v>1869272.0499999993</v>
      </c>
      <c r="X16" s="63">
        <f t="shared" si="29"/>
        <v>37807.360000000001</v>
      </c>
      <c r="Y16" s="63">
        <f t="shared" si="2"/>
        <v>257026793.76999998</v>
      </c>
      <c r="Z16" s="63">
        <f t="shared" si="17"/>
        <v>235626740.86999995</v>
      </c>
      <c r="AA16" s="63">
        <f>AA17+AA29+AA55+AA77+AA86+AA104</f>
        <v>3327297.68</v>
      </c>
      <c r="AB16" s="135">
        <f t="shared" si="18"/>
        <v>8.1191698209721677E-3</v>
      </c>
      <c r="AC16" s="63">
        <f>AC17+AC29+AC55+AC77+AC86+AC104</f>
        <v>257064601.13</v>
      </c>
      <c r="AD16" s="64">
        <f t="shared" si="20"/>
        <v>0.62728116094948971</v>
      </c>
      <c r="AE16" s="135">
        <v>2.7874582035421506E-3</v>
      </c>
      <c r="AF16" s="63">
        <f t="shared" si="21"/>
        <v>18657848.346052051</v>
      </c>
      <c r="AG16" s="64">
        <f t="shared" si="22"/>
        <v>4.55283096929101E-2</v>
      </c>
      <c r="AH16" s="65"/>
      <c r="AI16" s="221"/>
      <c r="AJ16" s="241" t="s">
        <v>408</v>
      </c>
      <c r="AK16" s="63">
        <f>AK17+AK29+AK55+AK77+AK86+AK104</f>
        <v>30474860.137943044</v>
      </c>
      <c r="AL16" s="63">
        <f>AL17+AL29+AL55+AL77+AL86+AL104</f>
        <v>35347029.270906001</v>
      </c>
      <c r="AM16" s="65">
        <f>AL16/K16</f>
        <v>7.6983305288092205E-2</v>
      </c>
      <c r="AN16" s="65"/>
      <c r="AO16" s="63">
        <f>AO17+AO29+AO55+AO77+AO86+AO104</f>
        <v>34847029.270906001</v>
      </c>
      <c r="AP16" s="63">
        <f>AP17+AP29+AP55+AP77+AP86+AP104</f>
        <v>40287101.270905994</v>
      </c>
      <c r="AQ16" s="63">
        <f>AQ17+AQ29+AQ55+AQ77+AQ86+AQ104</f>
        <v>36847029.270905994</v>
      </c>
      <c r="AR16" s="65">
        <f t="shared" si="23"/>
        <v>8.0250198158978658E-2</v>
      </c>
      <c r="AS16" s="65"/>
      <c r="AT16" s="65"/>
      <c r="AU16" s="378">
        <f>AU17+AU29+AU55+AU77+AU86+AU104</f>
        <v>0</v>
      </c>
      <c r="AV16" s="256"/>
      <c r="AW16" s="249"/>
      <c r="AX16" s="249"/>
      <c r="AY16" s="249"/>
    </row>
    <row r="17" spans="1:51" s="52" customFormat="1" ht="33">
      <c r="A17" s="379" t="s">
        <v>2</v>
      </c>
      <c r="B17" s="66" t="s">
        <v>437</v>
      </c>
      <c r="C17" s="67" t="s">
        <v>0</v>
      </c>
      <c r="D17" s="67"/>
      <c r="E17" s="67"/>
      <c r="F17" s="353">
        <f>F18+F22</f>
        <v>82126550.088007987</v>
      </c>
      <c r="G17" s="353"/>
      <c r="H17" s="353">
        <f>H18+H22</f>
        <v>82126550.392023996</v>
      </c>
      <c r="I17" s="353"/>
      <c r="J17" s="353">
        <f>J18+J22</f>
        <v>82126550.392023996</v>
      </c>
      <c r="K17" s="353">
        <f>K18+K22</f>
        <v>91518201.571359992</v>
      </c>
      <c r="L17" s="353">
        <f t="shared" ref="L17:N17" si="30">L18+L22</f>
        <v>165720218.59999999</v>
      </c>
      <c r="M17" s="129">
        <f>L17/J17</f>
        <v>2.0178641110450743</v>
      </c>
      <c r="N17" s="353">
        <f t="shared" si="30"/>
        <v>88963015.530000001</v>
      </c>
      <c r="O17" s="126">
        <f t="shared" si="5"/>
        <v>1.0832430572737164</v>
      </c>
      <c r="P17" s="68">
        <f>P18+P22</f>
        <v>76448191.069999993</v>
      </c>
      <c r="Q17" s="69">
        <f t="shared" si="14"/>
        <v>0.93085842160764276</v>
      </c>
      <c r="R17" s="68">
        <f>R18+R22</f>
        <v>76269418.069999993</v>
      </c>
      <c r="S17" s="69">
        <f t="shared" si="15"/>
        <v>0.92868162251956898</v>
      </c>
      <c r="T17" s="68">
        <f t="shared" ref="T17:X17" si="31">T18+T22</f>
        <v>39417469.899999999</v>
      </c>
      <c r="U17" s="68">
        <f t="shared" si="31"/>
        <v>0</v>
      </c>
      <c r="V17" s="68">
        <f t="shared" si="31"/>
        <v>15045689.25</v>
      </c>
      <c r="W17" s="68">
        <f t="shared" si="31"/>
        <v>281652.64999999932</v>
      </c>
      <c r="X17" s="68">
        <f t="shared" si="31"/>
        <v>0</v>
      </c>
      <c r="Y17" s="68">
        <f t="shared" si="2"/>
        <v>54463159.149999999</v>
      </c>
      <c r="Z17" s="122">
        <f t="shared" si="17"/>
        <v>39699122.549999997</v>
      </c>
      <c r="AA17" s="68">
        <f>AA18+AA22</f>
        <v>309012</v>
      </c>
      <c r="AB17" s="133">
        <f t="shared" si="18"/>
        <v>3.7626321637151188E-3</v>
      </c>
      <c r="AC17" s="68">
        <f>AC18+AC22</f>
        <v>54463159.149999999</v>
      </c>
      <c r="AD17" s="69">
        <f t="shared" si="20"/>
        <v>0.66316141235720738</v>
      </c>
      <c r="AE17" s="138">
        <f>AE18+AE22</f>
        <v>1.8471449098298922E-3</v>
      </c>
      <c r="AF17" s="58">
        <f t="shared" si="21"/>
        <v>5857132.3220240027</v>
      </c>
      <c r="AG17" s="59">
        <f t="shared" si="22"/>
        <v>7.1318377480430961E-2</v>
      </c>
      <c r="AH17" s="124"/>
      <c r="AI17" s="222"/>
      <c r="AJ17" s="242" t="s">
        <v>408</v>
      </c>
      <c r="AK17" s="68">
        <f>AK18+AK22</f>
        <v>3862526</v>
      </c>
      <c r="AL17" s="68">
        <f>AL18+AL22</f>
        <v>4463145.5571360001</v>
      </c>
      <c r="AM17" s="211">
        <f>AL17/K17</f>
        <v>4.8767845964017627E-2</v>
      </c>
      <c r="AN17" s="89"/>
      <c r="AO17" s="68">
        <f>AO18+AO22</f>
        <v>4463145.5571360001</v>
      </c>
      <c r="AP17" s="68">
        <f>AP18+AP22</f>
        <v>4463145.5571360001</v>
      </c>
      <c r="AQ17" s="68">
        <f>AQ18+AQ22</f>
        <v>4463145.5571360001</v>
      </c>
      <c r="AR17" s="211">
        <f t="shared" si="23"/>
        <v>4.8767845964017627E-2</v>
      </c>
      <c r="AS17" s="124"/>
      <c r="AT17" s="124"/>
      <c r="AU17" s="380"/>
      <c r="AV17" s="25"/>
      <c r="AW17" s="249"/>
      <c r="AX17" s="249"/>
      <c r="AY17" s="249"/>
    </row>
    <row r="18" spans="1:51" s="52" customFormat="1" ht="49.5">
      <c r="A18" s="379" t="s">
        <v>3</v>
      </c>
      <c r="B18" s="66" t="s">
        <v>438</v>
      </c>
      <c r="C18" s="67" t="s">
        <v>0</v>
      </c>
      <c r="D18" s="67"/>
      <c r="E18" s="67"/>
      <c r="F18" s="353">
        <f>SUM(F19:F21)</f>
        <v>38625269.394827999</v>
      </c>
      <c r="G18" s="353"/>
      <c r="H18" s="353">
        <f>SUM(H19:H21)</f>
        <v>38625269.394827999</v>
      </c>
      <c r="I18" s="353"/>
      <c r="J18" s="353">
        <f>SUM(J19:J21)</f>
        <v>38625269.394827999</v>
      </c>
      <c r="K18" s="353">
        <f>SUM(K19:K21)</f>
        <v>44631455.571359999</v>
      </c>
      <c r="L18" s="353">
        <f t="shared" ref="L18:N18" si="32">SUM(L19:L21)</f>
        <v>122358326.53</v>
      </c>
      <c r="M18" s="129">
        <f>L18/J18</f>
        <v>3.1678310196170187</v>
      </c>
      <c r="N18" s="353">
        <f t="shared" si="32"/>
        <v>88940479.530000001</v>
      </c>
      <c r="O18" s="126">
        <f t="shared" si="5"/>
        <v>2.3026500765819722</v>
      </c>
      <c r="P18" s="68">
        <f>SUM(P19:P21)</f>
        <v>33417847</v>
      </c>
      <c r="Q18" s="69">
        <f t="shared" si="14"/>
        <v>0.86518094303504633</v>
      </c>
      <c r="R18" s="68">
        <f>SUM(R19:R21)</f>
        <v>33417847</v>
      </c>
      <c r="S18" s="69">
        <f t="shared" si="15"/>
        <v>0.86518094303504633</v>
      </c>
      <c r="T18" s="68">
        <f t="shared" ref="T18:X18" si="33">SUM(T19:T21)</f>
        <v>18258088.719999999</v>
      </c>
      <c r="U18" s="68">
        <f t="shared" si="33"/>
        <v>0</v>
      </c>
      <c r="V18" s="68">
        <f t="shared" si="33"/>
        <v>6783360.3799999999</v>
      </c>
      <c r="W18" s="68">
        <f t="shared" si="33"/>
        <v>0</v>
      </c>
      <c r="X18" s="68">
        <f t="shared" si="33"/>
        <v>0</v>
      </c>
      <c r="Y18" s="68">
        <f t="shared" si="2"/>
        <v>25041449.099999998</v>
      </c>
      <c r="Z18" s="122">
        <f t="shared" si="17"/>
        <v>18258088.719999999</v>
      </c>
      <c r="AA18" s="68">
        <f>SUM(AA19:AA21)</f>
        <v>0</v>
      </c>
      <c r="AB18" s="133">
        <f t="shared" si="18"/>
        <v>0</v>
      </c>
      <c r="AC18" s="68">
        <f>SUM(AC19:AC21)</f>
        <v>25041449.099999998</v>
      </c>
      <c r="AD18" s="69">
        <f t="shared" si="20"/>
        <v>0.64831778502373627</v>
      </c>
      <c r="AE18" s="138">
        <f>SUM(AE19:AE21)</f>
        <v>1.1810462945155231E-3</v>
      </c>
      <c r="AF18" s="58">
        <f t="shared" si="21"/>
        <v>5207422.3948279992</v>
      </c>
      <c r="AG18" s="59">
        <f t="shared" si="22"/>
        <v>0.13481905696495372</v>
      </c>
      <c r="AH18" s="124"/>
      <c r="AI18" s="222"/>
      <c r="AJ18" s="242" t="s">
        <v>408</v>
      </c>
      <c r="AK18" s="68">
        <f>SUM(AK19:AK21)</f>
        <v>3862526</v>
      </c>
      <c r="AL18" s="68">
        <f>SUM(AL19:AL21)</f>
        <v>4463145.5571360001</v>
      </c>
      <c r="AM18" s="211">
        <f>AL18/K18</f>
        <v>0.1</v>
      </c>
      <c r="AN18" s="89"/>
      <c r="AO18" s="68">
        <f>SUM(AO19:AO21)</f>
        <v>4463145.5571360001</v>
      </c>
      <c r="AP18" s="68">
        <f>SUM(AP19:AP21)</f>
        <v>4463145.5571360001</v>
      </c>
      <c r="AQ18" s="68">
        <f>SUM(AQ19:AQ21)</f>
        <v>4463145.5571360001</v>
      </c>
      <c r="AR18" s="211">
        <f t="shared" si="23"/>
        <v>0.1</v>
      </c>
      <c r="AS18" s="124"/>
      <c r="AT18" s="124"/>
      <c r="AU18" s="380"/>
      <c r="AV18" s="25"/>
      <c r="AW18" s="249"/>
      <c r="AX18" s="249"/>
      <c r="AY18" s="249"/>
    </row>
    <row r="19" spans="1:51" ht="84" customHeight="1">
      <c r="A19" s="381" t="s">
        <v>4</v>
      </c>
      <c r="B19" s="71" t="s">
        <v>446</v>
      </c>
      <c r="C19" s="72" t="s">
        <v>0</v>
      </c>
      <c r="D19" s="72" t="s">
        <v>5</v>
      </c>
      <c r="E19" s="72"/>
      <c r="F19" s="354">
        <v>0</v>
      </c>
      <c r="G19" s="354"/>
      <c r="H19" s="354">
        <v>0</v>
      </c>
      <c r="I19" s="354"/>
      <c r="J19" s="354">
        <v>0</v>
      </c>
      <c r="K19" s="354">
        <v>0</v>
      </c>
      <c r="L19" s="354"/>
      <c r="M19" s="130"/>
      <c r="N19" s="354"/>
      <c r="O19" s="132"/>
      <c r="P19" s="354">
        <v>0</v>
      </c>
      <c r="Q19" s="76">
        <v>0</v>
      </c>
      <c r="R19" s="79">
        <v>0</v>
      </c>
      <c r="S19" s="76">
        <v>0</v>
      </c>
      <c r="T19" s="114">
        <v>0</v>
      </c>
      <c r="U19" s="114">
        <v>0</v>
      </c>
      <c r="V19" s="114">
        <v>0</v>
      </c>
      <c r="W19" s="114">
        <v>0</v>
      </c>
      <c r="X19" s="114">
        <v>0</v>
      </c>
      <c r="Y19" s="79">
        <f>AC19-X19</f>
        <v>0</v>
      </c>
      <c r="Z19" s="80">
        <f t="shared" si="17"/>
        <v>0</v>
      </c>
      <c r="AA19" s="79">
        <v>0</v>
      </c>
      <c r="AB19" s="130"/>
      <c r="AC19" s="80">
        <f>SUM(T19:V19)</f>
        <v>0</v>
      </c>
      <c r="AD19" s="76">
        <v>0</v>
      </c>
      <c r="AE19" s="130"/>
      <c r="AF19" s="130"/>
      <c r="AG19" s="130"/>
      <c r="AH19" s="149"/>
      <c r="AI19" s="168"/>
      <c r="AJ19" s="243" t="s">
        <v>409</v>
      </c>
      <c r="AK19" s="80">
        <v>0</v>
      </c>
      <c r="AL19" s="80">
        <v>0</v>
      </c>
      <c r="AM19" s="130">
        <v>0</v>
      </c>
      <c r="AN19" s="85"/>
      <c r="AO19" s="354">
        <v>0</v>
      </c>
      <c r="AP19" s="125"/>
      <c r="AQ19" s="125"/>
      <c r="AR19" s="130">
        <v>0</v>
      </c>
      <c r="AS19" s="125"/>
      <c r="AT19" s="125"/>
      <c r="AU19" s="382"/>
      <c r="AV19" s="257"/>
      <c r="AW19" s="42"/>
      <c r="AX19" s="42"/>
      <c r="AY19" s="42"/>
    </row>
    <row r="20" spans="1:51" ht="153" customHeight="1">
      <c r="A20" s="383" t="s">
        <v>236</v>
      </c>
      <c r="B20" s="350" t="s">
        <v>447</v>
      </c>
      <c r="C20" s="183" t="s">
        <v>0</v>
      </c>
      <c r="D20" s="183" t="s">
        <v>5</v>
      </c>
      <c r="E20" s="183"/>
      <c r="F20" s="355">
        <v>38625269.394827999</v>
      </c>
      <c r="G20" s="355"/>
      <c r="H20" s="355">
        <v>38625269.394827999</v>
      </c>
      <c r="I20" s="355"/>
      <c r="J20" s="355">
        <f>H20</f>
        <v>38625269.394827999</v>
      </c>
      <c r="K20" s="355">
        <v>44631455.571359999</v>
      </c>
      <c r="L20" s="355">
        <v>122358326.53</v>
      </c>
      <c r="M20" s="184">
        <f>L20/J20</f>
        <v>3.1678310196170187</v>
      </c>
      <c r="N20" s="355">
        <v>88940479.530000001</v>
      </c>
      <c r="O20" s="185">
        <f t="shared" si="5"/>
        <v>2.3026500765819722</v>
      </c>
      <c r="P20" s="355">
        <v>33417847</v>
      </c>
      <c r="Q20" s="186">
        <f>P20/J20</f>
        <v>0.86518094303504633</v>
      </c>
      <c r="R20" s="187">
        <v>33417847</v>
      </c>
      <c r="S20" s="186">
        <f>R20/J20</f>
        <v>0.86518094303504633</v>
      </c>
      <c r="T20" s="187">
        <v>18258088.719999999</v>
      </c>
      <c r="U20" s="188">
        <v>0</v>
      </c>
      <c r="V20" s="187">
        <v>6783360.3799999999</v>
      </c>
      <c r="W20" s="187">
        <v>0</v>
      </c>
      <c r="X20" s="187">
        <v>0</v>
      </c>
      <c r="Y20" s="187">
        <f t="shared" si="2"/>
        <v>25041449.099999998</v>
      </c>
      <c r="Z20" s="189">
        <f t="shared" si="17"/>
        <v>18258088.719999999</v>
      </c>
      <c r="AA20" s="189"/>
      <c r="AB20" s="184"/>
      <c r="AC20" s="189">
        <f t="shared" ref="AC20" si="34">SUM(T20:V20)</f>
        <v>25041449.099999998</v>
      </c>
      <c r="AD20" s="186">
        <f>AC20/J20</f>
        <v>0.64831778502373627</v>
      </c>
      <c r="AE20" s="184">
        <v>1.1810462945155231E-3</v>
      </c>
      <c r="AF20" s="190">
        <f>J20-R20</f>
        <v>5207422.3948279992</v>
      </c>
      <c r="AG20" s="191">
        <f>AF20/J20</f>
        <v>0.13481905696495372</v>
      </c>
      <c r="AH20" s="192" t="s">
        <v>335</v>
      </c>
      <c r="AI20" s="223"/>
      <c r="AJ20" s="244" t="s">
        <v>408</v>
      </c>
      <c r="AK20" s="355">
        <v>3862526</v>
      </c>
      <c r="AL20" s="355">
        <f>K20*10%</f>
        <v>4463145.5571360001</v>
      </c>
      <c r="AM20" s="184">
        <f>AL20/K20</f>
        <v>0.1</v>
      </c>
      <c r="AN20" s="193" t="s">
        <v>432</v>
      </c>
      <c r="AO20" s="355">
        <v>4463145.5571360001</v>
      </c>
      <c r="AP20" s="187">
        <f>AL20</f>
        <v>4463145.5571360001</v>
      </c>
      <c r="AQ20" s="187">
        <f>AL20</f>
        <v>4463145.5571360001</v>
      </c>
      <c r="AR20" s="184">
        <f t="shared" ref="AR20:AR83" si="35">AQ20/K20</f>
        <v>0.1</v>
      </c>
      <c r="AS20" s="194" t="s">
        <v>433</v>
      </c>
      <c r="AT20" s="194" t="s">
        <v>712</v>
      </c>
      <c r="AU20" s="384"/>
      <c r="AV20" s="258"/>
    </row>
    <row r="21" spans="1:51" ht="50.45" customHeight="1">
      <c r="A21" s="381" t="s">
        <v>6</v>
      </c>
      <c r="B21" s="71" t="s">
        <v>448</v>
      </c>
      <c r="C21" s="72" t="s">
        <v>0</v>
      </c>
      <c r="D21" s="72" t="s">
        <v>5</v>
      </c>
      <c r="E21" s="72"/>
      <c r="F21" s="354">
        <v>0</v>
      </c>
      <c r="G21" s="354"/>
      <c r="H21" s="354">
        <v>0</v>
      </c>
      <c r="I21" s="354"/>
      <c r="J21" s="354">
        <v>0</v>
      </c>
      <c r="K21" s="354">
        <v>0</v>
      </c>
      <c r="L21" s="354"/>
      <c r="M21" s="130"/>
      <c r="N21" s="354"/>
      <c r="O21" s="132"/>
      <c r="P21" s="354">
        <v>0</v>
      </c>
      <c r="Q21" s="76">
        <v>0</v>
      </c>
      <c r="R21" s="79">
        <v>0</v>
      </c>
      <c r="S21" s="76">
        <v>0</v>
      </c>
      <c r="T21" s="114">
        <v>0</v>
      </c>
      <c r="U21" s="114">
        <v>0</v>
      </c>
      <c r="V21" s="114">
        <v>0</v>
      </c>
      <c r="W21" s="114">
        <v>0</v>
      </c>
      <c r="X21" s="114">
        <v>0</v>
      </c>
      <c r="Y21" s="79">
        <f t="shared" si="2"/>
        <v>0</v>
      </c>
      <c r="Z21" s="80">
        <f t="shared" si="17"/>
        <v>0</v>
      </c>
      <c r="AA21" s="80"/>
      <c r="AB21" s="130"/>
      <c r="AC21" s="80">
        <f>SUM(T21:V21)</f>
        <v>0</v>
      </c>
      <c r="AD21" s="76">
        <v>0</v>
      </c>
      <c r="AE21" s="130"/>
      <c r="AF21" s="130"/>
      <c r="AG21" s="172">
        <v>0</v>
      </c>
      <c r="AH21" s="150"/>
      <c r="AI21" s="152"/>
      <c r="AJ21" s="243" t="s">
        <v>409</v>
      </c>
      <c r="AK21" s="80">
        <v>0</v>
      </c>
      <c r="AL21" s="80">
        <v>0</v>
      </c>
      <c r="AM21" s="130">
        <v>0</v>
      </c>
      <c r="AN21" s="85"/>
      <c r="AO21" s="80">
        <v>0</v>
      </c>
      <c r="AP21" s="125"/>
      <c r="AQ21" s="125"/>
      <c r="AR21" s="130" t="e">
        <f t="shared" si="35"/>
        <v>#DIV/0!</v>
      </c>
      <c r="AS21" s="125"/>
      <c r="AT21" s="125"/>
      <c r="AU21" s="385"/>
      <c r="AV21" s="259"/>
      <c r="AW21" s="42"/>
      <c r="AX21" s="42"/>
      <c r="AY21" s="42"/>
    </row>
    <row r="22" spans="1:51" s="52" customFormat="1" ht="33.6" customHeight="1">
      <c r="A22" s="379" t="s">
        <v>7</v>
      </c>
      <c r="B22" s="66" t="s">
        <v>449</v>
      </c>
      <c r="C22" s="67" t="s">
        <v>0</v>
      </c>
      <c r="D22" s="67" t="s">
        <v>5</v>
      </c>
      <c r="E22" s="67"/>
      <c r="F22" s="353">
        <f>F23+F26</f>
        <v>43501280.693179995</v>
      </c>
      <c r="G22" s="353"/>
      <c r="H22" s="353">
        <f>H23+H26</f>
        <v>43501280.997195996</v>
      </c>
      <c r="I22" s="353"/>
      <c r="J22" s="353">
        <f>J23+J26</f>
        <v>43501280.997195996</v>
      </c>
      <c r="K22" s="353">
        <f>K23+K26</f>
        <v>46886746</v>
      </c>
      <c r="L22" s="353">
        <f t="shared" ref="L22:N22" si="36">L23+L26</f>
        <v>43361892.07</v>
      </c>
      <c r="M22" s="129">
        <f>L22/J22</f>
        <v>0.99679575120546493</v>
      </c>
      <c r="N22" s="353">
        <f t="shared" si="36"/>
        <v>22536</v>
      </c>
      <c r="O22" s="126">
        <f t="shared" si="5"/>
        <v>5.1805370976207863E-4</v>
      </c>
      <c r="P22" s="68">
        <f>P23+P26</f>
        <v>43030344.07</v>
      </c>
      <c r="Q22" s="69">
        <f t="shared" ref="Q22:Q27" si="37">P22/J22</f>
        <v>0.9891741825435818</v>
      </c>
      <c r="R22" s="68">
        <f>R23+R26</f>
        <v>42851571.07</v>
      </c>
      <c r="S22" s="69">
        <f t="shared" ref="S22:S27" si="38">R22/J22</f>
        <v>0.98506457942611214</v>
      </c>
      <c r="T22" s="68">
        <f t="shared" ref="T22:W22" si="39">T23+T26</f>
        <v>21159381.18</v>
      </c>
      <c r="U22" s="68">
        <f t="shared" si="39"/>
        <v>0</v>
      </c>
      <c r="V22" s="68">
        <f t="shared" si="39"/>
        <v>8262328.8700000001</v>
      </c>
      <c r="W22" s="68">
        <f t="shared" si="39"/>
        <v>281652.64999999932</v>
      </c>
      <c r="X22" s="68">
        <v>0</v>
      </c>
      <c r="Y22" s="68">
        <f t="shared" si="2"/>
        <v>29421710.050000001</v>
      </c>
      <c r="Z22" s="122">
        <f t="shared" si="17"/>
        <v>21441033.829999998</v>
      </c>
      <c r="AA22" s="68">
        <f>AA23+AA26</f>
        <v>309012</v>
      </c>
      <c r="AB22" s="133">
        <f>AA22/J22</f>
        <v>7.1035149521210253E-3</v>
      </c>
      <c r="AC22" s="68">
        <f>AC23+AC26</f>
        <v>29421710.050000001</v>
      </c>
      <c r="AD22" s="69">
        <f t="shared" ref="AD22:AD27" si="40">AC22/J22</f>
        <v>0.67634123353508746</v>
      </c>
      <c r="AE22" s="138">
        <v>6.6609861531436907E-4</v>
      </c>
      <c r="AF22" s="58">
        <f t="shared" ref="AF22:AF60" si="41">J22-R22</f>
        <v>649709.92719599605</v>
      </c>
      <c r="AG22" s="59">
        <f t="shared" ref="AG22:AG27" si="42">AF22/J22</f>
        <v>1.4935420573887814E-2</v>
      </c>
      <c r="AH22" s="124"/>
      <c r="AI22" s="222"/>
      <c r="AJ22" s="242" t="s">
        <v>409</v>
      </c>
      <c r="AK22" s="353">
        <f>AK23+AK26</f>
        <v>0</v>
      </c>
      <c r="AL22" s="353">
        <f>AL23+AL26</f>
        <v>0</v>
      </c>
      <c r="AM22" s="129">
        <v>0</v>
      </c>
      <c r="AN22" s="89"/>
      <c r="AO22" s="353">
        <v>0</v>
      </c>
      <c r="AP22" s="353">
        <f>AP23+AP26</f>
        <v>0</v>
      </c>
      <c r="AQ22" s="353">
        <f>AQ23+AQ26</f>
        <v>0</v>
      </c>
      <c r="AR22" s="129">
        <f t="shared" si="35"/>
        <v>0</v>
      </c>
      <c r="AS22" s="124"/>
      <c r="AT22" s="124"/>
      <c r="AU22" s="386"/>
      <c r="AV22" s="260"/>
    </row>
    <row r="23" spans="1:51" s="52" customFormat="1" ht="50.45" customHeight="1">
      <c r="A23" s="387" t="s">
        <v>8</v>
      </c>
      <c r="B23" s="77" t="s">
        <v>450</v>
      </c>
      <c r="C23" s="78" t="s">
        <v>0</v>
      </c>
      <c r="D23" s="78" t="s">
        <v>5</v>
      </c>
      <c r="E23" s="78"/>
      <c r="F23" s="354">
        <f>SUM(F24:F25)</f>
        <v>42499785.695983998</v>
      </c>
      <c r="G23" s="354"/>
      <c r="H23" s="354">
        <f>SUM(H24:H25)</f>
        <v>42499786</v>
      </c>
      <c r="I23" s="354"/>
      <c r="J23" s="354">
        <f>SUM(J24:J25)</f>
        <v>42499786</v>
      </c>
      <c r="K23" s="354">
        <f>SUM(K24:K25)</f>
        <v>45885251</v>
      </c>
      <c r="L23" s="354">
        <f t="shared" ref="L23:N23" si="43">SUM(L24:L25)</f>
        <v>42360397.07</v>
      </c>
      <c r="M23" s="130">
        <f>L23/J23</f>
        <v>0.99672024395605197</v>
      </c>
      <c r="N23" s="354">
        <f t="shared" si="43"/>
        <v>22536</v>
      </c>
      <c r="O23" s="132">
        <f t="shared" si="5"/>
        <v>5.3026149355199102E-4</v>
      </c>
      <c r="P23" s="84">
        <f>SUM(P24:P25)</f>
        <v>42028849.07</v>
      </c>
      <c r="Q23" s="76">
        <f t="shared" si="37"/>
        <v>0.9889190752631084</v>
      </c>
      <c r="R23" s="81">
        <f>SUM(R24:R25)</f>
        <v>41850076.07</v>
      </c>
      <c r="S23" s="76">
        <f t="shared" si="38"/>
        <v>0.98471263055301028</v>
      </c>
      <c r="T23" s="81">
        <f t="shared" ref="T23:W23" si="44">SUM(T24:T25)</f>
        <v>21159381.18</v>
      </c>
      <c r="U23" s="81">
        <f t="shared" si="44"/>
        <v>0</v>
      </c>
      <c r="V23" s="81">
        <f t="shared" si="44"/>
        <v>8262328.8700000001</v>
      </c>
      <c r="W23" s="81">
        <f t="shared" si="44"/>
        <v>281652.64999999932</v>
      </c>
      <c r="X23" s="81">
        <v>0</v>
      </c>
      <c r="Y23" s="81">
        <f t="shared" si="2"/>
        <v>29421710.050000001</v>
      </c>
      <c r="Z23" s="118">
        <f t="shared" si="17"/>
        <v>21441033.829999998</v>
      </c>
      <c r="AA23" s="81">
        <f>SUM(AA24:AA25)</f>
        <v>309012</v>
      </c>
      <c r="AB23" s="136">
        <f>AA23/J23</f>
        <v>7.270907199391545E-3</v>
      </c>
      <c r="AC23" s="81">
        <f>SUM(AC24:AC25)</f>
        <v>29421710.050000001</v>
      </c>
      <c r="AD23" s="76">
        <f t="shared" si="40"/>
        <v>0.69227901641669443</v>
      </c>
      <c r="AE23" s="141">
        <f>SUM(AE24:AE25)</f>
        <v>5.1353640360485026E-4</v>
      </c>
      <c r="AF23" s="171">
        <f t="shared" si="41"/>
        <v>649709.9299999997</v>
      </c>
      <c r="AG23" s="172">
        <f t="shared" si="42"/>
        <v>1.5287369446989678E-2</v>
      </c>
      <c r="AH23" s="125"/>
      <c r="AI23" s="85"/>
      <c r="AJ23" s="243" t="s">
        <v>409</v>
      </c>
      <c r="AK23" s="354">
        <v>0</v>
      </c>
      <c r="AL23" s="354">
        <v>0</v>
      </c>
      <c r="AM23" s="130">
        <v>0</v>
      </c>
      <c r="AN23" s="85"/>
      <c r="AO23" s="354">
        <v>0</v>
      </c>
      <c r="AP23" s="125"/>
      <c r="AQ23" s="125"/>
      <c r="AR23" s="130">
        <f t="shared" si="35"/>
        <v>0</v>
      </c>
      <c r="AS23" s="125"/>
      <c r="AT23" s="125"/>
      <c r="AU23" s="388"/>
      <c r="AV23" s="261"/>
    </row>
    <row r="24" spans="1:51" ht="62.45" customHeight="1">
      <c r="A24" s="381" t="s">
        <v>186</v>
      </c>
      <c r="B24" s="71" t="s">
        <v>451</v>
      </c>
      <c r="C24" s="72" t="s">
        <v>0</v>
      </c>
      <c r="D24" s="72" t="s">
        <v>5</v>
      </c>
      <c r="E24" s="72"/>
      <c r="F24" s="354">
        <v>7804604</v>
      </c>
      <c r="G24" s="354"/>
      <c r="H24" s="354">
        <v>7804604</v>
      </c>
      <c r="I24" s="354"/>
      <c r="J24" s="354">
        <v>7804604</v>
      </c>
      <c r="K24" s="354">
        <v>8717031</v>
      </c>
      <c r="L24" s="354">
        <v>7377530.0700000003</v>
      </c>
      <c r="M24" s="130">
        <f t="shared" ref="M24:M25" si="45">L24/J24</f>
        <v>0.94527923133576031</v>
      </c>
      <c r="N24" s="354">
        <v>22536</v>
      </c>
      <c r="O24" s="132">
        <f t="shared" si="5"/>
        <v>2.8875263882703083E-3</v>
      </c>
      <c r="P24" s="354">
        <v>7354994.0700000003</v>
      </c>
      <c r="Q24" s="76">
        <f t="shared" si="37"/>
        <v>0.94239170494749003</v>
      </c>
      <c r="R24" s="79">
        <v>7354994.0700000003</v>
      </c>
      <c r="S24" s="76">
        <f t="shared" si="38"/>
        <v>0.94239170494749003</v>
      </c>
      <c r="T24" s="79">
        <v>3252026.9699999997</v>
      </c>
      <c r="U24" s="114">
        <v>0</v>
      </c>
      <c r="V24" s="79">
        <v>1497169.28</v>
      </c>
      <c r="W24" s="79">
        <v>264888.95</v>
      </c>
      <c r="X24" s="79">
        <v>0</v>
      </c>
      <c r="Y24" s="79">
        <f t="shared" si="2"/>
        <v>4749196.25</v>
      </c>
      <c r="Z24" s="80">
        <f t="shared" si="17"/>
        <v>3516915.92</v>
      </c>
      <c r="AA24" s="80"/>
      <c r="AB24" s="130"/>
      <c r="AC24" s="80">
        <f t="shared" ref="AC24" si="46">SUM(T24:V24)</f>
        <v>4749196.25</v>
      </c>
      <c r="AD24" s="76">
        <f t="shared" si="40"/>
        <v>0.6085121359136223</v>
      </c>
      <c r="AE24" s="130">
        <v>3.6001824027876328E-4</v>
      </c>
      <c r="AF24" s="171">
        <f t="shared" si="41"/>
        <v>449609.9299999997</v>
      </c>
      <c r="AG24" s="172">
        <f t="shared" si="42"/>
        <v>5.7608295052509993E-2</v>
      </c>
      <c r="AH24" s="150" t="s">
        <v>336</v>
      </c>
      <c r="AI24" s="152"/>
      <c r="AJ24" s="243" t="s">
        <v>409</v>
      </c>
      <c r="AK24" s="354">
        <v>0</v>
      </c>
      <c r="AL24" s="354">
        <v>0</v>
      </c>
      <c r="AM24" s="130">
        <v>0</v>
      </c>
      <c r="AN24" s="85"/>
      <c r="AO24" s="354">
        <v>0</v>
      </c>
      <c r="AP24" s="125"/>
      <c r="AQ24" s="125"/>
      <c r="AR24" s="130">
        <f t="shared" si="35"/>
        <v>0</v>
      </c>
      <c r="AS24" s="125"/>
      <c r="AT24" s="125"/>
      <c r="AU24" s="388"/>
      <c r="AV24" s="261"/>
      <c r="AW24" s="42"/>
      <c r="AX24" s="42"/>
      <c r="AY24" s="42"/>
    </row>
    <row r="25" spans="1:51" ht="109.15" customHeight="1">
      <c r="A25" s="381" t="s">
        <v>207</v>
      </c>
      <c r="B25" s="71" t="s">
        <v>452</v>
      </c>
      <c r="C25" s="72" t="s">
        <v>0</v>
      </c>
      <c r="D25" s="72" t="s">
        <v>5</v>
      </c>
      <c r="E25" s="72"/>
      <c r="F25" s="354">
        <v>34695181.695983998</v>
      </c>
      <c r="G25" s="354"/>
      <c r="H25" s="354">
        <v>34695182</v>
      </c>
      <c r="I25" s="354"/>
      <c r="J25" s="354">
        <v>34695182</v>
      </c>
      <c r="K25" s="354">
        <v>37168220</v>
      </c>
      <c r="L25" s="354">
        <v>34982867</v>
      </c>
      <c r="M25" s="130">
        <f t="shared" si="45"/>
        <v>1.0082917852974513</v>
      </c>
      <c r="N25" s="354"/>
      <c r="O25" s="132">
        <f t="shared" si="5"/>
        <v>0</v>
      </c>
      <c r="P25" s="81">
        <v>34673855</v>
      </c>
      <c r="Q25" s="76">
        <f t="shared" si="37"/>
        <v>0.99938530370009304</v>
      </c>
      <c r="R25" s="81">
        <v>34495082</v>
      </c>
      <c r="S25" s="76">
        <f t="shared" si="38"/>
        <v>0.99423262861108497</v>
      </c>
      <c r="T25" s="79">
        <v>17907354.210000001</v>
      </c>
      <c r="U25" s="114">
        <v>0</v>
      </c>
      <c r="V25" s="79">
        <v>6765159.5899999999</v>
      </c>
      <c r="W25" s="79">
        <v>16763.699999999299</v>
      </c>
      <c r="X25" s="79">
        <v>0</v>
      </c>
      <c r="Y25" s="79">
        <f t="shared" si="2"/>
        <v>24672513.800000001</v>
      </c>
      <c r="Z25" s="80">
        <f t="shared" si="17"/>
        <v>17924117.91</v>
      </c>
      <c r="AA25" s="80">
        <v>309012</v>
      </c>
      <c r="AB25" s="136">
        <f>AA25/J25</f>
        <v>8.9064815973583875E-3</v>
      </c>
      <c r="AC25" s="80">
        <f>SUM(T25:V25)</f>
        <v>24672513.800000001</v>
      </c>
      <c r="AD25" s="76">
        <f t="shared" si="40"/>
        <v>0.71112218981874775</v>
      </c>
      <c r="AE25" s="130">
        <v>1.5351816332608701E-4</v>
      </c>
      <c r="AF25" s="171">
        <f t="shared" si="41"/>
        <v>200100</v>
      </c>
      <c r="AG25" s="172">
        <f t="shared" si="42"/>
        <v>5.7673713889150376E-3</v>
      </c>
      <c r="AH25" s="150" t="s">
        <v>337</v>
      </c>
      <c r="AI25" s="152"/>
      <c r="AJ25" s="243" t="s">
        <v>409</v>
      </c>
      <c r="AK25" s="354">
        <v>0</v>
      </c>
      <c r="AL25" s="354">
        <v>0</v>
      </c>
      <c r="AM25" s="130">
        <v>0</v>
      </c>
      <c r="AN25" s="85"/>
      <c r="AO25" s="354">
        <v>0</v>
      </c>
      <c r="AP25" s="125"/>
      <c r="AQ25" s="125"/>
      <c r="AR25" s="130">
        <f t="shared" si="35"/>
        <v>0</v>
      </c>
      <c r="AS25" s="125"/>
      <c r="AT25" s="125"/>
      <c r="AU25" s="388"/>
      <c r="AV25" s="261"/>
      <c r="AW25" s="42"/>
      <c r="AX25" s="42"/>
      <c r="AY25" s="42"/>
    </row>
    <row r="26" spans="1:51" s="52" customFormat="1" ht="50.45" customHeight="1">
      <c r="A26" s="387" t="s">
        <v>9</v>
      </c>
      <c r="B26" s="77" t="s">
        <v>453</v>
      </c>
      <c r="C26" s="78" t="s">
        <v>0</v>
      </c>
      <c r="D26" s="78" t="s">
        <v>5</v>
      </c>
      <c r="E26" s="78"/>
      <c r="F26" s="354">
        <f>SUM(F27:F28)</f>
        <v>1001494.997196</v>
      </c>
      <c r="G26" s="354"/>
      <c r="H26" s="354">
        <f>SUM(H27:H28)</f>
        <v>1001494.997196</v>
      </c>
      <c r="I26" s="354"/>
      <c r="J26" s="354">
        <f>SUM(J27:J28)</f>
        <v>1001494.997196</v>
      </c>
      <c r="K26" s="354">
        <f>SUM(K27:K28)</f>
        <v>1001495</v>
      </c>
      <c r="L26" s="354">
        <f t="shared" ref="L26:N26" si="47">SUM(L27:L28)</f>
        <v>1001495</v>
      </c>
      <c r="M26" s="130">
        <f>L26/J26</f>
        <v>1.0000000027998144</v>
      </c>
      <c r="N26" s="354">
        <f t="shared" si="47"/>
        <v>0</v>
      </c>
      <c r="O26" s="132">
        <f t="shared" si="5"/>
        <v>0</v>
      </c>
      <c r="P26" s="354">
        <v>1001495</v>
      </c>
      <c r="Q26" s="76">
        <f t="shared" si="37"/>
        <v>1.0000000027998144</v>
      </c>
      <c r="R26" s="354">
        <v>1001495</v>
      </c>
      <c r="S26" s="76">
        <f t="shared" si="38"/>
        <v>1.0000000027998144</v>
      </c>
      <c r="T26" s="81">
        <v>0</v>
      </c>
      <c r="U26" s="81">
        <v>0</v>
      </c>
      <c r="V26" s="81">
        <v>0</v>
      </c>
      <c r="W26" s="81">
        <v>0</v>
      </c>
      <c r="X26" s="81">
        <v>0</v>
      </c>
      <c r="Y26" s="81">
        <f t="shared" si="2"/>
        <v>0</v>
      </c>
      <c r="Z26" s="354">
        <f>SUM(Z27:Z28)</f>
        <v>0</v>
      </c>
      <c r="AA26" s="354">
        <f>SUM(AA27:AA28)</f>
        <v>0</v>
      </c>
      <c r="AB26" s="130"/>
      <c r="AC26" s="118">
        <f>SUM(T26:V26)</f>
        <v>0</v>
      </c>
      <c r="AD26" s="76">
        <f t="shared" si="40"/>
        <v>0</v>
      </c>
      <c r="AE26" s="130"/>
      <c r="AF26" s="171">
        <f t="shared" si="41"/>
        <v>-2.8040000470355153E-3</v>
      </c>
      <c r="AG26" s="172">
        <f t="shared" si="42"/>
        <v>-2.7998143324591684E-9</v>
      </c>
      <c r="AH26" s="125"/>
      <c r="AI26" s="85"/>
      <c r="AJ26" s="243" t="s">
        <v>409</v>
      </c>
      <c r="AK26" s="354">
        <v>0</v>
      </c>
      <c r="AL26" s="354">
        <v>0</v>
      </c>
      <c r="AM26" s="130">
        <v>0</v>
      </c>
      <c r="AN26" s="85"/>
      <c r="AO26" s="354">
        <v>0</v>
      </c>
      <c r="AP26" s="125"/>
      <c r="AQ26" s="125"/>
      <c r="AR26" s="130">
        <f t="shared" si="35"/>
        <v>0</v>
      </c>
      <c r="AS26" s="125"/>
      <c r="AT26" s="125"/>
      <c r="AU26" s="388"/>
      <c r="AV26" s="261"/>
    </row>
    <row r="27" spans="1:51" ht="187.15" customHeight="1">
      <c r="A27" s="381" t="s">
        <v>10</v>
      </c>
      <c r="B27" s="71" t="s">
        <v>435</v>
      </c>
      <c r="C27" s="72" t="s">
        <v>0</v>
      </c>
      <c r="D27" s="72" t="s">
        <v>5</v>
      </c>
      <c r="E27" s="72"/>
      <c r="F27" s="354">
        <v>1001494.997196</v>
      </c>
      <c r="G27" s="354"/>
      <c r="H27" s="354">
        <v>1001494.997196</v>
      </c>
      <c r="I27" s="354"/>
      <c r="J27" s="354">
        <v>1001494.997196</v>
      </c>
      <c r="K27" s="354">
        <v>1001495</v>
      </c>
      <c r="L27" s="354">
        <v>1001495</v>
      </c>
      <c r="M27" s="130"/>
      <c r="N27" s="354"/>
      <c r="O27" s="132">
        <f t="shared" si="5"/>
        <v>0</v>
      </c>
      <c r="P27" s="354">
        <v>1001495</v>
      </c>
      <c r="Q27" s="76">
        <f t="shared" si="37"/>
        <v>1.0000000027998144</v>
      </c>
      <c r="R27" s="79">
        <v>1001495</v>
      </c>
      <c r="S27" s="76">
        <f t="shared" si="38"/>
        <v>1.0000000027998144</v>
      </c>
      <c r="T27" s="114">
        <v>0</v>
      </c>
      <c r="U27" s="114">
        <v>0</v>
      </c>
      <c r="V27" s="114">
        <v>0</v>
      </c>
      <c r="W27" s="114">
        <v>0</v>
      </c>
      <c r="X27" s="114">
        <v>0</v>
      </c>
      <c r="Y27" s="79">
        <f t="shared" si="2"/>
        <v>0</v>
      </c>
      <c r="Z27" s="80">
        <f t="shared" si="17"/>
        <v>0</v>
      </c>
      <c r="AA27" s="80"/>
      <c r="AB27" s="130"/>
      <c r="AC27" s="80">
        <f>SUM(T27:V27)</f>
        <v>0</v>
      </c>
      <c r="AD27" s="76">
        <f t="shared" si="40"/>
        <v>0</v>
      </c>
      <c r="AE27" s="130"/>
      <c r="AF27" s="171">
        <f t="shared" si="41"/>
        <v>-2.8040000470355153E-3</v>
      </c>
      <c r="AG27" s="172">
        <f t="shared" si="42"/>
        <v>-2.7998143324591684E-9</v>
      </c>
      <c r="AH27" s="151" t="s">
        <v>338</v>
      </c>
      <c r="AI27" s="224"/>
      <c r="AJ27" s="243" t="s">
        <v>409</v>
      </c>
      <c r="AK27" s="354">
        <v>0</v>
      </c>
      <c r="AL27" s="354">
        <v>0</v>
      </c>
      <c r="AM27" s="130">
        <v>0</v>
      </c>
      <c r="AN27" s="85"/>
      <c r="AO27" s="354">
        <v>0</v>
      </c>
      <c r="AP27" s="125"/>
      <c r="AQ27" s="125"/>
      <c r="AR27" s="130">
        <f t="shared" si="35"/>
        <v>0</v>
      </c>
      <c r="AS27" s="125"/>
      <c r="AT27" s="125"/>
      <c r="AU27" s="388"/>
      <c r="AV27" s="261"/>
      <c r="AW27" s="42"/>
      <c r="AX27" s="42"/>
      <c r="AY27" s="42"/>
    </row>
    <row r="28" spans="1:51" ht="50.45" customHeight="1">
      <c r="A28" s="381" t="s">
        <v>11</v>
      </c>
      <c r="B28" s="71" t="s">
        <v>454</v>
      </c>
      <c r="C28" s="72" t="s">
        <v>0</v>
      </c>
      <c r="D28" s="72" t="s">
        <v>5</v>
      </c>
      <c r="E28" s="72"/>
      <c r="F28" s="354">
        <v>0</v>
      </c>
      <c r="G28" s="354"/>
      <c r="H28" s="354">
        <v>0</v>
      </c>
      <c r="I28" s="354"/>
      <c r="J28" s="354">
        <v>0</v>
      </c>
      <c r="K28" s="354">
        <v>0</v>
      </c>
      <c r="L28" s="354"/>
      <c r="M28" s="130"/>
      <c r="N28" s="354"/>
      <c r="O28" s="132"/>
      <c r="P28" s="354">
        <v>0</v>
      </c>
      <c r="Q28" s="76">
        <v>0</v>
      </c>
      <c r="R28" s="79">
        <v>0</v>
      </c>
      <c r="S28" s="76">
        <v>0</v>
      </c>
      <c r="T28" s="114">
        <v>0</v>
      </c>
      <c r="U28" s="114">
        <v>0</v>
      </c>
      <c r="V28" s="114">
        <v>0</v>
      </c>
      <c r="W28" s="114">
        <v>0</v>
      </c>
      <c r="X28" s="114">
        <v>0</v>
      </c>
      <c r="Y28" s="79">
        <f t="shared" si="2"/>
        <v>0</v>
      </c>
      <c r="Z28" s="80">
        <f t="shared" si="17"/>
        <v>0</v>
      </c>
      <c r="AA28" s="80"/>
      <c r="AB28" s="130"/>
      <c r="AC28" s="80">
        <f>SUM(T28:V28)</f>
        <v>0</v>
      </c>
      <c r="AD28" s="76">
        <v>0</v>
      </c>
      <c r="AE28" s="130"/>
      <c r="AF28" s="171">
        <f t="shared" si="41"/>
        <v>0</v>
      </c>
      <c r="AG28" s="172">
        <v>0</v>
      </c>
      <c r="AH28" s="152"/>
      <c r="AI28" s="152"/>
      <c r="AJ28" s="243" t="s">
        <v>409</v>
      </c>
      <c r="AK28" s="354">
        <v>0</v>
      </c>
      <c r="AL28" s="354">
        <v>0</v>
      </c>
      <c r="AM28" s="130">
        <v>0</v>
      </c>
      <c r="AN28" s="85"/>
      <c r="AO28" s="354">
        <v>0</v>
      </c>
      <c r="AP28" s="125"/>
      <c r="AQ28" s="125"/>
      <c r="AR28" s="130" t="e">
        <f t="shared" si="35"/>
        <v>#DIV/0!</v>
      </c>
      <c r="AS28" s="125"/>
      <c r="AT28" s="125"/>
      <c r="AU28" s="388"/>
      <c r="AV28" s="261"/>
      <c r="AW28" s="42"/>
      <c r="AX28" s="42"/>
      <c r="AY28" s="42"/>
    </row>
    <row r="29" spans="1:51" s="52" customFormat="1" ht="33">
      <c r="A29" s="379" t="s">
        <v>12</v>
      </c>
      <c r="B29" s="66" t="s">
        <v>455</v>
      </c>
      <c r="C29" s="67" t="s">
        <v>0</v>
      </c>
      <c r="D29" s="67" t="s">
        <v>1</v>
      </c>
      <c r="E29" s="67"/>
      <c r="F29" s="353">
        <f>F30+F40</f>
        <v>89810321.973920003</v>
      </c>
      <c r="G29" s="353"/>
      <c r="H29" s="353">
        <f>H30+H40</f>
        <v>89810321.821503997</v>
      </c>
      <c r="I29" s="353"/>
      <c r="J29" s="353">
        <f>J30+J40</f>
        <v>89810321.821503997</v>
      </c>
      <c r="K29" s="353">
        <f>K30+K40</f>
        <v>102661493</v>
      </c>
      <c r="L29" s="353">
        <f t="shared" ref="L29:N29" si="48">L30+L40</f>
        <v>140459963.07999998</v>
      </c>
      <c r="M29" s="129">
        <f>L29/J29</f>
        <v>1.5639623623569796</v>
      </c>
      <c r="N29" s="353">
        <f t="shared" si="48"/>
        <v>52808754.810000002</v>
      </c>
      <c r="O29" s="126">
        <f t="shared" si="5"/>
        <v>0.58800317980105021</v>
      </c>
      <c r="P29" s="68">
        <f>P30+P40</f>
        <v>87472556.269999996</v>
      </c>
      <c r="Q29" s="69">
        <f t="shared" ref="Q29:Q41" si="49">P29/J29</f>
        <v>0.97396996799376512</v>
      </c>
      <c r="R29" s="68">
        <f>R30+R40</f>
        <v>87472556.269999996</v>
      </c>
      <c r="S29" s="69">
        <f t="shared" ref="S29:S41" si="50">R29/J29</f>
        <v>0.97396996799376512</v>
      </c>
      <c r="T29" s="68">
        <f t="shared" ref="T29:X29" si="51">T30+T40</f>
        <v>49088808.920000002</v>
      </c>
      <c r="U29" s="68">
        <f t="shared" si="51"/>
        <v>0</v>
      </c>
      <c r="V29" s="68">
        <f t="shared" si="51"/>
        <v>2174387.12</v>
      </c>
      <c r="W29" s="68">
        <f t="shared" si="51"/>
        <v>248728.03000000012</v>
      </c>
      <c r="X29" s="68">
        <f t="shared" si="51"/>
        <v>0</v>
      </c>
      <c r="Y29" s="68">
        <f t="shared" si="2"/>
        <v>51263196.040000007</v>
      </c>
      <c r="Z29" s="68">
        <f t="shared" si="17"/>
        <v>49337536.950000003</v>
      </c>
      <c r="AA29" s="68">
        <f>AA30+AA40</f>
        <v>182450</v>
      </c>
      <c r="AB29" s="133">
        <f>AA29/J29</f>
        <v>2.0315036879905105E-3</v>
      </c>
      <c r="AC29" s="68">
        <f>AC30+AC40</f>
        <v>51263196.040000007</v>
      </c>
      <c r="AD29" s="69">
        <f t="shared" ref="AD29:AD41" si="52">AC29/J29</f>
        <v>0.57079403569986598</v>
      </c>
      <c r="AE29" s="138">
        <f>AE30+AE40</f>
        <v>1.5481251521430124E-2</v>
      </c>
      <c r="AF29" s="58">
        <f t="shared" si="41"/>
        <v>2337765.551504001</v>
      </c>
      <c r="AG29" s="59">
        <f t="shared" ref="AG29:AG41" si="53">AF29/J29</f>
        <v>2.6030032006234848E-2</v>
      </c>
      <c r="AH29" s="124"/>
      <c r="AI29" s="222"/>
      <c r="AJ29" s="242" t="s">
        <v>408</v>
      </c>
      <c r="AK29" s="68">
        <f>AK30+AK40</f>
        <v>6492226.1547297984</v>
      </c>
      <c r="AL29" s="68">
        <f>AL30+AL40</f>
        <v>7300000</v>
      </c>
      <c r="AM29" s="198">
        <f>AL29/K29</f>
        <v>7.1107479412947955E-2</v>
      </c>
      <c r="AN29" s="175"/>
      <c r="AO29" s="68">
        <f>AO30+AO40</f>
        <v>6344140</v>
      </c>
      <c r="AP29" s="68">
        <f>AP30+AP40</f>
        <v>7300000</v>
      </c>
      <c r="AQ29" s="68">
        <f>AQ30+AQ40</f>
        <v>7300000</v>
      </c>
      <c r="AR29" s="198">
        <f t="shared" si="35"/>
        <v>7.1107479412947955E-2</v>
      </c>
      <c r="AS29" s="124"/>
      <c r="AT29" s="124"/>
      <c r="AU29" s="380"/>
      <c r="AV29" s="25"/>
      <c r="AW29" s="249"/>
      <c r="AX29" s="249"/>
      <c r="AY29" s="249"/>
    </row>
    <row r="30" spans="1:51" s="52" customFormat="1" ht="49.5">
      <c r="A30" s="387" t="s">
        <v>13</v>
      </c>
      <c r="B30" s="77" t="s">
        <v>456</v>
      </c>
      <c r="C30" s="78" t="s">
        <v>0</v>
      </c>
      <c r="D30" s="78" t="s">
        <v>5</v>
      </c>
      <c r="E30" s="78"/>
      <c r="F30" s="354">
        <f>F31+F36</f>
        <v>56846223.967232004</v>
      </c>
      <c r="G30" s="354"/>
      <c r="H30" s="354">
        <f>H31+H36</f>
        <v>56846223.814815998</v>
      </c>
      <c r="I30" s="354"/>
      <c r="J30" s="354">
        <f>J31+J36</f>
        <v>56846223.814815998</v>
      </c>
      <c r="K30" s="354">
        <f>K31+K36</f>
        <v>66072623</v>
      </c>
      <c r="L30" s="354">
        <f t="shared" ref="L30:N30" si="54">L31+L36</f>
        <v>76318338.409999996</v>
      </c>
      <c r="M30" s="130">
        <f t="shared" ref="M30:M35" si="55">L30/J30</f>
        <v>1.3425401598990454</v>
      </c>
      <c r="N30" s="354">
        <f t="shared" si="54"/>
        <v>21724467.41</v>
      </c>
      <c r="O30" s="132">
        <f t="shared" si="5"/>
        <v>0.38216201450373011</v>
      </c>
      <c r="P30" s="84">
        <f>P31+P36</f>
        <v>54597669</v>
      </c>
      <c r="Q30" s="76">
        <f t="shared" si="49"/>
        <v>0.96044495722106438</v>
      </c>
      <c r="R30" s="81">
        <f>R31+R36</f>
        <v>54597669</v>
      </c>
      <c r="S30" s="76">
        <f t="shared" si="50"/>
        <v>0.96044495722106438</v>
      </c>
      <c r="T30" s="81">
        <f t="shared" ref="T30:W30" si="56">T31+T36</f>
        <v>30025626.350000001</v>
      </c>
      <c r="U30" s="81">
        <f t="shared" si="56"/>
        <v>0</v>
      </c>
      <c r="V30" s="81">
        <f t="shared" si="56"/>
        <v>715111.86</v>
      </c>
      <c r="W30" s="81">
        <f t="shared" si="56"/>
        <v>23292.890000000101</v>
      </c>
      <c r="X30" s="81">
        <v>0</v>
      </c>
      <c r="Y30" s="81">
        <f t="shared" si="2"/>
        <v>30740738.210000001</v>
      </c>
      <c r="Z30" s="118">
        <f t="shared" si="17"/>
        <v>30048919.240000002</v>
      </c>
      <c r="AA30" s="81">
        <f>AA31+AA36</f>
        <v>0</v>
      </c>
      <c r="AB30" s="136">
        <f>AA30/J30</f>
        <v>0</v>
      </c>
      <c r="AC30" s="81">
        <f>AC31+AC36</f>
        <v>30740738.210000001</v>
      </c>
      <c r="AD30" s="76">
        <f t="shared" si="52"/>
        <v>0.54077010128486236</v>
      </c>
      <c r="AE30" s="141">
        <v>1.3891549931926725E-2</v>
      </c>
      <c r="AF30" s="171">
        <f t="shared" si="41"/>
        <v>2248554.8148159981</v>
      </c>
      <c r="AG30" s="172">
        <f t="shared" si="53"/>
        <v>3.9555042778935665E-2</v>
      </c>
      <c r="AH30" s="125"/>
      <c r="AI30" s="85"/>
      <c r="AJ30" s="243" t="s">
        <v>408</v>
      </c>
      <c r="AK30" s="81">
        <f>AK31+AK36</f>
        <v>3792226.1547297984</v>
      </c>
      <c r="AL30" s="81">
        <f>AL31+AL36</f>
        <v>4300000</v>
      </c>
      <c r="AM30" s="130">
        <f>AL30/K30</f>
        <v>6.5079904577119638E-2</v>
      </c>
      <c r="AN30" s="175"/>
      <c r="AO30" s="81">
        <f>AO31+AO36</f>
        <v>3800000</v>
      </c>
      <c r="AP30" s="81">
        <f>AP31+AP36</f>
        <v>4300000</v>
      </c>
      <c r="AQ30" s="81">
        <f>AQ31+AQ36</f>
        <v>4300000</v>
      </c>
      <c r="AR30" s="130">
        <f t="shared" si="35"/>
        <v>6.5079904577119638E-2</v>
      </c>
      <c r="AS30" s="125"/>
      <c r="AT30" s="125"/>
      <c r="AU30" s="389"/>
      <c r="AV30" s="262"/>
      <c r="AW30" s="249"/>
      <c r="AX30" s="249"/>
      <c r="AY30" s="249"/>
    </row>
    <row r="31" spans="1:51" s="52" customFormat="1" ht="66">
      <c r="A31" s="387" t="s">
        <v>14</v>
      </c>
      <c r="B31" s="77" t="s">
        <v>457</v>
      </c>
      <c r="C31" s="78" t="s">
        <v>0</v>
      </c>
      <c r="D31" s="78" t="s">
        <v>5</v>
      </c>
      <c r="E31" s="78"/>
      <c r="F31" s="354">
        <f>SUM(F32:F35)</f>
        <v>39193931</v>
      </c>
      <c r="G31" s="354"/>
      <c r="H31" s="354">
        <f>SUM(H32:H35)</f>
        <v>39193930.847584002</v>
      </c>
      <c r="I31" s="354"/>
      <c r="J31" s="354">
        <f>SUM(J32:J35)</f>
        <v>39193930.847584002</v>
      </c>
      <c r="K31" s="354">
        <f>SUM(K32:K35)</f>
        <v>45305218</v>
      </c>
      <c r="L31" s="354">
        <f t="shared" ref="L31:N31" si="57">SUM(L32:L35)</f>
        <v>49767631.409999996</v>
      </c>
      <c r="M31" s="130">
        <f t="shared" si="55"/>
        <v>1.2697790278687442</v>
      </c>
      <c r="N31" s="354">
        <f t="shared" si="57"/>
        <v>12166333.41</v>
      </c>
      <c r="O31" s="132">
        <f t="shared" si="5"/>
        <v>0.31041370811496338</v>
      </c>
      <c r="P31" s="84">
        <f t="shared" ref="P31" si="58">P32+P33+P34+P35</f>
        <v>37605096</v>
      </c>
      <c r="Q31" s="76">
        <f t="shared" si="49"/>
        <v>0.95946222251188307</v>
      </c>
      <c r="R31" s="354">
        <f>SUM(R32:R35)</f>
        <v>37605096</v>
      </c>
      <c r="S31" s="76">
        <f t="shared" si="50"/>
        <v>0.95946222251188307</v>
      </c>
      <c r="T31" s="81">
        <f t="shared" ref="T31:W31" si="59">SUM(T32:T35)</f>
        <v>17195213.010000002</v>
      </c>
      <c r="U31" s="81">
        <f t="shared" si="59"/>
        <v>0</v>
      </c>
      <c r="V31" s="81">
        <f t="shared" si="59"/>
        <v>562111.86</v>
      </c>
      <c r="W31" s="81">
        <f t="shared" si="59"/>
        <v>23292.890000000101</v>
      </c>
      <c r="X31" s="81">
        <v>0</v>
      </c>
      <c r="Y31" s="81">
        <f t="shared" si="2"/>
        <v>17757324.870000001</v>
      </c>
      <c r="Z31" s="354">
        <f>SUM(Z32:Z35)</f>
        <v>17218505.900000002</v>
      </c>
      <c r="AA31" s="354">
        <f>SUM(AA32:AA35)</f>
        <v>0</v>
      </c>
      <c r="AB31" s="136">
        <f>AA31/J31</f>
        <v>0</v>
      </c>
      <c r="AC31" s="81">
        <f>SUM(AC32:AC35)</f>
        <v>17757324.870000001</v>
      </c>
      <c r="AD31" s="76">
        <f t="shared" si="52"/>
        <v>0.45306312701969265</v>
      </c>
      <c r="AE31" s="141">
        <v>1.5375850360649663E-2</v>
      </c>
      <c r="AF31" s="171">
        <f t="shared" si="41"/>
        <v>1588834.8475840017</v>
      </c>
      <c r="AG31" s="172">
        <f t="shared" si="53"/>
        <v>4.0537777488116912E-2</v>
      </c>
      <c r="AH31" s="125"/>
      <c r="AI31" s="85"/>
      <c r="AJ31" s="243" t="s">
        <v>408</v>
      </c>
      <c r="AK31" s="81">
        <f>SUM(AK32:AK35)</f>
        <v>3792226.1547297984</v>
      </c>
      <c r="AL31" s="81">
        <f>SUM(AL32:AL35)</f>
        <v>4300000</v>
      </c>
      <c r="AM31" s="130">
        <f>AL31/K31</f>
        <v>9.4911804640251368E-2</v>
      </c>
      <c r="AN31" s="175"/>
      <c r="AO31" s="81">
        <f>SUM(AO32:AO35)</f>
        <v>3800000</v>
      </c>
      <c r="AP31" s="81">
        <f>SUM(AP32:AP35)</f>
        <v>4300000</v>
      </c>
      <c r="AQ31" s="81">
        <f>SUM(AQ32:AQ35)</f>
        <v>4300000</v>
      </c>
      <c r="AR31" s="130">
        <f t="shared" si="35"/>
        <v>9.4911804640251368E-2</v>
      </c>
      <c r="AS31" s="125"/>
      <c r="AT31" s="125"/>
      <c r="AU31" s="389"/>
      <c r="AV31" s="262"/>
      <c r="AW31" s="249"/>
      <c r="AX31" s="249"/>
      <c r="AY31" s="249"/>
    </row>
    <row r="32" spans="1:51" ht="249.6" customHeight="1">
      <c r="A32" s="381" t="s">
        <v>250</v>
      </c>
      <c r="B32" s="71" t="s">
        <v>458</v>
      </c>
      <c r="C32" s="72" t="s">
        <v>0</v>
      </c>
      <c r="D32" s="72" t="s">
        <v>5</v>
      </c>
      <c r="E32" s="72"/>
      <c r="F32" s="354">
        <v>2550000</v>
      </c>
      <c r="G32" s="354"/>
      <c r="H32" s="354">
        <v>2550000</v>
      </c>
      <c r="I32" s="354"/>
      <c r="J32" s="354">
        <v>2550000</v>
      </c>
      <c r="K32" s="354">
        <v>2550000</v>
      </c>
      <c r="L32" s="354">
        <v>2393420</v>
      </c>
      <c r="M32" s="130">
        <f t="shared" si="55"/>
        <v>0.93859607843137249</v>
      </c>
      <c r="N32" s="354"/>
      <c r="O32" s="132">
        <f t="shared" si="5"/>
        <v>0</v>
      </c>
      <c r="P32" s="354">
        <v>2393420</v>
      </c>
      <c r="Q32" s="76">
        <f t="shared" si="49"/>
        <v>0.93859607843137249</v>
      </c>
      <c r="R32" s="79">
        <v>2393420</v>
      </c>
      <c r="S32" s="76">
        <f t="shared" si="50"/>
        <v>0.93859607843137249</v>
      </c>
      <c r="T32" s="114">
        <v>60649.98</v>
      </c>
      <c r="U32" s="114">
        <v>0</v>
      </c>
      <c r="V32" s="114">
        <v>0</v>
      </c>
      <c r="W32" s="114">
        <v>0</v>
      </c>
      <c r="X32" s="114">
        <v>0</v>
      </c>
      <c r="Y32" s="79">
        <f t="shared" si="2"/>
        <v>60649.98</v>
      </c>
      <c r="Z32" s="80">
        <f t="shared" si="17"/>
        <v>60649.98</v>
      </c>
      <c r="AA32" s="80"/>
      <c r="AB32" s="130"/>
      <c r="AC32" s="80">
        <f>SUM(T32:V32)</f>
        <v>60649.98</v>
      </c>
      <c r="AD32" s="76">
        <f t="shared" si="52"/>
        <v>2.3784305882352943E-2</v>
      </c>
      <c r="AE32" s="130">
        <v>0</v>
      </c>
      <c r="AF32" s="171">
        <f t="shared" si="41"/>
        <v>156580</v>
      </c>
      <c r="AG32" s="172">
        <f t="shared" si="53"/>
        <v>6.1403921568627451E-2</v>
      </c>
      <c r="AH32" s="151" t="s">
        <v>339</v>
      </c>
      <c r="AI32" s="224"/>
      <c r="AJ32" s="243" t="s">
        <v>409</v>
      </c>
      <c r="AK32" s="354">
        <v>0</v>
      </c>
      <c r="AL32" s="354">
        <v>0</v>
      </c>
      <c r="AM32" s="130">
        <v>0</v>
      </c>
      <c r="AN32" s="85"/>
      <c r="AO32" s="354">
        <v>0</v>
      </c>
      <c r="AP32" s="125"/>
      <c r="AQ32" s="125"/>
      <c r="AR32" s="130">
        <f t="shared" si="35"/>
        <v>0</v>
      </c>
      <c r="AS32" s="125"/>
      <c r="AT32" s="125"/>
      <c r="AU32" s="388"/>
      <c r="AV32" s="261"/>
      <c r="AW32" s="42"/>
      <c r="AX32" s="42"/>
      <c r="AY32" s="42"/>
    </row>
    <row r="33" spans="1:51" ht="155.25" customHeight="1">
      <c r="A33" s="381" t="s">
        <v>684</v>
      </c>
      <c r="B33" s="71" t="s">
        <v>459</v>
      </c>
      <c r="C33" s="72" t="s">
        <v>0</v>
      </c>
      <c r="D33" s="72" t="s">
        <v>5</v>
      </c>
      <c r="E33" s="72"/>
      <c r="F33" s="354">
        <v>6325236</v>
      </c>
      <c r="G33" s="354"/>
      <c r="H33" s="354">
        <v>6325236</v>
      </c>
      <c r="I33" s="354"/>
      <c r="J33" s="354">
        <v>6325236</v>
      </c>
      <c r="K33" s="354">
        <v>7441454</v>
      </c>
      <c r="L33" s="354">
        <v>5154478</v>
      </c>
      <c r="M33" s="130">
        <f t="shared" si="55"/>
        <v>0.81490682719190244</v>
      </c>
      <c r="N33" s="354"/>
      <c r="O33" s="132">
        <f t="shared" si="5"/>
        <v>0</v>
      </c>
      <c r="P33" s="354">
        <v>5154478</v>
      </c>
      <c r="Q33" s="74">
        <f t="shared" si="49"/>
        <v>0.81490682719190244</v>
      </c>
      <c r="R33" s="75">
        <v>5154478</v>
      </c>
      <c r="S33" s="74">
        <f t="shared" si="50"/>
        <v>0.81490682719190244</v>
      </c>
      <c r="T33" s="75">
        <v>2148188.1800000002</v>
      </c>
      <c r="U33" s="121">
        <v>0</v>
      </c>
      <c r="V33" s="75">
        <v>318919.59999999998</v>
      </c>
      <c r="W33" s="75">
        <v>12585.1600000001</v>
      </c>
      <c r="X33" s="75">
        <v>0</v>
      </c>
      <c r="Y33" s="75">
        <f t="shared" si="2"/>
        <v>2467107.7800000003</v>
      </c>
      <c r="Z33" s="123">
        <f t="shared" si="17"/>
        <v>2160773.3400000003</v>
      </c>
      <c r="AA33" s="123"/>
      <c r="AB33" s="137"/>
      <c r="AC33" s="123">
        <f t="shared" ref="AC33" si="60">SUM(T33:V33)</f>
        <v>2467107.7800000003</v>
      </c>
      <c r="AD33" s="74">
        <f t="shared" si="52"/>
        <v>0.390042012661662</v>
      </c>
      <c r="AE33" s="130">
        <v>6.5311993156891027E-2</v>
      </c>
      <c r="AF33" s="171">
        <f t="shared" si="41"/>
        <v>1170758</v>
      </c>
      <c r="AG33" s="172">
        <f t="shared" si="53"/>
        <v>0.18509317280809759</v>
      </c>
      <c r="AH33" s="151" t="s">
        <v>340</v>
      </c>
      <c r="AI33" s="224"/>
      <c r="AJ33" s="243" t="s">
        <v>409</v>
      </c>
      <c r="AK33" s="354">
        <v>0</v>
      </c>
      <c r="AL33" s="354">
        <v>0</v>
      </c>
      <c r="AM33" s="130">
        <v>0</v>
      </c>
      <c r="AN33" s="85"/>
      <c r="AO33" s="354">
        <v>0</v>
      </c>
      <c r="AP33" s="125"/>
      <c r="AQ33" s="125"/>
      <c r="AR33" s="130">
        <f t="shared" si="35"/>
        <v>0</v>
      </c>
      <c r="AS33" s="125"/>
      <c r="AT33" s="125"/>
      <c r="AU33" s="388"/>
      <c r="AV33" s="261"/>
      <c r="AW33" s="42"/>
      <c r="AX33" s="42"/>
      <c r="AY33" s="42"/>
    </row>
    <row r="34" spans="1:51" ht="180" customHeight="1">
      <c r="A34" s="383" t="s">
        <v>261</v>
      </c>
      <c r="B34" s="350" t="s">
        <v>460</v>
      </c>
      <c r="C34" s="183" t="s">
        <v>0</v>
      </c>
      <c r="D34" s="183" t="s">
        <v>5</v>
      </c>
      <c r="E34" s="183"/>
      <c r="F34" s="355">
        <v>8345584</v>
      </c>
      <c r="G34" s="355"/>
      <c r="H34" s="355">
        <v>8345583.8475839999</v>
      </c>
      <c r="I34" s="355"/>
      <c r="J34" s="355">
        <v>8345583.8475839999</v>
      </c>
      <c r="K34" s="355">
        <v>9463046</v>
      </c>
      <c r="L34" s="355">
        <v>20262906.41</v>
      </c>
      <c r="M34" s="184">
        <f t="shared" si="55"/>
        <v>2.4279794895195979</v>
      </c>
      <c r="N34" s="355">
        <v>12166333.41</v>
      </c>
      <c r="O34" s="185">
        <f t="shared" si="5"/>
        <v>1.4578169283533213</v>
      </c>
      <c r="P34" s="355">
        <v>8100371</v>
      </c>
      <c r="Q34" s="186">
        <f t="shared" si="49"/>
        <v>0.97061765215444007</v>
      </c>
      <c r="R34" s="187">
        <v>8100371</v>
      </c>
      <c r="S34" s="186">
        <f t="shared" si="50"/>
        <v>0.97061765215444007</v>
      </c>
      <c r="T34" s="187">
        <v>1896932.47</v>
      </c>
      <c r="U34" s="187">
        <v>0</v>
      </c>
      <c r="V34" s="187">
        <v>243192.26</v>
      </c>
      <c r="W34" s="187">
        <v>10707.73</v>
      </c>
      <c r="X34" s="187">
        <v>0</v>
      </c>
      <c r="Y34" s="187">
        <f t="shared" si="2"/>
        <v>2140124.73</v>
      </c>
      <c r="Z34" s="189">
        <f t="shared" si="17"/>
        <v>1907640.2</v>
      </c>
      <c r="AA34" s="189"/>
      <c r="AB34" s="184"/>
      <c r="AC34" s="189">
        <f>SUM(T34:V34)</f>
        <v>2140124.73</v>
      </c>
      <c r="AD34" s="186">
        <f t="shared" si="52"/>
        <v>0.25643798793292982</v>
      </c>
      <c r="AE34" s="184">
        <v>4.2800896187077372E-2</v>
      </c>
      <c r="AF34" s="190">
        <f t="shared" si="41"/>
        <v>245212.84758399986</v>
      </c>
      <c r="AG34" s="191">
        <f t="shared" si="53"/>
        <v>2.9382347845559972E-2</v>
      </c>
      <c r="AH34" s="195" t="s">
        <v>341</v>
      </c>
      <c r="AI34" s="210"/>
      <c r="AJ34" s="244" t="s">
        <v>408</v>
      </c>
      <c r="AK34" s="355">
        <f>(J34/K34)*AL34</f>
        <v>3792226.1547297984</v>
      </c>
      <c r="AL34" s="355">
        <v>4300000</v>
      </c>
      <c r="AM34" s="184">
        <f>AL34/K34</f>
        <v>0.45439914378520402</v>
      </c>
      <c r="AN34" s="193" t="s">
        <v>433</v>
      </c>
      <c r="AO34" s="269">
        <v>3800000</v>
      </c>
      <c r="AP34" s="323">
        <f>AL34</f>
        <v>4300000</v>
      </c>
      <c r="AQ34" s="323">
        <f>AL34</f>
        <v>4300000</v>
      </c>
      <c r="AR34" s="184">
        <f t="shared" si="35"/>
        <v>0.45439914378520402</v>
      </c>
      <c r="AS34" s="322" t="s">
        <v>433</v>
      </c>
      <c r="AT34" s="360" t="s">
        <v>713</v>
      </c>
      <c r="AU34" s="390"/>
      <c r="AV34" s="235"/>
    </row>
    <row r="35" spans="1:51" ht="93.6" customHeight="1">
      <c r="A35" s="381" t="s">
        <v>290</v>
      </c>
      <c r="B35" s="71" t="s">
        <v>461</v>
      </c>
      <c r="C35" s="72" t="s">
        <v>0</v>
      </c>
      <c r="D35" s="72" t="s">
        <v>5</v>
      </c>
      <c r="E35" s="72"/>
      <c r="F35" s="354">
        <v>21973111</v>
      </c>
      <c r="G35" s="354"/>
      <c r="H35" s="354">
        <v>21973111</v>
      </c>
      <c r="I35" s="354"/>
      <c r="J35" s="354">
        <v>21973111</v>
      </c>
      <c r="K35" s="354">
        <v>25850718</v>
      </c>
      <c r="L35" s="354">
        <v>21956827</v>
      </c>
      <c r="M35" s="130">
        <f t="shared" si="55"/>
        <v>0.99925891240434728</v>
      </c>
      <c r="N35" s="354"/>
      <c r="O35" s="132">
        <f t="shared" si="5"/>
        <v>0</v>
      </c>
      <c r="P35" s="354">
        <v>21956827</v>
      </c>
      <c r="Q35" s="76">
        <f t="shared" si="49"/>
        <v>0.99925891240434728</v>
      </c>
      <c r="R35" s="79">
        <v>21956827</v>
      </c>
      <c r="S35" s="76">
        <f t="shared" si="50"/>
        <v>0.99925891240434728</v>
      </c>
      <c r="T35" s="79">
        <v>13089442.380000001</v>
      </c>
      <c r="U35" s="79">
        <v>0</v>
      </c>
      <c r="V35" s="79">
        <v>0</v>
      </c>
      <c r="W35" s="79">
        <v>0</v>
      </c>
      <c r="X35" s="79">
        <v>0</v>
      </c>
      <c r="Y35" s="79">
        <f t="shared" si="2"/>
        <v>13089442.380000001</v>
      </c>
      <c r="Z35" s="80">
        <f t="shared" si="17"/>
        <v>13089442.380000001</v>
      </c>
      <c r="AA35" s="80"/>
      <c r="AB35" s="130"/>
      <c r="AC35" s="80">
        <f>SUM(T35:V35)</f>
        <v>13089442.380000001</v>
      </c>
      <c r="AD35" s="76">
        <f t="shared" si="52"/>
        <v>0.59570273776890315</v>
      </c>
      <c r="AE35" s="130">
        <v>1.2423938903773401E-3</v>
      </c>
      <c r="AF35" s="171">
        <f t="shared" si="41"/>
        <v>16284</v>
      </c>
      <c r="AG35" s="172">
        <f t="shared" si="53"/>
        <v>7.4108759565270476E-4</v>
      </c>
      <c r="AH35" s="150" t="s">
        <v>342</v>
      </c>
      <c r="AI35" s="152"/>
      <c r="AJ35" s="243" t="s">
        <v>409</v>
      </c>
      <c r="AK35" s="354">
        <v>0</v>
      </c>
      <c r="AL35" s="354">
        <v>0</v>
      </c>
      <c r="AM35" s="130">
        <v>0</v>
      </c>
      <c r="AN35" s="85"/>
      <c r="AO35" s="354">
        <v>0</v>
      </c>
      <c r="AP35" s="125"/>
      <c r="AQ35" s="125"/>
      <c r="AR35" s="130">
        <f t="shared" si="35"/>
        <v>0</v>
      </c>
      <c r="AS35" s="125"/>
      <c r="AT35" s="125"/>
      <c r="AU35" s="388"/>
      <c r="AV35" s="261"/>
      <c r="AW35" s="42"/>
      <c r="AX35" s="42"/>
      <c r="AY35" s="42"/>
    </row>
    <row r="36" spans="1:51" s="52" customFormat="1" ht="50.45" customHeight="1">
      <c r="A36" s="387" t="s">
        <v>15</v>
      </c>
      <c r="B36" s="77" t="s">
        <v>462</v>
      </c>
      <c r="C36" s="78" t="s">
        <v>0</v>
      </c>
      <c r="D36" s="78" t="s">
        <v>5</v>
      </c>
      <c r="E36" s="78"/>
      <c r="F36" s="354">
        <f>SUM(F37:F39)</f>
        <v>17652292.967232</v>
      </c>
      <c r="G36" s="354"/>
      <c r="H36" s="354">
        <f>SUM(H37:H39)</f>
        <v>17652292.967232</v>
      </c>
      <c r="I36" s="354"/>
      <c r="J36" s="354">
        <f>SUM(J37:J39)</f>
        <v>17652292.967232</v>
      </c>
      <c r="K36" s="354">
        <f>SUM(K37:K39)</f>
        <v>20767405</v>
      </c>
      <c r="L36" s="354">
        <f t="shared" ref="L36:N36" si="61">SUM(L37:L39)</f>
        <v>26550707</v>
      </c>
      <c r="M36" s="130">
        <f t="shared" ref="M36:M39" si="62">L36/J36</f>
        <v>1.5040939468479335</v>
      </c>
      <c r="N36" s="354">
        <f t="shared" si="61"/>
        <v>9558134</v>
      </c>
      <c r="O36" s="132">
        <f t="shared" si="5"/>
        <v>0.5414669934236187</v>
      </c>
      <c r="P36" s="84">
        <f>SUM(P37:P39)</f>
        <v>16992573</v>
      </c>
      <c r="Q36" s="76">
        <f t="shared" si="49"/>
        <v>0.96262695342431492</v>
      </c>
      <c r="R36" s="81">
        <f>SUM(R37:R39)</f>
        <v>16992573</v>
      </c>
      <c r="S36" s="76">
        <f t="shared" si="50"/>
        <v>0.96262695342431492</v>
      </c>
      <c r="T36" s="81">
        <f t="shared" ref="T36:W36" si="63">SUM(T37:T39)</f>
        <v>12830413.34</v>
      </c>
      <c r="U36" s="81">
        <f t="shared" si="63"/>
        <v>0</v>
      </c>
      <c r="V36" s="81">
        <f t="shared" si="63"/>
        <v>153000</v>
      </c>
      <c r="W36" s="81">
        <f t="shared" si="63"/>
        <v>0</v>
      </c>
      <c r="X36" s="81">
        <v>0</v>
      </c>
      <c r="Y36" s="81">
        <f t="shared" si="2"/>
        <v>12983413.34</v>
      </c>
      <c r="Z36" s="118">
        <f t="shared" si="17"/>
        <v>12830413.34</v>
      </c>
      <c r="AA36" s="81">
        <f>SUM(AA37:AA39)</f>
        <v>0</v>
      </c>
      <c r="AB36" s="136">
        <f>AA36/J36</f>
        <v>0</v>
      </c>
      <c r="AC36" s="81">
        <f>SUM(AC37:AC39)</f>
        <v>12983413.34</v>
      </c>
      <c r="AD36" s="76">
        <f t="shared" si="52"/>
        <v>0.73550860299572107</v>
      </c>
      <c r="AE36" s="141"/>
      <c r="AF36" s="171">
        <f t="shared" si="41"/>
        <v>659719.96723200008</v>
      </c>
      <c r="AG36" s="172">
        <f t="shared" si="53"/>
        <v>3.7373046575685104E-2</v>
      </c>
      <c r="AH36" s="125"/>
      <c r="AI36" s="85"/>
      <c r="AJ36" s="243" t="s">
        <v>409</v>
      </c>
      <c r="AK36" s="354">
        <v>0</v>
      </c>
      <c r="AL36" s="354">
        <v>0</v>
      </c>
      <c r="AM36" s="130">
        <v>0</v>
      </c>
      <c r="AN36" s="85"/>
      <c r="AO36" s="354">
        <v>0</v>
      </c>
      <c r="AP36" s="125"/>
      <c r="AQ36" s="125"/>
      <c r="AR36" s="130">
        <f t="shared" si="35"/>
        <v>0</v>
      </c>
      <c r="AS36" s="125"/>
      <c r="AT36" s="125"/>
      <c r="AU36" s="388"/>
      <c r="AV36" s="261"/>
    </row>
    <row r="37" spans="1:51" ht="187.15" customHeight="1">
      <c r="A37" s="381" t="s">
        <v>291</v>
      </c>
      <c r="B37" s="71" t="s">
        <v>463</v>
      </c>
      <c r="C37" s="72" t="s">
        <v>0</v>
      </c>
      <c r="D37" s="72" t="s">
        <v>5</v>
      </c>
      <c r="E37" s="72"/>
      <c r="F37" s="354">
        <v>4214158.9672320001</v>
      </c>
      <c r="G37" s="354"/>
      <c r="H37" s="354">
        <v>4214158.9672320001</v>
      </c>
      <c r="I37" s="354"/>
      <c r="J37" s="354">
        <v>4214158.9672320001</v>
      </c>
      <c r="K37" s="354">
        <v>4957835</v>
      </c>
      <c r="L37" s="354">
        <v>4201136</v>
      </c>
      <c r="M37" s="130">
        <f t="shared" si="62"/>
        <v>0.99690971144343088</v>
      </c>
      <c r="N37" s="354"/>
      <c r="O37" s="132">
        <f t="shared" si="5"/>
        <v>0</v>
      </c>
      <c r="P37" s="354">
        <v>4201136</v>
      </c>
      <c r="Q37" s="76">
        <f t="shared" si="49"/>
        <v>0.99690971144343088</v>
      </c>
      <c r="R37" s="79">
        <v>4201136</v>
      </c>
      <c r="S37" s="76">
        <f t="shared" si="50"/>
        <v>0.99690971144343088</v>
      </c>
      <c r="T37" s="79">
        <v>3389265</v>
      </c>
      <c r="U37" s="79">
        <v>0</v>
      </c>
      <c r="V37" s="79">
        <v>0</v>
      </c>
      <c r="W37" s="79">
        <v>0</v>
      </c>
      <c r="X37" s="79">
        <v>0</v>
      </c>
      <c r="Y37" s="79">
        <f t="shared" si="2"/>
        <v>3389265</v>
      </c>
      <c r="Z37" s="80">
        <f t="shared" si="17"/>
        <v>3389265</v>
      </c>
      <c r="AA37" s="80"/>
      <c r="AB37" s="130"/>
      <c r="AC37" s="80">
        <f t="shared" ref="AC37:AC39" si="64">SUM(T37:V37)</f>
        <v>3389265</v>
      </c>
      <c r="AD37" s="76">
        <f t="shared" si="52"/>
        <v>0.80425656135752799</v>
      </c>
      <c r="AE37" s="130">
        <v>5.5787288882885241E-3</v>
      </c>
      <c r="AF37" s="171">
        <f t="shared" si="41"/>
        <v>13022.967232000083</v>
      </c>
      <c r="AG37" s="172">
        <f t="shared" si="53"/>
        <v>3.0902885565690943E-3</v>
      </c>
      <c r="AH37" s="150" t="s">
        <v>343</v>
      </c>
      <c r="AI37" s="152"/>
      <c r="AJ37" s="243" t="s">
        <v>409</v>
      </c>
      <c r="AK37" s="354">
        <v>0</v>
      </c>
      <c r="AL37" s="354">
        <v>0</v>
      </c>
      <c r="AM37" s="130">
        <v>0</v>
      </c>
      <c r="AN37" s="85"/>
      <c r="AO37" s="354">
        <v>0</v>
      </c>
      <c r="AP37" s="125"/>
      <c r="AQ37" s="125"/>
      <c r="AR37" s="130">
        <f t="shared" si="35"/>
        <v>0</v>
      </c>
      <c r="AS37" s="125"/>
      <c r="AT37" s="125"/>
      <c r="AU37" s="388"/>
      <c r="AV37" s="261"/>
      <c r="AW37" s="42"/>
      <c r="AX37" s="42"/>
      <c r="AY37" s="42"/>
    </row>
    <row r="38" spans="1:51" ht="84" customHeight="1">
      <c r="A38" s="381" t="s">
        <v>228</v>
      </c>
      <c r="B38" s="71" t="s">
        <v>464</v>
      </c>
      <c r="C38" s="72" t="s">
        <v>0</v>
      </c>
      <c r="D38" s="72" t="s">
        <v>5</v>
      </c>
      <c r="E38" s="72"/>
      <c r="F38" s="354">
        <v>9558134</v>
      </c>
      <c r="G38" s="354"/>
      <c r="H38" s="354">
        <v>9558134</v>
      </c>
      <c r="I38" s="354"/>
      <c r="J38" s="354">
        <v>9558134</v>
      </c>
      <c r="K38" s="354">
        <v>11244864</v>
      </c>
      <c r="L38" s="354">
        <v>19023676</v>
      </c>
      <c r="M38" s="130">
        <f t="shared" si="62"/>
        <v>1.9903127535144411</v>
      </c>
      <c r="N38" s="354">
        <v>9558134</v>
      </c>
      <c r="O38" s="132">
        <f t="shared" si="5"/>
        <v>1</v>
      </c>
      <c r="P38" s="354">
        <v>9465542</v>
      </c>
      <c r="Q38" s="69">
        <f t="shared" si="49"/>
        <v>0.99031275351444126</v>
      </c>
      <c r="R38" s="79">
        <v>9465542</v>
      </c>
      <c r="S38" s="76">
        <f t="shared" si="50"/>
        <v>0.99031275351444126</v>
      </c>
      <c r="T38" s="79">
        <v>8812660.2300000004</v>
      </c>
      <c r="U38" s="79">
        <v>0</v>
      </c>
      <c r="V38" s="79">
        <v>0</v>
      </c>
      <c r="W38" s="79">
        <v>0</v>
      </c>
      <c r="X38" s="79">
        <v>0</v>
      </c>
      <c r="Y38" s="79">
        <f t="shared" si="2"/>
        <v>8812660.2300000004</v>
      </c>
      <c r="Z38" s="80">
        <f t="shared" si="17"/>
        <v>8812660.2300000004</v>
      </c>
      <c r="AA38" s="80"/>
      <c r="AB38" s="130"/>
      <c r="AC38" s="80">
        <f>SUM(T38:V38)</f>
        <v>8812660.2300000004</v>
      </c>
      <c r="AD38" s="74">
        <f t="shared" si="52"/>
        <v>0.92200634872873721</v>
      </c>
      <c r="AE38" s="130">
        <v>1.3393747732440843E-2</v>
      </c>
      <c r="AF38" s="171">
        <f t="shared" si="41"/>
        <v>92592</v>
      </c>
      <c r="AG38" s="172">
        <f t="shared" si="53"/>
        <v>9.6872464855587929E-3</v>
      </c>
      <c r="AH38" s="150" t="s">
        <v>344</v>
      </c>
      <c r="AI38" s="152"/>
      <c r="AJ38" s="243" t="s">
        <v>409</v>
      </c>
      <c r="AK38" s="354">
        <v>0</v>
      </c>
      <c r="AL38" s="354">
        <v>0</v>
      </c>
      <c r="AM38" s="130">
        <v>0</v>
      </c>
      <c r="AN38" s="85"/>
      <c r="AO38" s="354">
        <v>0</v>
      </c>
      <c r="AP38" s="125"/>
      <c r="AQ38" s="125"/>
      <c r="AR38" s="130">
        <f t="shared" si="35"/>
        <v>0</v>
      </c>
      <c r="AS38" s="125"/>
      <c r="AT38" s="125"/>
      <c r="AU38" s="388"/>
      <c r="AV38" s="261"/>
      <c r="AW38" s="42"/>
      <c r="AX38" s="42"/>
      <c r="AY38" s="42"/>
    </row>
    <row r="39" spans="1:51" ht="67.150000000000006" customHeight="1">
      <c r="A39" s="381" t="s">
        <v>260</v>
      </c>
      <c r="B39" s="71" t="s">
        <v>465</v>
      </c>
      <c r="C39" s="72" t="s">
        <v>0</v>
      </c>
      <c r="D39" s="72" t="s">
        <v>5</v>
      </c>
      <c r="E39" s="72"/>
      <c r="F39" s="354">
        <v>3880000</v>
      </c>
      <c r="G39" s="354"/>
      <c r="H39" s="354">
        <v>3880000</v>
      </c>
      <c r="I39" s="354"/>
      <c r="J39" s="354">
        <v>3880000</v>
      </c>
      <c r="K39" s="354">
        <v>4564706</v>
      </c>
      <c r="L39" s="354">
        <v>3325895</v>
      </c>
      <c r="M39" s="130">
        <f t="shared" si="62"/>
        <v>0.85718943298969075</v>
      </c>
      <c r="N39" s="354"/>
      <c r="O39" s="132">
        <f t="shared" si="5"/>
        <v>0</v>
      </c>
      <c r="P39" s="354">
        <v>3325895</v>
      </c>
      <c r="Q39" s="69">
        <f t="shared" si="49"/>
        <v>0.85718943298969075</v>
      </c>
      <c r="R39" s="79">
        <v>3325895</v>
      </c>
      <c r="S39" s="76">
        <f t="shared" si="50"/>
        <v>0.85718943298969075</v>
      </c>
      <c r="T39" s="79">
        <v>628488.11</v>
      </c>
      <c r="U39" s="114">
        <v>0</v>
      </c>
      <c r="V39" s="79">
        <v>153000</v>
      </c>
      <c r="W39" s="79">
        <v>0</v>
      </c>
      <c r="X39" s="79">
        <v>0</v>
      </c>
      <c r="Y39" s="79">
        <f t="shared" si="2"/>
        <v>781488.11</v>
      </c>
      <c r="Z39" s="80">
        <f t="shared" si="17"/>
        <v>628488.11</v>
      </c>
      <c r="AA39" s="80"/>
      <c r="AB39" s="130"/>
      <c r="AC39" s="80">
        <f t="shared" si="64"/>
        <v>781488.11</v>
      </c>
      <c r="AD39" s="74">
        <f t="shared" si="52"/>
        <v>0.20141446134020619</v>
      </c>
      <c r="AE39" s="130">
        <v>1.8502659878449436E-2</v>
      </c>
      <c r="AF39" s="171">
        <f t="shared" si="41"/>
        <v>554105</v>
      </c>
      <c r="AG39" s="172">
        <f t="shared" si="53"/>
        <v>0.14281056701030928</v>
      </c>
      <c r="AH39" s="150" t="s">
        <v>345</v>
      </c>
      <c r="AI39" s="152"/>
      <c r="AJ39" s="243" t="s">
        <v>409</v>
      </c>
      <c r="AK39" s="354">
        <v>0</v>
      </c>
      <c r="AL39" s="354">
        <v>0</v>
      </c>
      <c r="AM39" s="130">
        <v>0</v>
      </c>
      <c r="AN39" s="85"/>
      <c r="AO39" s="354">
        <v>0</v>
      </c>
      <c r="AP39" s="125"/>
      <c r="AQ39" s="125"/>
      <c r="AR39" s="130">
        <f t="shared" si="35"/>
        <v>0</v>
      </c>
      <c r="AS39" s="125"/>
      <c r="AT39" s="125"/>
      <c r="AU39" s="388"/>
      <c r="AV39" s="261"/>
      <c r="AW39" s="42"/>
      <c r="AX39" s="42"/>
      <c r="AY39" s="42"/>
    </row>
    <row r="40" spans="1:51" s="52" customFormat="1" ht="82.5">
      <c r="A40" s="379" t="s">
        <v>16</v>
      </c>
      <c r="B40" s="66" t="s">
        <v>466</v>
      </c>
      <c r="C40" s="67" t="s">
        <v>0</v>
      </c>
      <c r="D40" s="67" t="s">
        <v>1</v>
      </c>
      <c r="E40" s="67"/>
      <c r="F40" s="353">
        <f>F41+F46+F49+F52</f>
        <v>32964098.006688002</v>
      </c>
      <c r="G40" s="353"/>
      <c r="H40" s="353">
        <f>H41+H46+H49+H52</f>
        <v>32964098.006688002</v>
      </c>
      <c r="I40" s="353"/>
      <c r="J40" s="353">
        <f>J41+J46+J49+J52</f>
        <v>32964098.006688002</v>
      </c>
      <c r="K40" s="353">
        <f>K41+K46+K49+K52</f>
        <v>36588870</v>
      </c>
      <c r="L40" s="353">
        <f t="shared" ref="L40:N40" si="65">L41+L46+L49+L52</f>
        <v>64141624.669999994</v>
      </c>
      <c r="M40" s="129">
        <f>L40/J40</f>
        <v>1.9458025108706589</v>
      </c>
      <c r="N40" s="353">
        <f t="shared" si="65"/>
        <v>31084287.399999999</v>
      </c>
      <c r="O40" s="126">
        <f t="shared" si="5"/>
        <v>0.94297400140278032</v>
      </c>
      <c r="P40" s="68">
        <f>P41+P46+P49+P52</f>
        <v>32874887.27</v>
      </c>
      <c r="Q40" s="69">
        <f t="shared" si="49"/>
        <v>0.9972937000530121</v>
      </c>
      <c r="R40" s="68">
        <f>R41+R46+R49+R52</f>
        <v>32874887.27</v>
      </c>
      <c r="S40" s="69">
        <f t="shared" si="50"/>
        <v>0.9972937000530121</v>
      </c>
      <c r="T40" s="68">
        <f t="shared" ref="T40:X40" si="66">T41+T46+T49+T52</f>
        <v>19063182.57</v>
      </c>
      <c r="U40" s="68">
        <f t="shared" si="66"/>
        <v>0</v>
      </c>
      <c r="V40" s="68">
        <f t="shared" si="66"/>
        <v>1459275.26</v>
      </c>
      <c r="W40" s="68">
        <f t="shared" si="66"/>
        <v>225435.14</v>
      </c>
      <c r="X40" s="68">
        <f t="shared" si="66"/>
        <v>0</v>
      </c>
      <c r="Y40" s="68">
        <f t="shared" si="2"/>
        <v>20522457.830000002</v>
      </c>
      <c r="Z40" s="68">
        <f t="shared" si="17"/>
        <v>19288617.710000001</v>
      </c>
      <c r="AA40" s="68">
        <f>AA41+AA46+AA49+AA52</f>
        <v>182450</v>
      </c>
      <c r="AB40" s="133">
        <f>AA40/J40</f>
        <v>5.5348094148665369E-3</v>
      </c>
      <c r="AC40" s="68">
        <f>AC41+AC46+AC49+AC52</f>
        <v>20522457.830000002</v>
      </c>
      <c r="AD40" s="69">
        <f t="shared" si="52"/>
        <v>0.6225699797954809</v>
      </c>
      <c r="AE40" s="138">
        <v>1.5897015895033994E-3</v>
      </c>
      <c r="AF40" s="58">
        <f t="shared" si="41"/>
        <v>89210.736688002944</v>
      </c>
      <c r="AG40" s="59">
        <f t="shared" si="53"/>
        <v>2.7062999469878776E-3</v>
      </c>
      <c r="AH40" s="124"/>
      <c r="AI40" s="222"/>
      <c r="AJ40" s="239" t="s">
        <v>408</v>
      </c>
      <c r="AK40" s="68">
        <f>AK43+AK46</f>
        <v>2700000</v>
      </c>
      <c r="AL40" s="353">
        <f>AL41+AL46+AL49+AL52</f>
        <v>3000000</v>
      </c>
      <c r="AM40" s="198">
        <f>AL40/K40</f>
        <v>8.199214679218024E-2</v>
      </c>
      <c r="AN40" s="89"/>
      <c r="AO40" s="353">
        <f>AO41+AO46+AO49+AO52</f>
        <v>2544140</v>
      </c>
      <c r="AP40" s="353">
        <f>AP41+AP46+AP49+AP52</f>
        <v>3000000</v>
      </c>
      <c r="AQ40" s="353">
        <f>AQ41+AQ46+AQ49+AQ52</f>
        <v>3000000</v>
      </c>
      <c r="AR40" s="198">
        <f t="shared" si="35"/>
        <v>8.199214679218024E-2</v>
      </c>
      <c r="AS40" s="124"/>
      <c r="AT40" s="124"/>
      <c r="AU40" s="386"/>
      <c r="AV40" s="260"/>
      <c r="AW40" s="249"/>
      <c r="AX40" s="249"/>
      <c r="AY40" s="249"/>
    </row>
    <row r="41" spans="1:51" s="52" customFormat="1" ht="33">
      <c r="A41" s="387" t="s">
        <v>17</v>
      </c>
      <c r="B41" s="77" t="s">
        <v>467</v>
      </c>
      <c r="C41" s="78" t="s">
        <v>0</v>
      </c>
      <c r="D41" s="78" t="s">
        <v>1</v>
      </c>
      <c r="E41" s="78"/>
      <c r="F41" s="354">
        <f>SUM(F42:F45)</f>
        <v>22397467.876044001</v>
      </c>
      <c r="G41" s="354"/>
      <c r="H41" s="354">
        <f>SUM(H42:H45)</f>
        <v>22397467.876044001</v>
      </c>
      <c r="I41" s="354"/>
      <c r="J41" s="354">
        <f>SUM(J42:J45)</f>
        <v>22397467.876044001</v>
      </c>
      <c r="K41" s="354">
        <f>SUM(K42:K45)</f>
        <v>25389716</v>
      </c>
      <c r="L41" s="354">
        <f t="shared" ref="L41:N41" si="67">SUM(L42:L45)</f>
        <v>22397006.899999999</v>
      </c>
      <c r="M41" s="130">
        <f>L41/J41</f>
        <v>0.99997941838574989</v>
      </c>
      <c r="N41" s="354">
        <f t="shared" si="67"/>
        <v>0</v>
      </c>
      <c r="O41" s="126">
        <f t="shared" si="5"/>
        <v>0</v>
      </c>
      <c r="P41" s="84">
        <f>SUM(P42:P45)</f>
        <v>22397006.899999999</v>
      </c>
      <c r="Q41" s="76">
        <f t="shared" si="49"/>
        <v>0.99997941838574989</v>
      </c>
      <c r="R41" s="81">
        <f>SUM(R42:R45)</f>
        <v>22397006.899999999</v>
      </c>
      <c r="S41" s="76">
        <f t="shared" si="50"/>
        <v>0.99997941838574989</v>
      </c>
      <c r="T41" s="81">
        <f t="shared" ref="T41:X41" si="68">SUM(T42:T45)</f>
        <v>16579562.34</v>
      </c>
      <c r="U41" s="81">
        <f t="shared" si="68"/>
        <v>0</v>
      </c>
      <c r="V41" s="81">
        <f t="shared" si="68"/>
        <v>0</v>
      </c>
      <c r="W41" s="81">
        <f t="shared" si="68"/>
        <v>0</v>
      </c>
      <c r="X41" s="81">
        <f t="shared" si="68"/>
        <v>0</v>
      </c>
      <c r="Y41" s="81">
        <f t="shared" si="2"/>
        <v>16579562.34</v>
      </c>
      <c r="Z41" s="118">
        <f t="shared" si="17"/>
        <v>16579562.34</v>
      </c>
      <c r="AA41" s="81">
        <f>SUM(AA42:AA45)</f>
        <v>0</v>
      </c>
      <c r="AB41" s="136"/>
      <c r="AC41" s="81">
        <f>SUM(AC42:AC45)</f>
        <v>16579562.34</v>
      </c>
      <c r="AD41" s="76">
        <f t="shared" si="52"/>
        <v>0.74024271099561456</v>
      </c>
      <c r="AE41" s="141">
        <f>SUM(AE42:AE45)</f>
        <v>1.7798509719296484E-3</v>
      </c>
      <c r="AF41" s="171">
        <f t="shared" si="41"/>
        <v>460.97604400292039</v>
      </c>
      <c r="AG41" s="172">
        <f t="shared" si="53"/>
        <v>2.0581614250063219E-5</v>
      </c>
      <c r="AH41" s="125"/>
      <c r="AI41" s="85"/>
      <c r="AJ41" s="243" t="s">
        <v>408</v>
      </c>
      <c r="AK41" s="354">
        <f>SUM(AK42:AK45)</f>
        <v>1000000</v>
      </c>
      <c r="AL41" s="354">
        <f>SUM(AL42:AL45)</f>
        <v>1000000</v>
      </c>
      <c r="AM41" s="130">
        <v>0</v>
      </c>
      <c r="AN41" s="85"/>
      <c r="AO41" s="354">
        <f>SUM(AO42:AO45)</f>
        <v>544140</v>
      </c>
      <c r="AP41" s="354">
        <f>SUM(AP42:AP45)</f>
        <v>1000000</v>
      </c>
      <c r="AQ41" s="354">
        <f>SUM(AQ42:AQ45)</f>
        <v>1000000</v>
      </c>
      <c r="AR41" s="130">
        <f t="shared" si="35"/>
        <v>3.938602542856328E-2</v>
      </c>
      <c r="AS41" s="125"/>
      <c r="AT41" s="125"/>
      <c r="AU41" s="388"/>
      <c r="AV41" s="261"/>
      <c r="AW41" s="249"/>
      <c r="AX41" s="249"/>
      <c r="AY41" s="249"/>
    </row>
    <row r="42" spans="1:51" ht="100.9" customHeight="1">
      <c r="A42" s="381" t="s">
        <v>18</v>
      </c>
      <c r="B42" s="71" t="s">
        <v>468</v>
      </c>
      <c r="C42" s="72" t="s">
        <v>0</v>
      </c>
      <c r="D42" s="72" t="s">
        <v>5</v>
      </c>
      <c r="E42" s="72"/>
      <c r="F42" s="354">
        <v>0</v>
      </c>
      <c r="G42" s="354"/>
      <c r="H42" s="354">
        <v>0</v>
      </c>
      <c r="I42" s="354"/>
      <c r="J42" s="354">
        <v>0</v>
      </c>
      <c r="K42" s="354">
        <v>0</v>
      </c>
      <c r="L42" s="354"/>
      <c r="M42" s="130"/>
      <c r="N42" s="354"/>
      <c r="O42" s="132"/>
      <c r="P42" s="354">
        <v>0</v>
      </c>
      <c r="Q42" s="76">
        <v>0</v>
      </c>
      <c r="R42" s="79">
        <v>0</v>
      </c>
      <c r="S42" s="76">
        <v>0</v>
      </c>
      <c r="T42" s="114">
        <v>0</v>
      </c>
      <c r="U42" s="114">
        <v>0</v>
      </c>
      <c r="V42" s="114">
        <v>0</v>
      </c>
      <c r="W42" s="114">
        <v>0</v>
      </c>
      <c r="X42" s="114">
        <v>0</v>
      </c>
      <c r="Y42" s="79">
        <f t="shared" si="2"/>
        <v>0</v>
      </c>
      <c r="Z42" s="80">
        <f t="shared" si="17"/>
        <v>0</v>
      </c>
      <c r="AA42" s="80"/>
      <c r="AB42" s="130"/>
      <c r="AC42" s="80">
        <f t="shared" ref="AC42:AC45" si="69">SUM(T42:V42)</f>
        <v>0</v>
      </c>
      <c r="AD42" s="76">
        <v>0</v>
      </c>
      <c r="AE42" s="130"/>
      <c r="AF42" s="171">
        <f t="shared" si="41"/>
        <v>0</v>
      </c>
      <c r="AG42" s="172">
        <v>0</v>
      </c>
      <c r="AH42" s="152"/>
      <c r="AI42" s="152"/>
      <c r="AJ42" s="243" t="s">
        <v>409</v>
      </c>
      <c r="AK42" s="354">
        <v>0</v>
      </c>
      <c r="AL42" s="354">
        <v>0</v>
      </c>
      <c r="AM42" s="130">
        <v>0</v>
      </c>
      <c r="AN42" s="85"/>
      <c r="AO42" s="354">
        <v>0</v>
      </c>
      <c r="AP42" s="125"/>
      <c r="AQ42" s="125"/>
      <c r="AR42" s="130" t="e">
        <f t="shared" si="35"/>
        <v>#DIV/0!</v>
      </c>
      <c r="AS42" s="125"/>
      <c r="AT42" s="125"/>
      <c r="AU42" s="388"/>
      <c r="AV42" s="261"/>
      <c r="AW42" s="42"/>
      <c r="AX42" s="42"/>
      <c r="AY42" s="42"/>
    </row>
    <row r="43" spans="1:51" ht="49.5">
      <c r="A43" s="383" t="s">
        <v>19</v>
      </c>
      <c r="B43" s="350" t="s">
        <v>469</v>
      </c>
      <c r="C43" s="183" t="s">
        <v>0</v>
      </c>
      <c r="D43" s="183" t="s">
        <v>156</v>
      </c>
      <c r="E43" s="183"/>
      <c r="F43" s="355">
        <v>5441400</v>
      </c>
      <c r="G43" s="355"/>
      <c r="H43" s="355">
        <v>5441400</v>
      </c>
      <c r="I43" s="355"/>
      <c r="J43" s="355">
        <v>5441400</v>
      </c>
      <c r="K43" s="355">
        <v>5441400</v>
      </c>
      <c r="L43" s="355">
        <v>5440938.9000000004</v>
      </c>
      <c r="M43" s="184">
        <f>L43/J43</f>
        <v>0.99991526077847614</v>
      </c>
      <c r="N43" s="355"/>
      <c r="O43" s="185">
        <f t="shared" si="5"/>
        <v>0</v>
      </c>
      <c r="P43" s="355">
        <v>5440938.9000000004</v>
      </c>
      <c r="Q43" s="186">
        <f>P43/J43</f>
        <v>0.99991526077847614</v>
      </c>
      <c r="R43" s="187">
        <v>5440938.9000000004</v>
      </c>
      <c r="S43" s="186">
        <f>R43/J43</f>
        <v>0.99991526077847614</v>
      </c>
      <c r="T43" s="355">
        <v>3093883.41</v>
      </c>
      <c r="U43" s="187">
        <v>0</v>
      </c>
      <c r="V43" s="187">
        <v>0</v>
      </c>
      <c r="W43" s="187">
        <v>0</v>
      </c>
      <c r="X43" s="187">
        <v>0</v>
      </c>
      <c r="Y43" s="187">
        <f t="shared" si="2"/>
        <v>3093883.41</v>
      </c>
      <c r="Z43" s="189">
        <f t="shared" si="17"/>
        <v>3093883.41</v>
      </c>
      <c r="AA43" s="189"/>
      <c r="AB43" s="184"/>
      <c r="AC43" s="189">
        <f t="shared" si="69"/>
        <v>3093883.41</v>
      </c>
      <c r="AD43" s="186">
        <f>AC43/J43</f>
        <v>0.56858224170250304</v>
      </c>
      <c r="AE43" s="184">
        <v>1.5869374788036211E-4</v>
      </c>
      <c r="AF43" s="190">
        <f t="shared" si="41"/>
        <v>461.09999999962747</v>
      </c>
      <c r="AG43" s="191">
        <f>AF43/J43</f>
        <v>8.4739221523804064E-5</v>
      </c>
      <c r="AH43" s="196"/>
      <c r="AI43" s="225"/>
      <c r="AJ43" s="244" t="s">
        <v>408</v>
      </c>
      <c r="AK43" s="355">
        <v>1000000</v>
      </c>
      <c r="AL43" s="355">
        <v>1000000</v>
      </c>
      <c r="AM43" s="212">
        <f>AL43/K43</f>
        <v>0.1837762340574117</v>
      </c>
      <c r="AN43" s="355" t="s">
        <v>432</v>
      </c>
      <c r="AO43" s="355">
        <v>544140</v>
      </c>
      <c r="AP43" s="325">
        <f>AL43</f>
        <v>1000000</v>
      </c>
      <c r="AQ43" s="325">
        <f>AL43</f>
        <v>1000000</v>
      </c>
      <c r="AR43" s="212">
        <f t="shared" si="35"/>
        <v>0.1837762340574117</v>
      </c>
      <c r="AS43" s="326" t="s">
        <v>433</v>
      </c>
      <c r="AT43" s="326" t="s">
        <v>434</v>
      </c>
      <c r="AU43" s="384"/>
      <c r="AV43" s="258"/>
      <c r="AW43" s="42"/>
      <c r="AX43" s="42"/>
      <c r="AY43" s="42"/>
    </row>
    <row r="44" spans="1:51" ht="50.45" customHeight="1">
      <c r="A44" s="381" t="s">
        <v>20</v>
      </c>
      <c r="B44" s="71" t="s">
        <v>470</v>
      </c>
      <c r="C44" s="72" t="s">
        <v>0</v>
      </c>
      <c r="D44" s="72" t="s">
        <v>5</v>
      </c>
      <c r="E44" s="72"/>
      <c r="F44" s="354">
        <v>0</v>
      </c>
      <c r="G44" s="354"/>
      <c r="H44" s="354">
        <v>0</v>
      </c>
      <c r="I44" s="354"/>
      <c r="J44" s="354">
        <v>0</v>
      </c>
      <c r="K44" s="354">
        <v>0</v>
      </c>
      <c r="L44" s="354"/>
      <c r="M44" s="130"/>
      <c r="N44" s="354"/>
      <c r="O44" s="132"/>
      <c r="P44" s="354">
        <v>0</v>
      </c>
      <c r="Q44" s="76">
        <v>0</v>
      </c>
      <c r="R44" s="79">
        <v>0</v>
      </c>
      <c r="S44" s="76">
        <v>0</v>
      </c>
      <c r="T44" s="114">
        <v>0</v>
      </c>
      <c r="U44" s="114">
        <v>0</v>
      </c>
      <c r="V44" s="114">
        <v>0</v>
      </c>
      <c r="W44" s="114">
        <v>0</v>
      </c>
      <c r="X44" s="114">
        <v>0</v>
      </c>
      <c r="Y44" s="79">
        <f t="shared" si="2"/>
        <v>0</v>
      </c>
      <c r="Z44" s="80">
        <f t="shared" si="17"/>
        <v>0</v>
      </c>
      <c r="AA44" s="80"/>
      <c r="AB44" s="130"/>
      <c r="AC44" s="80">
        <f t="shared" si="69"/>
        <v>0</v>
      </c>
      <c r="AD44" s="76">
        <v>0</v>
      </c>
      <c r="AE44" s="130"/>
      <c r="AF44" s="171">
        <f t="shared" si="41"/>
        <v>0</v>
      </c>
      <c r="AG44" s="172">
        <v>0</v>
      </c>
      <c r="AH44" s="150"/>
      <c r="AI44" s="152"/>
      <c r="AJ44" s="243" t="s">
        <v>409</v>
      </c>
      <c r="AK44" s="354">
        <v>0</v>
      </c>
      <c r="AL44" s="354">
        <v>0</v>
      </c>
      <c r="AM44" s="130">
        <v>0</v>
      </c>
      <c r="AN44" s="85"/>
      <c r="AO44" s="354">
        <v>0</v>
      </c>
      <c r="AP44" s="125"/>
      <c r="AQ44" s="125"/>
      <c r="AR44" s="130" t="e">
        <f t="shared" si="35"/>
        <v>#DIV/0!</v>
      </c>
      <c r="AS44" s="125"/>
      <c r="AT44" s="125"/>
      <c r="AU44" s="388"/>
      <c r="AV44" s="261"/>
      <c r="AW44" s="42"/>
      <c r="AX44" s="42"/>
      <c r="AY44" s="42"/>
    </row>
    <row r="45" spans="1:51" ht="67.150000000000006" customHeight="1">
      <c r="A45" s="381" t="s">
        <v>21</v>
      </c>
      <c r="B45" s="71" t="s">
        <v>471</v>
      </c>
      <c r="C45" s="72" t="s">
        <v>0</v>
      </c>
      <c r="D45" s="72" t="s">
        <v>5</v>
      </c>
      <c r="E45" s="72"/>
      <c r="F45" s="354">
        <v>16956067.876044001</v>
      </c>
      <c r="G45" s="354"/>
      <c r="H45" s="354">
        <v>16956067.876044001</v>
      </c>
      <c r="I45" s="354"/>
      <c r="J45" s="354">
        <v>16956067.876044001</v>
      </c>
      <c r="K45" s="354">
        <v>19948316</v>
      </c>
      <c r="L45" s="354">
        <v>16956068</v>
      </c>
      <c r="M45" s="130">
        <f>L45/J45</f>
        <v>1.0000000073104212</v>
      </c>
      <c r="N45" s="354"/>
      <c r="O45" s="132">
        <f t="shared" si="5"/>
        <v>0</v>
      </c>
      <c r="P45" s="354">
        <v>16956068</v>
      </c>
      <c r="Q45" s="76">
        <f>P45/J45</f>
        <v>1.0000000073104212</v>
      </c>
      <c r="R45" s="79">
        <v>16956068</v>
      </c>
      <c r="S45" s="76">
        <f>R45/J45</f>
        <v>1.0000000073104212</v>
      </c>
      <c r="T45" s="79">
        <v>13485678.93</v>
      </c>
      <c r="U45" s="114">
        <v>0</v>
      </c>
      <c r="V45" s="114">
        <v>0</v>
      </c>
      <c r="W45" s="114">
        <v>0</v>
      </c>
      <c r="X45" s="114">
        <v>0</v>
      </c>
      <c r="Y45" s="79">
        <f t="shared" si="2"/>
        <v>13485678.93</v>
      </c>
      <c r="Z45" s="80">
        <f t="shared" si="17"/>
        <v>13485678.93</v>
      </c>
      <c r="AA45" s="80"/>
      <c r="AB45" s="130"/>
      <c r="AC45" s="80">
        <f t="shared" si="69"/>
        <v>13485678.93</v>
      </c>
      <c r="AD45" s="76">
        <f>AC45/J45</f>
        <v>0.79533055827483079</v>
      </c>
      <c r="AE45" s="130">
        <v>1.6211572240492863E-3</v>
      </c>
      <c r="AF45" s="171">
        <f t="shared" si="41"/>
        <v>-0.12395599856972694</v>
      </c>
      <c r="AG45" s="172">
        <f>AF45/J45</f>
        <v>-7.3104212294912661E-9</v>
      </c>
      <c r="AH45" s="150" t="s">
        <v>346</v>
      </c>
      <c r="AI45" s="152"/>
      <c r="AJ45" s="243" t="s">
        <v>409</v>
      </c>
      <c r="AK45" s="354">
        <v>0</v>
      </c>
      <c r="AL45" s="354">
        <v>0</v>
      </c>
      <c r="AM45" s="130">
        <v>0</v>
      </c>
      <c r="AN45" s="85"/>
      <c r="AO45" s="354">
        <v>0</v>
      </c>
      <c r="AP45" s="125"/>
      <c r="AQ45" s="125"/>
      <c r="AR45" s="130">
        <f t="shared" si="35"/>
        <v>0</v>
      </c>
      <c r="AS45" s="125"/>
      <c r="AT45" s="125"/>
      <c r="AU45" s="388"/>
      <c r="AV45" s="261"/>
      <c r="AW45" s="42"/>
      <c r="AX45" s="42"/>
      <c r="AY45" s="42"/>
    </row>
    <row r="46" spans="1:51" ht="82.5">
      <c r="A46" s="381" t="s">
        <v>22</v>
      </c>
      <c r="B46" s="71" t="s">
        <v>472</v>
      </c>
      <c r="C46" s="72" t="s">
        <v>0</v>
      </c>
      <c r="D46" s="72" t="s">
        <v>5</v>
      </c>
      <c r="E46" s="72"/>
      <c r="F46" s="354">
        <v>0</v>
      </c>
      <c r="G46" s="354"/>
      <c r="H46" s="354">
        <v>0</v>
      </c>
      <c r="I46" s="354"/>
      <c r="J46" s="354">
        <v>0</v>
      </c>
      <c r="K46" s="354">
        <v>0</v>
      </c>
      <c r="L46" s="354">
        <v>0</v>
      </c>
      <c r="M46" s="130">
        <v>0</v>
      </c>
      <c r="N46" s="354">
        <v>0</v>
      </c>
      <c r="O46" s="132"/>
      <c r="P46" s="354">
        <f>SUM(P47:P48)</f>
        <v>0</v>
      </c>
      <c r="Q46" s="76">
        <v>0</v>
      </c>
      <c r="R46" s="79">
        <f>SUM(R47:R48)</f>
        <v>0</v>
      </c>
      <c r="S46" s="76">
        <v>0</v>
      </c>
      <c r="T46" s="79">
        <f t="shared" ref="T46:X46" si="70">SUM(T47:T48)</f>
        <v>0</v>
      </c>
      <c r="U46" s="79">
        <f t="shared" si="70"/>
        <v>0</v>
      </c>
      <c r="V46" s="79">
        <f t="shared" si="70"/>
        <v>0</v>
      </c>
      <c r="W46" s="79">
        <f t="shared" si="70"/>
        <v>0</v>
      </c>
      <c r="X46" s="79">
        <f t="shared" si="70"/>
        <v>0</v>
      </c>
      <c r="Y46" s="81">
        <f t="shared" si="2"/>
        <v>0</v>
      </c>
      <c r="Z46" s="118">
        <f t="shared" si="17"/>
        <v>0</v>
      </c>
      <c r="AA46" s="79">
        <f>SUM(AA47:AA48)</f>
        <v>0</v>
      </c>
      <c r="AB46" s="136"/>
      <c r="AC46" s="79">
        <f>SUM(AC47:AC48)</f>
        <v>0</v>
      </c>
      <c r="AD46" s="76">
        <v>0</v>
      </c>
      <c r="AE46" s="130"/>
      <c r="AF46" s="171">
        <f t="shared" si="41"/>
        <v>0</v>
      </c>
      <c r="AG46" s="172">
        <v>0</v>
      </c>
      <c r="AH46" s="125"/>
      <c r="AI46" s="85"/>
      <c r="AJ46" s="243" t="s">
        <v>408</v>
      </c>
      <c r="AK46" s="354">
        <f>AL46*85%</f>
        <v>1700000</v>
      </c>
      <c r="AL46" s="354">
        <f>SUM(AL47:AL48)</f>
        <v>2000000</v>
      </c>
      <c r="AM46" s="96">
        <v>1</v>
      </c>
      <c r="AN46" s="85"/>
      <c r="AO46" s="354">
        <f>SUM(AO47:AO48)</f>
        <v>2000000</v>
      </c>
      <c r="AP46" s="354">
        <f>SUM(AP47:AP48)</f>
        <v>2000000</v>
      </c>
      <c r="AQ46" s="354">
        <f>SUM(AQ47:AQ48)</f>
        <v>2000000</v>
      </c>
      <c r="AR46" s="96" t="e">
        <f t="shared" si="35"/>
        <v>#DIV/0!</v>
      </c>
      <c r="AS46" s="125"/>
      <c r="AT46" s="125"/>
      <c r="AU46" s="388"/>
      <c r="AV46" s="261"/>
    </row>
    <row r="47" spans="1:51" ht="129" customHeight="1">
      <c r="A47" s="383" t="s">
        <v>23</v>
      </c>
      <c r="B47" s="350" t="s">
        <v>473</v>
      </c>
      <c r="C47" s="183" t="s">
        <v>0</v>
      </c>
      <c r="D47" s="183" t="s">
        <v>5</v>
      </c>
      <c r="E47" s="183"/>
      <c r="F47" s="355">
        <v>0</v>
      </c>
      <c r="G47" s="355"/>
      <c r="H47" s="355">
        <v>0</v>
      </c>
      <c r="I47" s="355"/>
      <c r="J47" s="355">
        <v>0</v>
      </c>
      <c r="K47" s="355">
        <v>0</v>
      </c>
      <c r="L47" s="355"/>
      <c r="M47" s="184"/>
      <c r="N47" s="355"/>
      <c r="O47" s="185"/>
      <c r="P47" s="355">
        <v>0</v>
      </c>
      <c r="Q47" s="186">
        <v>0</v>
      </c>
      <c r="R47" s="187">
        <v>0</v>
      </c>
      <c r="S47" s="186">
        <v>0</v>
      </c>
      <c r="T47" s="188">
        <v>0</v>
      </c>
      <c r="U47" s="188">
        <v>0</v>
      </c>
      <c r="V47" s="188">
        <v>0</v>
      </c>
      <c r="W47" s="188">
        <v>0</v>
      </c>
      <c r="X47" s="188">
        <v>0</v>
      </c>
      <c r="Y47" s="187">
        <f t="shared" si="2"/>
        <v>0</v>
      </c>
      <c r="Z47" s="189">
        <f t="shared" si="17"/>
        <v>0</v>
      </c>
      <c r="AA47" s="189"/>
      <c r="AB47" s="184"/>
      <c r="AC47" s="189">
        <f t="shared" ref="AC47:AC48" si="71">SUM(T47:V47)</f>
        <v>0</v>
      </c>
      <c r="AD47" s="186">
        <v>0</v>
      </c>
      <c r="AE47" s="184"/>
      <c r="AF47" s="190">
        <f t="shared" si="41"/>
        <v>0</v>
      </c>
      <c r="AG47" s="191">
        <v>0</v>
      </c>
      <c r="AH47" s="223"/>
      <c r="AI47" s="223"/>
      <c r="AJ47" s="244" t="s">
        <v>408</v>
      </c>
      <c r="AK47" s="355">
        <f>AL47*85%</f>
        <v>1700000</v>
      </c>
      <c r="AL47" s="355">
        <v>2000000</v>
      </c>
      <c r="AM47" s="184">
        <v>1</v>
      </c>
      <c r="AN47" s="225"/>
      <c r="AO47" s="355">
        <v>0</v>
      </c>
      <c r="AP47" s="355">
        <v>2000000</v>
      </c>
      <c r="AQ47" s="355">
        <v>2000000</v>
      </c>
      <c r="AR47" s="184" t="e">
        <f t="shared" si="35"/>
        <v>#DIV/0!</v>
      </c>
      <c r="AS47" s="212" t="s">
        <v>433</v>
      </c>
      <c r="AT47" s="194" t="s">
        <v>714</v>
      </c>
      <c r="AU47" s="384"/>
      <c r="AV47" s="261"/>
      <c r="AW47" s="42"/>
      <c r="AX47" s="42"/>
      <c r="AY47" s="42"/>
    </row>
    <row r="48" spans="1:51" ht="154.5" customHeight="1">
      <c r="A48" s="381" t="s">
        <v>24</v>
      </c>
      <c r="B48" s="71" t="s">
        <v>474</v>
      </c>
      <c r="C48" s="72" t="s">
        <v>0</v>
      </c>
      <c r="D48" s="72" t="s">
        <v>5</v>
      </c>
      <c r="E48" s="72"/>
      <c r="F48" s="354">
        <v>0</v>
      </c>
      <c r="G48" s="354"/>
      <c r="H48" s="354">
        <v>0</v>
      </c>
      <c r="I48" s="354"/>
      <c r="J48" s="354">
        <v>0</v>
      </c>
      <c r="K48" s="354">
        <v>0</v>
      </c>
      <c r="L48" s="354"/>
      <c r="M48" s="130"/>
      <c r="N48" s="354"/>
      <c r="O48" s="137"/>
      <c r="P48" s="354">
        <v>0</v>
      </c>
      <c r="Q48" s="76">
        <v>0</v>
      </c>
      <c r="R48" s="79">
        <v>0</v>
      </c>
      <c r="S48" s="76">
        <v>0</v>
      </c>
      <c r="T48" s="114">
        <v>0</v>
      </c>
      <c r="U48" s="114">
        <v>0</v>
      </c>
      <c r="V48" s="114">
        <v>0</v>
      </c>
      <c r="W48" s="114">
        <v>0</v>
      </c>
      <c r="X48" s="114">
        <v>0</v>
      </c>
      <c r="Y48" s="79">
        <f t="shared" si="2"/>
        <v>0</v>
      </c>
      <c r="Z48" s="80">
        <f t="shared" si="17"/>
        <v>0</v>
      </c>
      <c r="AA48" s="80"/>
      <c r="AB48" s="130"/>
      <c r="AC48" s="80">
        <f t="shared" si="71"/>
        <v>0</v>
      </c>
      <c r="AD48" s="76">
        <v>0</v>
      </c>
      <c r="AE48" s="130"/>
      <c r="AF48" s="174">
        <f t="shared" si="41"/>
        <v>0</v>
      </c>
      <c r="AG48" s="182">
        <v>0</v>
      </c>
      <c r="AH48" s="125"/>
      <c r="AI48" s="85"/>
      <c r="AJ48" s="243" t="s">
        <v>409</v>
      </c>
      <c r="AK48" s="79">
        <v>0</v>
      </c>
      <c r="AL48" s="79">
        <v>0</v>
      </c>
      <c r="AM48" s="345">
        <v>0</v>
      </c>
      <c r="AN48" s="346" t="s">
        <v>433</v>
      </c>
      <c r="AO48" s="79">
        <v>2000000</v>
      </c>
      <c r="AP48" s="347"/>
      <c r="AQ48" s="347"/>
      <c r="AR48" s="345" t="e">
        <f t="shared" si="35"/>
        <v>#DIV/0!</v>
      </c>
      <c r="AS48" s="348"/>
      <c r="AT48" s="170"/>
      <c r="AU48" s="391"/>
      <c r="AV48" s="263"/>
    </row>
    <row r="49" spans="1:51" s="52" customFormat="1" ht="84" customHeight="1">
      <c r="A49" s="387" t="s">
        <v>25</v>
      </c>
      <c r="B49" s="77" t="s">
        <v>475</v>
      </c>
      <c r="C49" s="78" t="s">
        <v>0</v>
      </c>
      <c r="D49" s="78" t="s">
        <v>5</v>
      </c>
      <c r="E49" s="78"/>
      <c r="F49" s="354">
        <f>SUM(F50:F51)</f>
        <v>973356.13064400002</v>
      </c>
      <c r="G49" s="354"/>
      <c r="H49" s="354">
        <f>SUM(H50:H51)</f>
        <v>973356.13064400002</v>
      </c>
      <c r="I49" s="354"/>
      <c r="J49" s="354">
        <f>SUM(J50:J51)</f>
        <v>973356.13064400002</v>
      </c>
      <c r="K49" s="354">
        <f>SUM(K50:K51)</f>
        <v>973356</v>
      </c>
      <c r="L49" s="354">
        <f t="shared" ref="L49:N49" si="72">SUM(L50:L51)</f>
        <v>973356</v>
      </c>
      <c r="M49" s="130">
        <f>L49/J49</f>
        <v>0.999999865779856</v>
      </c>
      <c r="N49" s="354">
        <f t="shared" si="72"/>
        <v>0</v>
      </c>
      <c r="O49" s="132">
        <f t="shared" si="5"/>
        <v>0</v>
      </c>
      <c r="P49" s="84">
        <v>973356</v>
      </c>
      <c r="Q49" s="76">
        <f>P49/J49</f>
        <v>0.999999865779856</v>
      </c>
      <c r="R49" s="81">
        <f>SUM(R50:R51)</f>
        <v>973356</v>
      </c>
      <c r="S49" s="76">
        <f>R49/J49</f>
        <v>0.999999865779856</v>
      </c>
      <c r="T49" s="81">
        <f>SUM(T50:T51)</f>
        <v>157066.97</v>
      </c>
      <c r="U49" s="81">
        <f t="shared" ref="U49:W49" si="73">SUM(U50:U51)</f>
        <v>0</v>
      </c>
      <c r="V49" s="81">
        <f t="shared" si="73"/>
        <v>0</v>
      </c>
      <c r="W49" s="81">
        <f t="shared" si="73"/>
        <v>0</v>
      </c>
      <c r="X49" s="81">
        <v>0</v>
      </c>
      <c r="Y49" s="81">
        <f t="shared" si="2"/>
        <v>157066.97</v>
      </c>
      <c r="Z49" s="118">
        <f t="shared" si="17"/>
        <v>157066.97</v>
      </c>
      <c r="AA49" s="81">
        <f>SUM(AA50:AA51)</f>
        <v>0</v>
      </c>
      <c r="AB49" s="136"/>
      <c r="AC49" s="81">
        <f>SUM(AC50:AC51)</f>
        <v>157066.97</v>
      </c>
      <c r="AD49" s="76">
        <f>AC49/J49</f>
        <v>0.16136639515084786</v>
      </c>
      <c r="AE49" s="141"/>
      <c r="AF49" s="171">
        <f t="shared" si="41"/>
        <v>0.13064400001894683</v>
      </c>
      <c r="AG49" s="172">
        <f>AF49/J49</f>
        <v>1.3422014400064347E-7</v>
      </c>
      <c r="AH49" s="125"/>
      <c r="AI49" s="85"/>
      <c r="AJ49" s="243" t="s">
        <v>409</v>
      </c>
      <c r="AK49" s="354">
        <v>0</v>
      </c>
      <c r="AL49" s="354">
        <f>SUM(AL50:AL51)</f>
        <v>0</v>
      </c>
      <c r="AM49" s="130">
        <v>0</v>
      </c>
      <c r="AN49" s="85"/>
      <c r="AO49" s="354">
        <f>SUM(AO50:AO51)</f>
        <v>0</v>
      </c>
      <c r="AP49" s="125"/>
      <c r="AQ49" s="125"/>
      <c r="AR49" s="130">
        <f t="shared" si="35"/>
        <v>0</v>
      </c>
      <c r="AS49" s="125"/>
      <c r="AT49" s="125"/>
      <c r="AU49" s="388"/>
      <c r="AV49" s="261"/>
    </row>
    <row r="50" spans="1:51" ht="84" customHeight="1">
      <c r="A50" s="381" t="s">
        <v>26</v>
      </c>
      <c r="B50" s="71" t="s">
        <v>475</v>
      </c>
      <c r="C50" s="72" t="s">
        <v>0</v>
      </c>
      <c r="D50" s="72" t="s">
        <v>5</v>
      </c>
      <c r="E50" s="72"/>
      <c r="F50" s="354">
        <v>0</v>
      </c>
      <c r="G50" s="354"/>
      <c r="H50" s="354">
        <v>0</v>
      </c>
      <c r="I50" s="354"/>
      <c r="J50" s="354">
        <v>0</v>
      </c>
      <c r="K50" s="354">
        <v>0</v>
      </c>
      <c r="L50" s="354"/>
      <c r="M50" s="130"/>
      <c r="N50" s="354"/>
      <c r="O50" s="132"/>
      <c r="P50" s="354">
        <v>0</v>
      </c>
      <c r="Q50" s="76">
        <v>0</v>
      </c>
      <c r="R50" s="79">
        <v>0</v>
      </c>
      <c r="S50" s="76">
        <v>0</v>
      </c>
      <c r="T50" s="114">
        <v>0</v>
      </c>
      <c r="U50" s="114">
        <v>0</v>
      </c>
      <c r="V50" s="114">
        <v>0</v>
      </c>
      <c r="W50" s="114">
        <v>0</v>
      </c>
      <c r="X50" s="114">
        <v>0</v>
      </c>
      <c r="Y50" s="79">
        <f t="shared" si="2"/>
        <v>0</v>
      </c>
      <c r="Z50" s="80">
        <f t="shared" si="17"/>
        <v>0</v>
      </c>
      <c r="AA50" s="80"/>
      <c r="AB50" s="130"/>
      <c r="AC50" s="80">
        <f t="shared" ref="AC50:AC51" si="74">SUM(T50:V50)</f>
        <v>0</v>
      </c>
      <c r="AD50" s="76">
        <v>0</v>
      </c>
      <c r="AE50" s="130"/>
      <c r="AF50" s="171">
        <f t="shared" si="41"/>
        <v>0</v>
      </c>
      <c r="AG50" s="172">
        <v>0</v>
      </c>
      <c r="AH50" s="125"/>
      <c r="AI50" s="85"/>
      <c r="AJ50" s="243" t="s">
        <v>409</v>
      </c>
      <c r="AK50" s="354">
        <v>0</v>
      </c>
      <c r="AL50" s="354">
        <v>0</v>
      </c>
      <c r="AM50" s="130">
        <v>0</v>
      </c>
      <c r="AN50" s="85"/>
      <c r="AO50" s="354">
        <v>0</v>
      </c>
      <c r="AP50" s="125"/>
      <c r="AQ50" s="125"/>
      <c r="AR50" s="130" t="e">
        <f t="shared" si="35"/>
        <v>#DIV/0!</v>
      </c>
      <c r="AS50" s="125"/>
      <c r="AT50" s="125"/>
      <c r="AU50" s="388"/>
      <c r="AV50" s="261"/>
      <c r="AW50" s="42"/>
      <c r="AX50" s="42"/>
      <c r="AY50" s="42"/>
    </row>
    <row r="51" spans="1:51" ht="109.15" customHeight="1">
      <c r="A51" s="381" t="s">
        <v>27</v>
      </c>
      <c r="B51" s="71" t="s">
        <v>476</v>
      </c>
      <c r="C51" s="72" t="s">
        <v>0</v>
      </c>
      <c r="D51" s="72" t="s">
        <v>5</v>
      </c>
      <c r="E51" s="72"/>
      <c r="F51" s="354">
        <v>973356.13064400002</v>
      </c>
      <c r="G51" s="354"/>
      <c r="H51" s="354">
        <v>973356.13064400002</v>
      </c>
      <c r="I51" s="354"/>
      <c r="J51" s="354">
        <v>973356.13064400002</v>
      </c>
      <c r="K51" s="354">
        <v>973356</v>
      </c>
      <c r="L51" s="354">
        <v>973356</v>
      </c>
      <c r="M51" s="130">
        <f>L51/J51</f>
        <v>0.999999865779856</v>
      </c>
      <c r="N51" s="354"/>
      <c r="O51" s="132">
        <f t="shared" si="5"/>
        <v>0</v>
      </c>
      <c r="P51" s="354">
        <v>973356</v>
      </c>
      <c r="Q51" s="76">
        <f t="shared" ref="Q51:Q68" si="75">P51/J51</f>
        <v>0.999999865779856</v>
      </c>
      <c r="R51" s="79">
        <v>973356</v>
      </c>
      <c r="S51" s="76">
        <f t="shared" ref="S51:S68" si="76">R51/J51</f>
        <v>0.999999865779856</v>
      </c>
      <c r="T51" s="114">
        <v>157066.97</v>
      </c>
      <c r="U51" s="114">
        <v>0</v>
      </c>
      <c r="V51" s="114">
        <v>0</v>
      </c>
      <c r="W51" s="114">
        <v>0</v>
      </c>
      <c r="X51" s="114">
        <v>0</v>
      </c>
      <c r="Y51" s="79">
        <f t="shared" si="2"/>
        <v>157066.97</v>
      </c>
      <c r="Z51" s="80">
        <f t="shared" si="17"/>
        <v>157066.97</v>
      </c>
      <c r="AA51" s="80"/>
      <c r="AB51" s="130"/>
      <c r="AC51" s="80">
        <f t="shared" si="74"/>
        <v>157066.97</v>
      </c>
      <c r="AD51" s="76">
        <f t="shared" ref="AD51:AD61" si="77">AC51/J51</f>
        <v>0.16136639515084786</v>
      </c>
      <c r="AE51" s="130">
        <v>2.9643011467927474E-4</v>
      </c>
      <c r="AF51" s="171">
        <f t="shared" si="41"/>
        <v>0.13064400001894683</v>
      </c>
      <c r="AG51" s="172">
        <f t="shared" ref="AG51:AG68" si="78">AF51/J51</f>
        <v>1.3422014400064347E-7</v>
      </c>
      <c r="AH51" s="150" t="s">
        <v>347</v>
      </c>
      <c r="AI51" s="152"/>
      <c r="AJ51" s="243" t="s">
        <v>409</v>
      </c>
      <c r="AK51" s="354">
        <v>0</v>
      </c>
      <c r="AL51" s="354">
        <v>0</v>
      </c>
      <c r="AM51" s="130">
        <v>0</v>
      </c>
      <c r="AN51" s="85"/>
      <c r="AO51" s="354">
        <v>0</v>
      </c>
      <c r="AP51" s="125"/>
      <c r="AQ51" s="125"/>
      <c r="AR51" s="130">
        <f t="shared" si="35"/>
        <v>0</v>
      </c>
      <c r="AS51" s="125"/>
      <c r="AT51" s="125"/>
      <c r="AU51" s="388"/>
      <c r="AV51" s="261"/>
      <c r="AW51" s="42"/>
      <c r="AX51" s="42"/>
      <c r="AY51" s="42"/>
    </row>
    <row r="52" spans="1:51" s="52" customFormat="1" ht="100.9" customHeight="1">
      <c r="A52" s="387" t="s">
        <v>28</v>
      </c>
      <c r="B52" s="77" t="s">
        <v>477</v>
      </c>
      <c r="C52" s="78" t="s">
        <v>0</v>
      </c>
      <c r="D52" s="78" t="s">
        <v>5</v>
      </c>
      <c r="E52" s="78"/>
      <c r="F52" s="354">
        <f>SUM(F53:F54)</f>
        <v>9593274</v>
      </c>
      <c r="G52" s="354"/>
      <c r="H52" s="354">
        <f>SUM(H53:H54)</f>
        <v>9593274</v>
      </c>
      <c r="I52" s="354"/>
      <c r="J52" s="354">
        <f>SUM(J53:J54)</f>
        <v>9593274</v>
      </c>
      <c r="K52" s="354">
        <f>SUM(K53:K54)</f>
        <v>10225798</v>
      </c>
      <c r="L52" s="354">
        <f t="shared" ref="L52:N52" si="79">SUM(L53:L54)</f>
        <v>40771261.769999996</v>
      </c>
      <c r="M52" s="130">
        <f>L52/J52</f>
        <v>4.2499840794706785</v>
      </c>
      <c r="N52" s="354">
        <f t="shared" si="79"/>
        <v>31084287.399999999</v>
      </c>
      <c r="O52" s="132">
        <f t="shared" si="5"/>
        <v>3.2402167810488889</v>
      </c>
      <c r="P52" s="84">
        <f>SUM(P53:P54)</f>
        <v>9504524.370000001</v>
      </c>
      <c r="Q52" s="76">
        <f t="shared" si="75"/>
        <v>0.99074876522863842</v>
      </c>
      <c r="R52" s="81">
        <f>SUM(R53:R54)</f>
        <v>9504524.370000001</v>
      </c>
      <c r="S52" s="76">
        <f t="shared" si="76"/>
        <v>0.99074876522863842</v>
      </c>
      <c r="T52" s="81">
        <f t="shared" ref="T52:X52" si="80">SUM(T53:T54)</f>
        <v>2326553.2600000002</v>
      </c>
      <c r="U52" s="81">
        <f t="shared" si="80"/>
        <v>0</v>
      </c>
      <c r="V52" s="81">
        <f t="shared" si="80"/>
        <v>1459275.26</v>
      </c>
      <c r="W52" s="81">
        <f t="shared" si="80"/>
        <v>225435.14</v>
      </c>
      <c r="X52" s="81">
        <f t="shared" si="80"/>
        <v>0</v>
      </c>
      <c r="Y52" s="81">
        <f t="shared" si="2"/>
        <v>3785828.52</v>
      </c>
      <c r="Z52" s="118">
        <f t="shared" si="17"/>
        <v>2551988.4000000004</v>
      </c>
      <c r="AA52" s="81">
        <f>SUM(AA53:AA54)</f>
        <v>182450</v>
      </c>
      <c r="AB52" s="136">
        <f>AA52/J52</f>
        <v>1.9018533193151787E-2</v>
      </c>
      <c r="AC52" s="81">
        <f>SUM(AC53:AC54)</f>
        <v>3785828.52</v>
      </c>
      <c r="AD52" s="76">
        <f t="shared" si="77"/>
        <v>0.39463362768539706</v>
      </c>
      <c r="AE52" s="141"/>
      <c r="AF52" s="171">
        <f t="shared" si="41"/>
        <v>88749.629999998957</v>
      </c>
      <c r="AG52" s="172">
        <f t="shared" si="78"/>
        <v>9.2512347713615758E-3</v>
      </c>
      <c r="AH52" s="125"/>
      <c r="AI52" s="85"/>
      <c r="AJ52" s="243" t="s">
        <v>409</v>
      </c>
      <c r="AK52" s="354">
        <v>0</v>
      </c>
      <c r="AL52" s="354">
        <f>SUM(AL53:AL54)</f>
        <v>0</v>
      </c>
      <c r="AM52" s="130">
        <v>0</v>
      </c>
      <c r="AN52" s="85"/>
      <c r="AO52" s="354">
        <f>SUM(AO53:AO54)</f>
        <v>0</v>
      </c>
      <c r="AP52" s="125"/>
      <c r="AQ52" s="125"/>
      <c r="AR52" s="130">
        <f t="shared" si="35"/>
        <v>0</v>
      </c>
      <c r="AS52" s="125"/>
      <c r="AT52" s="125"/>
      <c r="AU52" s="388"/>
      <c r="AV52" s="261"/>
    </row>
    <row r="53" spans="1:51" ht="151.15" customHeight="1">
      <c r="A53" s="381" t="s">
        <v>29</v>
      </c>
      <c r="B53" s="71" t="s">
        <v>478</v>
      </c>
      <c r="C53" s="72" t="s">
        <v>0</v>
      </c>
      <c r="D53" s="72" t="s">
        <v>5</v>
      </c>
      <c r="E53" s="72"/>
      <c r="F53" s="354">
        <v>3584300</v>
      </c>
      <c r="G53" s="354"/>
      <c r="H53" s="354">
        <v>3584300</v>
      </c>
      <c r="I53" s="354"/>
      <c r="J53" s="354">
        <v>3584300</v>
      </c>
      <c r="K53" s="354">
        <v>4216824</v>
      </c>
      <c r="L53" s="354">
        <v>7501450</v>
      </c>
      <c r="M53" s="130">
        <f t="shared" ref="M53:M54" si="81">L53/J53</f>
        <v>2.0928633205925844</v>
      </c>
      <c r="N53" s="354">
        <v>3917150</v>
      </c>
      <c r="O53" s="132">
        <f t="shared" si="5"/>
        <v>1.0928633205925844</v>
      </c>
      <c r="P53" s="354">
        <v>3584300</v>
      </c>
      <c r="Q53" s="76">
        <f t="shared" si="75"/>
        <v>1</v>
      </c>
      <c r="R53" s="79">
        <v>3584300</v>
      </c>
      <c r="S53" s="76">
        <f t="shared" si="76"/>
        <v>1</v>
      </c>
      <c r="T53" s="79">
        <v>129166.68</v>
      </c>
      <c r="U53" s="79">
        <v>0</v>
      </c>
      <c r="V53" s="79">
        <v>110704</v>
      </c>
      <c r="W53" s="79">
        <v>0</v>
      </c>
      <c r="X53" s="79">
        <v>0</v>
      </c>
      <c r="Y53" s="79">
        <f t="shared" si="2"/>
        <v>239870.68</v>
      </c>
      <c r="Z53" s="80">
        <f t="shared" si="17"/>
        <v>129166.68</v>
      </c>
      <c r="AA53" s="80"/>
      <c r="AB53" s="130"/>
      <c r="AC53" s="80">
        <f>SUM(T53:V53)</f>
        <v>239870.68</v>
      </c>
      <c r="AD53" s="76">
        <f t="shared" si="77"/>
        <v>6.6922601344753502E-2</v>
      </c>
      <c r="AE53" s="130">
        <v>0</v>
      </c>
      <c r="AF53" s="171">
        <f t="shared" si="41"/>
        <v>0</v>
      </c>
      <c r="AG53" s="172">
        <f t="shared" si="78"/>
        <v>0</v>
      </c>
      <c r="AH53" s="150" t="s">
        <v>348</v>
      </c>
      <c r="AI53" s="152"/>
      <c r="AJ53" s="243" t="s">
        <v>409</v>
      </c>
      <c r="AK53" s="354">
        <v>0</v>
      </c>
      <c r="AL53" s="354">
        <v>0</v>
      </c>
      <c r="AM53" s="130">
        <v>0</v>
      </c>
      <c r="AN53" s="85"/>
      <c r="AO53" s="354">
        <v>0</v>
      </c>
      <c r="AP53" s="125"/>
      <c r="AQ53" s="125"/>
      <c r="AR53" s="130">
        <f t="shared" si="35"/>
        <v>0</v>
      </c>
      <c r="AS53" s="125"/>
      <c r="AT53" s="125"/>
      <c r="AU53" s="388"/>
      <c r="AV53" s="261"/>
      <c r="AW53" s="42"/>
      <c r="AX53" s="42"/>
      <c r="AY53" s="42"/>
    </row>
    <row r="54" spans="1:51" ht="117.6" customHeight="1">
      <c r="A54" s="381" t="s">
        <v>246</v>
      </c>
      <c r="B54" s="71" t="s">
        <v>479</v>
      </c>
      <c r="C54" s="72" t="s">
        <v>0</v>
      </c>
      <c r="D54" s="72" t="s">
        <v>5</v>
      </c>
      <c r="E54" s="72"/>
      <c r="F54" s="354">
        <v>6008974</v>
      </c>
      <c r="G54" s="354"/>
      <c r="H54" s="354">
        <v>6008974</v>
      </c>
      <c r="I54" s="354"/>
      <c r="J54" s="354">
        <v>6008974</v>
      </c>
      <c r="K54" s="354">
        <v>6008974</v>
      </c>
      <c r="L54" s="354">
        <v>33269811.77</v>
      </c>
      <c r="M54" s="130">
        <f t="shared" si="81"/>
        <v>5.5366875892623266</v>
      </c>
      <c r="N54" s="354">
        <v>27167137.399999999</v>
      </c>
      <c r="O54" s="132">
        <f t="shared" si="5"/>
        <v>4.5210941834662624</v>
      </c>
      <c r="P54" s="79">
        <v>5920224.3700000001</v>
      </c>
      <c r="Q54" s="76">
        <f t="shared" si="75"/>
        <v>0.98523048527086321</v>
      </c>
      <c r="R54" s="79">
        <v>5920224.3700000001</v>
      </c>
      <c r="S54" s="76">
        <f t="shared" si="76"/>
        <v>0.98523048527086321</v>
      </c>
      <c r="T54" s="79">
        <v>2197386.58</v>
      </c>
      <c r="U54" s="114">
        <v>0</v>
      </c>
      <c r="V54" s="79">
        <v>1348571.26</v>
      </c>
      <c r="W54" s="79">
        <v>225435.14</v>
      </c>
      <c r="X54" s="79">
        <v>0</v>
      </c>
      <c r="Y54" s="79">
        <f t="shared" si="2"/>
        <v>3545957.84</v>
      </c>
      <c r="Z54" s="80">
        <f t="shared" si="17"/>
        <v>2422821.7200000002</v>
      </c>
      <c r="AA54" s="80">
        <v>182450</v>
      </c>
      <c r="AB54" s="136">
        <f>AA54/J54</f>
        <v>3.0362920525201141E-2</v>
      </c>
      <c r="AC54" s="80">
        <f t="shared" ref="AC54" si="82">SUM(T54:V54)</f>
        <v>3545957.84</v>
      </c>
      <c r="AD54" s="76">
        <f t="shared" si="77"/>
        <v>0.59011036493085178</v>
      </c>
      <c r="AE54" s="130">
        <v>2.8325510769540607E-3</v>
      </c>
      <c r="AF54" s="171">
        <f t="shared" si="41"/>
        <v>88749.629999999888</v>
      </c>
      <c r="AG54" s="172">
        <f t="shared" si="78"/>
        <v>1.4769514729136769E-2</v>
      </c>
      <c r="AH54" s="150" t="s">
        <v>349</v>
      </c>
      <c r="AI54" s="152"/>
      <c r="AJ54" s="243" t="s">
        <v>409</v>
      </c>
      <c r="AK54" s="354">
        <v>0</v>
      </c>
      <c r="AL54" s="354">
        <v>0</v>
      </c>
      <c r="AM54" s="130">
        <v>0</v>
      </c>
      <c r="AN54" s="85"/>
      <c r="AO54" s="354">
        <v>0</v>
      </c>
      <c r="AP54" s="125"/>
      <c r="AQ54" s="125"/>
      <c r="AR54" s="130">
        <f t="shared" si="35"/>
        <v>0</v>
      </c>
      <c r="AS54" s="125"/>
      <c r="AT54" s="125"/>
      <c r="AU54" s="388"/>
      <c r="AV54" s="261"/>
      <c r="AW54" s="42"/>
      <c r="AX54" s="42"/>
      <c r="AY54" s="42"/>
    </row>
    <row r="55" spans="1:51" s="52" customFormat="1" ht="49.5">
      <c r="A55" s="379" t="s">
        <v>237</v>
      </c>
      <c r="B55" s="66" t="s">
        <v>480</v>
      </c>
      <c r="C55" s="67" t="s">
        <v>0</v>
      </c>
      <c r="D55" s="67"/>
      <c r="E55" s="67"/>
      <c r="F55" s="353">
        <f>F56+F73</f>
        <v>175190083.02773601</v>
      </c>
      <c r="G55" s="353"/>
      <c r="H55" s="353">
        <f>H56+H73</f>
        <v>175190083.02773601</v>
      </c>
      <c r="I55" s="353"/>
      <c r="J55" s="353">
        <f>J56+J73</f>
        <v>175190083.02773598</v>
      </c>
      <c r="K55" s="353">
        <f>K56+K73</f>
        <v>198980162.34237599</v>
      </c>
      <c r="L55" s="353">
        <f t="shared" ref="L55:N55" si="83">L56+L73</f>
        <v>180800412.47</v>
      </c>
      <c r="M55" s="129">
        <f>L55/J55</f>
        <v>1.0320242410146914</v>
      </c>
      <c r="N55" s="353">
        <f t="shared" si="83"/>
        <v>12793875.82</v>
      </c>
      <c r="O55" s="126">
        <f t="shared" si="5"/>
        <v>7.3028539052490099E-2</v>
      </c>
      <c r="P55" s="68">
        <f>P56+P73</f>
        <v>167245271.07000002</v>
      </c>
      <c r="Q55" s="69">
        <f t="shared" si="75"/>
        <v>0.95465033282461464</v>
      </c>
      <c r="R55" s="68">
        <f>R56+R73</f>
        <v>167245271.07000002</v>
      </c>
      <c r="S55" s="69">
        <f t="shared" si="76"/>
        <v>0.95465033282461464</v>
      </c>
      <c r="T55" s="68">
        <f t="shared" ref="T55:X55" si="84">T56+T73</f>
        <v>117730810.59999998</v>
      </c>
      <c r="U55" s="68">
        <f t="shared" si="84"/>
        <v>0</v>
      </c>
      <c r="V55" s="68">
        <f t="shared" si="84"/>
        <v>1181457.33</v>
      </c>
      <c r="W55" s="68">
        <f t="shared" si="84"/>
        <v>191541.97</v>
      </c>
      <c r="X55" s="68">
        <f t="shared" si="84"/>
        <v>16797.93</v>
      </c>
      <c r="Y55" s="81">
        <f t="shared" si="2"/>
        <v>118895469.99999999</v>
      </c>
      <c r="Z55" s="68">
        <f t="shared" si="17"/>
        <v>117922352.56999998</v>
      </c>
      <c r="AA55" s="68">
        <f>AA56+AA73</f>
        <v>765370.42</v>
      </c>
      <c r="AB55" s="133">
        <f>AA55/J55</f>
        <v>4.3687999159109196E-3</v>
      </c>
      <c r="AC55" s="68">
        <f>AC56+AC73</f>
        <v>118912267.92999999</v>
      </c>
      <c r="AD55" s="69">
        <f t="shared" si="77"/>
        <v>0.67876141089090003</v>
      </c>
      <c r="AE55" s="138">
        <v>1.0569253269885946E-3</v>
      </c>
      <c r="AF55" s="58">
        <f t="shared" si="41"/>
        <v>7944811.9577359557</v>
      </c>
      <c r="AG55" s="59">
        <f t="shared" si="78"/>
        <v>4.5349667175385369E-2</v>
      </c>
      <c r="AH55" s="124"/>
      <c r="AI55" s="222"/>
      <c r="AJ55" s="242" t="s">
        <v>408</v>
      </c>
      <c r="AK55" s="68">
        <f>AK56+AK73</f>
        <v>18155599.389317647</v>
      </c>
      <c r="AL55" s="68">
        <f>AL56+AL73</f>
        <v>21456437.81377</v>
      </c>
      <c r="AM55" s="237">
        <f>AL55/K55</f>
        <v>0.10783204496964324</v>
      </c>
      <c r="AN55" s="197"/>
      <c r="AO55" s="68">
        <f>AO56+AO73</f>
        <v>21912297.81377</v>
      </c>
      <c r="AP55" s="68">
        <f>AP56+AP73</f>
        <v>25456437.81377</v>
      </c>
      <c r="AQ55" s="68">
        <f>AQ56+AQ73</f>
        <v>22956437.81377</v>
      </c>
      <c r="AR55" s="237">
        <f t="shared" si="35"/>
        <v>0.11537048489421732</v>
      </c>
      <c r="AS55" s="124"/>
      <c r="AT55" s="124"/>
      <c r="AU55" s="380"/>
      <c r="AV55" s="25"/>
      <c r="AW55" s="249"/>
      <c r="AX55" s="249"/>
      <c r="AY55" s="249"/>
    </row>
    <row r="56" spans="1:51" s="52" customFormat="1">
      <c r="A56" s="379" t="s">
        <v>30</v>
      </c>
      <c r="B56" s="66" t="s">
        <v>481</v>
      </c>
      <c r="C56" s="67" t="s">
        <v>0</v>
      </c>
      <c r="D56" s="67"/>
      <c r="E56" s="67"/>
      <c r="F56" s="353">
        <f>F57+F63+F64+F67+F68+F69+F70+F71+F72</f>
        <v>166469737.02773601</v>
      </c>
      <c r="G56" s="353"/>
      <c r="H56" s="353">
        <f>H57+H63+H64+H67+H68+H69+H70+H71+H72</f>
        <v>166469737.02773601</v>
      </c>
      <c r="I56" s="353"/>
      <c r="J56" s="353">
        <f>J57+J63+J64+J67+J68+J69+J70+J71+J72</f>
        <v>166469737.02773598</v>
      </c>
      <c r="K56" s="353">
        <f>K57+K63+K64+K67+K68+K69+K70+K71+K72</f>
        <v>188881906.34237599</v>
      </c>
      <c r="L56" s="353">
        <f t="shared" ref="L56:N56" si="85">L57+L63+L64+L67+L68+L69+L70+L71+L72</f>
        <v>172080067.47</v>
      </c>
      <c r="M56" s="129">
        <f>L56/J56</f>
        <v>1.0337018039580927</v>
      </c>
      <c r="N56" s="353">
        <f t="shared" si="85"/>
        <v>12793875.82</v>
      </c>
      <c r="O56" s="126">
        <f t="shared" si="5"/>
        <v>7.685406397841775E-2</v>
      </c>
      <c r="P56" s="68">
        <f>P57+P63+P64+P67+P68+P69+P70+P71+P72</f>
        <v>158524926.07000002</v>
      </c>
      <c r="Q56" s="69">
        <f t="shared" si="75"/>
        <v>0.95227474314798577</v>
      </c>
      <c r="R56" s="68">
        <f>R57+R63+R64+R67+R68+R69+R70+R71+R72</f>
        <v>158524926.07000002</v>
      </c>
      <c r="S56" s="69">
        <f t="shared" si="76"/>
        <v>0.95227474314798577</v>
      </c>
      <c r="T56" s="68">
        <f>T57+T63+T64+T67+T68+T69+T70+T71+T72</f>
        <v>112112300.40999998</v>
      </c>
      <c r="U56" s="68">
        <f t="shared" ref="U56:X56" si="86">U57+U63+U64+U67+U68+U69+U70+U71+U72</f>
        <v>0</v>
      </c>
      <c r="V56" s="68">
        <f t="shared" si="86"/>
        <v>1181457.33</v>
      </c>
      <c r="W56" s="68">
        <f t="shared" si="86"/>
        <v>191541.97</v>
      </c>
      <c r="X56" s="68">
        <f t="shared" si="86"/>
        <v>16797.93</v>
      </c>
      <c r="Y56" s="68">
        <f t="shared" si="2"/>
        <v>113276959.80999999</v>
      </c>
      <c r="Z56" s="68">
        <f t="shared" si="17"/>
        <v>112303842.37999998</v>
      </c>
      <c r="AA56" s="68">
        <f>AA57+AA63+AA64+AA67+AA68+AA69+AA70+AA71+AA72</f>
        <v>765370.42</v>
      </c>
      <c r="AB56" s="133">
        <f>AA56/J56</f>
        <v>4.5976550072430256E-3</v>
      </c>
      <c r="AC56" s="68">
        <f>AC57+AC63+AC64+AC67+AC68+AC69+AC70+AC71+AC72</f>
        <v>113293757.73999999</v>
      </c>
      <c r="AD56" s="69">
        <f t="shared" si="77"/>
        <v>0.68056668895394368</v>
      </c>
      <c r="AE56" s="138">
        <v>1.0569253269885946E-3</v>
      </c>
      <c r="AF56" s="58">
        <f t="shared" si="41"/>
        <v>7944810.9577359557</v>
      </c>
      <c r="AG56" s="59">
        <f t="shared" si="78"/>
        <v>4.7725256852014182E-2</v>
      </c>
      <c r="AH56" s="124"/>
      <c r="AI56" s="222"/>
      <c r="AJ56" s="242" t="s">
        <v>408</v>
      </c>
      <c r="AK56" s="353">
        <f>AK57+AK63+AK64+AK67+AK68+AK69+AK70+AK71+AK72</f>
        <v>18155599.389317647</v>
      </c>
      <c r="AL56" s="353">
        <f>AL57+AL63+AL64+AL67+AL68+AL69+AL70+AL71+AL72</f>
        <v>21456437.81377</v>
      </c>
      <c r="AM56" s="237">
        <f>AL56/K56</f>
        <v>0.11359710535151567</v>
      </c>
      <c r="AN56" s="197"/>
      <c r="AO56" s="68">
        <f>AO57+AO63+AO64+AO67+AO68+AO69+AO70+AO71+AO72+AO59</f>
        <v>21912297.81377</v>
      </c>
      <c r="AP56" s="353">
        <f>AP57+AP63+AP64+AP67+AP68+AP69+AP70+AP71+AP72</f>
        <v>23956437.81377</v>
      </c>
      <c r="AQ56" s="353">
        <f>AQ57+AQ63+AQ64+AQ67+AQ68+AQ69+AQ70+AQ71+AQ72</f>
        <v>21456437.81377</v>
      </c>
      <c r="AR56" s="237">
        <f t="shared" si="35"/>
        <v>0.11359710535151567</v>
      </c>
      <c r="AS56" s="124"/>
      <c r="AT56" s="124"/>
      <c r="AU56" s="380"/>
      <c r="AV56" s="25"/>
      <c r="AW56" s="249"/>
      <c r="AX56" s="249"/>
      <c r="AY56" s="249"/>
    </row>
    <row r="57" spans="1:51" s="52" customFormat="1" ht="115.5">
      <c r="A57" s="387" t="s">
        <v>31</v>
      </c>
      <c r="B57" s="77" t="s">
        <v>482</v>
      </c>
      <c r="C57" s="78" t="s">
        <v>0</v>
      </c>
      <c r="D57" s="78"/>
      <c r="E57" s="78"/>
      <c r="F57" s="354">
        <f>SUM(F58:F62)</f>
        <v>96387054.270828009</v>
      </c>
      <c r="G57" s="354"/>
      <c r="H57" s="354">
        <f>SUM(H58:H62)</f>
        <v>96387054.270828009</v>
      </c>
      <c r="I57" s="354"/>
      <c r="J57" s="354">
        <f>SUM(J58:J62)</f>
        <v>96387054.270827979</v>
      </c>
      <c r="K57" s="354">
        <f>SUM(K58:K62)</f>
        <v>103238139.80970798</v>
      </c>
      <c r="L57" s="354">
        <f t="shared" ref="L57:N57" si="87">SUM(L58:L62)</f>
        <v>96511723.819999993</v>
      </c>
      <c r="M57" s="130">
        <f>L57/J57</f>
        <v>1.0012934262813107</v>
      </c>
      <c r="N57" s="354">
        <f t="shared" si="87"/>
        <v>12663809.35</v>
      </c>
      <c r="O57" s="132">
        <f t="shared" si="5"/>
        <v>0.13138496083112236</v>
      </c>
      <c r="P57" s="84">
        <f>SUM(P58:P61)</f>
        <v>83145764.359999999</v>
      </c>
      <c r="Q57" s="76">
        <f t="shared" si="75"/>
        <v>0.86262377234163989</v>
      </c>
      <c r="R57" s="84">
        <f>SUM(R58:R61)</f>
        <v>83145764.359999999</v>
      </c>
      <c r="S57" s="76">
        <f t="shared" si="76"/>
        <v>0.86262377234163989</v>
      </c>
      <c r="T57" s="81">
        <f t="shared" ref="T57:X57" si="88">SUM(T58:T61)</f>
        <v>54390234.579999998</v>
      </c>
      <c r="U57" s="81">
        <f t="shared" si="88"/>
        <v>0</v>
      </c>
      <c r="V57" s="81">
        <f t="shared" si="88"/>
        <v>0</v>
      </c>
      <c r="W57" s="81">
        <f t="shared" si="88"/>
        <v>0</v>
      </c>
      <c r="X57" s="81">
        <f t="shared" si="88"/>
        <v>36.119999999999997</v>
      </c>
      <c r="Y57" s="81">
        <f t="shared" si="2"/>
        <v>54390198.460000001</v>
      </c>
      <c r="Z57" s="84">
        <f>SUM(Z58:Z61)</f>
        <v>54390234.579999998</v>
      </c>
      <c r="AA57" s="84">
        <f>SUM(AA58:AA61)</f>
        <v>706254.95000000007</v>
      </c>
      <c r="AB57" s="136">
        <f>AA57/J57</f>
        <v>7.3272801554404559E-3</v>
      </c>
      <c r="AC57" s="81">
        <f>SUM(AC58:AC61)</f>
        <v>54390234.579999998</v>
      </c>
      <c r="AD57" s="76">
        <f t="shared" si="77"/>
        <v>0.56428983115486153</v>
      </c>
      <c r="AE57" s="141"/>
      <c r="AF57" s="171">
        <f t="shared" si="41"/>
        <v>13241289.910827979</v>
      </c>
      <c r="AG57" s="172">
        <f t="shared" si="78"/>
        <v>0.13737622765836016</v>
      </c>
      <c r="AH57" s="125"/>
      <c r="AI57" s="85"/>
      <c r="AJ57" s="243" t="s">
        <v>408</v>
      </c>
      <c r="AK57" s="354">
        <f>SUM(AK58:AK62)</f>
        <v>6979681.8137699999</v>
      </c>
      <c r="AL57" s="354">
        <f>SUM(AL58:AL62)</f>
        <v>7571088.8137699999</v>
      </c>
      <c r="AM57" s="130">
        <f>AL57/K57</f>
        <v>7.3336160722435387E-2</v>
      </c>
      <c r="AN57" s="85"/>
      <c r="AO57" s="354">
        <v>0</v>
      </c>
      <c r="AP57" s="354">
        <f>SUM(AP58:AP62)</f>
        <v>10071088.81377</v>
      </c>
      <c r="AQ57" s="354">
        <f>SUM(AQ58:AQ62)</f>
        <v>7571088.8137699999</v>
      </c>
      <c r="AR57" s="130">
        <f t="shared" si="35"/>
        <v>7.3336160722435387E-2</v>
      </c>
      <c r="AS57" s="125"/>
      <c r="AT57" s="125"/>
      <c r="AU57" s="388"/>
      <c r="AV57" s="261"/>
      <c r="AW57" s="249"/>
      <c r="AX57" s="249"/>
      <c r="AY57" s="249"/>
    </row>
    <row r="58" spans="1:51" ht="182.25" customHeight="1">
      <c r="A58" s="381" t="s">
        <v>220</v>
      </c>
      <c r="B58" s="71" t="s">
        <v>483</v>
      </c>
      <c r="C58" s="72" t="s">
        <v>0</v>
      </c>
      <c r="D58" s="72" t="s">
        <v>155</v>
      </c>
      <c r="E58" s="72"/>
      <c r="F58" s="354">
        <v>18120843.920952</v>
      </c>
      <c r="G58" s="354"/>
      <c r="H58" s="354">
        <v>18120843.920952</v>
      </c>
      <c r="I58" s="354"/>
      <c r="J58" s="354">
        <v>18120843.920952</v>
      </c>
      <c r="K58" s="354">
        <v>18120843.920952</v>
      </c>
      <c r="L58" s="354">
        <v>19973926.120000001</v>
      </c>
      <c r="M58" s="130">
        <f t="shared" ref="M58:M70" si="89">L58/J58</f>
        <v>1.1022624667555023</v>
      </c>
      <c r="N58" s="354">
        <v>2930087.94</v>
      </c>
      <c r="O58" s="132">
        <f t="shared" si="5"/>
        <v>0.16169710156888015</v>
      </c>
      <c r="P58" s="354">
        <v>16999468.52</v>
      </c>
      <c r="Q58" s="76">
        <f t="shared" si="75"/>
        <v>0.93811682249216755</v>
      </c>
      <c r="R58" s="79">
        <v>16999468.52</v>
      </c>
      <c r="S58" s="76">
        <f t="shared" si="76"/>
        <v>0.93811682249216755</v>
      </c>
      <c r="T58" s="354">
        <v>3253650.8000000003</v>
      </c>
      <c r="U58" s="114">
        <v>0</v>
      </c>
      <c r="V58" s="79">
        <v>0</v>
      </c>
      <c r="W58" s="79">
        <v>0</v>
      </c>
      <c r="X58" s="79">
        <v>0</v>
      </c>
      <c r="Y58" s="79">
        <f t="shared" si="2"/>
        <v>3253650.8000000003</v>
      </c>
      <c r="Z58" s="80">
        <f t="shared" si="17"/>
        <v>3253650.8000000003</v>
      </c>
      <c r="AA58" s="80">
        <v>44369.66</v>
      </c>
      <c r="AB58" s="136">
        <f>AA58/J58</f>
        <v>2.4485426944546515E-3</v>
      </c>
      <c r="AC58" s="80">
        <f t="shared" ref="AC58:AC63" si="90">SUM(T58:V58)</f>
        <v>3253650.8000000003</v>
      </c>
      <c r="AD58" s="76">
        <f t="shared" si="77"/>
        <v>0.17955293992891838</v>
      </c>
      <c r="AE58" s="130">
        <v>1.1842962128735196E-3</v>
      </c>
      <c r="AF58" s="171">
        <f t="shared" si="41"/>
        <v>1121375.4009520002</v>
      </c>
      <c r="AG58" s="172">
        <f t="shared" si="78"/>
        <v>6.1883177507832503E-2</v>
      </c>
      <c r="AH58" s="143" t="s">
        <v>316</v>
      </c>
      <c r="AI58" s="144"/>
      <c r="AJ58" s="243" t="s">
        <v>409</v>
      </c>
      <c r="AK58" s="354">
        <v>0</v>
      </c>
      <c r="AL58" s="354">
        <v>0</v>
      </c>
      <c r="AM58" s="130">
        <v>0</v>
      </c>
      <c r="AN58" s="85"/>
      <c r="AO58" s="354">
        <v>0</v>
      </c>
      <c r="AP58" s="354">
        <v>2500000</v>
      </c>
      <c r="AQ58" s="354">
        <v>0</v>
      </c>
      <c r="AR58" s="130">
        <f t="shared" si="35"/>
        <v>0</v>
      </c>
      <c r="AS58" s="354" t="s">
        <v>432</v>
      </c>
      <c r="AT58" s="170" t="s">
        <v>723</v>
      </c>
      <c r="AU58" s="388"/>
      <c r="AV58" s="261"/>
      <c r="AW58" s="42"/>
      <c r="AX58" s="42"/>
      <c r="AY58" s="42"/>
    </row>
    <row r="59" spans="1:51" ht="66.75" customHeight="1">
      <c r="A59" s="383" t="s">
        <v>238</v>
      </c>
      <c r="B59" s="350" t="s">
        <v>484</v>
      </c>
      <c r="C59" s="183" t="s">
        <v>0</v>
      </c>
      <c r="D59" s="183" t="s">
        <v>156</v>
      </c>
      <c r="E59" s="183"/>
      <c r="F59" s="355">
        <v>69796818.137700006</v>
      </c>
      <c r="G59" s="355"/>
      <c r="H59" s="355">
        <v>69796818.137700006</v>
      </c>
      <c r="I59" s="355"/>
      <c r="J59" s="355">
        <v>69796818.137699991</v>
      </c>
      <c r="K59" s="355">
        <v>75710888.137699991</v>
      </c>
      <c r="L59" s="355">
        <v>60724366.490000002</v>
      </c>
      <c r="M59" s="184">
        <f t="shared" si="89"/>
        <v>0.87001625733423504</v>
      </c>
      <c r="N59" s="355"/>
      <c r="O59" s="185">
        <f t="shared" si="5"/>
        <v>0</v>
      </c>
      <c r="P59" s="355">
        <v>60728471.329999998</v>
      </c>
      <c r="Q59" s="186">
        <f t="shared" si="75"/>
        <v>0.87007506861116035</v>
      </c>
      <c r="R59" s="355">
        <v>60728471.329999998</v>
      </c>
      <c r="S59" s="186">
        <f t="shared" si="76"/>
        <v>0.87007506861116035</v>
      </c>
      <c r="T59" s="355">
        <v>46073568.659999996</v>
      </c>
      <c r="U59" s="188">
        <v>0</v>
      </c>
      <c r="V59" s="188">
        <v>0</v>
      </c>
      <c r="W59" s="188">
        <v>0</v>
      </c>
      <c r="X59" s="188">
        <v>36.119999999999997</v>
      </c>
      <c r="Y59" s="187">
        <f t="shared" si="2"/>
        <v>46073532.539999999</v>
      </c>
      <c r="Z59" s="189">
        <f t="shared" si="17"/>
        <v>46073568.659999996</v>
      </c>
      <c r="AA59" s="189"/>
      <c r="AB59" s="184"/>
      <c r="AC59" s="189">
        <f t="shared" si="90"/>
        <v>46073568.659999996</v>
      </c>
      <c r="AD59" s="186">
        <f t="shared" si="77"/>
        <v>0.66010987161481882</v>
      </c>
      <c r="AE59" s="184">
        <v>4.0492169108733388E-4</v>
      </c>
      <c r="AF59" s="190">
        <f t="shared" si="41"/>
        <v>9068346.8076999933</v>
      </c>
      <c r="AG59" s="191">
        <f t="shared" si="78"/>
        <v>0.1299249313888397</v>
      </c>
      <c r="AH59" s="196"/>
      <c r="AI59" s="225"/>
      <c r="AJ59" s="244" t="s">
        <v>408</v>
      </c>
      <c r="AK59" s="355">
        <f>J59*10%</f>
        <v>6979681.8137699999</v>
      </c>
      <c r="AL59" s="355">
        <v>7571088.8137699999</v>
      </c>
      <c r="AM59" s="212">
        <f>AL59/K59</f>
        <v>0.1</v>
      </c>
      <c r="AN59" s="355" t="s">
        <v>433</v>
      </c>
      <c r="AO59" s="355">
        <v>7571088.8137699999</v>
      </c>
      <c r="AP59" s="323">
        <f>AL59</f>
        <v>7571088.8137699999</v>
      </c>
      <c r="AQ59" s="323">
        <f>AL59</f>
        <v>7571088.8137699999</v>
      </c>
      <c r="AR59" s="212">
        <f t="shared" si="35"/>
        <v>0.1</v>
      </c>
      <c r="AS59" s="322" t="s">
        <v>433</v>
      </c>
      <c r="AT59" s="322" t="s">
        <v>689</v>
      </c>
      <c r="AU59" s="384"/>
      <c r="AV59" s="258"/>
    </row>
    <row r="60" spans="1:51" ht="100.9" customHeight="1">
      <c r="A60" s="381" t="s">
        <v>251</v>
      </c>
      <c r="B60" s="71" t="s">
        <v>485</v>
      </c>
      <c r="C60" s="72" t="s">
        <v>0</v>
      </c>
      <c r="D60" s="72" t="s">
        <v>155</v>
      </c>
      <c r="E60" s="72"/>
      <c r="F60" s="354">
        <v>2398644.7510560001</v>
      </c>
      <c r="G60" s="354"/>
      <c r="H60" s="354">
        <v>2398644.7510560001</v>
      </c>
      <c r="I60" s="354"/>
      <c r="J60" s="354">
        <v>2398644.7510560001</v>
      </c>
      <c r="K60" s="354">
        <v>2398644.7510560001</v>
      </c>
      <c r="L60" s="354">
        <v>12742684.93</v>
      </c>
      <c r="M60" s="130">
        <f t="shared" si="89"/>
        <v>5.3124519270267303</v>
      </c>
      <c r="N60" s="354">
        <v>9733721.4100000001</v>
      </c>
      <c r="O60" s="132">
        <f t="shared" si="5"/>
        <v>4.0580087592023544</v>
      </c>
      <c r="P60" s="354">
        <v>2347078.23</v>
      </c>
      <c r="Q60" s="76">
        <f t="shared" si="75"/>
        <v>0.97850180981018631</v>
      </c>
      <c r="R60" s="79">
        <v>2347078.23</v>
      </c>
      <c r="S60" s="76">
        <f t="shared" si="76"/>
        <v>0.97850180981018631</v>
      </c>
      <c r="T60" s="354">
        <v>1992268.8399999999</v>
      </c>
      <c r="U60" s="114">
        <v>0</v>
      </c>
      <c r="V60" s="114">
        <v>0</v>
      </c>
      <c r="W60" s="114">
        <v>0</v>
      </c>
      <c r="X60" s="114">
        <v>0</v>
      </c>
      <c r="Y60" s="79">
        <f t="shared" si="2"/>
        <v>1992268.8399999999</v>
      </c>
      <c r="Z60" s="80">
        <f t="shared" si="17"/>
        <v>1992268.8399999999</v>
      </c>
      <c r="AA60" s="80">
        <v>661885.29</v>
      </c>
      <c r="AB60" s="136">
        <f>AA60/J60</f>
        <v>0.27594135801418945</v>
      </c>
      <c r="AC60" s="80">
        <f t="shared" si="90"/>
        <v>1992268.8399999999</v>
      </c>
      <c r="AD60" s="76">
        <f t="shared" si="77"/>
        <v>0.83058103502942904</v>
      </c>
      <c r="AE60" s="130">
        <v>3.0309565295813665E-2</v>
      </c>
      <c r="AF60" s="171">
        <f t="shared" si="41"/>
        <v>51566.521056000143</v>
      </c>
      <c r="AG60" s="172">
        <f t="shared" si="78"/>
        <v>2.1498190189813665E-2</v>
      </c>
      <c r="AH60" s="143" t="s">
        <v>316</v>
      </c>
      <c r="AI60" s="144"/>
      <c r="AJ60" s="243" t="s">
        <v>409</v>
      </c>
      <c r="AK60" s="354">
        <v>0</v>
      </c>
      <c r="AL60" s="354">
        <v>0</v>
      </c>
      <c r="AM60" s="130">
        <v>0</v>
      </c>
      <c r="AN60" s="85"/>
      <c r="AO60" s="354">
        <v>0</v>
      </c>
      <c r="AP60" s="125"/>
      <c r="AQ60" s="125"/>
      <c r="AR60" s="130">
        <f t="shared" si="35"/>
        <v>0</v>
      </c>
      <c r="AS60" s="125"/>
      <c r="AT60" s="125"/>
      <c r="AU60" s="388"/>
      <c r="AV60" s="261"/>
      <c r="AW60" s="42"/>
      <c r="AX60" s="42"/>
      <c r="AY60" s="42"/>
    </row>
    <row r="61" spans="1:51" ht="50.45" customHeight="1">
      <c r="A61" s="381" t="s">
        <v>215</v>
      </c>
      <c r="B61" s="71" t="s">
        <v>486</v>
      </c>
      <c r="C61" s="72" t="s">
        <v>0</v>
      </c>
      <c r="D61" s="72" t="s">
        <v>156</v>
      </c>
      <c r="E61" s="72"/>
      <c r="F61" s="354">
        <v>3070747.4611200001</v>
      </c>
      <c r="G61" s="354"/>
      <c r="H61" s="354">
        <v>3070747.4611200001</v>
      </c>
      <c r="I61" s="354"/>
      <c r="J61" s="354">
        <v>3070747.4611200001</v>
      </c>
      <c r="K61" s="354">
        <v>4007763</v>
      </c>
      <c r="L61" s="354">
        <v>3070746.28</v>
      </c>
      <c r="M61" s="130">
        <f>L61/J61</f>
        <v>0.99999961536400661</v>
      </c>
      <c r="N61" s="354"/>
      <c r="O61" s="132">
        <f t="shared" si="5"/>
        <v>0</v>
      </c>
      <c r="P61" s="354">
        <v>3070746.28</v>
      </c>
      <c r="Q61" s="76">
        <f t="shared" si="75"/>
        <v>0.99999961536400661</v>
      </c>
      <c r="R61" s="79">
        <v>3070746.28</v>
      </c>
      <c r="S61" s="76">
        <f t="shared" si="76"/>
        <v>0.99999961536400661</v>
      </c>
      <c r="T61" s="354">
        <v>3070746.28</v>
      </c>
      <c r="U61" s="114">
        <v>0</v>
      </c>
      <c r="V61" s="114">
        <v>0</v>
      </c>
      <c r="W61" s="114">
        <v>0</v>
      </c>
      <c r="X61" s="114">
        <v>0</v>
      </c>
      <c r="Y61" s="79">
        <f t="shared" si="2"/>
        <v>3070746.28</v>
      </c>
      <c r="Z61" s="80">
        <f t="shared" si="17"/>
        <v>3070746.28</v>
      </c>
      <c r="AA61" s="80"/>
      <c r="AB61" s="130"/>
      <c r="AC61" s="80">
        <f t="shared" si="90"/>
        <v>3070746.28</v>
      </c>
      <c r="AD61" s="76">
        <f t="shared" si="77"/>
        <v>0.99999961536400661</v>
      </c>
      <c r="AE61" s="130">
        <v>8.6876525916316561E-4</v>
      </c>
      <c r="AF61" s="171">
        <v>0</v>
      </c>
      <c r="AG61" s="172">
        <f t="shared" si="78"/>
        <v>0</v>
      </c>
      <c r="AH61" s="125"/>
      <c r="AI61" s="85"/>
      <c r="AJ61" s="243" t="s">
        <v>409</v>
      </c>
      <c r="AK61" s="354">
        <v>0</v>
      </c>
      <c r="AL61" s="354">
        <v>0</v>
      </c>
      <c r="AM61" s="130">
        <v>0</v>
      </c>
      <c r="AN61" s="85"/>
      <c r="AO61" s="354">
        <v>0</v>
      </c>
      <c r="AP61" s="125"/>
      <c r="AQ61" s="125"/>
      <c r="AR61" s="130">
        <f t="shared" si="35"/>
        <v>0</v>
      </c>
      <c r="AS61" s="125"/>
      <c r="AT61" s="125"/>
      <c r="AU61" s="388"/>
      <c r="AV61" s="261"/>
      <c r="AW61" s="42"/>
      <c r="AX61" s="42"/>
      <c r="AY61" s="42"/>
    </row>
    <row r="62" spans="1:51" s="93" customFormat="1" ht="33.6" customHeight="1">
      <c r="A62" s="392" t="s">
        <v>221</v>
      </c>
      <c r="B62" s="101" t="s">
        <v>487</v>
      </c>
      <c r="C62" s="102" t="s">
        <v>0</v>
      </c>
      <c r="D62" s="102" t="s">
        <v>155</v>
      </c>
      <c r="E62" s="92"/>
      <c r="F62" s="354">
        <v>3000000</v>
      </c>
      <c r="G62" s="354"/>
      <c r="H62" s="354">
        <v>3000000</v>
      </c>
      <c r="I62" s="85"/>
      <c r="J62" s="354">
        <v>3000000</v>
      </c>
      <c r="K62" s="354">
        <v>3000000</v>
      </c>
      <c r="L62" s="354"/>
      <c r="M62" s="130">
        <f t="shared" si="89"/>
        <v>0</v>
      </c>
      <c r="N62" s="354"/>
      <c r="O62" s="132">
        <f t="shared" si="5"/>
        <v>0</v>
      </c>
      <c r="P62" s="354">
        <v>0</v>
      </c>
      <c r="Q62" s="76">
        <f t="shared" si="75"/>
        <v>0</v>
      </c>
      <c r="R62" s="79">
        <v>0</v>
      </c>
      <c r="S62" s="76">
        <f t="shared" si="76"/>
        <v>0</v>
      </c>
      <c r="T62" s="354">
        <v>0</v>
      </c>
      <c r="U62" s="114">
        <v>0</v>
      </c>
      <c r="V62" s="114">
        <v>0</v>
      </c>
      <c r="W62" s="114">
        <v>0</v>
      </c>
      <c r="X62" s="114"/>
      <c r="Y62" s="79"/>
      <c r="Z62" s="80">
        <v>0</v>
      </c>
      <c r="AA62" s="80"/>
      <c r="AB62" s="130"/>
      <c r="AC62" s="80">
        <v>0</v>
      </c>
      <c r="AD62" s="76">
        <v>0</v>
      </c>
      <c r="AE62" s="130"/>
      <c r="AF62" s="171">
        <f>J62-R62</f>
        <v>3000000</v>
      </c>
      <c r="AG62" s="172">
        <f t="shared" si="78"/>
        <v>1</v>
      </c>
      <c r="AH62" s="143" t="s">
        <v>317</v>
      </c>
      <c r="AI62" s="144"/>
      <c r="AJ62" s="243" t="s">
        <v>409</v>
      </c>
      <c r="AK62" s="354">
        <v>0</v>
      </c>
      <c r="AL62" s="354">
        <v>0</v>
      </c>
      <c r="AM62" s="130">
        <v>0</v>
      </c>
      <c r="AN62" s="85"/>
      <c r="AO62" s="354">
        <v>0</v>
      </c>
      <c r="AP62" s="125"/>
      <c r="AQ62" s="125"/>
      <c r="AR62" s="130">
        <f t="shared" si="35"/>
        <v>0</v>
      </c>
      <c r="AS62" s="125"/>
      <c r="AT62" s="125"/>
      <c r="AU62" s="388"/>
      <c r="AV62" s="261"/>
    </row>
    <row r="63" spans="1:51" ht="78" customHeight="1">
      <c r="A63" s="381" t="s">
        <v>32</v>
      </c>
      <c r="B63" s="71" t="s">
        <v>488</v>
      </c>
      <c r="C63" s="72" t="s">
        <v>0</v>
      </c>
      <c r="D63" s="72" t="s">
        <v>155</v>
      </c>
      <c r="E63" s="72"/>
      <c r="F63" s="354">
        <v>12167953</v>
      </c>
      <c r="G63" s="354"/>
      <c r="H63" s="354">
        <v>12167953</v>
      </c>
      <c r="I63" s="354"/>
      <c r="J63" s="354">
        <v>12167953</v>
      </c>
      <c r="K63" s="354">
        <v>14315238</v>
      </c>
      <c r="L63" s="354">
        <v>12167953</v>
      </c>
      <c r="M63" s="130">
        <f t="shared" si="89"/>
        <v>1</v>
      </c>
      <c r="N63" s="354"/>
      <c r="O63" s="132">
        <f t="shared" si="5"/>
        <v>0</v>
      </c>
      <c r="P63" s="354">
        <v>12167953</v>
      </c>
      <c r="Q63" s="76">
        <f t="shared" si="75"/>
        <v>1</v>
      </c>
      <c r="R63" s="79">
        <v>12167953</v>
      </c>
      <c r="S63" s="76">
        <f t="shared" si="76"/>
        <v>1</v>
      </c>
      <c r="T63" s="354">
        <v>12167953</v>
      </c>
      <c r="U63" s="114">
        <v>0</v>
      </c>
      <c r="V63" s="114">
        <v>0</v>
      </c>
      <c r="W63" s="114">
        <v>0</v>
      </c>
      <c r="X63" s="114">
        <v>0</v>
      </c>
      <c r="Y63" s="79">
        <f t="shared" si="2"/>
        <v>12167953</v>
      </c>
      <c r="Z63" s="80">
        <f t="shared" si="17"/>
        <v>12167953</v>
      </c>
      <c r="AA63" s="80"/>
      <c r="AB63" s="130"/>
      <c r="AC63" s="80">
        <f t="shared" si="90"/>
        <v>12167953</v>
      </c>
      <c r="AD63" s="76">
        <f t="shared" ref="AD63:AD68" si="91">AC63/J63</f>
        <v>1</v>
      </c>
      <c r="AE63" s="130">
        <v>0</v>
      </c>
      <c r="AF63" s="171">
        <f>J63-R63</f>
        <v>0</v>
      </c>
      <c r="AG63" s="172">
        <f t="shared" si="78"/>
        <v>0</v>
      </c>
      <c r="AH63" s="144" t="s">
        <v>318</v>
      </c>
      <c r="AI63" s="144"/>
      <c r="AJ63" s="243" t="s">
        <v>409</v>
      </c>
      <c r="AK63" s="354">
        <v>0</v>
      </c>
      <c r="AL63" s="354">
        <v>0</v>
      </c>
      <c r="AM63" s="130">
        <v>0</v>
      </c>
      <c r="AN63" s="85"/>
      <c r="AO63" s="354">
        <v>0</v>
      </c>
      <c r="AP63" s="125"/>
      <c r="AQ63" s="125"/>
      <c r="AR63" s="130">
        <f t="shared" si="35"/>
        <v>0</v>
      </c>
      <c r="AS63" s="125"/>
      <c r="AT63" s="125"/>
      <c r="AU63" s="388"/>
      <c r="AV63" s="261"/>
      <c r="AW63" s="42"/>
      <c r="AX63" s="42"/>
      <c r="AY63" s="42"/>
    </row>
    <row r="64" spans="1:51" s="52" customFormat="1" ht="84" customHeight="1">
      <c r="A64" s="387" t="s">
        <v>33</v>
      </c>
      <c r="B64" s="77" t="s">
        <v>489</v>
      </c>
      <c r="C64" s="78" t="s">
        <v>0</v>
      </c>
      <c r="D64" s="78" t="s">
        <v>156</v>
      </c>
      <c r="E64" s="78"/>
      <c r="F64" s="354">
        <f>SUM(F65:F66)</f>
        <v>6290088.3168839999</v>
      </c>
      <c r="G64" s="354"/>
      <c r="H64" s="354">
        <f>SUM(H65:H66)</f>
        <v>6290088.3168839999</v>
      </c>
      <c r="I64" s="354"/>
      <c r="J64" s="354">
        <f>SUM(J65:J66)</f>
        <v>6290088.3168839999</v>
      </c>
      <c r="K64" s="354">
        <f>SUM(K65:K66)</f>
        <v>7400104.7529039998</v>
      </c>
      <c r="L64" s="354">
        <f t="shared" ref="L64:N64" si="92">SUM(L65:L66)</f>
        <v>6290086.5899999999</v>
      </c>
      <c r="M64" s="130">
        <f>L64/J64</f>
        <v>0.99999972545949867</v>
      </c>
      <c r="N64" s="354">
        <f t="shared" si="92"/>
        <v>0</v>
      </c>
      <c r="O64" s="132">
        <f t="shared" si="5"/>
        <v>0</v>
      </c>
      <c r="P64" s="84">
        <f>SUM(P65:P66)</f>
        <v>6290086.5899999999</v>
      </c>
      <c r="Q64" s="76">
        <f t="shared" si="75"/>
        <v>0.99999972545949867</v>
      </c>
      <c r="R64" s="81">
        <f>SUM(R65:R66)</f>
        <v>6290086.5899999999</v>
      </c>
      <c r="S64" s="76">
        <f t="shared" si="76"/>
        <v>0.99999972545949867</v>
      </c>
      <c r="T64" s="81">
        <f t="shared" ref="T64:X64" si="93">SUM(T65:T66)</f>
        <v>4505578.5600000005</v>
      </c>
      <c r="U64" s="81">
        <f t="shared" si="93"/>
        <v>0</v>
      </c>
      <c r="V64" s="81">
        <f t="shared" si="93"/>
        <v>1181457.33</v>
      </c>
      <c r="W64" s="81">
        <f t="shared" si="93"/>
        <v>191541.97</v>
      </c>
      <c r="X64" s="81">
        <f t="shared" si="93"/>
        <v>16761.810000000001</v>
      </c>
      <c r="Y64" s="81">
        <f t="shared" si="2"/>
        <v>5670274.080000001</v>
      </c>
      <c r="Z64" s="118">
        <f t="shared" si="17"/>
        <v>4697120.53</v>
      </c>
      <c r="AA64" s="81">
        <f>SUM(AA65:AA66)</f>
        <v>0</v>
      </c>
      <c r="AB64" s="136">
        <f>AA64/J64</f>
        <v>0</v>
      </c>
      <c r="AC64" s="81">
        <f>SUM(AC65:AC66)</f>
        <v>5687035.8900000006</v>
      </c>
      <c r="AD64" s="76">
        <f t="shared" si="91"/>
        <v>0.90412655649599194</v>
      </c>
      <c r="AE64" s="141"/>
      <c r="AF64" s="171">
        <f>J64-R64</f>
        <v>1.7268840000033379</v>
      </c>
      <c r="AG64" s="172">
        <f t="shared" si="78"/>
        <v>2.7454050134208705E-7</v>
      </c>
      <c r="AH64" s="125"/>
      <c r="AI64" s="85"/>
      <c r="AJ64" s="243" t="s">
        <v>409</v>
      </c>
      <c r="AK64" s="354">
        <v>0</v>
      </c>
      <c r="AL64" s="354">
        <v>0</v>
      </c>
      <c r="AM64" s="130">
        <v>0</v>
      </c>
      <c r="AN64" s="85"/>
      <c r="AO64" s="354">
        <v>0</v>
      </c>
      <c r="AP64" s="125"/>
      <c r="AQ64" s="125"/>
      <c r="AR64" s="130">
        <f t="shared" si="35"/>
        <v>0</v>
      </c>
      <c r="AS64" s="125"/>
      <c r="AT64" s="125"/>
      <c r="AU64" s="388"/>
      <c r="AV64" s="261"/>
    </row>
    <row r="65" spans="1:51" ht="67.150000000000006" customHeight="1">
      <c r="A65" s="381" t="s">
        <v>214</v>
      </c>
      <c r="B65" s="71" t="s">
        <v>490</v>
      </c>
      <c r="C65" s="72" t="s">
        <v>0</v>
      </c>
      <c r="D65" s="72" t="s">
        <v>156</v>
      </c>
      <c r="E65" s="72"/>
      <c r="F65" s="354">
        <v>519738.31688400003</v>
      </c>
      <c r="G65" s="354"/>
      <c r="H65" s="354">
        <v>519738.31688400003</v>
      </c>
      <c r="I65" s="354"/>
      <c r="J65" s="354">
        <v>519738.31688399997</v>
      </c>
      <c r="K65" s="354">
        <v>611457.75290399999</v>
      </c>
      <c r="L65" s="354">
        <v>519737.8</v>
      </c>
      <c r="M65" s="130">
        <f t="shared" si="89"/>
        <v>0.99999900549183462</v>
      </c>
      <c r="N65" s="354"/>
      <c r="O65" s="132">
        <f t="shared" si="5"/>
        <v>0</v>
      </c>
      <c r="P65" s="354">
        <v>519737.8</v>
      </c>
      <c r="Q65" s="76">
        <f t="shared" si="75"/>
        <v>0.99999900549183462</v>
      </c>
      <c r="R65" s="79">
        <v>519737.8</v>
      </c>
      <c r="S65" s="76">
        <f t="shared" si="76"/>
        <v>0.99999900549183462</v>
      </c>
      <c r="T65" s="79">
        <v>536499.61</v>
      </c>
      <c r="U65" s="79">
        <v>0</v>
      </c>
      <c r="V65" s="79">
        <v>0</v>
      </c>
      <c r="W65" s="79">
        <v>0</v>
      </c>
      <c r="X65" s="79">
        <v>16761.810000000001</v>
      </c>
      <c r="Y65" s="79">
        <f t="shared" si="2"/>
        <v>519737.8</v>
      </c>
      <c r="Z65" s="80">
        <f t="shared" si="17"/>
        <v>536499.61</v>
      </c>
      <c r="AA65" s="80"/>
      <c r="AB65" s="130"/>
      <c r="AC65" s="80">
        <f>SUM(T65:V65)</f>
        <v>536499.61</v>
      </c>
      <c r="AD65" s="76">
        <f t="shared" si="91"/>
        <v>1.0322494851187602</v>
      </c>
      <c r="AE65" s="130">
        <v>0</v>
      </c>
      <c r="AF65" s="171">
        <v>0</v>
      </c>
      <c r="AG65" s="172">
        <f t="shared" si="78"/>
        <v>0</v>
      </c>
      <c r="AH65" s="125"/>
      <c r="AI65" s="85"/>
      <c r="AJ65" s="243" t="s">
        <v>409</v>
      </c>
      <c r="AK65" s="354">
        <v>0</v>
      </c>
      <c r="AL65" s="354">
        <v>0</v>
      </c>
      <c r="AM65" s="130">
        <v>0</v>
      </c>
      <c r="AN65" s="85"/>
      <c r="AO65" s="354">
        <v>0</v>
      </c>
      <c r="AP65" s="125"/>
      <c r="AQ65" s="125"/>
      <c r="AR65" s="130">
        <f t="shared" si="35"/>
        <v>0</v>
      </c>
      <c r="AS65" s="125"/>
      <c r="AT65" s="125"/>
      <c r="AU65" s="388"/>
      <c r="AV65" s="261"/>
      <c r="AW65" s="42"/>
      <c r="AX65" s="42"/>
      <c r="AY65" s="42"/>
    </row>
    <row r="66" spans="1:51" ht="84" customHeight="1">
      <c r="A66" s="381" t="s">
        <v>196</v>
      </c>
      <c r="B66" s="71" t="s">
        <v>491</v>
      </c>
      <c r="C66" s="72" t="s">
        <v>0</v>
      </c>
      <c r="D66" s="72" t="s">
        <v>156</v>
      </c>
      <c r="E66" s="72"/>
      <c r="F66" s="354">
        <v>5770350</v>
      </c>
      <c r="G66" s="354"/>
      <c r="H66" s="354">
        <v>5770350</v>
      </c>
      <c r="I66" s="354"/>
      <c r="J66" s="354">
        <v>5770350</v>
      </c>
      <c r="K66" s="354">
        <v>6788647</v>
      </c>
      <c r="L66" s="354">
        <v>5770348.79</v>
      </c>
      <c r="M66" s="130">
        <f t="shared" si="89"/>
        <v>0.99999979030734709</v>
      </c>
      <c r="N66" s="354"/>
      <c r="O66" s="132">
        <f t="shared" si="5"/>
        <v>0</v>
      </c>
      <c r="P66" s="354">
        <v>5770348.79</v>
      </c>
      <c r="Q66" s="76">
        <f t="shared" si="75"/>
        <v>0.99999979030734709</v>
      </c>
      <c r="R66" s="79">
        <v>5770348.79</v>
      </c>
      <c r="S66" s="76">
        <f t="shared" si="76"/>
        <v>0.99999979030734709</v>
      </c>
      <c r="T66" s="79">
        <v>3969078.95</v>
      </c>
      <c r="U66" s="79">
        <v>0</v>
      </c>
      <c r="V66" s="79">
        <v>1181457.33</v>
      </c>
      <c r="W66" s="79">
        <v>191541.97</v>
      </c>
      <c r="X66" s="79">
        <v>0</v>
      </c>
      <c r="Y66" s="79">
        <f t="shared" si="2"/>
        <v>5150536.28</v>
      </c>
      <c r="Z66" s="80">
        <f t="shared" si="17"/>
        <v>4160620.9200000004</v>
      </c>
      <c r="AA66" s="80"/>
      <c r="AB66" s="130"/>
      <c r="AC66" s="80">
        <f t="shared" ref="AC66:AC72" si="94">SUM(T66:V66)</f>
        <v>5150536.28</v>
      </c>
      <c r="AD66" s="76">
        <f t="shared" si="91"/>
        <v>0.89258646009340858</v>
      </c>
      <c r="AE66" s="130">
        <v>0</v>
      </c>
      <c r="AF66" s="171">
        <v>0</v>
      </c>
      <c r="AG66" s="172">
        <f t="shared" si="78"/>
        <v>0</v>
      </c>
      <c r="AH66" s="125"/>
      <c r="AI66" s="85"/>
      <c r="AJ66" s="243" t="s">
        <v>409</v>
      </c>
      <c r="AK66" s="354">
        <v>0</v>
      </c>
      <c r="AL66" s="354">
        <v>0</v>
      </c>
      <c r="AM66" s="130">
        <v>0</v>
      </c>
      <c r="AN66" s="85"/>
      <c r="AO66" s="354">
        <v>0</v>
      </c>
      <c r="AP66" s="125"/>
      <c r="AQ66" s="125"/>
      <c r="AR66" s="130">
        <f t="shared" si="35"/>
        <v>0</v>
      </c>
      <c r="AS66" s="125"/>
      <c r="AT66" s="125"/>
      <c r="AU66" s="388"/>
      <c r="AV66" s="261"/>
      <c r="AW66" s="42"/>
      <c r="AX66" s="42"/>
      <c r="AY66" s="42"/>
    </row>
    <row r="67" spans="1:51" ht="50.45" customHeight="1">
      <c r="A67" s="381" t="s">
        <v>292</v>
      </c>
      <c r="B67" s="71" t="s">
        <v>492</v>
      </c>
      <c r="C67" s="72" t="s">
        <v>0</v>
      </c>
      <c r="D67" s="72" t="s">
        <v>156</v>
      </c>
      <c r="E67" s="72"/>
      <c r="F67" s="354">
        <v>1970593.5412079999</v>
      </c>
      <c r="G67" s="354"/>
      <c r="H67" s="354">
        <v>1970593.5412079999</v>
      </c>
      <c r="I67" s="354"/>
      <c r="J67" s="354">
        <v>1970593.5412079999</v>
      </c>
      <c r="K67" s="354">
        <v>2318345</v>
      </c>
      <c r="L67" s="354">
        <v>1966107.67</v>
      </c>
      <c r="M67" s="130">
        <f>L67/J67</f>
        <v>0.99772359387453891</v>
      </c>
      <c r="N67" s="354"/>
      <c r="O67" s="132">
        <f t="shared" si="5"/>
        <v>0</v>
      </c>
      <c r="P67" s="354">
        <v>1966107.67</v>
      </c>
      <c r="Q67" s="76">
        <f t="shared" si="75"/>
        <v>0.99772359387453891</v>
      </c>
      <c r="R67" s="79">
        <v>1966107.67</v>
      </c>
      <c r="S67" s="76">
        <f t="shared" si="76"/>
        <v>0.99772359387453891</v>
      </c>
      <c r="T67" s="79">
        <v>1192707.8500000001</v>
      </c>
      <c r="U67" s="79">
        <v>0</v>
      </c>
      <c r="V67" s="79">
        <v>0</v>
      </c>
      <c r="W67" s="79">
        <v>0</v>
      </c>
      <c r="X67" s="79">
        <v>0</v>
      </c>
      <c r="Y67" s="79">
        <f t="shared" si="2"/>
        <v>1192707.8500000001</v>
      </c>
      <c r="Z67" s="80">
        <f t="shared" si="17"/>
        <v>1192707.8500000001</v>
      </c>
      <c r="AA67" s="80"/>
      <c r="AB67" s="130"/>
      <c r="AC67" s="80">
        <f t="shared" si="94"/>
        <v>1192707.8500000001</v>
      </c>
      <c r="AD67" s="76">
        <f t="shared" si="91"/>
        <v>0.60525310017450595</v>
      </c>
      <c r="AE67" s="130">
        <v>4.2971770611470374E-4</v>
      </c>
      <c r="AF67" s="171">
        <f t="shared" ref="AF67:AF72" si="95">J67-R67</f>
        <v>4485.8712079999968</v>
      </c>
      <c r="AG67" s="172">
        <f t="shared" si="78"/>
        <v>2.2764061254611128E-3</v>
      </c>
      <c r="AH67" s="125"/>
      <c r="AI67" s="85"/>
      <c r="AJ67" s="243" t="s">
        <v>409</v>
      </c>
      <c r="AK67" s="354">
        <v>0</v>
      </c>
      <c r="AL67" s="354">
        <v>0</v>
      </c>
      <c r="AM67" s="130">
        <v>0</v>
      </c>
      <c r="AN67" s="85"/>
      <c r="AO67" s="354">
        <v>0</v>
      </c>
      <c r="AP67" s="125"/>
      <c r="AQ67" s="125"/>
      <c r="AR67" s="130">
        <f t="shared" si="35"/>
        <v>0</v>
      </c>
      <c r="AS67" s="125"/>
      <c r="AT67" s="125"/>
      <c r="AU67" s="388"/>
      <c r="AV67" s="261"/>
      <c r="AW67" s="42"/>
      <c r="AX67" s="42"/>
      <c r="AY67" s="42"/>
    </row>
    <row r="68" spans="1:51" ht="99" customHeight="1">
      <c r="A68" s="383" t="s">
        <v>268</v>
      </c>
      <c r="B68" s="350" t="s">
        <v>493</v>
      </c>
      <c r="C68" s="183" t="s">
        <v>0</v>
      </c>
      <c r="D68" s="183" t="s">
        <v>156</v>
      </c>
      <c r="E68" s="183"/>
      <c r="F68" s="355">
        <v>48697755.119052</v>
      </c>
      <c r="G68" s="355"/>
      <c r="H68" s="355">
        <v>48697755.119052</v>
      </c>
      <c r="I68" s="355"/>
      <c r="J68" s="355">
        <v>48697755.119052</v>
      </c>
      <c r="K68" s="355">
        <v>60503786</v>
      </c>
      <c r="L68" s="355">
        <v>54004062.270000003</v>
      </c>
      <c r="M68" s="184">
        <f t="shared" si="89"/>
        <v>1.1089641018970096</v>
      </c>
      <c r="N68" s="355"/>
      <c r="O68" s="185">
        <f t="shared" si="5"/>
        <v>0</v>
      </c>
      <c r="P68" s="187">
        <v>54004062.270000003</v>
      </c>
      <c r="Q68" s="186">
        <f t="shared" si="75"/>
        <v>1.1089641018970096</v>
      </c>
      <c r="R68" s="187">
        <v>54004062.270000003</v>
      </c>
      <c r="S68" s="186">
        <f t="shared" si="76"/>
        <v>1.1089641018970096</v>
      </c>
      <c r="T68" s="187">
        <v>39604071.740000002</v>
      </c>
      <c r="U68" s="187">
        <v>0</v>
      </c>
      <c r="V68" s="187">
        <v>0</v>
      </c>
      <c r="W68" s="187">
        <v>0</v>
      </c>
      <c r="X68" s="187">
        <v>0</v>
      </c>
      <c r="Y68" s="187">
        <f t="shared" si="2"/>
        <v>39604071.740000002</v>
      </c>
      <c r="Z68" s="189">
        <f t="shared" si="17"/>
        <v>39604071.740000002</v>
      </c>
      <c r="AA68" s="189"/>
      <c r="AB68" s="184"/>
      <c r="AC68" s="189">
        <f t="shared" si="94"/>
        <v>39604071.740000002</v>
      </c>
      <c r="AD68" s="186">
        <f t="shared" si="91"/>
        <v>0.81326278065958979</v>
      </c>
      <c r="AE68" s="184">
        <v>6.7800279461356964E-4</v>
      </c>
      <c r="AF68" s="190">
        <f t="shared" si="95"/>
        <v>-5306307.1509480029</v>
      </c>
      <c r="AG68" s="191">
        <f t="shared" si="78"/>
        <v>-0.1089641018970096</v>
      </c>
      <c r="AH68" s="196"/>
      <c r="AI68" s="225"/>
      <c r="AJ68" s="244" t="s">
        <v>408</v>
      </c>
      <c r="AK68" s="355">
        <f>(J68/K68)*AL68</f>
        <v>11175917.575547647</v>
      </c>
      <c r="AL68" s="355">
        <f>5341209+9000000-455860</f>
        <v>13885349</v>
      </c>
      <c r="AM68" s="184">
        <f>AL68/K68</f>
        <v>0.2294955393369929</v>
      </c>
      <c r="AN68" s="193" t="s">
        <v>433</v>
      </c>
      <c r="AO68" s="269">
        <v>14341209</v>
      </c>
      <c r="AP68" s="325">
        <f>AL68</f>
        <v>13885349</v>
      </c>
      <c r="AQ68" s="325">
        <f>AL68</f>
        <v>13885349</v>
      </c>
      <c r="AR68" s="184">
        <f t="shared" si="35"/>
        <v>0.2294955393369929</v>
      </c>
      <c r="AS68" s="326" t="s">
        <v>433</v>
      </c>
      <c r="AT68" s="360" t="s">
        <v>715</v>
      </c>
      <c r="AU68" s="393"/>
      <c r="AV68" s="235"/>
    </row>
    <row r="69" spans="1:51" ht="50.45" customHeight="1">
      <c r="A69" s="381" t="s">
        <v>34</v>
      </c>
      <c r="B69" s="71" t="s">
        <v>494</v>
      </c>
      <c r="C69" s="72" t="s">
        <v>0</v>
      </c>
      <c r="D69" s="72" t="s">
        <v>156</v>
      </c>
      <c r="E69" s="72"/>
      <c r="F69" s="354">
        <v>0</v>
      </c>
      <c r="G69" s="354"/>
      <c r="H69" s="354">
        <v>0</v>
      </c>
      <c r="I69" s="354"/>
      <c r="J69" s="354">
        <v>0</v>
      </c>
      <c r="K69" s="354">
        <v>0</v>
      </c>
      <c r="L69" s="354"/>
      <c r="M69" s="130"/>
      <c r="N69" s="354"/>
      <c r="O69" s="132"/>
      <c r="P69" s="354">
        <v>0</v>
      </c>
      <c r="Q69" s="76">
        <v>0</v>
      </c>
      <c r="R69" s="79">
        <v>0</v>
      </c>
      <c r="S69" s="76">
        <v>0</v>
      </c>
      <c r="T69" s="79">
        <v>0</v>
      </c>
      <c r="U69" s="79">
        <v>0</v>
      </c>
      <c r="V69" s="79">
        <v>0</v>
      </c>
      <c r="W69" s="79">
        <v>0</v>
      </c>
      <c r="X69" s="79">
        <v>0</v>
      </c>
      <c r="Y69" s="79">
        <f t="shared" si="2"/>
        <v>0</v>
      </c>
      <c r="Z69" s="80">
        <f t="shared" si="17"/>
        <v>0</v>
      </c>
      <c r="AA69" s="80"/>
      <c r="AB69" s="130"/>
      <c r="AC69" s="80">
        <f t="shared" si="94"/>
        <v>0</v>
      </c>
      <c r="AD69" s="76">
        <v>0</v>
      </c>
      <c r="AE69" s="130"/>
      <c r="AF69" s="171">
        <f t="shared" si="95"/>
        <v>0</v>
      </c>
      <c r="AG69" s="172">
        <v>0</v>
      </c>
      <c r="AH69" s="125"/>
      <c r="AI69" s="85"/>
      <c r="AJ69" s="243" t="s">
        <v>409</v>
      </c>
      <c r="AK69" s="354">
        <v>0</v>
      </c>
      <c r="AL69" s="354">
        <v>0</v>
      </c>
      <c r="AM69" s="130">
        <v>0</v>
      </c>
      <c r="AN69" s="85"/>
      <c r="AO69" s="354">
        <v>0</v>
      </c>
      <c r="AP69" s="125"/>
      <c r="AQ69" s="125"/>
      <c r="AR69" s="130" t="e">
        <f t="shared" si="35"/>
        <v>#DIV/0!</v>
      </c>
      <c r="AS69" s="125"/>
      <c r="AT69" s="125"/>
      <c r="AU69" s="388"/>
      <c r="AV69" s="261"/>
      <c r="AW69" s="42"/>
      <c r="AX69" s="42"/>
      <c r="AY69" s="42"/>
    </row>
    <row r="70" spans="1:51" ht="84" customHeight="1">
      <c r="A70" s="381" t="s">
        <v>35</v>
      </c>
      <c r="B70" s="71" t="s">
        <v>495</v>
      </c>
      <c r="C70" s="72" t="s">
        <v>0</v>
      </c>
      <c r="D70" s="72" t="s">
        <v>156</v>
      </c>
      <c r="E70" s="72"/>
      <c r="F70" s="354">
        <v>850000</v>
      </c>
      <c r="G70" s="354"/>
      <c r="H70" s="354">
        <v>850000</v>
      </c>
      <c r="I70" s="354"/>
      <c r="J70" s="354">
        <v>850000</v>
      </c>
      <c r="K70" s="354">
        <v>1000000</v>
      </c>
      <c r="L70" s="354">
        <v>849999.97</v>
      </c>
      <c r="M70" s="130">
        <f t="shared" si="89"/>
        <v>0.99999996470588237</v>
      </c>
      <c r="N70" s="354"/>
      <c r="O70" s="132">
        <f t="shared" si="5"/>
        <v>0</v>
      </c>
      <c r="P70" s="354">
        <v>849999.97</v>
      </c>
      <c r="Q70" s="76">
        <f>P70/J70</f>
        <v>0.99999996470588237</v>
      </c>
      <c r="R70" s="79">
        <v>849999.97</v>
      </c>
      <c r="S70" s="76">
        <f>R70/J70</f>
        <v>0.99999996470588237</v>
      </c>
      <c r="T70" s="79">
        <v>150802.47</v>
      </c>
      <c r="U70" s="79">
        <v>0</v>
      </c>
      <c r="V70" s="79">
        <v>0</v>
      </c>
      <c r="W70" s="79">
        <v>0</v>
      </c>
      <c r="X70" s="79">
        <v>0</v>
      </c>
      <c r="Y70" s="79">
        <f t="shared" si="2"/>
        <v>150802.47</v>
      </c>
      <c r="Z70" s="80">
        <f t="shared" si="17"/>
        <v>150802.47</v>
      </c>
      <c r="AA70" s="80"/>
      <c r="AB70" s="130"/>
      <c r="AC70" s="80">
        <f t="shared" si="94"/>
        <v>150802.47</v>
      </c>
      <c r="AD70" s="76">
        <f>AC70/J70</f>
        <v>0.17741467058823529</v>
      </c>
      <c r="AE70" s="130">
        <v>0</v>
      </c>
      <c r="AF70" s="171">
        <f t="shared" si="95"/>
        <v>3.0000000027939677E-2</v>
      </c>
      <c r="AG70" s="172">
        <f>AF70/J70</f>
        <v>3.5294117679929029E-8</v>
      </c>
      <c r="AH70" s="125"/>
      <c r="AI70" s="85"/>
      <c r="AJ70" s="243" t="s">
        <v>409</v>
      </c>
      <c r="AK70" s="354">
        <v>0</v>
      </c>
      <c r="AL70" s="354">
        <v>0</v>
      </c>
      <c r="AM70" s="130">
        <v>0</v>
      </c>
      <c r="AN70" s="85"/>
      <c r="AO70" s="354">
        <v>0</v>
      </c>
      <c r="AP70" s="125"/>
      <c r="AQ70" s="125"/>
      <c r="AR70" s="130">
        <f t="shared" si="35"/>
        <v>0</v>
      </c>
      <c r="AS70" s="125"/>
      <c r="AT70" s="125"/>
      <c r="AU70" s="388"/>
      <c r="AV70" s="261"/>
      <c r="AW70" s="42"/>
      <c r="AX70" s="42"/>
      <c r="AY70" s="42"/>
    </row>
    <row r="71" spans="1:51" ht="100.9" customHeight="1">
      <c r="A71" s="381" t="s">
        <v>36</v>
      </c>
      <c r="B71" s="71" t="s">
        <v>496</v>
      </c>
      <c r="C71" s="72" t="s">
        <v>0</v>
      </c>
      <c r="D71" s="72" t="s">
        <v>156</v>
      </c>
      <c r="E71" s="72"/>
      <c r="F71" s="354">
        <v>0</v>
      </c>
      <c r="G71" s="354"/>
      <c r="H71" s="354">
        <v>0</v>
      </c>
      <c r="I71" s="354"/>
      <c r="J71" s="354">
        <v>0</v>
      </c>
      <c r="K71" s="354">
        <v>0</v>
      </c>
      <c r="L71" s="354"/>
      <c r="M71" s="130"/>
      <c r="N71" s="354"/>
      <c r="O71" s="132"/>
      <c r="P71" s="354">
        <v>0</v>
      </c>
      <c r="Q71" s="76">
        <v>0</v>
      </c>
      <c r="R71" s="79">
        <v>0</v>
      </c>
      <c r="S71" s="76">
        <v>0</v>
      </c>
      <c r="T71" s="79">
        <v>0</v>
      </c>
      <c r="U71" s="79">
        <v>0</v>
      </c>
      <c r="V71" s="79">
        <v>0</v>
      </c>
      <c r="W71" s="79">
        <v>0</v>
      </c>
      <c r="X71" s="79">
        <v>0</v>
      </c>
      <c r="Y71" s="79">
        <f t="shared" si="2"/>
        <v>0</v>
      </c>
      <c r="Z71" s="80">
        <f t="shared" si="17"/>
        <v>0</v>
      </c>
      <c r="AA71" s="80"/>
      <c r="AB71" s="130"/>
      <c r="AC71" s="80">
        <f t="shared" si="94"/>
        <v>0</v>
      </c>
      <c r="AD71" s="76">
        <v>0</v>
      </c>
      <c r="AE71" s="130"/>
      <c r="AF71" s="171">
        <f t="shared" si="95"/>
        <v>0</v>
      </c>
      <c r="AG71" s="172">
        <v>0</v>
      </c>
      <c r="AH71" s="125"/>
      <c r="AI71" s="85"/>
      <c r="AJ71" s="243" t="s">
        <v>409</v>
      </c>
      <c r="AK71" s="354">
        <v>0</v>
      </c>
      <c r="AL71" s="354">
        <v>0</v>
      </c>
      <c r="AM71" s="130">
        <v>0</v>
      </c>
      <c r="AN71" s="85"/>
      <c r="AO71" s="354">
        <v>0</v>
      </c>
      <c r="AP71" s="125"/>
      <c r="AQ71" s="125"/>
      <c r="AR71" s="130" t="e">
        <f t="shared" si="35"/>
        <v>#DIV/0!</v>
      </c>
      <c r="AS71" s="125"/>
      <c r="AT71" s="125"/>
      <c r="AU71" s="388"/>
      <c r="AV71" s="261"/>
      <c r="AW71" s="42"/>
      <c r="AX71" s="42"/>
      <c r="AY71" s="42"/>
    </row>
    <row r="72" spans="1:51" ht="78" customHeight="1">
      <c r="A72" s="381" t="s">
        <v>259</v>
      </c>
      <c r="B72" s="71" t="s">
        <v>497</v>
      </c>
      <c r="C72" s="72" t="s">
        <v>0</v>
      </c>
      <c r="D72" s="72" t="s">
        <v>155</v>
      </c>
      <c r="E72" s="72"/>
      <c r="F72" s="354">
        <v>106292.77976400001</v>
      </c>
      <c r="G72" s="354"/>
      <c r="H72" s="354">
        <v>106292.77976400001</v>
      </c>
      <c r="I72" s="354"/>
      <c r="J72" s="354">
        <v>106292.77976399999</v>
      </c>
      <c r="K72" s="354">
        <v>106292.77976399999</v>
      </c>
      <c r="L72" s="354">
        <v>290134.15000000002</v>
      </c>
      <c r="M72" s="130">
        <f>L72/J72</f>
        <v>2.7295753356359653</v>
      </c>
      <c r="N72" s="354">
        <v>130066.47</v>
      </c>
      <c r="O72" s="132">
        <f t="shared" ref="O72:O135" si="96">N72/J72</f>
        <v>1.2236623248426122</v>
      </c>
      <c r="P72" s="354">
        <v>100952.21</v>
      </c>
      <c r="Q72" s="76">
        <f>P72/J72</f>
        <v>0.9497560438643381</v>
      </c>
      <c r="R72" s="79">
        <v>100952.21</v>
      </c>
      <c r="S72" s="76">
        <f>R72/J72</f>
        <v>0.9497560438643381</v>
      </c>
      <c r="T72" s="79">
        <v>100952.20999999999</v>
      </c>
      <c r="U72" s="79">
        <v>0</v>
      </c>
      <c r="V72" s="79">
        <v>0</v>
      </c>
      <c r="W72" s="79">
        <v>0</v>
      </c>
      <c r="X72" s="79">
        <v>0</v>
      </c>
      <c r="Y72" s="79">
        <f t="shared" ref="Y72:Y115" si="97">AC72-X72</f>
        <v>100952.20999999999</v>
      </c>
      <c r="Z72" s="80">
        <f t="shared" si="17"/>
        <v>100952.20999999999</v>
      </c>
      <c r="AA72" s="80">
        <v>59115.47</v>
      </c>
      <c r="AB72" s="136">
        <f>AA72/J72</f>
        <v>0.55615696692901484</v>
      </c>
      <c r="AC72" s="80">
        <f t="shared" si="94"/>
        <v>100952.20999999999</v>
      </c>
      <c r="AD72" s="76">
        <f>AC72/J72</f>
        <v>0.94975604386433798</v>
      </c>
      <c r="AE72" s="130">
        <v>0</v>
      </c>
      <c r="AF72" s="171">
        <f t="shared" si="95"/>
        <v>5340.5697639999853</v>
      </c>
      <c r="AG72" s="172">
        <f>AF72/J72</f>
        <v>5.0243956135661891E-2</v>
      </c>
      <c r="AH72" s="143" t="s">
        <v>319</v>
      </c>
      <c r="AI72" s="144"/>
      <c r="AJ72" s="243" t="s">
        <v>409</v>
      </c>
      <c r="AK72" s="354">
        <v>0</v>
      </c>
      <c r="AL72" s="354">
        <v>0</v>
      </c>
      <c r="AM72" s="130">
        <v>0</v>
      </c>
      <c r="AN72" s="85"/>
      <c r="AO72" s="354">
        <v>0</v>
      </c>
      <c r="AP72" s="125"/>
      <c r="AQ72" s="125"/>
      <c r="AR72" s="130">
        <f t="shared" si="35"/>
        <v>0</v>
      </c>
      <c r="AS72" s="125"/>
      <c r="AT72" s="125"/>
      <c r="AU72" s="388"/>
      <c r="AV72" s="261"/>
      <c r="AW72" s="42"/>
      <c r="AX72" s="42"/>
      <c r="AY72" s="42"/>
    </row>
    <row r="73" spans="1:51" s="52" customFormat="1" ht="41.25" customHeight="1">
      <c r="A73" s="379" t="s">
        <v>37</v>
      </c>
      <c r="B73" s="66" t="s">
        <v>498</v>
      </c>
      <c r="C73" s="67" t="s">
        <v>0</v>
      </c>
      <c r="D73" s="67" t="s">
        <v>685</v>
      </c>
      <c r="E73" s="67"/>
      <c r="F73" s="353">
        <f>SUM(F74:F76)</f>
        <v>8720346</v>
      </c>
      <c r="G73" s="353"/>
      <c r="H73" s="353">
        <f>SUM(H74:H76)</f>
        <v>8720346</v>
      </c>
      <c r="I73" s="353"/>
      <c r="J73" s="353">
        <f>SUM(J74:J76)</f>
        <v>8720346</v>
      </c>
      <c r="K73" s="353">
        <f>SUM(K74:K76)</f>
        <v>10098256</v>
      </c>
      <c r="L73" s="353">
        <f t="shared" ref="L73:N73" si="98">SUM(L74:L76)</f>
        <v>8720345</v>
      </c>
      <c r="M73" s="129">
        <f>L73/J73</f>
        <v>0.99999988532565109</v>
      </c>
      <c r="N73" s="353">
        <f t="shared" si="98"/>
        <v>0</v>
      </c>
      <c r="O73" s="126">
        <f t="shared" si="96"/>
        <v>0</v>
      </c>
      <c r="P73" s="68">
        <f>SUM(P74:P76)</f>
        <v>8720345</v>
      </c>
      <c r="Q73" s="69">
        <f>P73/J73</f>
        <v>0.99999988532565109</v>
      </c>
      <c r="R73" s="68">
        <f>SUM(R74:R76)</f>
        <v>8720345</v>
      </c>
      <c r="S73" s="69">
        <f>R73/J73</f>
        <v>0.99999988532565109</v>
      </c>
      <c r="T73" s="68">
        <f t="shared" ref="T73:X73" si="99">SUM(T74:T76)</f>
        <v>5618510.1900000004</v>
      </c>
      <c r="U73" s="68">
        <f t="shared" si="99"/>
        <v>0</v>
      </c>
      <c r="V73" s="68">
        <f t="shared" si="99"/>
        <v>0</v>
      </c>
      <c r="W73" s="68">
        <f t="shared" si="99"/>
        <v>0</v>
      </c>
      <c r="X73" s="68">
        <f t="shared" si="99"/>
        <v>0</v>
      </c>
      <c r="Y73" s="68">
        <f t="shared" si="97"/>
        <v>5618510.1900000004</v>
      </c>
      <c r="Z73" s="68">
        <f t="shared" si="17"/>
        <v>5618510.1900000004</v>
      </c>
      <c r="AA73" s="68">
        <f>SUM(AA74:AA76)</f>
        <v>0</v>
      </c>
      <c r="AB73" s="133">
        <f>AA73/J73</f>
        <v>0</v>
      </c>
      <c r="AC73" s="68">
        <f>SUM(AC74:AC76)</f>
        <v>5618510.1900000004</v>
      </c>
      <c r="AD73" s="69">
        <f>AC73/J73</f>
        <v>0.64429899799847401</v>
      </c>
      <c r="AE73" s="138">
        <f>SUM(AE74:AE76)</f>
        <v>0</v>
      </c>
      <c r="AF73" s="58">
        <v>0</v>
      </c>
      <c r="AG73" s="59">
        <f>AF73/J73</f>
        <v>0</v>
      </c>
      <c r="AH73" s="124"/>
      <c r="AI73" s="222"/>
      <c r="AJ73" s="242" t="s">
        <v>408</v>
      </c>
      <c r="AK73" s="353">
        <f>SUM(AK74:AK76)</f>
        <v>0</v>
      </c>
      <c r="AL73" s="353">
        <f>SUM(AL74:AL76)</f>
        <v>0</v>
      </c>
      <c r="AM73" s="198">
        <v>0</v>
      </c>
      <c r="AN73" s="89"/>
      <c r="AO73" s="199">
        <v>0</v>
      </c>
      <c r="AP73" s="353">
        <f>SUM(AP74:AP76)</f>
        <v>1500000</v>
      </c>
      <c r="AQ73" s="353">
        <f>SUM(AQ74:AQ76)</f>
        <v>1500000</v>
      </c>
      <c r="AR73" s="198">
        <f t="shared" si="35"/>
        <v>0.14854050045869308</v>
      </c>
      <c r="AS73" s="124"/>
      <c r="AT73" s="124"/>
      <c r="AU73" s="394"/>
      <c r="AV73" s="264"/>
    </row>
    <row r="74" spans="1:51" ht="289.5" customHeight="1">
      <c r="A74" s="381" t="s">
        <v>38</v>
      </c>
      <c r="B74" s="71" t="s">
        <v>499</v>
      </c>
      <c r="C74" s="72" t="s">
        <v>0</v>
      </c>
      <c r="D74" s="72" t="s">
        <v>685</v>
      </c>
      <c r="E74" s="72"/>
      <c r="F74" s="354">
        <v>0</v>
      </c>
      <c r="G74" s="354"/>
      <c r="H74" s="354">
        <v>0</v>
      </c>
      <c r="I74" s="354"/>
      <c r="J74" s="354">
        <v>0</v>
      </c>
      <c r="K74" s="354">
        <v>0</v>
      </c>
      <c r="L74" s="354"/>
      <c r="M74" s="130"/>
      <c r="N74" s="354"/>
      <c r="O74" s="126"/>
      <c r="P74" s="354">
        <v>0</v>
      </c>
      <c r="Q74" s="76">
        <v>0</v>
      </c>
      <c r="R74" s="79">
        <v>0</v>
      </c>
      <c r="S74" s="76">
        <v>0</v>
      </c>
      <c r="T74" s="114">
        <v>0</v>
      </c>
      <c r="U74" s="114">
        <v>0</v>
      </c>
      <c r="V74" s="114">
        <v>0</v>
      </c>
      <c r="W74" s="114">
        <v>0</v>
      </c>
      <c r="X74" s="114">
        <v>0</v>
      </c>
      <c r="Y74" s="79">
        <f t="shared" si="97"/>
        <v>0</v>
      </c>
      <c r="Z74" s="80">
        <f t="shared" si="17"/>
        <v>0</v>
      </c>
      <c r="AA74" s="80"/>
      <c r="AB74" s="130"/>
      <c r="AC74" s="80">
        <f>SUM(T74:V74)</f>
        <v>0</v>
      </c>
      <c r="AD74" s="76">
        <v>0</v>
      </c>
      <c r="AE74" s="130"/>
      <c r="AF74" s="171">
        <f>J74-R74</f>
        <v>0</v>
      </c>
      <c r="AG74" s="172">
        <v>0</v>
      </c>
      <c r="AH74" s="125"/>
      <c r="AI74" s="85"/>
      <c r="AJ74" s="243" t="s">
        <v>409</v>
      </c>
      <c r="AK74" s="354">
        <v>0</v>
      </c>
      <c r="AL74" s="354">
        <v>0</v>
      </c>
      <c r="AM74" s="130">
        <v>0</v>
      </c>
      <c r="AN74" s="85"/>
      <c r="AO74" s="354">
        <v>0</v>
      </c>
      <c r="AP74" s="79"/>
      <c r="AQ74" s="79"/>
      <c r="AR74" s="130" t="e">
        <f t="shared" si="35"/>
        <v>#DIV/0!</v>
      </c>
      <c r="AS74" s="170"/>
      <c r="AT74" s="170"/>
      <c r="AU74" s="388"/>
      <c r="AV74" s="261"/>
      <c r="AW74" s="42"/>
      <c r="AX74" s="42"/>
      <c r="AY74" s="42"/>
    </row>
    <row r="75" spans="1:51" ht="33.6" customHeight="1">
      <c r="A75" s="381" t="s">
        <v>39</v>
      </c>
      <c r="B75" s="71" t="s">
        <v>500</v>
      </c>
      <c r="C75" s="72" t="s">
        <v>0</v>
      </c>
      <c r="D75" s="72" t="s">
        <v>685</v>
      </c>
      <c r="E75" s="72"/>
      <c r="F75" s="354">
        <v>0</v>
      </c>
      <c r="G75" s="354"/>
      <c r="H75" s="354">
        <v>0</v>
      </c>
      <c r="I75" s="354"/>
      <c r="J75" s="354">
        <v>0</v>
      </c>
      <c r="K75" s="354">
        <v>0</v>
      </c>
      <c r="L75" s="354"/>
      <c r="M75" s="130"/>
      <c r="N75" s="354"/>
      <c r="O75" s="126"/>
      <c r="P75" s="354">
        <v>0</v>
      </c>
      <c r="Q75" s="76">
        <v>0</v>
      </c>
      <c r="R75" s="79">
        <v>0</v>
      </c>
      <c r="S75" s="76">
        <v>0</v>
      </c>
      <c r="T75" s="114">
        <v>0</v>
      </c>
      <c r="U75" s="114">
        <v>0</v>
      </c>
      <c r="V75" s="114">
        <v>0</v>
      </c>
      <c r="W75" s="114">
        <v>0</v>
      </c>
      <c r="X75" s="114">
        <v>0</v>
      </c>
      <c r="Y75" s="79">
        <f t="shared" si="97"/>
        <v>0</v>
      </c>
      <c r="Z75" s="80">
        <f t="shared" si="17"/>
        <v>0</v>
      </c>
      <c r="AA75" s="80"/>
      <c r="AB75" s="130"/>
      <c r="AC75" s="80">
        <f>SUM(T75:V75)</f>
        <v>0</v>
      </c>
      <c r="AD75" s="76">
        <v>0</v>
      </c>
      <c r="AE75" s="130"/>
      <c r="AF75" s="171">
        <f>J75-R75</f>
        <v>0</v>
      </c>
      <c r="AG75" s="172">
        <v>0</v>
      </c>
      <c r="AH75" s="125"/>
      <c r="AI75" s="85"/>
      <c r="AJ75" s="243" t="s">
        <v>409</v>
      </c>
      <c r="AK75" s="354">
        <v>0</v>
      </c>
      <c r="AL75" s="354">
        <v>0</v>
      </c>
      <c r="AM75" s="130">
        <v>0</v>
      </c>
      <c r="AN75" s="85"/>
      <c r="AO75" s="354">
        <v>0</v>
      </c>
      <c r="AP75" s="306"/>
      <c r="AQ75" s="306"/>
      <c r="AR75" s="130" t="e">
        <f t="shared" si="35"/>
        <v>#DIV/0!</v>
      </c>
      <c r="AS75" s="306"/>
      <c r="AT75" s="306"/>
      <c r="AU75" s="388"/>
      <c r="AV75" s="261"/>
      <c r="AW75" s="42"/>
      <c r="AX75" s="42"/>
      <c r="AY75" s="42"/>
    </row>
    <row r="76" spans="1:51" ht="363.75" customHeight="1">
      <c r="A76" s="383" t="s">
        <v>40</v>
      </c>
      <c r="B76" s="350" t="s">
        <v>501</v>
      </c>
      <c r="C76" s="183" t="s">
        <v>0</v>
      </c>
      <c r="D76" s="183" t="s">
        <v>685</v>
      </c>
      <c r="E76" s="183"/>
      <c r="F76" s="355">
        <v>8720346</v>
      </c>
      <c r="G76" s="355"/>
      <c r="H76" s="355">
        <v>8720346</v>
      </c>
      <c r="I76" s="355"/>
      <c r="J76" s="355">
        <v>8720346</v>
      </c>
      <c r="K76" s="355">
        <v>10098256</v>
      </c>
      <c r="L76" s="355">
        <v>8720345</v>
      </c>
      <c r="M76" s="184">
        <f>L76/J76</f>
        <v>0.99999988532565109</v>
      </c>
      <c r="N76" s="355"/>
      <c r="O76" s="331"/>
      <c r="P76" s="355">
        <v>8720345</v>
      </c>
      <c r="Q76" s="186">
        <f t="shared" ref="Q76:Q89" si="100">P76/J76</f>
        <v>0.99999988532565109</v>
      </c>
      <c r="R76" s="187">
        <v>8720345</v>
      </c>
      <c r="S76" s="186">
        <f t="shared" ref="S76:S89" si="101">R76/J76</f>
        <v>0.99999988532565109</v>
      </c>
      <c r="T76" s="187">
        <v>5618510.1900000004</v>
      </c>
      <c r="U76" s="187">
        <v>0</v>
      </c>
      <c r="V76" s="187">
        <v>0</v>
      </c>
      <c r="W76" s="188">
        <v>0</v>
      </c>
      <c r="X76" s="188">
        <v>0</v>
      </c>
      <c r="Y76" s="187">
        <f t="shared" si="97"/>
        <v>5618510.1900000004</v>
      </c>
      <c r="Z76" s="189">
        <f t="shared" si="17"/>
        <v>5618510.1900000004</v>
      </c>
      <c r="AA76" s="189"/>
      <c r="AB76" s="184"/>
      <c r="AC76" s="189">
        <f t="shared" ref="AC76" si="102">SUM(T76:V76)</f>
        <v>5618510.1900000004</v>
      </c>
      <c r="AD76" s="186">
        <f t="shared" ref="AD76:AD89" si="103">AC76/J76</f>
        <v>0.64429899799847401</v>
      </c>
      <c r="AE76" s="184">
        <v>0</v>
      </c>
      <c r="AF76" s="190">
        <v>0</v>
      </c>
      <c r="AG76" s="191">
        <f t="shared" ref="AG76:AG89" si="104">AF76/J76</f>
        <v>0</v>
      </c>
      <c r="AH76" s="210" t="s">
        <v>394</v>
      </c>
      <c r="AI76" s="210"/>
      <c r="AJ76" s="244" t="s">
        <v>408</v>
      </c>
      <c r="AK76" s="355">
        <v>0</v>
      </c>
      <c r="AL76" s="355">
        <v>0</v>
      </c>
      <c r="AM76" s="184">
        <v>0</v>
      </c>
      <c r="AN76" s="225"/>
      <c r="AO76" s="355">
        <v>0</v>
      </c>
      <c r="AP76" s="187">
        <v>1500000</v>
      </c>
      <c r="AQ76" s="187">
        <f>AP76</f>
        <v>1500000</v>
      </c>
      <c r="AR76" s="184">
        <f t="shared" si="35"/>
        <v>0.14854050045869308</v>
      </c>
      <c r="AS76" s="194" t="s">
        <v>433</v>
      </c>
      <c r="AT76" s="361" t="s">
        <v>718</v>
      </c>
      <c r="AU76" s="384"/>
      <c r="AV76" s="261"/>
      <c r="AW76" s="42"/>
      <c r="AX76" s="42"/>
      <c r="AY76" s="42"/>
    </row>
    <row r="77" spans="1:51" s="52" customFormat="1" ht="33">
      <c r="A77" s="379" t="s">
        <v>41</v>
      </c>
      <c r="B77" s="66" t="s">
        <v>502</v>
      </c>
      <c r="C77" s="67" t="s">
        <v>0</v>
      </c>
      <c r="D77" s="67"/>
      <c r="E77" s="67"/>
      <c r="F77" s="353">
        <f>F78</f>
        <v>33745009.938956</v>
      </c>
      <c r="G77" s="353"/>
      <c r="H77" s="353">
        <f>H78</f>
        <v>33745009.938956</v>
      </c>
      <c r="I77" s="353"/>
      <c r="J77" s="353">
        <f>J78</f>
        <v>33745009.938956</v>
      </c>
      <c r="K77" s="353">
        <f>K78</f>
        <v>36258628</v>
      </c>
      <c r="L77" s="353">
        <f t="shared" ref="L77:N77" si="105">L78</f>
        <v>50715868.730000004</v>
      </c>
      <c r="M77" s="129">
        <f>L77/J77</f>
        <v>1.5029146182426356</v>
      </c>
      <c r="N77" s="353">
        <f t="shared" si="105"/>
        <v>17788891.859999999</v>
      </c>
      <c r="O77" s="126">
        <f t="shared" si="96"/>
        <v>0.52715621931004686</v>
      </c>
      <c r="P77" s="68">
        <f>P78</f>
        <v>32932618.730000004</v>
      </c>
      <c r="Q77" s="69">
        <f t="shared" si="100"/>
        <v>0.97592558987460387</v>
      </c>
      <c r="R77" s="68">
        <f>R78</f>
        <v>32735197.990000002</v>
      </c>
      <c r="S77" s="69">
        <f t="shared" si="101"/>
        <v>0.97007522146881198</v>
      </c>
      <c r="T77" s="68">
        <f t="shared" ref="T77:X77" si="106">T78</f>
        <v>16087221.699999999</v>
      </c>
      <c r="U77" s="68">
        <f t="shared" si="106"/>
        <v>0</v>
      </c>
      <c r="V77" s="68">
        <f t="shared" si="106"/>
        <v>1834757.2100000002</v>
      </c>
      <c r="W77" s="68">
        <f t="shared" si="106"/>
        <v>0</v>
      </c>
      <c r="X77" s="68">
        <f t="shared" si="106"/>
        <v>0</v>
      </c>
      <c r="Y77" s="68">
        <f t="shared" si="97"/>
        <v>17921978.91</v>
      </c>
      <c r="Z77" s="68">
        <f t="shared" si="17"/>
        <v>16087221.699999999</v>
      </c>
      <c r="AA77" s="68">
        <f>AA78</f>
        <v>0</v>
      </c>
      <c r="AB77" s="138"/>
      <c r="AC77" s="68">
        <f>AC78</f>
        <v>17921978.91</v>
      </c>
      <c r="AD77" s="69">
        <f t="shared" si="103"/>
        <v>0.53110012243056015</v>
      </c>
      <c r="AE77" s="138">
        <v>1.1446875831826974E-3</v>
      </c>
      <c r="AF77" s="58">
        <f t="shared" ref="AF77:AF82" si="107">J77-R77</f>
        <v>1009811.9489559978</v>
      </c>
      <c r="AG77" s="59">
        <f t="shared" si="104"/>
        <v>2.9924778531188048E-2</v>
      </c>
      <c r="AH77" s="124"/>
      <c r="AI77" s="222"/>
      <c r="AJ77" s="242" t="s">
        <v>408</v>
      </c>
      <c r="AK77" s="68">
        <f>AK78</f>
        <v>1964508.5938956002</v>
      </c>
      <c r="AL77" s="68">
        <f>AL78</f>
        <v>2127445.9000000004</v>
      </c>
      <c r="AM77" s="198">
        <f>AL77/K77</f>
        <v>5.8674197490318727E-2</v>
      </c>
      <c r="AN77" s="198"/>
      <c r="AO77" s="68">
        <f t="shared" ref="AO77:AQ78" si="108">AO78</f>
        <v>2127445.9000000004</v>
      </c>
      <c r="AP77" s="68">
        <f t="shared" si="108"/>
        <v>2127445.9000000004</v>
      </c>
      <c r="AQ77" s="68">
        <f t="shared" si="108"/>
        <v>2127445.9000000004</v>
      </c>
      <c r="AR77" s="198">
        <f t="shared" si="35"/>
        <v>5.8674197490318727E-2</v>
      </c>
      <c r="AS77" s="124"/>
      <c r="AT77" s="124"/>
      <c r="AU77" s="380"/>
      <c r="AV77" s="25"/>
      <c r="AW77" s="249"/>
      <c r="AX77" s="249"/>
      <c r="AY77" s="249"/>
    </row>
    <row r="78" spans="1:51" s="52" customFormat="1" ht="33">
      <c r="A78" s="379" t="s">
        <v>42</v>
      </c>
      <c r="B78" s="66" t="s">
        <v>503</v>
      </c>
      <c r="C78" s="67" t="s">
        <v>0</v>
      </c>
      <c r="D78" s="67"/>
      <c r="E78" s="67"/>
      <c r="F78" s="353">
        <f>F79+F82</f>
        <v>33745009.938956</v>
      </c>
      <c r="G78" s="353"/>
      <c r="H78" s="353">
        <f>H79+H82</f>
        <v>33745009.938956</v>
      </c>
      <c r="I78" s="353"/>
      <c r="J78" s="353">
        <f>J79+J82</f>
        <v>33745009.938956</v>
      </c>
      <c r="K78" s="353">
        <f>K79+K82</f>
        <v>36258628</v>
      </c>
      <c r="L78" s="353">
        <f t="shared" ref="L78:N78" si="109">L79+L82</f>
        <v>50715868.730000004</v>
      </c>
      <c r="M78" s="129">
        <f>L78/J78</f>
        <v>1.5029146182426356</v>
      </c>
      <c r="N78" s="353">
        <f t="shared" si="109"/>
        <v>17788891.859999999</v>
      </c>
      <c r="O78" s="126">
        <f t="shared" si="96"/>
        <v>0.52715621931004686</v>
      </c>
      <c r="P78" s="68">
        <f>P79+P82</f>
        <v>32932618.730000004</v>
      </c>
      <c r="Q78" s="69">
        <f t="shared" si="100"/>
        <v>0.97592558987460387</v>
      </c>
      <c r="R78" s="68">
        <f>R79+R82</f>
        <v>32735197.990000002</v>
      </c>
      <c r="S78" s="69">
        <f t="shared" si="101"/>
        <v>0.97007522146881198</v>
      </c>
      <c r="T78" s="68">
        <f t="shared" ref="T78:X78" si="110">T79+T82</f>
        <v>16087221.699999999</v>
      </c>
      <c r="U78" s="68">
        <f t="shared" si="110"/>
        <v>0</v>
      </c>
      <c r="V78" s="68">
        <f t="shared" si="110"/>
        <v>1834757.2100000002</v>
      </c>
      <c r="W78" s="68">
        <f t="shared" si="110"/>
        <v>0</v>
      </c>
      <c r="X78" s="68">
        <f t="shared" si="110"/>
        <v>0</v>
      </c>
      <c r="Y78" s="68">
        <f t="shared" si="97"/>
        <v>17921978.91</v>
      </c>
      <c r="Z78" s="68">
        <f t="shared" ref="Z78:Z144" si="111">T78+U78+W78</f>
        <v>16087221.699999999</v>
      </c>
      <c r="AA78" s="68">
        <f>AA79+AA82</f>
        <v>0</v>
      </c>
      <c r="AB78" s="138"/>
      <c r="AC78" s="68">
        <f>AC79+AC82</f>
        <v>17921978.91</v>
      </c>
      <c r="AD78" s="69">
        <f t="shared" si="103"/>
        <v>0.53110012243056015</v>
      </c>
      <c r="AE78" s="138">
        <v>1.1446875831826974E-3</v>
      </c>
      <c r="AF78" s="58">
        <f t="shared" si="107"/>
        <v>1009811.9489559978</v>
      </c>
      <c r="AG78" s="59">
        <f t="shared" si="104"/>
        <v>2.9924778531188048E-2</v>
      </c>
      <c r="AH78" s="124"/>
      <c r="AI78" s="222"/>
      <c r="AJ78" s="242" t="s">
        <v>408</v>
      </c>
      <c r="AK78" s="68">
        <f>AK79</f>
        <v>1964508.5938956002</v>
      </c>
      <c r="AL78" s="68">
        <f>AL79</f>
        <v>2127445.9000000004</v>
      </c>
      <c r="AM78" s="198">
        <f t="shared" ref="AM78:AM79" si="112">AL78/K78</f>
        <v>5.8674197490318727E-2</v>
      </c>
      <c r="AN78" s="198"/>
      <c r="AO78" s="68">
        <f t="shared" si="108"/>
        <v>2127445.9000000004</v>
      </c>
      <c r="AP78" s="68">
        <f t="shared" si="108"/>
        <v>2127445.9000000004</v>
      </c>
      <c r="AQ78" s="68">
        <f t="shared" si="108"/>
        <v>2127445.9000000004</v>
      </c>
      <c r="AR78" s="198">
        <f t="shared" si="35"/>
        <v>5.8674197490318727E-2</v>
      </c>
      <c r="AS78" s="124"/>
      <c r="AT78" s="124"/>
      <c r="AU78" s="380"/>
      <c r="AV78" s="25"/>
      <c r="AW78" s="249"/>
      <c r="AX78" s="249"/>
      <c r="AY78" s="249"/>
    </row>
    <row r="79" spans="1:51" s="52" customFormat="1" ht="49.5">
      <c r="A79" s="387" t="s">
        <v>43</v>
      </c>
      <c r="B79" s="77" t="s">
        <v>504</v>
      </c>
      <c r="C79" s="78" t="s">
        <v>0</v>
      </c>
      <c r="D79" s="78" t="s">
        <v>156</v>
      </c>
      <c r="E79" s="78"/>
      <c r="F79" s="354">
        <f>SUM(F80:F81)</f>
        <v>19645085.938956</v>
      </c>
      <c r="G79" s="354"/>
      <c r="H79" s="354">
        <f>SUM(H80:H81)</f>
        <v>19645085.938956</v>
      </c>
      <c r="I79" s="354"/>
      <c r="J79" s="354">
        <f>SUM(J80:J81)</f>
        <v>19645085.938956</v>
      </c>
      <c r="K79" s="354">
        <f>SUM(K80:K81)</f>
        <v>21274459</v>
      </c>
      <c r="L79" s="354">
        <f t="shared" ref="L79:N79" si="113">SUM(L80:L81)</f>
        <v>19267917.240000002</v>
      </c>
      <c r="M79" s="130">
        <f>L79/J79</f>
        <v>0.98080086286575741</v>
      </c>
      <c r="N79" s="354">
        <f t="shared" si="113"/>
        <v>0</v>
      </c>
      <c r="O79" s="132">
        <f t="shared" si="96"/>
        <v>0</v>
      </c>
      <c r="P79" s="84">
        <f>SUM(P80:P81)</f>
        <v>19267917.240000002</v>
      </c>
      <c r="Q79" s="76">
        <f t="shared" si="100"/>
        <v>0.98080086286575741</v>
      </c>
      <c r="R79" s="81">
        <f>SUM(R80:R81)</f>
        <v>19267917.240000002</v>
      </c>
      <c r="S79" s="76">
        <f t="shared" si="101"/>
        <v>0.98080086286575741</v>
      </c>
      <c r="T79" s="81">
        <f t="shared" ref="T79:V79" si="114">SUM(T80:T81)</f>
        <v>12419773.99</v>
      </c>
      <c r="U79" s="81">
        <f t="shared" si="114"/>
        <v>0</v>
      </c>
      <c r="V79" s="81">
        <f t="shared" si="114"/>
        <v>0</v>
      </c>
      <c r="W79" s="81">
        <f>SUM(W80:W81)</f>
        <v>0</v>
      </c>
      <c r="X79" s="81">
        <f>SUM(X80:X81)</f>
        <v>0</v>
      </c>
      <c r="Y79" s="81">
        <f t="shared" si="97"/>
        <v>12419773.99</v>
      </c>
      <c r="Z79" s="118">
        <f t="shared" si="111"/>
        <v>12419773.99</v>
      </c>
      <c r="AA79" s="81">
        <f>SUM(AA80:AA81)</f>
        <v>0</v>
      </c>
      <c r="AB79" s="136"/>
      <c r="AC79" s="81">
        <f>SUM(AC80:AC81)</f>
        <v>12419773.99</v>
      </c>
      <c r="AD79" s="76">
        <f t="shared" si="103"/>
        <v>0.63220766906250681</v>
      </c>
      <c r="AE79" s="141"/>
      <c r="AF79" s="171">
        <f t="shared" si="107"/>
        <v>377168.69895599782</v>
      </c>
      <c r="AG79" s="172">
        <f t="shared" si="104"/>
        <v>1.9199137134242625E-2</v>
      </c>
      <c r="AH79" s="125"/>
      <c r="AI79" s="85"/>
      <c r="AJ79" s="243" t="s">
        <v>408</v>
      </c>
      <c r="AK79" s="81">
        <f>AK80+AK81</f>
        <v>1964508.5938956002</v>
      </c>
      <c r="AL79" s="81">
        <f>AL80+AL81</f>
        <v>2127445.9000000004</v>
      </c>
      <c r="AM79" s="137">
        <f t="shared" si="112"/>
        <v>0.10000000000000002</v>
      </c>
      <c r="AN79" s="130"/>
      <c r="AO79" s="81">
        <f>AO80+AO81</f>
        <v>2127445.9000000004</v>
      </c>
      <c r="AP79" s="81">
        <f>AP80+AP81</f>
        <v>2127445.9000000004</v>
      </c>
      <c r="AQ79" s="81">
        <f>AQ80+AQ81</f>
        <v>2127445.9000000004</v>
      </c>
      <c r="AR79" s="137">
        <f t="shared" si="35"/>
        <v>0.10000000000000002</v>
      </c>
      <c r="AS79" s="125"/>
      <c r="AT79" s="125"/>
      <c r="AU79" s="389"/>
      <c r="AV79" s="262"/>
      <c r="AW79" s="249"/>
      <c r="AX79" s="249"/>
      <c r="AY79" s="249"/>
    </row>
    <row r="80" spans="1:51" ht="49.5">
      <c r="A80" s="383" t="s">
        <v>258</v>
      </c>
      <c r="B80" s="350" t="s">
        <v>505</v>
      </c>
      <c r="C80" s="183" t="s">
        <v>0</v>
      </c>
      <c r="D80" s="183" t="s">
        <v>156</v>
      </c>
      <c r="E80" s="183"/>
      <c r="F80" s="355">
        <v>10940071.258476</v>
      </c>
      <c r="G80" s="355"/>
      <c r="H80" s="355">
        <v>10940071.258476</v>
      </c>
      <c r="I80" s="355"/>
      <c r="J80" s="355">
        <v>10940071.258476</v>
      </c>
      <c r="K80" s="355">
        <v>11944613</v>
      </c>
      <c r="L80" s="355">
        <v>10564743.41</v>
      </c>
      <c r="M80" s="184"/>
      <c r="N80" s="355"/>
      <c r="O80" s="185">
        <f t="shared" si="96"/>
        <v>0</v>
      </c>
      <c r="P80" s="355">
        <v>10564743.41</v>
      </c>
      <c r="Q80" s="186">
        <f t="shared" si="100"/>
        <v>0.96569237625530013</v>
      </c>
      <c r="R80" s="187">
        <v>10564743.41</v>
      </c>
      <c r="S80" s="186">
        <f t="shared" si="101"/>
        <v>0.96569237625530013</v>
      </c>
      <c r="T80" s="187">
        <v>7223151.1500000004</v>
      </c>
      <c r="U80" s="187">
        <v>0</v>
      </c>
      <c r="V80" s="187">
        <v>0</v>
      </c>
      <c r="W80" s="187">
        <v>0</v>
      </c>
      <c r="X80" s="187">
        <v>0</v>
      </c>
      <c r="Y80" s="187">
        <f t="shared" si="97"/>
        <v>7223151.1500000004</v>
      </c>
      <c r="Z80" s="189">
        <f t="shared" si="111"/>
        <v>7223151.1500000004</v>
      </c>
      <c r="AA80" s="189"/>
      <c r="AB80" s="184"/>
      <c r="AC80" s="189">
        <f>SUM(T80:V80)</f>
        <v>7223151.1500000004</v>
      </c>
      <c r="AD80" s="186">
        <f t="shared" si="103"/>
        <v>0.66024717566658853</v>
      </c>
      <c r="AE80" s="184">
        <v>6.2330838886075086E-6</v>
      </c>
      <c r="AF80" s="190">
        <f t="shared" si="107"/>
        <v>375327.84847600013</v>
      </c>
      <c r="AG80" s="191">
        <f t="shared" si="104"/>
        <v>3.4307623744699901E-2</v>
      </c>
      <c r="AH80" s="196"/>
      <c r="AI80" s="225"/>
      <c r="AJ80" s="244" t="s">
        <v>408</v>
      </c>
      <c r="AK80" s="355">
        <f>(J80/K80)*AL80</f>
        <v>1094007.1258476002</v>
      </c>
      <c r="AL80" s="355">
        <v>1194461.3</v>
      </c>
      <c r="AM80" s="184">
        <f>AL80/K80</f>
        <v>0.1</v>
      </c>
      <c r="AN80" s="184" t="s">
        <v>433</v>
      </c>
      <c r="AO80" s="355">
        <f>AL80</f>
        <v>1194461.3</v>
      </c>
      <c r="AP80" s="325">
        <f>AL80</f>
        <v>1194461.3</v>
      </c>
      <c r="AQ80" s="325">
        <f>AL80</f>
        <v>1194461.3</v>
      </c>
      <c r="AR80" s="184">
        <f t="shared" si="35"/>
        <v>0.1</v>
      </c>
      <c r="AS80" s="326" t="s">
        <v>433</v>
      </c>
      <c r="AT80" s="326" t="s">
        <v>690</v>
      </c>
      <c r="AU80" s="395"/>
      <c r="AV80" s="258"/>
    </row>
    <row r="81" spans="1:51" ht="66">
      <c r="A81" s="383" t="s">
        <v>239</v>
      </c>
      <c r="B81" s="350" t="s">
        <v>506</v>
      </c>
      <c r="C81" s="183" t="s">
        <v>0</v>
      </c>
      <c r="D81" s="183" t="s">
        <v>156</v>
      </c>
      <c r="E81" s="183"/>
      <c r="F81" s="355">
        <v>8705014.6804799996</v>
      </c>
      <c r="G81" s="355"/>
      <c r="H81" s="355">
        <v>8705014.6804799996</v>
      </c>
      <c r="I81" s="355"/>
      <c r="J81" s="355">
        <v>8705014.6804799996</v>
      </c>
      <c r="K81" s="355">
        <v>9329846</v>
      </c>
      <c r="L81" s="355">
        <v>8703173.8300000001</v>
      </c>
      <c r="M81" s="184"/>
      <c r="N81" s="355"/>
      <c r="O81" s="185">
        <f t="shared" si="96"/>
        <v>0</v>
      </c>
      <c r="P81" s="355">
        <v>8703173.8300000001</v>
      </c>
      <c r="Q81" s="186">
        <f t="shared" si="100"/>
        <v>0.99978852988219225</v>
      </c>
      <c r="R81" s="187">
        <v>8703173.8300000001</v>
      </c>
      <c r="S81" s="186">
        <f t="shared" si="101"/>
        <v>0.99978852988219225</v>
      </c>
      <c r="T81" s="187">
        <v>5196622.84</v>
      </c>
      <c r="U81" s="187">
        <v>0</v>
      </c>
      <c r="V81" s="187">
        <v>0</v>
      </c>
      <c r="W81" s="187">
        <v>0</v>
      </c>
      <c r="X81" s="187">
        <v>0</v>
      </c>
      <c r="Y81" s="187">
        <f t="shared" si="97"/>
        <v>5196622.84</v>
      </c>
      <c r="Z81" s="189">
        <f t="shared" si="111"/>
        <v>5196622.84</v>
      </c>
      <c r="AA81" s="189"/>
      <c r="AB81" s="184"/>
      <c r="AC81" s="189">
        <f>SUM(T81:V81)</f>
        <v>5196622.84</v>
      </c>
      <c r="AD81" s="186">
        <f t="shared" si="103"/>
        <v>0.59696887722117609</v>
      </c>
      <c r="AE81" s="184">
        <v>3.635421843165868E-4</v>
      </c>
      <c r="AF81" s="190">
        <f t="shared" si="107"/>
        <v>1840.8504799995571</v>
      </c>
      <c r="AG81" s="191">
        <f t="shared" si="104"/>
        <v>2.1147011780777968E-4</v>
      </c>
      <c r="AH81" s="196"/>
      <c r="AI81" s="225"/>
      <c r="AJ81" s="244" t="s">
        <v>408</v>
      </c>
      <c r="AK81" s="355">
        <f>(J81/K81)*AL81</f>
        <v>870501.46804800001</v>
      </c>
      <c r="AL81" s="355">
        <v>932984.60000000009</v>
      </c>
      <c r="AM81" s="184">
        <f>AK81/J81</f>
        <v>0.1</v>
      </c>
      <c r="AN81" s="184" t="s">
        <v>433</v>
      </c>
      <c r="AO81" s="355">
        <f>AL81</f>
        <v>932984.60000000009</v>
      </c>
      <c r="AP81" s="325">
        <f>AL81</f>
        <v>932984.60000000009</v>
      </c>
      <c r="AQ81" s="325">
        <f>AL81</f>
        <v>932984.60000000009</v>
      </c>
      <c r="AR81" s="184">
        <f t="shared" si="35"/>
        <v>0.1</v>
      </c>
      <c r="AS81" s="326" t="s">
        <v>433</v>
      </c>
      <c r="AT81" s="326" t="s">
        <v>691</v>
      </c>
      <c r="AU81" s="384"/>
      <c r="AV81" s="258"/>
    </row>
    <row r="82" spans="1:51" s="52" customFormat="1" ht="84" customHeight="1">
      <c r="A82" s="387" t="s">
        <v>44</v>
      </c>
      <c r="B82" s="77" t="s">
        <v>507</v>
      </c>
      <c r="C82" s="78" t="s">
        <v>0</v>
      </c>
      <c r="D82" s="78" t="s">
        <v>156</v>
      </c>
      <c r="E82" s="78"/>
      <c r="F82" s="354">
        <f>SUM(F83:F85)</f>
        <v>14099924</v>
      </c>
      <c r="G82" s="354"/>
      <c r="H82" s="354">
        <f>SUM(H83:H85)</f>
        <v>14099924</v>
      </c>
      <c r="I82" s="354"/>
      <c r="J82" s="354">
        <f>SUM(J83:J85)</f>
        <v>14099924</v>
      </c>
      <c r="K82" s="354">
        <f>SUM(K83:K85)</f>
        <v>14984169</v>
      </c>
      <c r="L82" s="354">
        <f t="shared" ref="L82:N82" si="115">SUM(L83:L85)</f>
        <v>31447951.490000002</v>
      </c>
      <c r="M82" s="130">
        <f>L82/J82</f>
        <v>2.2303631913193294</v>
      </c>
      <c r="N82" s="354">
        <f t="shared" si="115"/>
        <v>17788891.859999999</v>
      </c>
      <c r="O82" s="132">
        <f t="shared" si="96"/>
        <v>1.2616303364472035</v>
      </c>
      <c r="P82" s="84">
        <f>SUM(P83:P85)</f>
        <v>13664701.49</v>
      </c>
      <c r="Q82" s="76">
        <f t="shared" si="100"/>
        <v>0.9691329889437702</v>
      </c>
      <c r="R82" s="81">
        <f>R83+R84+R85</f>
        <v>13467280.75</v>
      </c>
      <c r="S82" s="76">
        <f t="shared" si="101"/>
        <v>0.9551314425524563</v>
      </c>
      <c r="T82" s="81">
        <f t="shared" ref="T82:V82" si="116">SUM(T83:T85)</f>
        <v>3667447.71</v>
      </c>
      <c r="U82" s="81">
        <f t="shared" si="116"/>
        <v>0</v>
      </c>
      <c r="V82" s="81">
        <f t="shared" si="116"/>
        <v>1834757.2100000002</v>
      </c>
      <c r="W82" s="81">
        <v>0</v>
      </c>
      <c r="X82" s="81">
        <v>0</v>
      </c>
      <c r="Y82" s="81">
        <f t="shared" si="97"/>
        <v>5502204.9199999999</v>
      </c>
      <c r="Z82" s="118">
        <f t="shared" si="111"/>
        <v>3667447.71</v>
      </c>
      <c r="AA82" s="81">
        <f>AA83+AA84+AA85</f>
        <v>0</v>
      </c>
      <c r="AB82" s="136"/>
      <c r="AC82" s="81">
        <f>SUM(AC83:AC85)</f>
        <v>5502204.9199999999</v>
      </c>
      <c r="AD82" s="76">
        <f t="shared" si="103"/>
        <v>0.39022940265493627</v>
      </c>
      <c r="AE82" s="141"/>
      <c r="AF82" s="171">
        <f t="shared" si="107"/>
        <v>632643.25</v>
      </c>
      <c r="AG82" s="172">
        <f t="shared" si="104"/>
        <v>4.4868557447543686E-2</v>
      </c>
      <c r="AH82" s="125"/>
      <c r="AI82" s="85"/>
      <c r="AJ82" s="243" t="s">
        <v>409</v>
      </c>
      <c r="AK82" s="354">
        <v>0</v>
      </c>
      <c r="AL82" s="354">
        <v>0</v>
      </c>
      <c r="AM82" s="130">
        <v>0</v>
      </c>
      <c r="AN82" s="85"/>
      <c r="AO82" s="354">
        <v>0</v>
      </c>
      <c r="AP82" s="125"/>
      <c r="AQ82" s="125"/>
      <c r="AR82" s="130">
        <f t="shared" si="35"/>
        <v>0</v>
      </c>
      <c r="AS82" s="125"/>
      <c r="AT82" s="125"/>
      <c r="AU82" s="388"/>
      <c r="AV82" s="261"/>
    </row>
    <row r="83" spans="1:51" ht="50.45" customHeight="1">
      <c r="A83" s="381" t="s">
        <v>222</v>
      </c>
      <c r="B83" s="71" t="s">
        <v>508</v>
      </c>
      <c r="C83" s="72" t="s">
        <v>0</v>
      </c>
      <c r="D83" s="72" t="s">
        <v>156</v>
      </c>
      <c r="E83" s="72"/>
      <c r="F83" s="354">
        <v>1262086</v>
      </c>
      <c r="G83" s="354"/>
      <c r="H83" s="354">
        <v>1262086</v>
      </c>
      <c r="I83" s="354"/>
      <c r="J83" s="354">
        <v>1262086</v>
      </c>
      <c r="K83" s="354">
        <v>1484807</v>
      </c>
      <c r="L83" s="354">
        <v>1262085.1499999999</v>
      </c>
      <c r="M83" s="130">
        <f t="shared" ref="M83:M85" si="117">L83/J83</f>
        <v>0.99999932651182244</v>
      </c>
      <c r="N83" s="354"/>
      <c r="O83" s="132">
        <f t="shared" si="96"/>
        <v>0</v>
      </c>
      <c r="P83" s="354">
        <v>1262085.1499999999</v>
      </c>
      <c r="Q83" s="76">
        <f t="shared" si="100"/>
        <v>0.99999932651182244</v>
      </c>
      <c r="R83" s="79">
        <v>1262085.1499999999</v>
      </c>
      <c r="S83" s="76">
        <f t="shared" si="101"/>
        <v>0.99999932651182244</v>
      </c>
      <c r="T83" s="79">
        <v>369565.26</v>
      </c>
      <c r="U83" s="79">
        <v>0</v>
      </c>
      <c r="V83" s="79">
        <v>0</v>
      </c>
      <c r="W83" s="79">
        <v>0</v>
      </c>
      <c r="X83" s="79">
        <v>0</v>
      </c>
      <c r="Y83" s="79">
        <f t="shared" si="97"/>
        <v>369565.26</v>
      </c>
      <c r="Z83" s="80">
        <f t="shared" si="111"/>
        <v>369565.26</v>
      </c>
      <c r="AA83" s="80"/>
      <c r="AB83" s="130"/>
      <c r="AC83" s="80">
        <f t="shared" ref="AC83:AC85" si="118">SUM(T83:V83)</f>
        <v>369565.26</v>
      </c>
      <c r="AD83" s="76">
        <f t="shared" si="103"/>
        <v>0.29282098050370575</v>
      </c>
      <c r="AE83" s="130">
        <v>3.9672925417629949E-2</v>
      </c>
      <c r="AF83" s="171">
        <v>0</v>
      </c>
      <c r="AG83" s="172">
        <f t="shared" si="104"/>
        <v>0</v>
      </c>
      <c r="AH83" s="125"/>
      <c r="AI83" s="85"/>
      <c r="AJ83" s="243" t="s">
        <v>409</v>
      </c>
      <c r="AK83" s="354">
        <v>0</v>
      </c>
      <c r="AL83" s="354">
        <v>0</v>
      </c>
      <c r="AM83" s="130">
        <v>0</v>
      </c>
      <c r="AN83" s="85"/>
      <c r="AO83" s="354">
        <v>0</v>
      </c>
      <c r="AP83" s="125"/>
      <c r="AQ83" s="125"/>
      <c r="AR83" s="130">
        <f t="shared" si="35"/>
        <v>0</v>
      </c>
      <c r="AS83" s="125"/>
      <c r="AT83" s="125"/>
      <c r="AU83" s="388"/>
      <c r="AV83" s="261"/>
      <c r="AW83" s="42"/>
      <c r="AX83" s="42"/>
      <c r="AY83" s="42"/>
    </row>
    <row r="84" spans="1:51" ht="67.150000000000006" customHeight="1">
      <c r="A84" s="381" t="s">
        <v>45</v>
      </c>
      <c r="B84" s="71" t="s">
        <v>509</v>
      </c>
      <c r="C84" s="72" t="s">
        <v>0</v>
      </c>
      <c r="D84" s="72" t="s">
        <v>156</v>
      </c>
      <c r="E84" s="72"/>
      <c r="F84" s="354">
        <v>3215141</v>
      </c>
      <c r="G84" s="354"/>
      <c r="H84" s="354">
        <v>3215141</v>
      </c>
      <c r="I84" s="354"/>
      <c r="J84" s="354">
        <v>3215141</v>
      </c>
      <c r="K84" s="354">
        <v>3782518</v>
      </c>
      <c r="L84" s="354">
        <v>3215136.33</v>
      </c>
      <c r="M84" s="130">
        <f t="shared" si="117"/>
        <v>0.99999854749760586</v>
      </c>
      <c r="N84" s="354"/>
      <c r="O84" s="132">
        <f t="shared" si="96"/>
        <v>0</v>
      </c>
      <c r="P84" s="354">
        <v>3215136.33</v>
      </c>
      <c r="Q84" s="76">
        <f t="shared" si="100"/>
        <v>0.99999854749760586</v>
      </c>
      <c r="R84" s="79">
        <v>3215136.33</v>
      </c>
      <c r="S84" s="76">
        <f t="shared" si="101"/>
        <v>0.99999854749760586</v>
      </c>
      <c r="T84" s="79">
        <v>1853354.95</v>
      </c>
      <c r="U84" s="114">
        <v>0</v>
      </c>
      <c r="V84" s="79">
        <v>241209.09</v>
      </c>
      <c r="W84" s="79">
        <v>0</v>
      </c>
      <c r="X84" s="79">
        <v>0</v>
      </c>
      <c r="Y84" s="79">
        <f t="shared" si="97"/>
        <v>2094564.04</v>
      </c>
      <c r="Z84" s="80">
        <f t="shared" si="111"/>
        <v>1853354.95</v>
      </c>
      <c r="AA84" s="80"/>
      <c r="AB84" s="130"/>
      <c r="AC84" s="80">
        <f t="shared" si="118"/>
        <v>2094564.04</v>
      </c>
      <c r="AD84" s="76">
        <f t="shared" si="103"/>
        <v>0.65146879716939321</v>
      </c>
      <c r="AE84" s="130">
        <v>1.0553161412103224E-6</v>
      </c>
      <c r="AF84" s="171">
        <f t="shared" ref="AF84:AF89" si="119">J84-R84</f>
        <v>4.6699999999254942</v>
      </c>
      <c r="AG84" s="172">
        <f t="shared" si="104"/>
        <v>1.45250239411755E-6</v>
      </c>
      <c r="AH84" s="125"/>
      <c r="AI84" s="85"/>
      <c r="AJ84" s="243" t="s">
        <v>409</v>
      </c>
      <c r="AK84" s="354">
        <v>0</v>
      </c>
      <c r="AL84" s="354">
        <v>0</v>
      </c>
      <c r="AM84" s="130">
        <v>0</v>
      </c>
      <c r="AN84" s="85"/>
      <c r="AO84" s="354">
        <v>0</v>
      </c>
      <c r="AP84" s="125"/>
      <c r="AQ84" s="125"/>
      <c r="AR84" s="130">
        <f t="shared" ref="AR84:AR147" si="120">AQ84/K84</f>
        <v>0</v>
      </c>
      <c r="AS84" s="125"/>
      <c r="AT84" s="125"/>
      <c r="AU84" s="388"/>
      <c r="AV84" s="261"/>
      <c r="AW84" s="42"/>
      <c r="AX84" s="42"/>
      <c r="AY84" s="42"/>
    </row>
    <row r="85" spans="1:51" ht="84" customHeight="1">
      <c r="A85" s="381" t="s">
        <v>255</v>
      </c>
      <c r="B85" s="71" t="s">
        <v>510</v>
      </c>
      <c r="C85" s="72" t="s">
        <v>0</v>
      </c>
      <c r="D85" s="72" t="s">
        <v>156</v>
      </c>
      <c r="E85" s="72"/>
      <c r="F85" s="354">
        <v>9622697</v>
      </c>
      <c r="G85" s="354"/>
      <c r="H85" s="354">
        <v>9622697</v>
      </c>
      <c r="I85" s="354"/>
      <c r="J85" s="354">
        <v>9622697</v>
      </c>
      <c r="K85" s="354">
        <v>9716844</v>
      </c>
      <c r="L85" s="354">
        <v>26970730.010000002</v>
      </c>
      <c r="M85" s="130">
        <f t="shared" si="117"/>
        <v>2.8028244067125883</v>
      </c>
      <c r="N85" s="354">
        <v>17788891.859999999</v>
      </c>
      <c r="O85" s="132">
        <f t="shared" si="96"/>
        <v>1.848638885751053</v>
      </c>
      <c r="P85" s="354">
        <v>9187480.0099999998</v>
      </c>
      <c r="Q85" s="76">
        <f t="shared" si="100"/>
        <v>0.9547718285216712</v>
      </c>
      <c r="R85" s="79">
        <v>8990059.2699999996</v>
      </c>
      <c r="S85" s="76">
        <f t="shared" si="101"/>
        <v>0.93425567385110431</v>
      </c>
      <c r="T85" s="79">
        <v>1444527.5</v>
      </c>
      <c r="U85" s="114">
        <v>0</v>
      </c>
      <c r="V85" s="79">
        <v>1593548.12</v>
      </c>
      <c r="W85" s="79">
        <v>55371.01</v>
      </c>
      <c r="X85" s="79">
        <v>0</v>
      </c>
      <c r="Y85" s="79">
        <f t="shared" si="97"/>
        <v>3038075.62</v>
      </c>
      <c r="Z85" s="80">
        <f t="shared" si="111"/>
        <v>1499898.51</v>
      </c>
      <c r="AA85" s="80"/>
      <c r="AB85" s="130"/>
      <c r="AC85" s="80">
        <f t="shared" si="118"/>
        <v>3038075.62</v>
      </c>
      <c r="AD85" s="76">
        <f t="shared" si="103"/>
        <v>0.31571976338858015</v>
      </c>
      <c r="AE85" s="130">
        <v>2.7844273701553378E-4</v>
      </c>
      <c r="AF85" s="171">
        <f t="shared" si="119"/>
        <v>632637.73000000045</v>
      </c>
      <c r="AG85" s="172">
        <f t="shared" si="104"/>
        <v>6.5744326148895721E-2</v>
      </c>
      <c r="AH85" s="125"/>
      <c r="AI85" s="85"/>
      <c r="AJ85" s="243" t="s">
        <v>409</v>
      </c>
      <c r="AK85" s="354">
        <v>0</v>
      </c>
      <c r="AL85" s="354">
        <v>0</v>
      </c>
      <c r="AM85" s="130">
        <v>0</v>
      </c>
      <c r="AN85" s="85"/>
      <c r="AO85" s="354">
        <v>0</v>
      </c>
      <c r="AP85" s="125"/>
      <c r="AQ85" s="125"/>
      <c r="AR85" s="130">
        <f t="shared" si="120"/>
        <v>0</v>
      </c>
      <c r="AS85" s="125"/>
      <c r="AT85" s="125"/>
      <c r="AU85" s="388"/>
      <c r="AV85" s="261"/>
      <c r="AW85" s="42"/>
      <c r="AX85" s="42"/>
      <c r="AY85" s="42"/>
    </row>
    <row r="86" spans="1:51" s="52" customFormat="1" ht="33.6" customHeight="1">
      <c r="A86" s="379" t="s">
        <v>46</v>
      </c>
      <c r="B86" s="66" t="s">
        <v>511</v>
      </c>
      <c r="C86" s="67" t="s">
        <v>0</v>
      </c>
      <c r="D86" s="67" t="s">
        <v>1</v>
      </c>
      <c r="E86" s="67"/>
      <c r="F86" s="353">
        <f>F87+F95+F101</f>
        <v>16087896.158307999</v>
      </c>
      <c r="G86" s="353"/>
      <c r="H86" s="353">
        <f>H87+H95+H101</f>
        <v>16087896.158307999</v>
      </c>
      <c r="I86" s="353"/>
      <c r="J86" s="353">
        <f>J87+J95+J101</f>
        <v>16087896.195831999</v>
      </c>
      <c r="K86" s="353">
        <f>K87+K95+K101</f>
        <v>16885633.037524</v>
      </c>
      <c r="L86" s="353">
        <f t="shared" ref="L86:N86" si="121">L87+L95+L101</f>
        <v>26353353.130000003</v>
      </c>
      <c r="M86" s="129">
        <f t="shared" ref="M86:M87" si="122">L86/J86</f>
        <v>1.6380857266363731</v>
      </c>
      <c r="N86" s="353">
        <f t="shared" si="121"/>
        <v>9119051.4100000001</v>
      </c>
      <c r="O86" s="126">
        <f t="shared" si="96"/>
        <v>0.56682684292571051</v>
      </c>
      <c r="P86" s="68">
        <f>P87+P95+P101</f>
        <v>15213322.329999998</v>
      </c>
      <c r="Q86" s="69">
        <f t="shared" si="100"/>
        <v>0.94563777294519202</v>
      </c>
      <c r="R86" s="68">
        <f>R87+R95+R101</f>
        <v>14605012.039999999</v>
      </c>
      <c r="S86" s="69">
        <f t="shared" si="101"/>
        <v>0.90782609871536957</v>
      </c>
      <c r="T86" s="68">
        <f t="shared" ref="T86:X86" si="123">T87+T95+T101</f>
        <v>4745913.76</v>
      </c>
      <c r="U86" s="68">
        <f t="shared" si="123"/>
        <v>0</v>
      </c>
      <c r="V86" s="68">
        <f t="shared" si="123"/>
        <v>3070841.4</v>
      </c>
      <c r="W86" s="68">
        <f t="shared" si="123"/>
        <v>1147349.3999999999</v>
      </c>
      <c r="X86" s="68">
        <f t="shared" si="123"/>
        <v>21009.43</v>
      </c>
      <c r="Y86" s="68">
        <f t="shared" si="97"/>
        <v>7795745.7300000004</v>
      </c>
      <c r="Z86" s="68">
        <f t="shared" si="111"/>
        <v>5893263.1600000001</v>
      </c>
      <c r="AA86" s="68">
        <f>AA87+AA95+AA101</f>
        <v>2070465.2600000002</v>
      </c>
      <c r="AB86" s="133">
        <f>AA86/J86</f>
        <v>0.12869707976711148</v>
      </c>
      <c r="AC86" s="68">
        <f>AC87+AC95+AC101</f>
        <v>7816755.1600000001</v>
      </c>
      <c r="AD86" s="69">
        <f t="shared" si="103"/>
        <v>0.48587802064667351</v>
      </c>
      <c r="AE86" s="138">
        <v>5.3587215133156091E-3</v>
      </c>
      <c r="AF86" s="173">
        <f t="shared" si="119"/>
        <v>1482884.1558320001</v>
      </c>
      <c r="AG86" s="59">
        <f t="shared" si="104"/>
        <v>9.2173901284630433E-2</v>
      </c>
      <c r="AH86" s="124"/>
      <c r="AI86" s="222"/>
      <c r="AJ86" s="242" t="s">
        <v>409</v>
      </c>
      <c r="AK86" s="353">
        <f>AK87+AK95+AK101</f>
        <v>0</v>
      </c>
      <c r="AL86" s="353">
        <f>AL87+AL95+AL101</f>
        <v>0</v>
      </c>
      <c r="AM86" s="130">
        <v>0</v>
      </c>
      <c r="AN86" s="89"/>
      <c r="AO86" s="354">
        <v>0</v>
      </c>
      <c r="AP86" s="353">
        <f>AP87+AP95+AP101</f>
        <v>940072</v>
      </c>
      <c r="AQ86" s="353">
        <f>AQ87+AQ95+AQ101</f>
        <v>0</v>
      </c>
      <c r="AR86" s="130">
        <f t="shared" si="120"/>
        <v>0</v>
      </c>
      <c r="AS86" s="124"/>
      <c r="AT86" s="124"/>
      <c r="AU86" s="388"/>
      <c r="AV86" s="261"/>
    </row>
    <row r="87" spans="1:51" s="52" customFormat="1" ht="33.6" customHeight="1">
      <c r="A87" s="379" t="s">
        <v>47</v>
      </c>
      <c r="B87" s="66" t="s">
        <v>512</v>
      </c>
      <c r="C87" s="67" t="s">
        <v>0</v>
      </c>
      <c r="D87" s="67" t="s">
        <v>1</v>
      </c>
      <c r="E87" s="67"/>
      <c r="F87" s="353">
        <f>F88+F91+F92</f>
        <v>5334805.2162720002</v>
      </c>
      <c r="G87" s="353"/>
      <c r="H87" s="353">
        <f>H88+H91+H92</f>
        <v>5334805.2162720002</v>
      </c>
      <c r="I87" s="353"/>
      <c r="J87" s="353">
        <f>J88+J91+J92</f>
        <v>5334805.253796</v>
      </c>
      <c r="K87" s="353">
        <f>K88+K91+K92</f>
        <v>5786155.0375239998</v>
      </c>
      <c r="L87" s="353">
        <f t="shared" ref="L87:N87" si="124">L88+L91+L92</f>
        <v>6251094.5899999999</v>
      </c>
      <c r="M87" s="129">
        <f t="shared" si="122"/>
        <v>1.171756848209597</v>
      </c>
      <c r="N87" s="353">
        <f t="shared" si="124"/>
        <v>795444.83000000007</v>
      </c>
      <c r="O87" s="126">
        <f t="shared" si="96"/>
        <v>0.14910475493627409</v>
      </c>
      <c r="P87" s="68">
        <f>P88+P91+P92</f>
        <v>5279881.6899999995</v>
      </c>
      <c r="Q87" s="69">
        <f t="shared" si="100"/>
        <v>0.98970467314492516</v>
      </c>
      <c r="R87" s="68">
        <f>R88+R91+R92</f>
        <v>5279881.6899999995</v>
      </c>
      <c r="S87" s="69">
        <f t="shared" si="101"/>
        <v>0.98970467314492516</v>
      </c>
      <c r="T87" s="68">
        <f t="shared" ref="T87:X87" si="125">T88+T91+T92</f>
        <v>2138591.6</v>
      </c>
      <c r="U87" s="68">
        <f t="shared" si="125"/>
        <v>0</v>
      </c>
      <c r="V87" s="68">
        <f t="shared" si="125"/>
        <v>57811.66</v>
      </c>
      <c r="W87" s="68">
        <f t="shared" si="125"/>
        <v>55404.149999999907</v>
      </c>
      <c r="X87" s="68">
        <f t="shared" si="125"/>
        <v>3774.6</v>
      </c>
      <c r="Y87" s="68">
        <f t="shared" si="97"/>
        <v>2192628.6599999997</v>
      </c>
      <c r="Z87" s="68">
        <f t="shared" si="111"/>
        <v>2193995.75</v>
      </c>
      <c r="AA87" s="68">
        <f>AA88+AA91+AA92</f>
        <v>175768.07</v>
      </c>
      <c r="AB87" s="133">
        <f>AA87/J87</f>
        <v>3.2947420128397679E-2</v>
      </c>
      <c r="AC87" s="68">
        <f>AC88+AC91+AC92</f>
        <v>2196403.2599999998</v>
      </c>
      <c r="AD87" s="69">
        <f t="shared" si="103"/>
        <v>0.41171198488213623</v>
      </c>
      <c r="AE87" s="138"/>
      <c r="AF87" s="58">
        <f t="shared" si="119"/>
        <v>54923.563796000555</v>
      </c>
      <c r="AG87" s="59">
        <f t="shared" si="104"/>
        <v>1.0295326855074886E-2</v>
      </c>
      <c r="AH87" s="124"/>
      <c r="AI87" s="222"/>
      <c r="AJ87" s="242" t="s">
        <v>409</v>
      </c>
      <c r="AK87" s="353">
        <f>AK88+AK91+AK92</f>
        <v>0</v>
      </c>
      <c r="AL87" s="353">
        <f>AL88+AL91+AL92</f>
        <v>0</v>
      </c>
      <c r="AM87" s="130">
        <v>0</v>
      </c>
      <c r="AN87" s="89"/>
      <c r="AO87" s="354">
        <v>0</v>
      </c>
      <c r="AP87" s="353">
        <f>AP88+AP91+AP92</f>
        <v>0</v>
      </c>
      <c r="AQ87" s="353">
        <f>AQ88+AQ91+AQ92</f>
        <v>0</v>
      </c>
      <c r="AR87" s="130">
        <f t="shared" si="120"/>
        <v>0</v>
      </c>
      <c r="AS87" s="124"/>
      <c r="AT87" s="124"/>
      <c r="AU87" s="388"/>
      <c r="AV87" s="261"/>
    </row>
    <row r="88" spans="1:51" s="52" customFormat="1" ht="50.45" customHeight="1">
      <c r="A88" s="387" t="s">
        <v>48</v>
      </c>
      <c r="B88" s="77" t="s">
        <v>513</v>
      </c>
      <c r="C88" s="78" t="s">
        <v>0</v>
      </c>
      <c r="D88" s="78" t="s">
        <v>1</v>
      </c>
      <c r="E88" s="78"/>
      <c r="F88" s="354">
        <f>SUM(F89:F90)</f>
        <v>2781474</v>
      </c>
      <c r="G88" s="354"/>
      <c r="H88" s="354">
        <f>SUM(H89:H90)</f>
        <v>2781474</v>
      </c>
      <c r="I88" s="354"/>
      <c r="J88" s="354">
        <f>SUM(J89:J90)</f>
        <v>2781474.0375239998</v>
      </c>
      <c r="K88" s="354">
        <f>SUM(K89:K90)</f>
        <v>2781474.0375239998</v>
      </c>
      <c r="L88" s="354">
        <f t="shared" ref="L88:N88" si="126">SUM(L89:L90)</f>
        <v>2781474</v>
      </c>
      <c r="M88" s="130">
        <f>L88/J88</f>
        <v>0.99999998650931154</v>
      </c>
      <c r="N88" s="354">
        <f t="shared" si="126"/>
        <v>0</v>
      </c>
      <c r="O88" s="132">
        <f t="shared" si="96"/>
        <v>0</v>
      </c>
      <c r="P88" s="84">
        <f>SUM(P89:P90)</f>
        <v>2781474</v>
      </c>
      <c r="Q88" s="76">
        <f t="shared" si="100"/>
        <v>0.99999998650931154</v>
      </c>
      <c r="R88" s="81">
        <f>SUM(R89:R90)</f>
        <v>2781474</v>
      </c>
      <c r="S88" s="76">
        <f t="shared" si="101"/>
        <v>0.99999998650931154</v>
      </c>
      <c r="T88" s="81">
        <f t="shared" ref="T88:X88" si="127">SUM(T89:T90)</f>
        <v>870227.37</v>
      </c>
      <c r="U88" s="81">
        <f t="shared" si="127"/>
        <v>0</v>
      </c>
      <c r="V88" s="81">
        <f t="shared" si="127"/>
        <v>0</v>
      </c>
      <c r="W88" s="81">
        <f t="shared" si="127"/>
        <v>0</v>
      </c>
      <c r="X88" s="81">
        <f t="shared" si="127"/>
        <v>0</v>
      </c>
      <c r="Y88" s="81">
        <f t="shared" si="97"/>
        <v>870227.37</v>
      </c>
      <c r="Z88" s="118">
        <f t="shared" si="111"/>
        <v>870227.37</v>
      </c>
      <c r="AA88" s="81">
        <f>SUM(AA89:AA90)</f>
        <v>0</v>
      </c>
      <c r="AB88" s="136">
        <f>AA88/J88</f>
        <v>0</v>
      </c>
      <c r="AC88" s="81">
        <f>SUM(AC89:AC90)</f>
        <v>870227.37</v>
      </c>
      <c r="AD88" s="76">
        <f t="shared" si="103"/>
        <v>0.31286553757469371</v>
      </c>
      <c r="AE88" s="141">
        <f>SUM(AE89:AE90)</f>
        <v>0</v>
      </c>
      <c r="AF88" s="171">
        <f t="shared" si="119"/>
        <v>3.7523999810218811E-2</v>
      </c>
      <c r="AG88" s="172">
        <f t="shared" si="104"/>
        <v>1.3490688499692687E-8</v>
      </c>
      <c r="AH88" s="125"/>
      <c r="AI88" s="85"/>
      <c r="AJ88" s="243" t="s">
        <v>409</v>
      </c>
      <c r="AK88" s="354">
        <v>0</v>
      </c>
      <c r="AL88" s="354">
        <v>0</v>
      </c>
      <c r="AM88" s="130">
        <v>0</v>
      </c>
      <c r="AN88" s="85"/>
      <c r="AO88" s="354">
        <v>0</v>
      </c>
      <c r="AP88" s="125"/>
      <c r="AQ88" s="125"/>
      <c r="AR88" s="130">
        <f t="shared" si="120"/>
        <v>0</v>
      </c>
      <c r="AS88" s="125"/>
      <c r="AT88" s="125"/>
      <c r="AU88" s="388"/>
      <c r="AV88" s="261"/>
    </row>
    <row r="89" spans="1:51" ht="84" customHeight="1">
      <c r="A89" s="381" t="s">
        <v>49</v>
      </c>
      <c r="B89" s="71" t="s">
        <v>514</v>
      </c>
      <c r="C89" s="72" t="s">
        <v>0</v>
      </c>
      <c r="D89" s="72" t="s">
        <v>157</v>
      </c>
      <c r="E89" s="72"/>
      <c r="F89" s="354">
        <v>2781474</v>
      </c>
      <c r="G89" s="354"/>
      <c r="H89" s="354">
        <v>2781474</v>
      </c>
      <c r="I89" s="354"/>
      <c r="J89" s="354">
        <v>2781474.0375239998</v>
      </c>
      <c r="K89" s="354">
        <v>2781474.0375239998</v>
      </c>
      <c r="L89" s="354">
        <v>2781474</v>
      </c>
      <c r="M89" s="130">
        <f t="shared" ref="M89:M91" si="128">L89/J89</f>
        <v>0.99999998650931154</v>
      </c>
      <c r="N89" s="354"/>
      <c r="O89" s="132">
        <f t="shared" si="96"/>
        <v>0</v>
      </c>
      <c r="P89" s="354">
        <v>2781474</v>
      </c>
      <c r="Q89" s="76">
        <f t="shared" si="100"/>
        <v>0.99999998650931154</v>
      </c>
      <c r="R89" s="79">
        <f>P89</f>
        <v>2781474</v>
      </c>
      <c r="S89" s="76">
        <f t="shared" si="101"/>
        <v>0.99999998650931154</v>
      </c>
      <c r="T89" s="79">
        <v>870227.37</v>
      </c>
      <c r="U89" s="79">
        <v>0</v>
      </c>
      <c r="V89" s="79">
        <v>0</v>
      </c>
      <c r="W89" s="79">
        <v>0</v>
      </c>
      <c r="X89" s="79">
        <v>0</v>
      </c>
      <c r="Y89" s="79">
        <f t="shared" si="97"/>
        <v>870227.37</v>
      </c>
      <c r="Z89" s="80">
        <f t="shared" si="111"/>
        <v>870227.37</v>
      </c>
      <c r="AA89" s="80"/>
      <c r="AB89" s="130"/>
      <c r="AC89" s="80">
        <f>SUM(T89:V89)</f>
        <v>870227.37</v>
      </c>
      <c r="AD89" s="76">
        <f t="shared" si="103"/>
        <v>0.31286553757469371</v>
      </c>
      <c r="AE89" s="130">
        <v>0</v>
      </c>
      <c r="AF89" s="171">
        <f t="shared" si="119"/>
        <v>3.7523999810218811E-2</v>
      </c>
      <c r="AG89" s="172">
        <f t="shared" si="104"/>
        <v>1.3490688499692687E-8</v>
      </c>
      <c r="AH89" s="125"/>
      <c r="AI89" s="85"/>
      <c r="AJ89" s="243" t="s">
        <v>409</v>
      </c>
      <c r="AK89" s="354">
        <v>0</v>
      </c>
      <c r="AL89" s="354">
        <v>0</v>
      </c>
      <c r="AM89" s="130">
        <v>0</v>
      </c>
      <c r="AN89" s="85"/>
      <c r="AO89" s="354">
        <v>0</v>
      </c>
      <c r="AP89" s="125"/>
      <c r="AQ89" s="125"/>
      <c r="AR89" s="130">
        <f t="shared" si="120"/>
        <v>0</v>
      </c>
      <c r="AS89" s="125"/>
      <c r="AT89" s="125"/>
      <c r="AU89" s="388"/>
      <c r="AV89" s="261"/>
      <c r="AW89" s="42"/>
      <c r="AX89" s="42"/>
      <c r="AY89" s="42"/>
    </row>
    <row r="90" spans="1:51" ht="33.6" customHeight="1">
      <c r="A90" s="381" t="s">
        <v>50</v>
      </c>
      <c r="B90" s="71" t="s">
        <v>515</v>
      </c>
      <c r="C90" s="72" t="s">
        <v>0</v>
      </c>
      <c r="D90" s="72" t="s">
        <v>686</v>
      </c>
      <c r="E90" s="72"/>
      <c r="F90" s="354">
        <v>0</v>
      </c>
      <c r="G90" s="354"/>
      <c r="H90" s="354">
        <v>0</v>
      </c>
      <c r="I90" s="354"/>
      <c r="J90" s="354">
        <v>0</v>
      </c>
      <c r="K90" s="354">
        <v>0</v>
      </c>
      <c r="L90" s="354"/>
      <c r="M90" s="130" t="e">
        <f t="shared" si="128"/>
        <v>#DIV/0!</v>
      </c>
      <c r="N90" s="354"/>
      <c r="O90" s="132"/>
      <c r="P90" s="354">
        <v>0</v>
      </c>
      <c r="Q90" s="76"/>
      <c r="R90" s="79">
        <v>0</v>
      </c>
      <c r="S90" s="76"/>
      <c r="T90" s="114">
        <v>0</v>
      </c>
      <c r="U90" s="114">
        <v>0</v>
      </c>
      <c r="V90" s="114">
        <v>0</v>
      </c>
      <c r="W90" s="79">
        <v>0</v>
      </c>
      <c r="X90" s="79">
        <v>0</v>
      </c>
      <c r="Y90" s="79">
        <f t="shared" si="97"/>
        <v>0</v>
      </c>
      <c r="Z90" s="80">
        <f t="shared" si="111"/>
        <v>0</v>
      </c>
      <c r="AA90" s="80"/>
      <c r="AB90" s="130"/>
      <c r="AC90" s="80">
        <f t="shared" ref="AC90:AC91" si="129">SUM(T90:V90)</f>
        <v>0</v>
      </c>
      <c r="AD90" s="76"/>
      <c r="AE90" s="130"/>
      <c r="AF90" s="130"/>
      <c r="AG90" s="172">
        <v>0</v>
      </c>
      <c r="AH90" s="125"/>
      <c r="AI90" s="85"/>
      <c r="AJ90" s="243" t="s">
        <v>409</v>
      </c>
      <c r="AK90" s="354">
        <v>0</v>
      </c>
      <c r="AL90" s="354">
        <v>0</v>
      </c>
      <c r="AM90" s="130">
        <v>0</v>
      </c>
      <c r="AN90" s="85"/>
      <c r="AO90" s="354">
        <v>0</v>
      </c>
      <c r="AP90" s="125"/>
      <c r="AQ90" s="125"/>
      <c r="AR90" s="130" t="e">
        <f t="shared" si="120"/>
        <v>#DIV/0!</v>
      </c>
      <c r="AS90" s="125"/>
      <c r="AT90" s="125"/>
      <c r="AU90" s="388"/>
      <c r="AV90" s="261"/>
      <c r="AW90" s="42"/>
      <c r="AX90" s="42"/>
      <c r="AY90" s="42"/>
    </row>
    <row r="91" spans="1:51" ht="203.45" customHeight="1">
      <c r="A91" s="381" t="s">
        <v>51</v>
      </c>
      <c r="B91" s="71" t="s">
        <v>516</v>
      </c>
      <c r="C91" s="72" t="s">
        <v>0</v>
      </c>
      <c r="D91" s="72" t="s">
        <v>686</v>
      </c>
      <c r="E91" s="72"/>
      <c r="F91" s="354">
        <v>1761645</v>
      </c>
      <c r="G91" s="354"/>
      <c r="H91" s="354">
        <v>1761645</v>
      </c>
      <c r="I91" s="354"/>
      <c r="J91" s="354">
        <v>1761645</v>
      </c>
      <c r="K91" s="354">
        <v>2072523</v>
      </c>
      <c r="L91" s="354">
        <v>1756117</v>
      </c>
      <c r="M91" s="130">
        <f t="shared" si="128"/>
        <v>0.99686202384702938</v>
      </c>
      <c r="N91" s="354"/>
      <c r="O91" s="132">
        <f t="shared" si="96"/>
        <v>0</v>
      </c>
      <c r="P91" s="354">
        <v>1756117</v>
      </c>
      <c r="Q91" s="69">
        <f t="shared" ref="Q91:Q118" si="130">P91/J91</f>
        <v>0.99686202384702938</v>
      </c>
      <c r="R91" s="79">
        <v>1756117</v>
      </c>
      <c r="S91" s="76">
        <f t="shared" ref="S91:S118" si="131">R91/J91</f>
        <v>0.99686202384702938</v>
      </c>
      <c r="T91" s="79">
        <v>609798.68000000005</v>
      </c>
      <c r="U91" s="79">
        <v>0</v>
      </c>
      <c r="V91" s="79">
        <v>0</v>
      </c>
      <c r="W91" s="79">
        <v>0</v>
      </c>
      <c r="X91" s="79">
        <v>0</v>
      </c>
      <c r="Y91" s="79">
        <f t="shared" si="97"/>
        <v>609798.68000000005</v>
      </c>
      <c r="Z91" s="80">
        <f t="shared" si="111"/>
        <v>609798.68000000005</v>
      </c>
      <c r="AA91" s="80"/>
      <c r="AB91" s="130"/>
      <c r="AC91" s="80">
        <f t="shared" si="129"/>
        <v>609798.68000000005</v>
      </c>
      <c r="AD91" s="69">
        <f t="shared" ref="AD91:AD95" si="132">AC91/J91</f>
        <v>0.34615298769048253</v>
      </c>
      <c r="AE91" s="130">
        <v>0</v>
      </c>
      <c r="AF91" s="171">
        <f t="shared" ref="AF91:AF127" si="133">J91-R91</f>
        <v>5528</v>
      </c>
      <c r="AG91" s="172">
        <f t="shared" ref="AG91:AG118" si="134">AF91/J91</f>
        <v>3.1379761529706611E-3</v>
      </c>
      <c r="AH91" s="165" t="s">
        <v>398</v>
      </c>
      <c r="AI91" s="226"/>
      <c r="AJ91" s="243" t="s">
        <v>409</v>
      </c>
      <c r="AK91" s="354">
        <v>0</v>
      </c>
      <c r="AL91" s="354">
        <v>0</v>
      </c>
      <c r="AM91" s="130">
        <v>0</v>
      </c>
      <c r="AN91" s="85"/>
      <c r="AO91" s="354">
        <v>0</v>
      </c>
      <c r="AP91" s="125"/>
      <c r="AQ91" s="125"/>
      <c r="AR91" s="130">
        <f t="shared" si="120"/>
        <v>0</v>
      </c>
      <c r="AS91" s="125"/>
      <c r="AT91" s="125"/>
      <c r="AU91" s="388"/>
      <c r="AV91" s="261"/>
      <c r="AW91" s="42"/>
      <c r="AX91" s="42"/>
      <c r="AY91" s="42"/>
    </row>
    <row r="92" spans="1:51" s="52" customFormat="1" ht="67.150000000000006" customHeight="1">
      <c r="A92" s="387" t="s">
        <v>52</v>
      </c>
      <c r="B92" s="77" t="s">
        <v>517</v>
      </c>
      <c r="C92" s="78" t="s">
        <v>0</v>
      </c>
      <c r="D92" s="78" t="s">
        <v>686</v>
      </c>
      <c r="E92" s="78"/>
      <c r="F92" s="354">
        <f>SUM(F93:F94)</f>
        <v>791686.21627199999</v>
      </c>
      <c r="G92" s="354"/>
      <c r="H92" s="354">
        <f>SUM(H93:H94)</f>
        <v>791686.21627199999</v>
      </c>
      <c r="I92" s="354"/>
      <c r="J92" s="354">
        <f>SUM(J93:J94)</f>
        <v>791686.21627199999</v>
      </c>
      <c r="K92" s="354">
        <f>SUM(K93:K94)</f>
        <v>932158</v>
      </c>
      <c r="L92" s="354">
        <f t="shared" ref="L92:N92" si="135">SUM(L93:L94)</f>
        <v>1713503.5899999999</v>
      </c>
      <c r="M92" s="130">
        <f>L92/J92</f>
        <v>2.1643721398469955</v>
      </c>
      <c r="N92" s="354">
        <f t="shared" si="135"/>
        <v>795444.83000000007</v>
      </c>
      <c r="O92" s="132">
        <f t="shared" si="96"/>
        <v>1.0047476053652913</v>
      </c>
      <c r="P92" s="354">
        <f>SUM(P93:P94)</f>
        <v>742290.69</v>
      </c>
      <c r="Q92" s="76">
        <f t="shared" si="130"/>
        <v>0.93760719176771767</v>
      </c>
      <c r="R92" s="354">
        <f>SUM(R93:R94)</f>
        <v>742290.69</v>
      </c>
      <c r="S92" s="76">
        <f t="shared" si="131"/>
        <v>0.93760719176771767</v>
      </c>
      <c r="T92" s="81">
        <f t="shared" ref="T92:X92" si="136">SUM(T93:T94)</f>
        <v>658565.55000000005</v>
      </c>
      <c r="U92" s="81">
        <f t="shared" si="136"/>
        <v>0</v>
      </c>
      <c r="V92" s="81">
        <f t="shared" si="136"/>
        <v>57811.66</v>
      </c>
      <c r="W92" s="81">
        <f t="shared" si="136"/>
        <v>55404.149999999907</v>
      </c>
      <c r="X92" s="81">
        <f t="shared" si="136"/>
        <v>3774.6</v>
      </c>
      <c r="Y92" s="81">
        <f t="shared" si="97"/>
        <v>712602.61</v>
      </c>
      <c r="Z92" s="118">
        <f t="shared" si="111"/>
        <v>713969.7</v>
      </c>
      <c r="AA92" s="354">
        <f>SUM(AA93:AA94)</f>
        <v>175768.07</v>
      </c>
      <c r="AB92" s="136">
        <f>AA92/J92</f>
        <v>0.22201734271398668</v>
      </c>
      <c r="AC92" s="354">
        <f>SUM(AC93:AC94)</f>
        <v>716377.21</v>
      </c>
      <c r="AD92" s="76">
        <f t="shared" si="132"/>
        <v>0.90487518321763216</v>
      </c>
      <c r="AE92" s="130">
        <f>SUM(AE93:AE94)</f>
        <v>5.4538356338053361E-3</v>
      </c>
      <c r="AF92" s="171">
        <f t="shared" si="133"/>
        <v>49395.526272000046</v>
      </c>
      <c r="AG92" s="172">
        <f t="shared" si="134"/>
        <v>6.2392808232282278E-2</v>
      </c>
      <c r="AH92" s="125"/>
      <c r="AI92" s="85"/>
      <c r="AJ92" s="243" t="s">
        <v>409</v>
      </c>
      <c r="AK92" s="354">
        <v>0</v>
      </c>
      <c r="AL92" s="354">
        <v>0</v>
      </c>
      <c r="AM92" s="130">
        <v>0</v>
      </c>
      <c r="AN92" s="85"/>
      <c r="AO92" s="354">
        <v>0</v>
      </c>
      <c r="AP92" s="125"/>
      <c r="AQ92" s="125"/>
      <c r="AR92" s="130">
        <f t="shared" si="120"/>
        <v>0</v>
      </c>
      <c r="AS92" s="125"/>
      <c r="AT92" s="125"/>
      <c r="AU92" s="388"/>
      <c r="AV92" s="261"/>
    </row>
    <row r="93" spans="1:51" ht="125.45" customHeight="1">
      <c r="A93" s="381" t="s">
        <v>257</v>
      </c>
      <c r="B93" s="71" t="s">
        <v>518</v>
      </c>
      <c r="C93" s="72" t="s">
        <v>0</v>
      </c>
      <c r="D93" s="72" t="s">
        <v>686</v>
      </c>
      <c r="E93" s="72"/>
      <c r="F93" s="354">
        <v>347835.972504</v>
      </c>
      <c r="G93" s="354"/>
      <c r="H93" s="354">
        <v>347835.972504</v>
      </c>
      <c r="I93" s="354"/>
      <c r="J93" s="354">
        <v>347835.972504</v>
      </c>
      <c r="K93" s="354">
        <v>409219</v>
      </c>
      <c r="L93" s="354">
        <v>643916.92000000004</v>
      </c>
      <c r="M93" s="130">
        <f t="shared" ref="M93:M94" si="137">L93/J93</f>
        <v>1.8512085318967266</v>
      </c>
      <c r="N93" s="354">
        <v>127045.55</v>
      </c>
      <c r="O93" s="132">
        <f t="shared" si="96"/>
        <v>0.36524557562412269</v>
      </c>
      <c r="P93" s="354">
        <v>341103.3</v>
      </c>
      <c r="Q93" s="76">
        <f t="shared" si="130"/>
        <v>0.9806441166635731</v>
      </c>
      <c r="R93" s="79">
        <v>341103.3</v>
      </c>
      <c r="S93" s="76">
        <f t="shared" si="131"/>
        <v>0.9806441166635731</v>
      </c>
      <c r="T93" s="79">
        <v>315151.14</v>
      </c>
      <c r="U93" s="79">
        <v>0</v>
      </c>
      <c r="V93" s="79">
        <v>26366.92</v>
      </c>
      <c r="W93" s="79">
        <v>25952.159999999902</v>
      </c>
      <c r="X93" s="79">
        <v>414.77</v>
      </c>
      <c r="Y93" s="79">
        <f t="shared" si="97"/>
        <v>341103.29</v>
      </c>
      <c r="Z93" s="80">
        <f t="shared" si="111"/>
        <v>341103.29999999993</v>
      </c>
      <c r="AA93" s="80">
        <v>175768.07</v>
      </c>
      <c r="AB93" s="136">
        <f>AA93/J93</f>
        <v>0.50531883960903079</v>
      </c>
      <c r="AC93" s="80">
        <f t="shared" ref="AC93" si="138">SUM(T93:V93)</f>
        <v>341518.06</v>
      </c>
      <c r="AD93" s="76">
        <f t="shared" si="132"/>
        <v>0.98183651777440195</v>
      </c>
      <c r="AE93" s="130">
        <v>5.48486842272292E-4</v>
      </c>
      <c r="AF93" s="171">
        <f t="shared" si="133"/>
        <v>6732.6725040000165</v>
      </c>
      <c r="AG93" s="172">
        <f t="shared" si="134"/>
        <v>1.9355883336426894E-2</v>
      </c>
      <c r="AH93" s="166" t="s">
        <v>399</v>
      </c>
      <c r="AI93" s="226"/>
      <c r="AJ93" s="243" t="s">
        <v>409</v>
      </c>
      <c r="AK93" s="354">
        <v>0</v>
      </c>
      <c r="AL93" s="354">
        <v>0</v>
      </c>
      <c r="AM93" s="130">
        <v>0</v>
      </c>
      <c r="AN93" s="85"/>
      <c r="AO93" s="354">
        <v>0</v>
      </c>
      <c r="AP93" s="125"/>
      <c r="AQ93" s="125"/>
      <c r="AR93" s="130">
        <f t="shared" si="120"/>
        <v>0</v>
      </c>
      <c r="AS93" s="125"/>
      <c r="AT93" s="125"/>
      <c r="AU93" s="388"/>
      <c r="AV93" s="261"/>
      <c r="AW93" s="42"/>
      <c r="AX93" s="42"/>
      <c r="AY93" s="42"/>
    </row>
    <row r="94" spans="1:51" ht="187.9" customHeight="1">
      <c r="A94" s="381" t="s">
        <v>256</v>
      </c>
      <c r="B94" s="71" t="s">
        <v>519</v>
      </c>
      <c r="C94" s="72" t="s">
        <v>0</v>
      </c>
      <c r="D94" s="72" t="s">
        <v>686</v>
      </c>
      <c r="E94" s="72"/>
      <c r="F94" s="354">
        <v>443850.24376799999</v>
      </c>
      <c r="G94" s="354"/>
      <c r="H94" s="354">
        <v>443850.24376799999</v>
      </c>
      <c r="I94" s="354"/>
      <c r="J94" s="354">
        <v>443850.24376799999</v>
      </c>
      <c r="K94" s="354">
        <v>522939</v>
      </c>
      <c r="L94" s="354">
        <v>1069586.67</v>
      </c>
      <c r="M94" s="130">
        <f t="shared" si="137"/>
        <v>2.4097917822910371</v>
      </c>
      <c r="N94" s="354">
        <v>668399.28</v>
      </c>
      <c r="O94" s="132">
        <f t="shared" si="96"/>
        <v>1.5059117109539577</v>
      </c>
      <c r="P94" s="354">
        <v>401187.39</v>
      </c>
      <c r="Q94" s="76">
        <f t="shared" si="130"/>
        <v>0.90388007133707959</v>
      </c>
      <c r="R94" s="354">
        <v>401187.39</v>
      </c>
      <c r="S94" s="76">
        <f t="shared" si="131"/>
        <v>0.90388007133707959</v>
      </c>
      <c r="T94" s="79">
        <v>343414.41</v>
      </c>
      <c r="U94" s="79">
        <v>0</v>
      </c>
      <c r="V94" s="79">
        <v>31444.74</v>
      </c>
      <c r="W94" s="79">
        <v>29451.99</v>
      </c>
      <c r="X94" s="79">
        <v>3359.83</v>
      </c>
      <c r="Y94" s="79">
        <f t="shared" si="97"/>
        <v>371499.31999999995</v>
      </c>
      <c r="Z94" s="80">
        <f t="shared" si="111"/>
        <v>372866.39999999997</v>
      </c>
      <c r="AA94" s="80"/>
      <c r="AB94" s="130"/>
      <c r="AC94" s="80">
        <f>SUM(T94:V94)</f>
        <v>374859.14999999997</v>
      </c>
      <c r="AD94" s="76">
        <f t="shared" si="132"/>
        <v>0.84456222625381372</v>
      </c>
      <c r="AE94" s="130">
        <v>4.9053487915330443E-3</v>
      </c>
      <c r="AF94" s="171">
        <f t="shared" si="133"/>
        <v>42662.853767999972</v>
      </c>
      <c r="AG94" s="172">
        <f t="shared" si="134"/>
        <v>9.6119928662920365E-2</v>
      </c>
      <c r="AH94" s="166" t="s">
        <v>400</v>
      </c>
      <c r="AI94" s="226"/>
      <c r="AJ94" s="243" t="s">
        <v>409</v>
      </c>
      <c r="AK94" s="354">
        <v>0</v>
      </c>
      <c r="AL94" s="354">
        <v>0</v>
      </c>
      <c r="AM94" s="130">
        <v>0</v>
      </c>
      <c r="AN94" s="85"/>
      <c r="AO94" s="354">
        <v>0</v>
      </c>
      <c r="AP94" s="125"/>
      <c r="AQ94" s="125"/>
      <c r="AR94" s="130">
        <f t="shared" si="120"/>
        <v>0</v>
      </c>
      <c r="AS94" s="125"/>
      <c r="AT94" s="125"/>
      <c r="AU94" s="388"/>
      <c r="AV94" s="261"/>
      <c r="AW94" s="42"/>
      <c r="AX94" s="42"/>
      <c r="AY94" s="42"/>
    </row>
    <row r="95" spans="1:51" s="52" customFormat="1" ht="33.6" customHeight="1">
      <c r="A95" s="379" t="s">
        <v>53</v>
      </c>
      <c r="B95" s="66" t="s">
        <v>520</v>
      </c>
      <c r="C95" s="67" t="s">
        <v>0</v>
      </c>
      <c r="D95" s="67" t="s">
        <v>686</v>
      </c>
      <c r="E95" s="67"/>
      <c r="F95" s="353">
        <f>F96+F97</f>
        <v>5726374.9420360001</v>
      </c>
      <c r="G95" s="353"/>
      <c r="H95" s="353">
        <f>H96+H97</f>
        <v>5726374.9420360001</v>
      </c>
      <c r="I95" s="353"/>
      <c r="J95" s="353">
        <f>J96+J97</f>
        <v>5726374.9420360001</v>
      </c>
      <c r="K95" s="353">
        <f>K96+K97</f>
        <v>6072762</v>
      </c>
      <c r="L95" s="353">
        <f t="shared" ref="L95:N95" si="139">L96+L97</f>
        <v>13879648.4</v>
      </c>
      <c r="M95" s="129">
        <f t="shared" si="139"/>
        <v>35.911365915125621</v>
      </c>
      <c r="N95" s="353">
        <f t="shared" si="139"/>
        <v>7089131.6399999997</v>
      </c>
      <c r="O95" s="126">
        <f t="shared" si="96"/>
        <v>1.237978950340872</v>
      </c>
      <c r="P95" s="68">
        <f>P96+P97</f>
        <v>4958312.4400000004</v>
      </c>
      <c r="Q95" s="69">
        <f t="shared" si="130"/>
        <v>0.86587282359074502</v>
      </c>
      <c r="R95" s="68">
        <f>R96+R97</f>
        <v>4350002.1500000004</v>
      </c>
      <c r="S95" s="69">
        <f t="shared" si="131"/>
        <v>0.7596432636758792</v>
      </c>
      <c r="T95" s="68">
        <f t="shared" ref="T95:X95" si="140">T96+T97</f>
        <v>1497606.3</v>
      </c>
      <c r="U95" s="68">
        <f t="shared" si="140"/>
        <v>0</v>
      </c>
      <c r="V95" s="68">
        <f t="shared" si="140"/>
        <v>754144.47</v>
      </c>
      <c r="W95" s="68">
        <f t="shared" si="140"/>
        <v>240118.59000000011</v>
      </c>
      <c r="X95" s="68">
        <f t="shared" si="140"/>
        <v>10731.33</v>
      </c>
      <c r="Y95" s="68">
        <f t="shared" si="97"/>
        <v>2241019.4400000004</v>
      </c>
      <c r="Z95" s="68">
        <f t="shared" si="111"/>
        <v>1737724.8900000001</v>
      </c>
      <c r="AA95" s="68">
        <f>AA96+AA97</f>
        <v>1863190.1900000002</v>
      </c>
      <c r="AB95" s="138"/>
      <c r="AC95" s="68">
        <f>AC96+AC97</f>
        <v>2251750.7700000005</v>
      </c>
      <c r="AD95" s="69">
        <f t="shared" si="132"/>
        <v>0.39322447321261073</v>
      </c>
      <c r="AE95" s="138"/>
      <c r="AF95" s="173">
        <f t="shared" si="133"/>
        <v>1376372.7920359997</v>
      </c>
      <c r="AG95" s="59">
        <f t="shared" si="134"/>
        <v>0.24035673632412086</v>
      </c>
      <c r="AH95" s="124"/>
      <c r="AI95" s="222"/>
      <c r="AJ95" s="242" t="s">
        <v>409</v>
      </c>
      <c r="AK95" s="353">
        <f>AK96+AK97</f>
        <v>0</v>
      </c>
      <c r="AL95" s="353">
        <f>AL96+AL97</f>
        <v>0</v>
      </c>
      <c r="AM95" s="198">
        <v>0</v>
      </c>
      <c r="AN95" s="89"/>
      <c r="AO95" s="199">
        <v>0</v>
      </c>
      <c r="AP95" s="353">
        <f>AP96+AP97</f>
        <v>0</v>
      </c>
      <c r="AQ95" s="353">
        <f>AQ96+AQ97</f>
        <v>0</v>
      </c>
      <c r="AR95" s="198">
        <f t="shared" si="120"/>
        <v>0</v>
      </c>
      <c r="AS95" s="124"/>
      <c r="AT95" s="124"/>
      <c r="AU95" s="394"/>
      <c r="AV95" s="264"/>
    </row>
    <row r="96" spans="1:51" ht="109.9" customHeight="1">
      <c r="A96" s="381" t="s">
        <v>232</v>
      </c>
      <c r="B96" s="71" t="s">
        <v>521</v>
      </c>
      <c r="C96" s="72" t="s">
        <v>0</v>
      </c>
      <c r="D96" s="72" t="s">
        <v>686</v>
      </c>
      <c r="E96" s="72"/>
      <c r="F96" s="354">
        <v>55302</v>
      </c>
      <c r="G96" s="354"/>
      <c r="H96" s="354">
        <v>55302</v>
      </c>
      <c r="I96" s="354"/>
      <c r="J96" s="354">
        <v>55302</v>
      </c>
      <c r="K96" s="354">
        <v>65061</v>
      </c>
      <c r="L96" s="354">
        <v>1868845.89</v>
      </c>
      <c r="M96" s="130">
        <f>L96/J96</f>
        <v>33.793459368558096</v>
      </c>
      <c r="N96" s="354"/>
      <c r="O96" s="132">
        <f t="shared" si="96"/>
        <v>0</v>
      </c>
      <c r="P96" s="354">
        <v>51383.03</v>
      </c>
      <c r="Q96" s="76">
        <f t="shared" si="130"/>
        <v>0.92913511265415349</v>
      </c>
      <c r="R96" s="79">
        <v>51383.03</v>
      </c>
      <c r="S96" s="76">
        <f t="shared" si="131"/>
        <v>0.92913511265415349</v>
      </c>
      <c r="T96" s="79">
        <v>60434.93</v>
      </c>
      <c r="U96" s="79">
        <v>0</v>
      </c>
      <c r="V96" s="79">
        <v>0</v>
      </c>
      <c r="W96" s="79">
        <v>0</v>
      </c>
      <c r="X96" s="79">
        <v>3918.81</v>
      </c>
      <c r="Y96" s="79">
        <f t="shared" si="97"/>
        <v>56516.12</v>
      </c>
      <c r="Z96" s="80">
        <f t="shared" si="111"/>
        <v>60434.93</v>
      </c>
      <c r="AA96" s="80">
        <v>1817462.86</v>
      </c>
      <c r="AB96" s="130"/>
      <c r="AC96" s="80">
        <f>SUM(T96:V96)</f>
        <v>60434.93</v>
      </c>
      <c r="AD96" s="76">
        <f>AC96/J96</f>
        <v>1.0928163538389208</v>
      </c>
      <c r="AE96" s="130">
        <v>0</v>
      </c>
      <c r="AF96" s="174">
        <f t="shared" si="133"/>
        <v>3918.9700000000012</v>
      </c>
      <c r="AG96" s="172">
        <f t="shared" si="134"/>
        <v>7.0864887345846464E-2</v>
      </c>
      <c r="AH96" s="166" t="s">
        <v>426</v>
      </c>
      <c r="AI96" s="226"/>
      <c r="AJ96" s="243" t="s">
        <v>409</v>
      </c>
      <c r="AK96" s="354">
        <v>0</v>
      </c>
      <c r="AL96" s="354">
        <v>0</v>
      </c>
      <c r="AM96" s="130">
        <v>0</v>
      </c>
      <c r="AN96" s="85"/>
      <c r="AO96" s="354">
        <v>0</v>
      </c>
      <c r="AP96" s="125"/>
      <c r="AQ96" s="125"/>
      <c r="AR96" s="130">
        <f t="shared" si="120"/>
        <v>0</v>
      </c>
      <c r="AS96" s="125"/>
      <c r="AT96" s="125"/>
      <c r="AU96" s="388"/>
      <c r="AV96" s="261"/>
      <c r="AW96" s="42"/>
      <c r="AX96" s="42"/>
      <c r="AY96" s="42"/>
    </row>
    <row r="97" spans="1:51" s="52" customFormat="1" ht="67.150000000000006" customHeight="1">
      <c r="A97" s="387" t="s">
        <v>54</v>
      </c>
      <c r="B97" s="77" t="s">
        <v>522</v>
      </c>
      <c r="C97" s="78" t="s">
        <v>0</v>
      </c>
      <c r="D97" s="78" t="s">
        <v>686</v>
      </c>
      <c r="E97" s="78"/>
      <c r="F97" s="354">
        <f>SUM(F98:F100)</f>
        <v>5671072.9420360001</v>
      </c>
      <c r="G97" s="354"/>
      <c r="H97" s="354">
        <f>SUM(H98:H100)</f>
        <v>5671072.9420360001</v>
      </c>
      <c r="I97" s="354"/>
      <c r="J97" s="354">
        <f>SUM(J98:J100)</f>
        <v>5671072.9420360001</v>
      </c>
      <c r="K97" s="354">
        <f>SUM(K98:K100)</f>
        <v>6007701</v>
      </c>
      <c r="L97" s="354">
        <f t="shared" ref="L97:N97" si="141">SUM(L98:L100)</f>
        <v>12010802.51</v>
      </c>
      <c r="M97" s="130">
        <f>L97/J97</f>
        <v>2.1179065465675251</v>
      </c>
      <c r="N97" s="354">
        <f t="shared" si="141"/>
        <v>7089131.6399999997</v>
      </c>
      <c r="O97" s="132">
        <f t="shared" si="96"/>
        <v>1.2500512182541061</v>
      </c>
      <c r="P97" s="354">
        <f>SUM(P98:P100)</f>
        <v>4906929.41</v>
      </c>
      <c r="Q97" s="76">
        <f t="shared" si="130"/>
        <v>0.86525591544205016</v>
      </c>
      <c r="R97" s="354">
        <f>SUM(R98:R100)</f>
        <v>4298619.12</v>
      </c>
      <c r="S97" s="76">
        <f t="shared" si="131"/>
        <v>0.75799044800448845</v>
      </c>
      <c r="T97" s="81">
        <f t="shared" ref="T97:X97" si="142">SUM(T98:T100)</f>
        <v>1437171.37</v>
      </c>
      <c r="U97" s="81">
        <f t="shared" si="142"/>
        <v>0</v>
      </c>
      <c r="V97" s="81">
        <f t="shared" si="142"/>
        <v>754144.47</v>
      </c>
      <c r="W97" s="81">
        <f t="shared" si="142"/>
        <v>240118.59000000011</v>
      </c>
      <c r="X97" s="81">
        <f t="shared" si="142"/>
        <v>6812.52</v>
      </c>
      <c r="Y97" s="81">
        <f t="shared" si="97"/>
        <v>2184503.3200000003</v>
      </c>
      <c r="Z97" s="118">
        <f t="shared" si="111"/>
        <v>1677289.9600000002</v>
      </c>
      <c r="AA97" s="354">
        <f>SUM(AA98:AA100)</f>
        <v>45727.33</v>
      </c>
      <c r="AB97" s="136"/>
      <c r="AC97" s="354">
        <f>SUM(AC98:AC100)</f>
        <v>2191315.8400000003</v>
      </c>
      <c r="AD97" s="76">
        <f t="shared" ref="AD97" si="143">SUM(AD98:AD100)</f>
        <v>1.1446463259684101</v>
      </c>
      <c r="AE97" s="130"/>
      <c r="AF97" s="171">
        <f t="shared" si="133"/>
        <v>1372453.822036</v>
      </c>
      <c r="AG97" s="172">
        <f t="shared" si="134"/>
        <v>0.24200955199551155</v>
      </c>
      <c r="AH97" s="125"/>
      <c r="AI97" s="85"/>
      <c r="AJ97" s="243" t="s">
        <v>409</v>
      </c>
      <c r="AK97" s="354">
        <v>0</v>
      </c>
      <c r="AL97" s="354">
        <v>0</v>
      </c>
      <c r="AM97" s="130">
        <v>0</v>
      </c>
      <c r="AN97" s="85"/>
      <c r="AO97" s="354">
        <v>0</v>
      </c>
      <c r="AP97" s="125"/>
      <c r="AQ97" s="125"/>
      <c r="AR97" s="130">
        <f t="shared" si="120"/>
        <v>0</v>
      </c>
      <c r="AS97" s="125"/>
      <c r="AT97" s="125"/>
      <c r="AU97" s="388"/>
      <c r="AV97" s="261"/>
    </row>
    <row r="98" spans="1:51" ht="203.45" customHeight="1">
      <c r="A98" s="381" t="s">
        <v>180</v>
      </c>
      <c r="B98" s="71" t="s">
        <v>523</v>
      </c>
      <c r="C98" s="72" t="s">
        <v>0</v>
      </c>
      <c r="D98" s="72" t="s">
        <v>686</v>
      </c>
      <c r="E98" s="72"/>
      <c r="F98" s="354">
        <v>1907556.9420360001</v>
      </c>
      <c r="G98" s="354"/>
      <c r="H98" s="354">
        <v>1907556.9420360001</v>
      </c>
      <c r="I98" s="354"/>
      <c r="J98" s="354">
        <v>1907556.9420359998</v>
      </c>
      <c r="K98" s="354">
        <v>2244185</v>
      </c>
      <c r="L98" s="354">
        <v>2927557.23</v>
      </c>
      <c r="M98" s="130">
        <f t="shared" ref="M98:M151" si="144">L98/J98</f>
        <v>1.5347155125420893</v>
      </c>
      <c r="N98" s="354">
        <v>1020000</v>
      </c>
      <c r="O98" s="132">
        <f t="shared" si="96"/>
        <v>0.53471536158250643</v>
      </c>
      <c r="P98" s="354">
        <v>1907557.23</v>
      </c>
      <c r="Q98" s="76">
        <f t="shared" si="130"/>
        <v>1.0000001509595828</v>
      </c>
      <c r="R98" s="79">
        <v>1907557.23</v>
      </c>
      <c r="S98" s="76">
        <f t="shared" si="131"/>
        <v>1.0000001509595828</v>
      </c>
      <c r="T98" s="79">
        <v>693244.98</v>
      </c>
      <c r="U98" s="79">
        <v>0</v>
      </c>
      <c r="V98" s="79">
        <v>279309.62</v>
      </c>
      <c r="W98" s="79">
        <v>74153.960000000006</v>
      </c>
      <c r="X98" s="79">
        <v>0</v>
      </c>
      <c r="Y98" s="79">
        <f t="shared" si="97"/>
        <v>972554.6</v>
      </c>
      <c r="Z98" s="80">
        <f t="shared" si="111"/>
        <v>767398.94</v>
      </c>
      <c r="AA98" s="80"/>
      <c r="AB98" s="130"/>
      <c r="AC98" s="80">
        <f t="shared" ref="AC98:AC100" si="145">SUM(T98:V98)</f>
        <v>972554.6</v>
      </c>
      <c r="AD98" s="76">
        <f t="shared" ref="AD98:AD118" si="146">AC98/J98</f>
        <v>0.50984302411542148</v>
      </c>
      <c r="AE98" s="130">
        <v>6.4683575392441321E-3</v>
      </c>
      <c r="AF98" s="171">
        <f t="shared" si="133"/>
        <v>-0.28796400013379753</v>
      </c>
      <c r="AG98" s="172">
        <f t="shared" si="134"/>
        <v>-1.5095958279832206E-7</v>
      </c>
      <c r="AH98" s="166" t="s">
        <v>401</v>
      </c>
      <c r="AI98" s="226"/>
      <c r="AJ98" s="243" t="s">
        <v>409</v>
      </c>
      <c r="AK98" s="354">
        <v>0</v>
      </c>
      <c r="AL98" s="354">
        <v>0</v>
      </c>
      <c r="AM98" s="130">
        <v>0</v>
      </c>
      <c r="AN98" s="85"/>
      <c r="AO98" s="354">
        <v>0</v>
      </c>
      <c r="AP98" s="125"/>
      <c r="AQ98" s="125"/>
      <c r="AR98" s="130">
        <f t="shared" si="120"/>
        <v>0</v>
      </c>
      <c r="AS98" s="125"/>
      <c r="AT98" s="125"/>
      <c r="AU98" s="388"/>
      <c r="AV98" s="261"/>
      <c r="AW98" s="42"/>
      <c r="AX98" s="42"/>
      <c r="AY98" s="42"/>
    </row>
    <row r="99" spans="1:51" ht="265.89999999999998" customHeight="1">
      <c r="A99" s="381" t="s">
        <v>293</v>
      </c>
      <c r="B99" s="71" t="s">
        <v>524</v>
      </c>
      <c r="C99" s="72" t="s">
        <v>0</v>
      </c>
      <c r="D99" s="72" t="s">
        <v>686</v>
      </c>
      <c r="E99" s="72"/>
      <c r="F99" s="354">
        <v>2090842</v>
      </c>
      <c r="G99" s="354"/>
      <c r="H99" s="354">
        <v>2090842</v>
      </c>
      <c r="I99" s="354"/>
      <c r="J99" s="354">
        <v>2090842</v>
      </c>
      <c r="K99" s="354">
        <v>2090842</v>
      </c>
      <c r="L99" s="354">
        <v>6913198.4199999999</v>
      </c>
      <c r="M99" s="130">
        <f t="shared" si="144"/>
        <v>3.3064183807289123</v>
      </c>
      <c r="N99" s="354">
        <v>5474794.2699999996</v>
      </c>
      <c r="O99" s="132">
        <f t="shared" si="96"/>
        <v>2.618463886797759</v>
      </c>
      <c r="P99" s="354">
        <v>1394312.07</v>
      </c>
      <c r="Q99" s="76">
        <f t="shared" si="130"/>
        <v>0.66686630075347642</v>
      </c>
      <c r="R99" s="354">
        <v>1394312.07</v>
      </c>
      <c r="S99" s="76">
        <f t="shared" si="131"/>
        <v>0.66686630075347642</v>
      </c>
      <c r="T99" s="79">
        <v>487899.34</v>
      </c>
      <c r="U99" s="79">
        <v>0</v>
      </c>
      <c r="V99" s="79">
        <v>296812.71999999997</v>
      </c>
      <c r="W99" s="79">
        <v>122880.43</v>
      </c>
      <c r="X99" s="79">
        <v>5538.76</v>
      </c>
      <c r="Y99" s="79">
        <f t="shared" si="97"/>
        <v>779173.3</v>
      </c>
      <c r="Z99" s="80">
        <f t="shared" si="111"/>
        <v>610779.77</v>
      </c>
      <c r="AA99" s="80">
        <v>45727.33</v>
      </c>
      <c r="AB99" s="130"/>
      <c r="AC99" s="80">
        <f t="shared" si="145"/>
        <v>784712.06</v>
      </c>
      <c r="AD99" s="76">
        <f t="shared" si="146"/>
        <v>0.37530911470115869</v>
      </c>
      <c r="AE99" s="130">
        <v>2.5381544399867215E-2</v>
      </c>
      <c r="AF99" s="171">
        <f t="shared" si="133"/>
        <v>696529.92999999993</v>
      </c>
      <c r="AG99" s="172">
        <f t="shared" si="134"/>
        <v>0.33313369924652364</v>
      </c>
      <c r="AH99" s="166" t="s">
        <v>402</v>
      </c>
      <c r="AI99" s="226"/>
      <c r="AJ99" s="243" t="s">
        <v>409</v>
      </c>
      <c r="AK99" s="354">
        <v>0</v>
      </c>
      <c r="AL99" s="354">
        <v>0</v>
      </c>
      <c r="AM99" s="130">
        <v>0</v>
      </c>
      <c r="AN99" s="85"/>
      <c r="AO99" s="354">
        <v>0</v>
      </c>
      <c r="AP99" s="125"/>
      <c r="AQ99" s="125"/>
      <c r="AR99" s="130">
        <f t="shared" si="120"/>
        <v>0</v>
      </c>
      <c r="AS99" s="125"/>
      <c r="AT99" s="125"/>
      <c r="AU99" s="388"/>
      <c r="AV99" s="261"/>
      <c r="AW99" s="42"/>
      <c r="AX99" s="42"/>
      <c r="AY99" s="42"/>
    </row>
    <row r="100" spans="1:51" ht="100.9" customHeight="1">
      <c r="A100" s="381" t="s">
        <v>294</v>
      </c>
      <c r="B100" s="71" t="s">
        <v>525</v>
      </c>
      <c r="C100" s="72" t="s">
        <v>0</v>
      </c>
      <c r="D100" s="72" t="s">
        <v>686</v>
      </c>
      <c r="E100" s="72"/>
      <c r="F100" s="354">
        <v>1672674</v>
      </c>
      <c r="G100" s="354"/>
      <c r="H100" s="354">
        <v>1672674</v>
      </c>
      <c r="I100" s="354"/>
      <c r="J100" s="354">
        <v>1672674</v>
      </c>
      <c r="K100" s="354">
        <v>1672674</v>
      </c>
      <c r="L100" s="354">
        <v>2170046.86</v>
      </c>
      <c r="M100" s="130">
        <f t="shared" si="144"/>
        <v>1.2973519406650666</v>
      </c>
      <c r="N100" s="354">
        <v>594337.37</v>
      </c>
      <c r="O100" s="132">
        <f t="shared" si="96"/>
        <v>0.35532170046285172</v>
      </c>
      <c r="P100" s="354">
        <v>1605060.11</v>
      </c>
      <c r="Q100" s="76">
        <f t="shared" si="130"/>
        <v>0.95957736534435289</v>
      </c>
      <c r="R100" s="79">
        <v>996749.82</v>
      </c>
      <c r="S100" s="76">
        <f t="shared" si="131"/>
        <v>0.59590202274920279</v>
      </c>
      <c r="T100" s="79">
        <v>256027.05</v>
      </c>
      <c r="U100" s="79">
        <v>0</v>
      </c>
      <c r="V100" s="79">
        <v>178022.13</v>
      </c>
      <c r="W100" s="79">
        <v>43084.200000000099</v>
      </c>
      <c r="X100" s="79">
        <v>1273.76</v>
      </c>
      <c r="Y100" s="79">
        <f t="shared" si="97"/>
        <v>432775.42</v>
      </c>
      <c r="Z100" s="80">
        <f t="shared" si="111"/>
        <v>299111.25000000012</v>
      </c>
      <c r="AA100" s="80"/>
      <c r="AB100" s="130"/>
      <c r="AC100" s="80">
        <f t="shared" si="145"/>
        <v>434049.18</v>
      </c>
      <c r="AD100" s="76">
        <f t="shared" si="146"/>
        <v>0.25949418715182992</v>
      </c>
      <c r="AE100" s="130">
        <v>2.515391376862111E-3</v>
      </c>
      <c r="AF100" s="171">
        <f t="shared" si="133"/>
        <v>675924.18</v>
      </c>
      <c r="AG100" s="172">
        <f t="shared" si="134"/>
        <v>0.40409797725079727</v>
      </c>
      <c r="AH100" s="166" t="s">
        <v>403</v>
      </c>
      <c r="AI100" s="226"/>
      <c r="AJ100" s="243" t="s">
        <v>409</v>
      </c>
      <c r="AK100" s="354">
        <v>0</v>
      </c>
      <c r="AL100" s="354">
        <v>0</v>
      </c>
      <c r="AM100" s="130">
        <v>0</v>
      </c>
      <c r="AN100" s="85"/>
      <c r="AO100" s="354">
        <v>0</v>
      </c>
      <c r="AP100" s="125"/>
      <c r="AQ100" s="125"/>
      <c r="AR100" s="130">
        <f t="shared" si="120"/>
        <v>0</v>
      </c>
      <c r="AS100" s="125"/>
      <c r="AT100" s="125"/>
      <c r="AU100" s="388"/>
      <c r="AV100" s="261"/>
      <c r="AW100" s="42"/>
      <c r="AX100" s="42"/>
      <c r="AY100" s="42"/>
    </row>
    <row r="101" spans="1:51" s="52" customFormat="1" ht="84" customHeight="1">
      <c r="A101" s="379" t="s">
        <v>55</v>
      </c>
      <c r="B101" s="66" t="s">
        <v>526</v>
      </c>
      <c r="C101" s="67" t="s">
        <v>0</v>
      </c>
      <c r="D101" s="67" t="s">
        <v>687</v>
      </c>
      <c r="E101" s="67"/>
      <c r="F101" s="353">
        <f>SUM(F102:F103)</f>
        <v>5026716</v>
      </c>
      <c r="G101" s="353"/>
      <c r="H101" s="353">
        <f>SUM(H102:H103)</f>
        <v>5026716</v>
      </c>
      <c r="I101" s="353"/>
      <c r="J101" s="353">
        <f>SUM(J102:J103)</f>
        <v>5026716</v>
      </c>
      <c r="K101" s="353">
        <f>SUM(K102:K103)</f>
        <v>5026716</v>
      </c>
      <c r="L101" s="353">
        <f t="shared" ref="L101:N101" si="147">SUM(L102:L103)</f>
        <v>6222610.1400000006</v>
      </c>
      <c r="M101" s="129">
        <f>L101/J101</f>
        <v>1.2379076398984945</v>
      </c>
      <c r="N101" s="353">
        <f t="shared" si="147"/>
        <v>1234474.94</v>
      </c>
      <c r="O101" s="126">
        <f t="shared" si="96"/>
        <v>0.24558279003627814</v>
      </c>
      <c r="P101" s="68">
        <f t="shared" ref="P101" si="148">SUM(P102:P103)</f>
        <v>4975128.2</v>
      </c>
      <c r="Q101" s="69">
        <f t="shared" si="130"/>
        <v>0.98973727578800952</v>
      </c>
      <c r="R101" s="68">
        <f t="shared" ref="R101" si="149">SUM(R102:R103)</f>
        <v>4975128.2</v>
      </c>
      <c r="S101" s="69">
        <f t="shared" si="131"/>
        <v>0.98973727578800952</v>
      </c>
      <c r="T101" s="68">
        <f t="shared" ref="T101:X101" si="150">SUM(T102:T103)</f>
        <v>1109715.8599999999</v>
      </c>
      <c r="U101" s="68">
        <f t="shared" si="150"/>
        <v>0</v>
      </c>
      <c r="V101" s="68">
        <f t="shared" si="150"/>
        <v>2258885.27</v>
      </c>
      <c r="W101" s="68">
        <f t="shared" si="150"/>
        <v>851826.66</v>
      </c>
      <c r="X101" s="68">
        <f t="shared" si="150"/>
        <v>6503.5</v>
      </c>
      <c r="Y101" s="68">
        <f t="shared" si="97"/>
        <v>3362097.63</v>
      </c>
      <c r="Z101" s="68">
        <f t="shared" si="111"/>
        <v>1961542.52</v>
      </c>
      <c r="AA101" s="68">
        <f t="shared" ref="AA101" si="151">SUM(AA102:AA103)</f>
        <v>31507</v>
      </c>
      <c r="AB101" s="133">
        <f>AA101/J101</f>
        <v>6.2679093069908862E-3</v>
      </c>
      <c r="AC101" s="68">
        <f t="shared" ref="AC101" si="152">SUM(AC102:AC103)</f>
        <v>3368601.13</v>
      </c>
      <c r="AD101" s="69">
        <f t="shared" si="146"/>
        <v>0.67013953642895274</v>
      </c>
      <c r="AE101" s="138"/>
      <c r="AF101" s="58">
        <f t="shared" si="133"/>
        <v>51587.799999999814</v>
      </c>
      <c r="AG101" s="59">
        <f t="shared" si="134"/>
        <v>1.0262724211990456E-2</v>
      </c>
      <c r="AH101" s="124"/>
      <c r="AI101" s="222"/>
      <c r="AJ101" s="242" t="s">
        <v>409</v>
      </c>
      <c r="AK101" s="353">
        <f>SUM(AK102:AK103)</f>
        <v>0</v>
      </c>
      <c r="AL101" s="353">
        <f>SUM(AL102:AL103)</f>
        <v>0</v>
      </c>
      <c r="AM101" s="198">
        <v>0</v>
      </c>
      <c r="AN101" s="89"/>
      <c r="AO101" s="199">
        <v>0</v>
      </c>
      <c r="AP101" s="353">
        <f>SUM(AP102:AP103)</f>
        <v>940072</v>
      </c>
      <c r="AQ101" s="353">
        <f>SUM(AQ102:AQ103)</f>
        <v>0</v>
      </c>
      <c r="AR101" s="198">
        <f t="shared" si="120"/>
        <v>0</v>
      </c>
      <c r="AS101" s="124"/>
      <c r="AT101" s="124"/>
      <c r="AU101" s="394"/>
      <c r="AV101" s="264"/>
    </row>
    <row r="102" spans="1:51" ht="160.5" customHeight="1">
      <c r="A102" s="381" t="s">
        <v>270</v>
      </c>
      <c r="B102" s="71" t="s">
        <v>527</v>
      </c>
      <c r="C102" s="72" t="s">
        <v>0</v>
      </c>
      <c r="D102" s="72" t="s">
        <v>687</v>
      </c>
      <c r="E102" s="72"/>
      <c r="F102" s="354">
        <v>2543142</v>
      </c>
      <c r="G102" s="354"/>
      <c r="H102" s="354">
        <v>2543142</v>
      </c>
      <c r="I102" s="354"/>
      <c r="J102" s="354">
        <f>H102</f>
        <v>2543142</v>
      </c>
      <c r="K102" s="354">
        <v>2543142</v>
      </c>
      <c r="L102" s="354">
        <v>2543913.14</v>
      </c>
      <c r="M102" s="130">
        <f t="shared" si="144"/>
        <v>1.0003032233355433</v>
      </c>
      <c r="N102" s="354"/>
      <c r="O102" s="132">
        <f t="shared" si="96"/>
        <v>0</v>
      </c>
      <c r="P102" s="354">
        <v>2530906.14</v>
      </c>
      <c r="Q102" s="76">
        <f t="shared" si="130"/>
        <v>0.99518868391934079</v>
      </c>
      <c r="R102" s="354">
        <v>2530906.14</v>
      </c>
      <c r="S102" s="76">
        <f t="shared" si="131"/>
        <v>0.99518868391934079</v>
      </c>
      <c r="T102" s="79">
        <v>707161.36</v>
      </c>
      <c r="U102" s="79">
        <v>0</v>
      </c>
      <c r="V102" s="79">
        <v>1135382.77</v>
      </c>
      <c r="W102" s="79">
        <v>587883.53</v>
      </c>
      <c r="X102" s="79">
        <v>6503.5</v>
      </c>
      <c r="Y102" s="81">
        <f t="shared" si="97"/>
        <v>1836040.63</v>
      </c>
      <c r="Z102" s="118">
        <f t="shared" si="111"/>
        <v>1295044.8900000001</v>
      </c>
      <c r="AA102" s="118">
        <v>31507</v>
      </c>
      <c r="AB102" s="136">
        <f>AA102/J102</f>
        <v>1.2389005411416272E-2</v>
      </c>
      <c r="AC102" s="118">
        <f t="shared" ref="AC102" si="153">SUM(T102:V102)</f>
        <v>1842544.13</v>
      </c>
      <c r="AD102" s="76">
        <f t="shared" si="146"/>
        <v>0.72451484423598833</v>
      </c>
      <c r="AE102" s="130">
        <v>5.9117321665817599E-3</v>
      </c>
      <c r="AF102" s="171">
        <f t="shared" si="133"/>
        <v>12235.85999999987</v>
      </c>
      <c r="AG102" s="172">
        <f t="shared" si="134"/>
        <v>4.8113160806592279E-3</v>
      </c>
      <c r="AH102" s="157" t="s">
        <v>365</v>
      </c>
      <c r="AI102" s="157"/>
      <c r="AJ102" s="243" t="s">
        <v>409</v>
      </c>
      <c r="AK102" s="354">
        <v>0</v>
      </c>
      <c r="AL102" s="354">
        <v>0</v>
      </c>
      <c r="AM102" s="130">
        <v>0</v>
      </c>
      <c r="AN102" s="85"/>
      <c r="AO102" s="354">
        <v>0</v>
      </c>
      <c r="AP102" s="354"/>
      <c r="AQ102" s="354"/>
      <c r="AR102" s="130">
        <f t="shared" si="120"/>
        <v>0</v>
      </c>
      <c r="AS102" s="96"/>
      <c r="AT102" s="125"/>
      <c r="AU102" s="388"/>
      <c r="AV102" s="261"/>
      <c r="AW102" s="42"/>
      <c r="AX102" s="42"/>
      <c r="AY102" s="42"/>
    </row>
    <row r="103" spans="1:51" ht="147.75" customHeight="1">
      <c r="A103" s="381" t="s">
        <v>269</v>
      </c>
      <c r="B103" s="71" t="s">
        <v>528</v>
      </c>
      <c r="C103" s="72" t="s">
        <v>0</v>
      </c>
      <c r="D103" s="72" t="s">
        <v>687</v>
      </c>
      <c r="E103" s="72"/>
      <c r="F103" s="354">
        <v>2483574</v>
      </c>
      <c r="G103" s="354"/>
      <c r="H103" s="354">
        <v>2483574</v>
      </c>
      <c r="I103" s="354"/>
      <c r="J103" s="354">
        <f>H103</f>
        <v>2483574</v>
      </c>
      <c r="K103" s="354">
        <v>2483574</v>
      </c>
      <c r="L103" s="354">
        <v>3678697</v>
      </c>
      <c r="M103" s="130">
        <f t="shared" si="144"/>
        <v>1.481210948415469</v>
      </c>
      <c r="N103" s="354">
        <v>1234474.94</v>
      </c>
      <c r="O103" s="132">
        <f t="shared" si="96"/>
        <v>0.49705583163618233</v>
      </c>
      <c r="P103" s="354">
        <v>2444222.06</v>
      </c>
      <c r="Q103" s="76">
        <f t="shared" si="130"/>
        <v>0.98415511677928669</v>
      </c>
      <c r="R103" s="79">
        <v>2444222.06</v>
      </c>
      <c r="S103" s="76">
        <f t="shared" si="131"/>
        <v>0.98415511677928669</v>
      </c>
      <c r="T103" s="79">
        <v>402554.5</v>
      </c>
      <c r="U103" s="79">
        <v>0</v>
      </c>
      <c r="V103" s="79">
        <v>1123502.5</v>
      </c>
      <c r="W103" s="79">
        <v>263943.13</v>
      </c>
      <c r="X103" s="79">
        <v>0</v>
      </c>
      <c r="Y103" s="81">
        <f t="shared" si="97"/>
        <v>1526057</v>
      </c>
      <c r="Z103" s="118">
        <f t="shared" si="111"/>
        <v>666497.63</v>
      </c>
      <c r="AA103" s="118"/>
      <c r="AB103" s="136"/>
      <c r="AC103" s="118">
        <f>SUM(T103:V103)</f>
        <v>1526057</v>
      </c>
      <c r="AD103" s="76">
        <f t="shared" si="146"/>
        <v>0.61446004830135925</v>
      </c>
      <c r="AE103" s="130">
        <v>0</v>
      </c>
      <c r="AF103" s="171">
        <f t="shared" si="133"/>
        <v>39351.939999999944</v>
      </c>
      <c r="AG103" s="172">
        <f t="shared" si="134"/>
        <v>1.5844883220713351E-2</v>
      </c>
      <c r="AH103" s="157" t="s">
        <v>366</v>
      </c>
      <c r="AI103" s="157"/>
      <c r="AJ103" s="243" t="s">
        <v>409</v>
      </c>
      <c r="AK103" s="354">
        <v>0</v>
      </c>
      <c r="AL103" s="354">
        <v>0</v>
      </c>
      <c r="AM103" s="130">
        <v>0</v>
      </c>
      <c r="AN103" s="85"/>
      <c r="AO103" s="354">
        <v>0</v>
      </c>
      <c r="AP103" s="75">
        <v>940072</v>
      </c>
      <c r="AQ103" s="75">
        <v>0</v>
      </c>
      <c r="AR103" s="130">
        <f t="shared" si="120"/>
        <v>0</v>
      </c>
      <c r="AS103" s="75" t="s">
        <v>432</v>
      </c>
      <c r="AT103" s="310" t="s">
        <v>716</v>
      </c>
      <c r="AU103" s="388"/>
      <c r="AV103" s="261"/>
      <c r="AW103" s="42"/>
      <c r="AX103" s="42"/>
      <c r="AY103" s="42"/>
    </row>
    <row r="104" spans="1:51" s="52" customFormat="1" ht="33.6" customHeight="1">
      <c r="A104" s="379" t="s">
        <v>295</v>
      </c>
      <c r="B104" s="66" t="s">
        <v>529</v>
      </c>
      <c r="C104" s="67" t="s">
        <v>0</v>
      </c>
      <c r="D104" s="67" t="s">
        <v>157</v>
      </c>
      <c r="E104" s="67"/>
      <c r="F104" s="353">
        <f t="shared" ref="F104:P105" si="154">F105</f>
        <v>12847761</v>
      </c>
      <c r="G104" s="353"/>
      <c r="H104" s="353">
        <f t="shared" si="154"/>
        <v>12847761</v>
      </c>
      <c r="I104" s="353"/>
      <c r="J104" s="353">
        <f t="shared" si="154"/>
        <v>12847761</v>
      </c>
      <c r="K104" s="353">
        <f t="shared" si="154"/>
        <v>12847761</v>
      </c>
      <c r="L104" s="353">
        <f t="shared" si="154"/>
        <v>12822318.59</v>
      </c>
      <c r="M104" s="129">
        <f t="shared" si="144"/>
        <v>0.99801970086460978</v>
      </c>
      <c r="N104" s="353">
        <f t="shared" si="154"/>
        <v>0</v>
      </c>
      <c r="O104" s="126">
        <f t="shared" si="96"/>
        <v>0</v>
      </c>
      <c r="P104" s="68">
        <f t="shared" si="154"/>
        <v>12822318.59</v>
      </c>
      <c r="Q104" s="69">
        <f t="shared" si="130"/>
        <v>0.99801970086460978</v>
      </c>
      <c r="R104" s="68">
        <f>R105</f>
        <v>12822318.59</v>
      </c>
      <c r="S104" s="69">
        <f t="shared" si="131"/>
        <v>0.99801970086460978</v>
      </c>
      <c r="T104" s="68">
        <f t="shared" ref="T104:X105" si="155">T105</f>
        <v>6687243.9400000004</v>
      </c>
      <c r="U104" s="68">
        <f t="shared" si="155"/>
        <v>0</v>
      </c>
      <c r="V104" s="68">
        <f t="shared" si="155"/>
        <v>0</v>
      </c>
      <c r="W104" s="68">
        <f t="shared" si="155"/>
        <v>0</v>
      </c>
      <c r="X104" s="68">
        <f t="shared" si="155"/>
        <v>0</v>
      </c>
      <c r="Y104" s="68">
        <f t="shared" si="97"/>
        <v>6687243.9400000004</v>
      </c>
      <c r="Z104" s="68">
        <f t="shared" si="111"/>
        <v>6687243.9400000004</v>
      </c>
      <c r="AA104" s="68">
        <f>AA105</f>
        <v>0</v>
      </c>
      <c r="AB104" s="133">
        <f>AA104/J104</f>
        <v>0</v>
      </c>
      <c r="AC104" s="68">
        <f>AC105</f>
        <v>6687243.9400000004</v>
      </c>
      <c r="AD104" s="69">
        <f t="shared" si="146"/>
        <v>0.52049878107165914</v>
      </c>
      <c r="AE104" s="138">
        <f>AE105</f>
        <v>5.737925984755924E-3</v>
      </c>
      <c r="AF104" s="173">
        <f t="shared" si="133"/>
        <v>25442.410000000149</v>
      </c>
      <c r="AG104" s="59">
        <f t="shared" si="134"/>
        <v>1.9802991353902169E-3</v>
      </c>
      <c r="AH104" s="124"/>
      <c r="AI104" s="222"/>
      <c r="AJ104" s="242" t="s">
        <v>409</v>
      </c>
      <c r="AK104" s="199">
        <v>0</v>
      </c>
      <c r="AL104" s="199">
        <v>0</v>
      </c>
      <c r="AM104" s="198">
        <v>0</v>
      </c>
      <c r="AN104" s="89"/>
      <c r="AO104" s="199">
        <v>0</v>
      </c>
      <c r="AP104" s="124"/>
      <c r="AQ104" s="124"/>
      <c r="AR104" s="198">
        <f t="shared" si="120"/>
        <v>0</v>
      </c>
      <c r="AS104" s="124"/>
      <c r="AT104" s="124"/>
      <c r="AU104" s="394"/>
      <c r="AV104" s="264"/>
    </row>
    <row r="105" spans="1:51" s="52" customFormat="1" ht="67.150000000000006" customHeight="1">
      <c r="A105" s="379" t="s">
        <v>206</v>
      </c>
      <c r="B105" s="66" t="s">
        <v>530</v>
      </c>
      <c r="C105" s="67" t="s">
        <v>0</v>
      </c>
      <c r="D105" s="67" t="s">
        <v>157</v>
      </c>
      <c r="E105" s="67"/>
      <c r="F105" s="353">
        <f t="shared" si="154"/>
        <v>12847761</v>
      </c>
      <c r="G105" s="353"/>
      <c r="H105" s="353">
        <f t="shared" si="154"/>
        <v>12847761</v>
      </c>
      <c r="I105" s="353"/>
      <c r="J105" s="353">
        <f t="shared" si="154"/>
        <v>12847761</v>
      </c>
      <c r="K105" s="353">
        <f t="shared" si="154"/>
        <v>12847761</v>
      </c>
      <c r="L105" s="353">
        <f t="shared" si="154"/>
        <v>12822318.59</v>
      </c>
      <c r="M105" s="129">
        <f t="shared" si="144"/>
        <v>0.99801970086460978</v>
      </c>
      <c r="N105" s="353">
        <f t="shared" si="154"/>
        <v>0</v>
      </c>
      <c r="O105" s="126">
        <f t="shared" si="96"/>
        <v>0</v>
      </c>
      <c r="P105" s="68">
        <f t="shared" si="154"/>
        <v>12822318.59</v>
      </c>
      <c r="Q105" s="69">
        <f t="shared" si="130"/>
        <v>0.99801970086460978</v>
      </c>
      <c r="R105" s="68">
        <f>R106</f>
        <v>12822318.59</v>
      </c>
      <c r="S105" s="69">
        <f t="shared" si="131"/>
        <v>0.99801970086460978</v>
      </c>
      <c r="T105" s="68">
        <f t="shared" si="155"/>
        <v>6687243.9400000004</v>
      </c>
      <c r="U105" s="68">
        <f t="shared" si="155"/>
        <v>0</v>
      </c>
      <c r="V105" s="68">
        <f t="shared" si="155"/>
        <v>0</v>
      </c>
      <c r="W105" s="68">
        <f>W106</f>
        <v>0</v>
      </c>
      <c r="X105" s="68">
        <f t="shared" si="155"/>
        <v>0</v>
      </c>
      <c r="Y105" s="68">
        <f t="shared" si="97"/>
        <v>6687243.9400000004</v>
      </c>
      <c r="Z105" s="68">
        <f t="shared" si="111"/>
        <v>6687243.9400000004</v>
      </c>
      <c r="AA105" s="68">
        <f>AA106</f>
        <v>0</v>
      </c>
      <c r="AB105" s="133">
        <f>AA105/J105</f>
        <v>0</v>
      </c>
      <c r="AC105" s="68">
        <f>AC106</f>
        <v>6687243.9400000004</v>
      </c>
      <c r="AD105" s="69">
        <f t="shared" si="146"/>
        <v>0.52049878107165914</v>
      </c>
      <c r="AE105" s="138">
        <f>AE106</f>
        <v>5.737925984755924E-3</v>
      </c>
      <c r="AF105" s="173">
        <f t="shared" si="133"/>
        <v>25442.410000000149</v>
      </c>
      <c r="AG105" s="59">
        <f t="shared" si="134"/>
        <v>1.9802991353902169E-3</v>
      </c>
      <c r="AH105" s="124"/>
      <c r="AI105" s="222"/>
      <c r="AJ105" s="242" t="s">
        <v>409</v>
      </c>
      <c r="AK105" s="199">
        <v>0</v>
      </c>
      <c r="AL105" s="199">
        <v>0</v>
      </c>
      <c r="AM105" s="198">
        <v>0</v>
      </c>
      <c r="AN105" s="89"/>
      <c r="AO105" s="199">
        <v>0</v>
      </c>
      <c r="AP105" s="124"/>
      <c r="AQ105" s="124"/>
      <c r="AR105" s="198">
        <f t="shared" si="120"/>
        <v>0</v>
      </c>
      <c r="AS105" s="124"/>
      <c r="AT105" s="124"/>
      <c r="AU105" s="394"/>
      <c r="AV105" s="264"/>
    </row>
    <row r="106" spans="1:51" ht="312" customHeight="1">
      <c r="A106" s="381" t="s">
        <v>296</v>
      </c>
      <c r="B106" s="71" t="s">
        <v>531</v>
      </c>
      <c r="C106" s="72" t="s">
        <v>0</v>
      </c>
      <c r="D106" s="72" t="s">
        <v>157</v>
      </c>
      <c r="E106" s="72"/>
      <c r="F106" s="354">
        <v>12847761</v>
      </c>
      <c r="G106" s="354"/>
      <c r="H106" s="354">
        <v>12847761</v>
      </c>
      <c r="I106" s="354"/>
      <c r="J106" s="354">
        <v>12847761</v>
      </c>
      <c r="K106" s="354">
        <v>12847761</v>
      </c>
      <c r="L106" s="354">
        <v>12822318.59</v>
      </c>
      <c r="M106" s="130">
        <f t="shared" si="144"/>
        <v>0.99801970086460978</v>
      </c>
      <c r="N106" s="354"/>
      <c r="O106" s="132">
        <f t="shared" si="96"/>
        <v>0</v>
      </c>
      <c r="P106" s="354">
        <v>12822318.59</v>
      </c>
      <c r="Q106" s="76">
        <f t="shared" si="130"/>
        <v>0.99801970086460978</v>
      </c>
      <c r="R106" s="354">
        <v>12822318.59</v>
      </c>
      <c r="S106" s="76">
        <f t="shared" si="131"/>
        <v>0.99801970086460978</v>
      </c>
      <c r="T106" s="354">
        <v>6687243.9400000004</v>
      </c>
      <c r="U106" s="117">
        <v>0</v>
      </c>
      <c r="V106" s="117">
        <v>0</v>
      </c>
      <c r="W106" s="117">
        <v>0</v>
      </c>
      <c r="X106" s="117">
        <v>0</v>
      </c>
      <c r="Y106" s="81">
        <v>6687243.9400000004</v>
      </c>
      <c r="Z106" s="118">
        <v>6687243.9400000004</v>
      </c>
      <c r="AA106" s="118"/>
      <c r="AB106" s="136"/>
      <c r="AC106" s="118">
        <v>6687243.9400000004</v>
      </c>
      <c r="AD106" s="76">
        <f t="shared" si="146"/>
        <v>0.52049878107165914</v>
      </c>
      <c r="AE106" s="130">
        <v>5.737925984755924E-3</v>
      </c>
      <c r="AF106" s="171">
        <f t="shared" si="133"/>
        <v>25442.410000000149</v>
      </c>
      <c r="AG106" s="172">
        <f t="shared" si="134"/>
        <v>1.9802991353902169E-3</v>
      </c>
      <c r="AH106" s="167" t="s">
        <v>404</v>
      </c>
      <c r="AI106" s="227"/>
      <c r="AJ106" s="243" t="s">
        <v>409</v>
      </c>
      <c r="AK106" s="354">
        <v>0</v>
      </c>
      <c r="AL106" s="354">
        <v>0</v>
      </c>
      <c r="AM106" s="130">
        <v>0</v>
      </c>
      <c r="AN106" s="85"/>
      <c r="AO106" s="354">
        <v>0</v>
      </c>
      <c r="AP106" s="306"/>
      <c r="AQ106" s="306"/>
      <c r="AR106" s="130">
        <f t="shared" si="120"/>
        <v>0</v>
      </c>
      <c r="AS106" s="306"/>
      <c r="AT106" s="306"/>
      <c r="AU106" s="388"/>
      <c r="AV106" s="261"/>
      <c r="AW106" s="42"/>
      <c r="AX106" s="42"/>
      <c r="AY106" s="42"/>
    </row>
    <row r="107" spans="1:51" s="52" customFormat="1" ht="51.75">
      <c r="A107" s="377" t="s">
        <v>297</v>
      </c>
      <c r="B107" s="61" t="s">
        <v>532</v>
      </c>
      <c r="C107" s="62" t="s">
        <v>56</v>
      </c>
      <c r="D107" s="62" t="s">
        <v>1</v>
      </c>
      <c r="E107" s="62"/>
      <c r="F107" s="352">
        <f>F108+F128+F138+F149</f>
        <v>517777457.92000002</v>
      </c>
      <c r="G107" s="352"/>
      <c r="H107" s="88">
        <f>H108+H128+H138+H149</f>
        <v>517777458.88746399</v>
      </c>
      <c r="I107" s="88"/>
      <c r="J107" s="88">
        <f>J108+J128+J138+J149</f>
        <v>517777458.69641602</v>
      </c>
      <c r="K107" s="88">
        <f>K108+K128+K138+K149</f>
        <v>543127102.19716406</v>
      </c>
      <c r="L107" s="88">
        <f>L108+L128+L138+L149</f>
        <v>743582613.66999996</v>
      </c>
      <c r="M107" s="131">
        <f>L107/J107</f>
        <v>1.4361046453085906</v>
      </c>
      <c r="N107" s="88">
        <f>N108+N128+N138+N149</f>
        <v>247285298.18000004</v>
      </c>
      <c r="O107" s="131">
        <f t="shared" si="96"/>
        <v>0.47758992599364719</v>
      </c>
      <c r="P107" s="63">
        <f>P108+P128+P138+P149</f>
        <v>454524953.69000006</v>
      </c>
      <c r="Q107" s="64">
        <f t="shared" si="130"/>
        <v>0.87783843436200593</v>
      </c>
      <c r="R107" s="120">
        <f>R108+R128+R138+R149</f>
        <v>420530666.39000005</v>
      </c>
      <c r="S107" s="64">
        <f t="shared" si="131"/>
        <v>0.81218419096256211</v>
      </c>
      <c r="T107" s="120">
        <f>T108+T128+T138+T149</f>
        <v>184437939.13</v>
      </c>
      <c r="U107" s="120">
        <f>U108+U128+U138+U149</f>
        <v>27216414.289999999</v>
      </c>
      <c r="V107" s="120">
        <f>V108+V128+V138+V149</f>
        <v>31188847.080000002</v>
      </c>
      <c r="W107" s="120">
        <f>W108+W128+W138+W149</f>
        <v>157589.03</v>
      </c>
      <c r="X107" s="120">
        <f>X108+X128+X138+X149</f>
        <v>38269239.380000003</v>
      </c>
      <c r="Y107" s="120">
        <f t="shared" si="97"/>
        <v>204573961.12000003</v>
      </c>
      <c r="Z107" s="63">
        <f t="shared" si="111"/>
        <v>211811942.44999999</v>
      </c>
      <c r="AA107" s="120">
        <f>AA108+AA128+AA138+AA149</f>
        <v>41271926.560000002</v>
      </c>
      <c r="AB107" s="135">
        <f>AA107/J107</f>
        <v>7.970977852900045E-2</v>
      </c>
      <c r="AC107" s="63">
        <f>AC108+AC128+AC138+AC149</f>
        <v>242843200.50000003</v>
      </c>
      <c r="AD107" s="64">
        <f t="shared" si="146"/>
        <v>0.46901076209728199</v>
      </c>
      <c r="AE107" s="135">
        <v>1.0598521556582139E-2</v>
      </c>
      <c r="AF107" s="63">
        <f t="shared" si="133"/>
        <v>97246792.306415975</v>
      </c>
      <c r="AG107" s="64">
        <f t="shared" si="134"/>
        <v>0.18781580903743791</v>
      </c>
      <c r="AH107" s="65"/>
      <c r="AI107" s="221"/>
      <c r="AJ107" s="245" t="s">
        <v>408</v>
      </c>
      <c r="AK107" s="88">
        <f>AK108+AK128+AK138+AK149</f>
        <v>48521508.271780893</v>
      </c>
      <c r="AL107" s="88">
        <f>AL108+AL128+AL138+AL149</f>
        <v>49056323.799999997</v>
      </c>
      <c r="AM107" s="135">
        <f>AL107/K107</f>
        <v>9.0321995719874329E-2</v>
      </c>
      <c r="AN107" s="135"/>
      <c r="AO107" s="63">
        <f>AO110+AO113+AO115</f>
        <v>43056323.799999997</v>
      </c>
      <c r="AP107" s="88">
        <f>AP108+AP128+AP138+AP149</f>
        <v>54086882</v>
      </c>
      <c r="AQ107" s="88">
        <f>AQ108+AQ128+AQ138+AQ149</f>
        <v>49056324</v>
      </c>
      <c r="AR107" s="135">
        <f t="shared" si="120"/>
        <v>9.0321996088112255E-2</v>
      </c>
      <c r="AS107" s="65"/>
      <c r="AT107" s="65"/>
      <c r="AU107" s="378">
        <f>AU110+AU113+AU115</f>
        <v>0</v>
      </c>
      <c r="AV107" s="256"/>
      <c r="AW107" s="249"/>
      <c r="AX107" s="249"/>
      <c r="AY107" s="249"/>
    </row>
    <row r="108" spans="1:51" s="52" customFormat="1" ht="33">
      <c r="A108" s="379" t="s">
        <v>182</v>
      </c>
      <c r="B108" s="66" t="s">
        <v>533</v>
      </c>
      <c r="C108" s="67"/>
      <c r="D108" s="67"/>
      <c r="E108" s="67"/>
      <c r="F108" s="353">
        <v>327536181</v>
      </c>
      <c r="G108" s="89"/>
      <c r="H108" s="353">
        <f>H109+H115</f>
        <v>318005285.239824</v>
      </c>
      <c r="I108" s="353"/>
      <c r="J108" s="353">
        <f>J109+J115</f>
        <v>318005285.30987597</v>
      </c>
      <c r="K108" s="353">
        <f>K109+K115</f>
        <v>320045094.197164</v>
      </c>
      <c r="L108" s="353">
        <f t="shared" ref="L108:N108" si="156">L109+L115</f>
        <v>513782824.21999997</v>
      </c>
      <c r="M108" s="129">
        <f t="shared" si="144"/>
        <v>1.615642405815209</v>
      </c>
      <c r="N108" s="353">
        <f t="shared" si="156"/>
        <v>210739779.53000003</v>
      </c>
      <c r="O108" s="126">
        <f t="shared" si="96"/>
        <v>0.66269269494891414</v>
      </c>
      <c r="P108" s="68">
        <f>P109+P115</f>
        <v>273566822.09000003</v>
      </c>
      <c r="Q108" s="69">
        <f t="shared" si="130"/>
        <v>0.86025872753475319</v>
      </c>
      <c r="R108" s="68">
        <f>R109+R115</f>
        <v>240468165.60000002</v>
      </c>
      <c r="S108" s="69">
        <f t="shared" si="131"/>
        <v>0.75617663198798424</v>
      </c>
      <c r="T108" s="68">
        <f>T109+T115</f>
        <v>35786523.079999998</v>
      </c>
      <c r="U108" s="68">
        <f t="shared" ref="U108:X108" si="157">U109+U115</f>
        <v>26968766.829999998</v>
      </c>
      <c r="V108" s="68">
        <f t="shared" si="157"/>
        <v>31188847.080000002</v>
      </c>
      <c r="W108" s="68">
        <f t="shared" si="157"/>
        <v>157589.03</v>
      </c>
      <c r="X108" s="68">
        <f t="shared" si="157"/>
        <v>4739592.57</v>
      </c>
      <c r="Y108" s="68">
        <f t="shared" si="97"/>
        <v>89204544.420000017</v>
      </c>
      <c r="Z108" s="68">
        <f t="shared" si="111"/>
        <v>62912878.939999998</v>
      </c>
      <c r="AA108" s="68">
        <f>AA109+AA115</f>
        <v>28253055.41</v>
      </c>
      <c r="AB108" s="133">
        <f>AA108/J108</f>
        <v>8.8844609555684559E-2</v>
      </c>
      <c r="AC108" s="68">
        <f>AC109+AC115</f>
        <v>93944136.99000001</v>
      </c>
      <c r="AD108" s="69">
        <f t="shared" si="146"/>
        <v>0.29541690446577773</v>
      </c>
      <c r="AE108" s="138">
        <v>2.1000000000000001E-2</v>
      </c>
      <c r="AF108" s="58">
        <f t="shared" si="133"/>
        <v>77537119.709875941</v>
      </c>
      <c r="AG108" s="59">
        <f t="shared" si="134"/>
        <v>0.24382336801201571</v>
      </c>
      <c r="AH108" s="97"/>
      <c r="AI108" s="103"/>
      <c r="AJ108" s="242" t="s">
        <v>408</v>
      </c>
      <c r="AK108" s="353">
        <f>AK109+AK115</f>
        <v>48521508.271780893</v>
      </c>
      <c r="AL108" s="353">
        <f>AL109+AL115</f>
        <v>49056323.799999997</v>
      </c>
      <c r="AM108" s="129">
        <f>AL108/K108</f>
        <v>0.15327941183744193</v>
      </c>
      <c r="AN108" s="353" t="s">
        <v>433</v>
      </c>
      <c r="AO108" s="353">
        <f>AO109+AO115</f>
        <v>43056323.799999997</v>
      </c>
      <c r="AP108" s="353">
        <f>AP109+AP115</f>
        <v>48086882</v>
      </c>
      <c r="AQ108" s="353">
        <f>AQ109+AQ115</f>
        <v>43056324</v>
      </c>
      <c r="AR108" s="129">
        <f t="shared" si="120"/>
        <v>0.13453205432817888</v>
      </c>
      <c r="AS108" s="275"/>
      <c r="AT108" s="275"/>
      <c r="AU108" s="386"/>
      <c r="AV108" s="260"/>
      <c r="AW108" s="249"/>
      <c r="AX108" s="249"/>
      <c r="AY108" s="249"/>
    </row>
    <row r="109" spans="1:51" s="52" customFormat="1" ht="66.75" customHeight="1">
      <c r="A109" s="379" t="s">
        <v>57</v>
      </c>
      <c r="B109" s="66" t="s">
        <v>534</v>
      </c>
      <c r="C109" s="67" t="s">
        <v>56</v>
      </c>
      <c r="D109" s="67" t="s">
        <v>5</v>
      </c>
      <c r="E109" s="67"/>
      <c r="F109" s="94">
        <f>F110+F111+F112</f>
        <v>167317954</v>
      </c>
      <c r="G109" s="89"/>
      <c r="H109" s="94">
        <f>H110+H111+H112</f>
        <v>153973230.30987599</v>
      </c>
      <c r="I109" s="353"/>
      <c r="J109" s="353">
        <f>J110+J111+J112</f>
        <v>153973230.30987599</v>
      </c>
      <c r="K109" s="353">
        <f>K110+K111+K112</f>
        <v>156013039.197164</v>
      </c>
      <c r="L109" s="353">
        <f t="shared" ref="L109:N109" si="158">L110+L111+L112</f>
        <v>223331250.94999999</v>
      </c>
      <c r="M109" s="129">
        <f t="shared" si="144"/>
        <v>1.450455059626526</v>
      </c>
      <c r="N109" s="353">
        <f t="shared" si="158"/>
        <v>85446906.950000003</v>
      </c>
      <c r="O109" s="126">
        <f t="shared" si="96"/>
        <v>0.55494651101386516</v>
      </c>
      <c r="P109" s="68">
        <f t="shared" ref="P109" si="159">SUM(P110,P111,P112)</f>
        <v>137546144</v>
      </c>
      <c r="Q109" s="69">
        <f t="shared" si="130"/>
        <v>0.89331206290329845</v>
      </c>
      <c r="R109" s="68">
        <f t="shared" ref="R109" si="160">SUM(R110,R111,R112)</f>
        <v>104608123</v>
      </c>
      <c r="S109" s="69">
        <f t="shared" si="131"/>
        <v>0.67939162404706877</v>
      </c>
      <c r="T109" s="68">
        <f t="shared" ref="T109:X109" si="161">SUM(T110,T111,T112)</f>
        <v>6350396.9600000009</v>
      </c>
      <c r="U109" s="68">
        <f t="shared" si="161"/>
        <v>0</v>
      </c>
      <c r="V109" s="68">
        <f t="shared" si="161"/>
        <v>30980049.98</v>
      </c>
      <c r="W109" s="68">
        <f t="shared" si="161"/>
        <v>24409</v>
      </c>
      <c r="X109" s="68">
        <f t="shared" si="161"/>
        <v>62567</v>
      </c>
      <c r="Y109" s="68">
        <f t="shared" si="97"/>
        <v>37267879.939999998</v>
      </c>
      <c r="Z109" s="68">
        <f t="shared" si="111"/>
        <v>6374805.9600000009</v>
      </c>
      <c r="AA109" s="68">
        <f t="shared" ref="AA109" si="162">SUM(AA110,AA111,AA112)</f>
        <v>338200</v>
      </c>
      <c r="AB109" s="133">
        <f>AA109/J109</f>
        <v>2.1964857093623468E-3</v>
      </c>
      <c r="AC109" s="68">
        <f>SUM(AC110,AC111,AC112)</f>
        <v>37330446.939999998</v>
      </c>
      <c r="AD109" s="69">
        <f t="shared" si="146"/>
        <v>0.24244764407989164</v>
      </c>
      <c r="AE109" s="138"/>
      <c r="AF109" s="58">
        <f t="shared" si="133"/>
        <v>49365107.309875995</v>
      </c>
      <c r="AG109" s="59">
        <f t="shared" si="134"/>
        <v>0.32060837595293129</v>
      </c>
      <c r="AH109" s="97"/>
      <c r="AI109" s="103"/>
      <c r="AJ109" s="242" t="s">
        <v>408</v>
      </c>
      <c r="AK109" s="353">
        <f>AK110+AK111+AK112</f>
        <v>19465184.471780889</v>
      </c>
      <c r="AL109" s="94">
        <f>AL110+AL111+AL112</f>
        <v>20000000</v>
      </c>
      <c r="AM109" s="295">
        <f>AL109/K109</f>
        <v>0.12819441312674307</v>
      </c>
      <c r="AN109" s="353" t="s">
        <v>433</v>
      </c>
      <c r="AO109" s="94">
        <f>AO110</f>
        <v>20000000</v>
      </c>
      <c r="AP109" s="94">
        <f>AP110+AP111+AP112</f>
        <v>20000000</v>
      </c>
      <c r="AQ109" s="94">
        <f>AQ110+AQ111+AQ112</f>
        <v>20000000</v>
      </c>
      <c r="AR109" s="295">
        <f t="shared" si="120"/>
        <v>0.12819441312674307</v>
      </c>
      <c r="AS109" s="296"/>
      <c r="AT109" s="296"/>
      <c r="AU109" s="396"/>
      <c r="AV109" s="265"/>
      <c r="AW109" s="249"/>
      <c r="AX109" s="249"/>
      <c r="AY109" s="249"/>
    </row>
    <row r="110" spans="1:51" ht="384.75" customHeight="1">
      <c r="A110" s="383" t="s">
        <v>242</v>
      </c>
      <c r="B110" s="350" t="s">
        <v>535</v>
      </c>
      <c r="C110" s="183" t="s">
        <v>56</v>
      </c>
      <c r="D110" s="183" t="s">
        <v>5</v>
      </c>
      <c r="E110" s="183"/>
      <c r="F110" s="355">
        <v>35843004</v>
      </c>
      <c r="G110" s="355">
        <v>51786945</v>
      </c>
      <c r="H110" s="200">
        <f>G110*G6</f>
        <v>36396072.093779996</v>
      </c>
      <c r="I110" s="200"/>
      <c r="J110" s="189">
        <v>36396072</v>
      </c>
      <c r="K110" s="189">
        <v>37396072</v>
      </c>
      <c r="L110" s="189">
        <v>49128248.049999997</v>
      </c>
      <c r="M110" s="184">
        <f t="shared" si="144"/>
        <v>1.3498228064281221</v>
      </c>
      <c r="N110" s="189">
        <v>15189010.050000001</v>
      </c>
      <c r="O110" s="185">
        <f t="shared" si="96"/>
        <v>0.41732553034843983</v>
      </c>
      <c r="P110" s="355">
        <v>33601038</v>
      </c>
      <c r="Q110" s="186">
        <f t="shared" si="130"/>
        <v>0.92320506454652584</v>
      </c>
      <c r="R110" s="187">
        <v>33601038</v>
      </c>
      <c r="S110" s="186">
        <f t="shared" si="131"/>
        <v>0.92320506454652584</v>
      </c>
      <c r="T110" s="187">
        <v>5246041.6500000004</v>
      </c>
      <c r="U110" s="187">
        <v>0</v>
      </c>
      <c r="V110" s="187">
        <v>10253256.939999999</v>
      </c>
      <c r="W110" s="187">
        <v>24409</v>
      </c>
      <c r="X110" s="187">
        <v>62567</v>
      </c>
      <c r="Y110" s="187">
        <f t="shared" si="97"/>
        <v>15436731.59</v>
      </c>
      <c r="Z110" s="189">
        <f>T110+U110+W110</f>
        <v>5270450.6500000004</v>
      </c>
      <c r="AA110" s="189">
        <v>338200</v>
      </c>
      <c r="AB110" s="201">
        <f>AA110/J110</f>
        <v>9.2922115331566541E-3</v>
      </c>
      <c r="AC110" s="189">
        <f>SUM(T110:V110)</f>
        <v>15499298.59</v>
      </c>
      <c r="AD110" s="186">
        <f t="shared" si="146"/>
        <v>0.42585086077420664</v>
      </c>
      <c r="AE110" s="184">
        <v>5.5862268337200016E-3</v>
      </c>
      <c r="AF110" s="190">
        <f t="shared" si="133"/>
        <v>2795034</v>
      </c>
      <c r="AG110" s="191">
        <f t="shared" si="134"/>
        <v>7.6794935453474211E-2</v>
      </c>
      <c r="AH110" s="195" t="s">
        <v>424</v>
      </c>
      <c r="AI110" s="210"/>
      <c r="AJ110" s="244" t="s">
        <v>408</v>
      </c>
      <c r="AK110" s="355">
        <f>(J110/K110)*AL110</f>
        <v>19465184.471780889</v>
      </c>
      <c r="AL110" s="355">
        <v>20000000</v>
      </c>
      <c r="AM110" s="212">
        <f>AL110/K110</f>
        <v>0.53481552821911349</v>
      </c>
      <c r="AN110" s="202"/>
      <c r="AO110" s="270">
        <v>20000000</v>
      </c>
      <c r="AP110" s="355">
        <v>15000000</v>
      </c>
      <c r="AQ110" s="355">
        <v>15000000</v>
      </c>
      <c r="AR110" s="212">
        <f t="shared" si="120"/>
        <v>0.40111164616433514</v>
      </c>
      <c r="AS110" s="355" t="s">
        <v>433</v>
      </c>
      <c r="AT110" s="332" t="s">
        <v>722</v>
      </c>
      <c r="AU110" s="397"/>
      <c r="AV110" s="266"/>
    </row>
    <row r="111" spans="1:51" ht="84" customHeight="1">
      <c r="A111" s="381" t="s">
        <v>223</v>
      </c>
      <c r="B111" s="71" t="s">
        <v>536</v>
      </c>
      <c r="C111" s="72" t="s">
        <v>56</v>
      </c>
      <c r="D111" s="72" t="s">
        <v>5</v>
      </c>
      <c r="E111" s="72"/>
      <c r="F111" s="354">
        <v>4919628</v>
      </c>
      <c r="G111" s="354">
        <v>6213055</v>
      </c>
      <c r="H111" s="82">
        <f>G111*G6</f>
        <v>4366559.9062200002</v>
      </c>
      <c r="I111" s="79"/>
      <c r="J111" s="79">
        <v>4366560</v>
      </c>
      <c r="K111" s="79">
        <v>4366560</v>
      </c>
      <c r="L111" s="79">
        <v>4228863</v>
      </c>
      <c r="M111" s="130">
        <f t="shared" si="144"/>
        <v>0.96846556557106733</v>
      </c>
      <c r="N111" s="79">
        <v>84351</v>
      </c>
      <c r="O111" s="132">
        <f t="shared" si="96"/>
        <v>1.9317494778498406E-2</v>
      </c>
      <c r="P111" s="354">
        <v>4144512</v>
      </c>
      <c r="Q111" s="76">
        <f t="shared" si="130"/>
        <v>0.94914807079256902</v>
      </c>
      <c r="R111" s="79">
        <v>4144512</v>
      </c>
      <c r="S111" s="76">
        <f t="shared" si="131"/>
        <v>0.94914807079256902</v>
      </c>
      <c r="T111" s="79">
        <v>914555.31</v>
      </c>
      <c r="U111" s="79">
        <v>0</v>
      </c>
      <c r="V111" s="79">
        <v>1034477.6</v>
      </c>
      <c r="W111" s="79">
        <v>0</v>
      </c>
      <c r="X111" s="79">
        <v>0</v>
      </c>
      <c r="Y111" s="79">
        <f t="shared" si="97"/>
        <v>1949032.9100000001</v>
      </c>
      <c r="Z111" s="115">
        <f t="shared" si="111"/>
        <v>914555.31</v>
      </c>
      <c r="AA111" s="115"/>
      <c r="AB111" s="139"/>
      <c r="AC111" s="115">
        <f t="shared" ref="AC111" si="163">SUM(T111:V111)</f>
        <v>1949032.9100000001</v>
      </c>
      <c r="AD111" s="76">
        <f t="shared" si="146"/>
        <v>0.44635431781539703</v>
      </c>
      <c r="AE111" s="130">
        <v>2.6385174053717032E-2</v>
      </c>
      <c r="AF111" s="171">
        <f t="shared" si="133"/>
        <v>222048</v>
      </c>
      <c r="AG111" s="172">
        <f t="shared" si="134"/>
        <v>5.0851929207431021E-2</v>
      </c>
      <c r="AH111" s="153" t="s">
        <v>350</v>
      </c>
      <c r="AI111" s="159"/>
      <c r="AJ111" s="243" t="s">
        <v>409</v>
      </c>
      <c r="AK111" s="354">
        <v>0</v>
      </c>
      <c r="AL111" s="354">
        <v>0</v>
      </c>
      <c r="AM111" s="130">
        <v>0</v>
      </c>
      <c r="AN111" s="354"/>
      <c r="AO111" s="354">
        <v>0</v>
      </c>
      <c r="AP111" s="96"/>
      <c r="AQ111" s="96"/>
      <c r="AR111" s="130">
        <f t="shared" si="120"/>
        <v>0</v>
      </c>
      <c r="AS111" s="96"/>
      <c r="AT111" s="96"/>
      <c r="AU111" s="388"/>
      <c r="AV111" s="261"/>
      <c r="AW111" s="42"/>
      <c r="AX111" s="42"/>
      <c r="AY111" s="42"/>
    </row>
    <row r="112" spans="1:51" s="52" customFormat="1" ht="49.5">
      <c r="A112" s="398" t="s">
        <v>58</v>
      </c>
      <c r="B112" s="333" t="s">
        <v>537</v>
      </c>
      <c r="C112" s="334" t="s">
        <v>56</v>
      </c>
      <c r="D112" s="334" t="s">
        <v>5</v>
      </c>
      <c r="E112" s="334"/>
      <c r="F112" s="95">
        <f>F113+F114</f>
        <v>126555322</v>
      </c>
      <c r="G112" s="95">
        <f>G113+G114</f>
        <v>161084169</v>
      </c>
      <c r="H112" s="95">
        <f>H113+H114</f>
        <v>113210598.30987599</v>
      </c>
      <c r="I112" s="95"/>
      <c r="J112" s="95">
        <f>J113+J114</f>
        <v>113210598.30987599</v>
      </c>
      <c r="K112" s="95">
        <f>K113+K114</f>
        <v>114250407.197164</v>
      </c>
      <c r="L112" s="95">
        <f t="shared" ref="L112:N112" si="164">L113+L114</f>
        <v>169974139.90000001</v>
      </c>
      <c r="M112" s="237">
        <f t="shared" si="144"/>
        <v>1.5013977705051331</v>
      </c>
      <c r="N112" s="95">
        <f t="shared" si="164"/>
        <v>70173545.900000006</v>
      </c>
      <c r="O112" s="335">
        <f t="shared" si="96"/>
        <v>0.61984961609268674</v>
      </c>
      <c r="P112" s="95">
        <f>P113+P114</f>
        <v>99800594</v>
      </c>
      <c r="Q112" s="336">
        <f t="shared" si="130"/>
        <v>0.88154815441244638</v>
      </c>
      <c r="R112" s="95">
        <f>R113+R114</f>
        <v>66862573</v>
      </c>
      <c r="S112" s="336">
        <f t="shared" si="131"/>
        <v>0.59060347704360827</v>
      </c>
      <c r="T112" s="111">
        <f t="shared" ref="T112:X112" si="165">SUM(T113,T114)</f>
        <v>189800</v>
      </c>
      <c r="U112" s="111">
        <f t="shared" si="165"/>
        <v>0</v>
      </c>
      <c r="V112" s="111">
        <f t="shared" si="165"/>
        <v>19692315.440000001</v>
      </c>
      <c r="W112" s="111">
        <f t="shared" si="165"/>
        <v>0</v>
      </c>
      <c r="X112" s="111">
        <f t="shared" si="165"/>
        <v>0</v>
      </c>
      <c r="Y112" s="111">
        <f t="shared" si="97"/>
        <v>19882115.440000001</v>
      </c>
      <c r="Z112" s="337">
        <f>T112+U112+W112</f>
        <v>189800</v>
      </c>
      <c r="AA112" s="95">
        <f>AA113+AA114</f>
        <v>0</v>
      </c>
      <c r="AB112" s="338"/>
      <c r="AC112" s="111">
        <f>SUM(AC113,AC114)</f>
        <v>19882115.440000001</v>
      </c>
      <c r="AD112" s="336">
        <f t="shared" si="146"/>
        <v>0.17562061977253568</v>
      </c>
      <c r="AE112" s="339">
        <f>SUM(AE113,AE114)</f>
        <v>0</v>
      </c>
      <c r="AF112" s="340">
        <f t="shared" si="133"/>
        <v>46348025.309875995</v>
      </c>
      <c r="AG112" s="341">
        <f t="shared" si="134"/>
        <v>0.40939652295639178</v>
      </c>
      <c r="AH112" s="342"/>
      <c r="AI112" s="95"/>
      <c r="AJ112" s="343" t="s">
        <v>409</v>
      </c>
      <c r="AK112" s="95">
        <f>AK113+AK114</f>
        <v>0</v>
      </c>
      <c r="AL112" s="95">
        <f>AL113+AL114</f>
        <v>0</v>
      </c>
      <c r="AM112" s="344">
        <v>0</v>
      </c>
      <c r="AN112" s="350"/>
      <c r="AO112" s="350">
        <v>0</v>
      </c>
      <c r="AP112" s="354">
        <f>AP113+AP114</f>
        <v>5000000</v>
      </c>
      <c r="AQ112" s="354">
        <f>AQ113+AQ114</f>
        <v>5000000</v>
      </c>
      <c r="AR112" s="344">
        <f t="shared" si="120"/>
        <v>4.3763520171717279E-2</v>
      </c>
      <c r="AS112" s="53"/>
      <c r="AT112" s="53"/>
      <c r="AU112" s="388"/>
      <c r="AV112" s="261"/>
      <c r="AW112" s="249"/>
      <c r="AX112" s="249"/>
      <c r="AY112" s="249"/>
    </row>
    <row r="113" spans="1:51" ht="269.25" customHeight="1">
      <c r="A113" s="383" t="s">
        <v>59</v>
      </c>
      <c r="B113" s="350" t="s">
        <v>538</v>
      </c>
      <c r="C113" s="183" t="s">
        <v>56</v>
      </c>
      <c r="D113" s="183" t="s">
        <v>5</v>
      </c>
      <c r="E113" s="183"/>
      <c r="F113" s="187">
        <v>98443162</v>
      </c>
      <c r="G113" s="203">
        <v>146123578</v>
      </c>
      <c r="H113" s="187">
        <v>102696235.112712</v>
      </c>
      <c r="I113" s="187"/>
      <c r="J113" s="187">
        <v>102696235.112712</v>
      </c>
      <c r="K113" s="187">
        <v>103736044</v>
      </c>
      <c r="L113" s="187">
        <v>159459776.90000001</v>
      </c>
      <c r="M113" s="184">
        <f t="shared" si="144"/>
        <v>1.5527324514378589</v>
      </c>
      <c r="N113" s="187">
        <v>70173545.900000006</v>
      </c>
      <c r="O113" s="185">
        <f t="shared" si="96"/>
        <v>0.68331176720336995</v>
      </c>
      <c r="P113" s="355">
        <v>89286231</v>
      </c>
      <c r="Q113" s="186">
        <f t="shared" si="130"/>
        <v>0.86942068423448882</v>
      </c>
      <c r="R113" s="187">
        <v>56348210</v>
      </c>
      <c r="S113" s="186">
        <f t="shared" si="131"/>
        <v>0.54868817671997672</v>
      </c>
      <c r="T113" s="187">
        <v>0</v>
      </c>
      <c r="U113" s="187">
        <v>0</v>
      </c>
      <c r="V113" s="187">
        <v>19692315.440000001</v>
      </c>
      <c r="W113" s="187">
        <v>0</v>
      </c>
      <c r="X113" s="187">
        <v>0</v>
      </c>
      <c r="Y113" s="187">
        <f t="shared" si="97"/>
        <v>19692315.440000001</v>
      </c>
      <c r="Z113" s="189">
        <f t="shared" si="111"/>
        <v>0</v>
      </c>
      <c r="AA113" s="189"/>
      <c r="AB113" s="184"/>
      <c r="AC113" s="189">
        <f t="shared" ref="AC113:AC114" si="166">SUM(T113:V113)</f>
        <v>19692315.440000001</v>
      </c>
      <c r="AD113" s="186">
        <f t="shared" si="146"/>
        <v>0.19175304156366718</v>
      </c>
      <c r="AE113" s="184">
        <v>0</v>
      </c>
      <c r="AF113" s="190">
        <f t="shared" si="133"/>
        <v>46348025.112711996</v>
      </c>
      <c r="AG113" s="191">
        <f t="shared" si="134"/>
        <v>0.45131182328002328</v>
      </c>
      <c r="AH113" s="195" t="s">
        <v>351</v>
      </c>
      <c r="AI113" s="210"/>
      <c r="AJ113" s="244" t="s">
        <v>409</v>
      </c>
      <c r="AK113" s="355">
        <v>0</v>
      </c>
      <c r="AL113" s="355">
        <v>0</v>
      </c>
      <c r="AM113" s="212">
        <v>0</v>
      </c>
      <c r="AN113" s="202"/>
      <c r="AO113" s="270">
        <v>0</v>
      </c>
      <c r="AP113" s="355">
        <v>5000000</v>
      </c>
      <c r="AQ113" s="355">
        <v>5000000</v>
      </c>
      <c r="AR113" s="212">
        <f t="shared" si="120"/>
        <v>4.819925463901438E-2</v>
      </c>
      <c r="AS113" s="355" t="s">
        <v>408</v>
      </c>
      <c r="AT113" s="332" t="s">
        <v>719</v>
      </c>
      <c r="AU113" s="388"/>
      <c r="AV113" s="266"/>
    </row>
    <row r="114" spans="1:51" ht="100.9" customHeight="1">
      <c r="A114" s="381" t="s">
        <v>60</v>
      </c>
      <c r="B114" s="71" t="s">
        <v>539</v>
      </c>
      <c r="C114" s="72" t="s">
        <v>56</v>
      </c>
      <c r="D114" s="72" t="s">
        <v>5</v>
      </c>
      <c r="E114" s="72"/>
      <c r="F114" s="79">
        <v>28112160</v>
      </c>
      <c r="G114" s="86">
        <v>14960591</v>
      </c>
      <c r="H114" s="82">
        <v>10514363.197163999</v>
      </c>
      <c r="I114" s="79"/>
      <c r="J114" s="79">
        <v>10514363.197163999</v>
      </c>
      <c r="K114" s="79">
        <v>10514363.197163999</v>
      </c>
      <c r="L114" s="79">
        <v>10514363</v>
      </c>
      <c r="M114" s="130">
        <f t="shared" si="144"/>
        <v>0.99999998124812739</v>
      </c>
      <c r="N114" s="79"/>
      <c r="O114" s="132">
        <f t="shared" si="96"/>
        <v>0</v>
      </c>
      <c r="P114" s="354">
        <v>10514363</v>
      </c>
      <c r="Q114" s="76">
        <f t="shared" si="130"/>
        <v>0.99999998124812739</v>
      </c>
      <c r="R114" s="79">
        <v>10514363</v>
      </c>
      <c r="S114" s="76">
        <f t="shared" si="131"/>
        <v>0.99999998124812739</v>
      </c>
      <c r="T114" s="79">
        <v>189800</v>
      </c>
      <c r="U114" s="79">
        <v>0</v>
      </c>
      <c r="V114" s="79">
        <v>0</v>
      </c>
      <c r="W114" s="79">
        <v>0</v>
      </c>
      <c r="X114" s="79">
        <v>0</v>
      </c>
      <c r="Y114" s="79">
        <f t="shared" si="97"/>
        <v>189800</v>
      </c>
      <c r="Z114" s="115">
        <f t="shared" si="111"/>
        <v>189800</v>
      </c>
      <c r="AA114" s="115"/>
      <c r="AB114" s="139"/>
      <c r="AC114" s="115">
        <f t="shared" si="166"/>
        <v>189800</v>
      </c>
      <c r="AD114" s="76">
        <f t="shared" si="146"/>
        <v>1.805149740796419E-2</v>
      </c>
      <c r="AE114" s="130">
        <v>0</v>
      </c>
      <c r="AF114" s="171">
        <f t="shared" si="133"/>
        <v>0.19716399908065796</v>
      </c>
      <c r="AG114" s="172">
        <f t="shared" si="134"/>
        <v>1.8751872594037676E-8</v>
      </c>
      <c r="AH114" s="153" t="s">
        <v>352</v>
      </c>
      <c r="AI114" s="159"/>
      <c r="AJ114" s="243" t="s">
        <v>409</v>
      </c>
      <c r="AK114" s="354">
        <v>0</v>
      </c>
      <c r="AL114" s="354">
        <v>0</v>
      </c>
      <c r="AM114" s="130">
        <v>0</v>
      </c>
      <c r="AN114" s="354"/>
      <c r="AO114" s="354">
        <v>0</v>
      </c>
      <c r="AP114" s="96"/>
      <c r="AQ114" s="96"/>
      <c r="AR114" s="130">
        <f t="shared" si="120"/>
        <v>0</v>
      </c>
      <c r="AS114" s="96"/>
      <c r="AT114" s="96"/>
      <c r="AU114" s="388"/>
      <c r="AV114" s="261"/>
      <c r="AW114" s="42"/>
      <c r="AX114" s="42"/>
      <c r="AY114" s="42"/>
    </row>
    <row r="115" spans="1:51" s="52" customFormat="1">
      <c r="A115" s="379" t="s">
        <v>61</v>
      </c>
      <c r="B115" s="66" t="s">
        <v>540</v>
      </c>
      <c r="C115" s="67" t="s">
        <v>56</v>
      </c>
      <c r="D115" s="67" t="s">
        <v>155</v>
      </c>
      <c r="E115" s="67"/>
      <c r="F115" s="353">
        <f>F116+F120+F125+F127</f>
        <v>160218227.47256398</v>
      </c>
      <c r="G115" s="353">
        <v>233396587</v>
      </c>
      <c r="H115" s="353">
        <f>G115*G6</f>
        <v>164032054.929948</v>
      </c>
      <c r="I115" s="353"/>
      <c r="J115" s="353">
        <f>J116+J120+J125+J127</f>
        <v>164032055</v>
      </c>
      <c r="K115" s="353">
        <f>K116+K120+K125+K127</f>
        <v>164032055</v>
      </c>
      <c r="L115" s="353">
        <f t="shared" ref="L115:N115" si="167">L116+L120+L125+L127</f>
        <v>290451573.26999998</v>
      </c>
      <c r="M115" s="129">
        <f>L115/J115</f>
        <v>1.770700082188204</v>
      </c>
      <c r="N115" s="353">
        <f t="shared" si="167"/>
        <v>125292872.58000001</v>
      </c>
      <c r="O115" s="126">
        <f>N115/J115</f>
        <v>0.76383163388399911</v>
      </c>
      <c r="P115" s="68">
        <f t="shared" ref="P115" si="168">P116+P120+P125+P127</f>
        <v>136020678.09</v>
      </c>
      <c r="Q115" s="69">
        <f>P115/J115</f>
        <v>0.82923229907715301</v>
      </c>
      <c r="R115" s="68">
        <f t="shared" ref="R115" si="169">R116+R120+R125+R127</f>
        <v>135860042.60000002</v>
      </c>
      <c r="S115" s="69">
        <f>R115/J115</f>
        <v>0.82825300579206929</v>
      </c>
      <c r="T115" s="68">
        <f t="shared" ref="T115:V115" si="170">T116+T120+T125+T127</f>
        <v>29436126.120000001</v>
      </c>
      <c r="U115" s="68">
        <f t="shared" si="170"/>
        <v>26968766.829999998</v>
      </c>
      <c r="V115" s="68">
        <f t="shared" si="170"/>
        <v>208797.1</v>
      </c>
      <c r="W115" s="68">
        <f>W116+W120+W125+W127</f>
        <v>133180.03</v>
      </c>
      <c r="X115" s="68">
        <f>X116+X120+X125+X127</f>
        <v>4677025.57</v>
      </c>
      <c r="Y115" s="68">
        <f t="shared" si="97"/>
        <v>51936664.480000004</v>
      </c>
      <c r="Z115" s="68">
        <f t="shared" si="111"/>
        <v>56538072.980000004</v>
      </c>
      <c r="AA115" s="68">
        <f t="shared" ref="AA115" si="171">AA116+AA120+AA125+AA127</f>
        <v>27914855.41</v>
      </c>
      <c r="AB115" s="133">
        <f>AA115/J115</f>
        <v>0.17017927020422929</v>
      </c>
      <c r="AC115" s="68">
        <f>AC116+AC120+AC125+AC127</f>
        <v>56613690.050000004</v>
      </c>
      <c r="AD115" s="69">
        <f>AC115/J115</f>
        <v>0.34513796739301966</v>
      </c>
      <c r="AE115" s="138"/>
      <c r="AF115" s="58">
        <f t="shared" si="133"/>
        <v>28172012.399999976</v>
      </c>
      <c r="AG115" s="59">
        <f t="shared" si="134"/>
        <v>0.17174699420793074</v>
      </c>
      <c r="AH115" s="97"/>
      <c r="AI115" s="103"/>
      <c r="AJ115" s="242" t="s">
        <v>408</v>
      </c>
      <c r="AK115" s="353">
        <f>AK116+AK120+AK125+AK127</f>
        <v>29056323.800000001</v>
      </c>
      <c r="AL115" s="353">
        <f>AL116+AL120+AL125+AL127</f>
        <v>29056323.800000001</v>
      </c>
      <c r="AM115" s="129">
        <f>AL115/K115</f>
        <v>0.17713808316307444</v>
      </c>
      <c r="AN115" s="129"/>
      <c r="AO115" s="353">
        <f>AO116+AO120+AO125+AO127</f>
        <v>23056323.800000001</v>
      </c>
      <c r="AP115" s="353">
        <f>AP116+AP120+AP125+AP127</f>
        <v>28086882</v>
      </c>
      <c r="AQ115" s="353">
        <f>AQ116+AQ120+AQ125+AQ127</f>
        <v>23056324</v>
      </c>
      <c r="AR115" s="129">
        <f t="shared" si="120"/>
        <v>0.1405598680087255</v>
      </c>
      <c r="AS115" s="97"/>
      <c r="AT115" s="97"/>
      <c r="AU115" s="386"/>
      <c r="AV115" s="260"/>
      <c r="AW115" s="249"/>
      <c r="AX115" s="249"/>
      <c r="AY115" s="249"/>
    </row>
    <row r="116" spans="1:51" s="52" customFormat="1" ht="50.45" customHeight="1">
      <c r="A116" s="387" t="s">
        <v>62</v>
      </c>
      <c r="B116" s="77" t="s">
        <v>541</v>
      </c>
      <c r="C116" s="78" t="s">
        <v>56</v>
      </c>
      <c r="D116" s="78" t="s">
        <v>155</v>
      </c>
      <c r="E116" s="78"/>
      <c r="F116" s="354">
        <f>F117+F118+F119</f>
        <v>38443378.799999997</v>
      </c>
      <c r="G116" s="354">
        <v>55890644</v>
      </c>
      <c r="H116" s="95">
        <f>H117+H118+H119</f>
        <v>39280168.165775999</v>
      </c>
      <c r="I116" s="354"/>
      <c r="J116" s="354">
        <f>J117+J118+J119</f>
        <v>39280168</v>
      </c>
      <c r="K116" s="354">
        <f>K117+K118+K119</f>
        <v>39280168</v>
      </c>
      <c r="L116" s="354">
        <f t="shared" ref="L116:N116" si="172">L117+L118+L119</f>
        <v>52514162.359999999</v>
      </c>
      <c r="M116" s="130">
        <f t="shared" si="144"/>
        <v>1.3369128757290447</v>
      </c>
      <c r="N116" s="354">
        <f t="shared" si="172"/>
        <v>13234328.060000001</v>
      </c>
      <c r="O116" s="132">
        <f t="shared" si="96"/>
        <v>0.33692137111022541</v>
      </c>
      <c r="P116" s="81">
        <f t="shared" ref="P116" si="173">P117+P118+P119</f>
        <v>39279834.300000004</v>
      </c>
      <c r="Q116" s="69">
        <f t="shared" si="130"/>
        <v>0.99999150461881947</v>
      </c>
      <c r="R116" s="81">
        <f t="shared" ref="R116" si="174">R117+R118+R119</f>
        <v>39279834.300000004</v>
      </c>
      <c r="S116" s="76">
        <f t="shared" si="131"/>
        <v>0.99999150461881947</v>
      </c>
      <c r="T116" s="81">
        <f t="shared" ref="T116:X116" si="175">T117+T118+T119</f>
        <v>739672.40999999992</v>
      </c>
      <c r="U116" s="81">
        <f t="shared" si="175"/>
        <v>10893268.09</v>
      </c>
      <c r="V116" s="81">
        <f t="shared" si="175"/>
        <v>208797.1</v>
      </c>
      <c r="W116" s="81">
        <f t="shared" si="175"/>
        <v>133180.03</v>
      </c>
      <c r="X116" s="81">
        <f t="shared" si="175"/>
        <v>0</v>
      </c>
      <c r="Y116" s="81">
        <f>AC116-X116</f>
        <v>11841737.600000001</v>
      </c>
      <c r="Z116" s="116">
        <f t="shared" si="111"/>
        <v>11766120.529999999</v>
      </c>
      <c r="AA116" s="81">
        <f t="shared" ref="AA116" si="176">AA117+AA118+AA119</f>
        <v>210393.91</v>
      </c>
      <c r="AB116" s="136">
        <f>AA116/J116</f>
        <v>5.3562375293303224E-3</v>
      </c>
      <c r="AC116" s="81">
        <f>AC117+AC118+AC119</f>
        <v>11841737.600000001</v>
      </c>
      <c r="AD116" s="69">
        <f t="shared" si="146"/>
        <v>0.30146860879006426</v>
      </c>
      <c r="AE116" s="141"/>
      <c r="AF116" s="171">
        <f t="shared" si="133"/>
        <v>333.69999999552965</v>
      </c>
      <c r="AG116" s="172">
        <f t="shared" si="134"/>
        <v>8.4953811805369477E-6</v>
      </c>
      <c r="AH116" s="96"/>
      <c r="AI116" s="354"/>
      <c r="AJ116" s="243" t="s">
        <v>409</v>
      </c>
      <c r="AK116" s="354">
        <f>AK117+AK118+AK119</f>
        <v>0</v>
      </c>
      <c r="AL116" s="354">
        <f>AL117+AL118+AL119</f>
        <v>0</v>
      </c>
      <c r="AM116" s="130">
        <v>0</v>
      </c>
      <c r="AN116" s="354"/>
      <c r="AO116" s="354">
        <v>0</v>
      </c>
      <c r="AP116" s="354">
        <f>AP117+AP118+AP119</f>
        <v>0</v>
      </c>
      <c r="AQ116" s="354">
        <f>AQ117+AQ118+AQ119</f>
        <v>0</v>
      </c>
      <c r="AR116" s="130">
        <f t="shared" si="120"/>
        <v>0</v>
      </c>
      <c r="AS116" s="96"/>
      <c r="AT116" s="96"/>
      <c r="AU116" s="388"/>
      <c r="AV116" s="261"/>
    </row>
    <row r="117" spans="1:51" ht="33.6" customHeight="1">
      <c r="A117" s="381" t="s">
        <v>217</v>
      </c>
      <c r="B117" s="71" t="s">
        <v>542</v>
      </c>
      <c r="C117" s="72" t="s">
        <v>56</v>
      </c>
      <c r="D117" s="72" t="s">
        <v>155</v>
      </c>
      <c r="E117" s="72"/>
      <c r="F117" s="79">
        <v>36320910.719999999</v>
      </c>
      <c r="G117" s="79">
        <v>53178191</v>
      </c>
      <c r="H117" s="82">
        <f>G117*G6</f>
        <v>37373845.347563997</v>
      </c>
      <c r="I117" s="79"/>
      <c r="J117" s="79">
        <v>37373845</v>
      </c>
      <c r="K117" s="79">
        <v>37373845</v>
      </c>
      <c r="L117" s="79">
        <v>50235585.450000003</v>
      </c>
      <c r="M117" s="130">
        <f t="shared" si="144"/>
        <v>1.3441374696662867</v>
      </c>
      <c r="N117" s="79">
        <v>12862032.99</v>
      </c>
      <c r="O117" s="132">
        <f t="shared" si="96"/>
        <v>0.34414529706536751</v>
      </c>
      <c r="P117" s="354">
        <v>37373552.460000001</v>
      </c>
      <c r="Q117" s="76">
        <f t="shared" si="130"/>
        <v>0.99999217260091922</v>
      </c>
      <c r="R117" s="354">
        <v>37373552.460000001</v>
      </c>
      <c r="S117" s="76">
        <f t="shared" si="131"/>
        <v>0.99999217260091922</v>
      </c>
      <c r="T117" s="79">
        <v>140930.54999999999</v>
      </c>
      <c r="U117" s="79">
        <v>10893268.09</v>
      </c>
      <c r="V117" s="79">
        <v>0</v>
      </c>
      <c r="W117" s="79">
        <v>0</v>
      </c>
      <c r="X117" s="79">
        <v>0</v>
      </c>
      <c r="Y117" s="79">
        <f t="shared" ref="Y117:Y150" si="177">AC117-X117</f>
        <v>11034198.640000001</v>
      </c>
      <c r="Z117" s="115">
        <f t="shared" si="111"/>
        <v>11034198.640000001</v>
      </c>
      <c r="AA117" s="115"/>
      <c r="AB117" s="139"/>
      <c r="AC117" s="116">
        <f t="shared" ref="AC117:AC119" si="178">SUM(T117:V117)</f>
        <v>11034198.640000001</v>
      </c>
      <c r="AD117" s="76">
        <f t="shared" si="146"/>
        <v>0.29523851880907626</v>
      </c>
      <c r="AE117" s="130">
        <v>1.6909086650682145E-6</v>
      </c>
      <c r="AF117" s="171">
        <f t="shared" si="133"/>
        <v>292.53999999910593</v>
      </c>
      <c r="AG117" s="172">
        <f t="shared" si="134"/>
        <v>7.8273990808038595E-6</v>
      </c>
      <c r="AH117" s="145" t="s">
        <v>320</v>
      </c>
      <c r="AI117" s="145"/>
      <c r="AJ117" s="243" t="s">
        <v>409</v>
      </c>
      <c r="AK117" s="354">
        <v>0</v>
      </c>
      <c r="AL117" s="354">
        <v>0</v>
      </c>
      <c r="AM117" s="130">
        <v>0</v>
      </c>
      <c r="AN117" s="354"/>
      <c r="AO117" s="354">
        <v>0</v>
      </c>
      <c r="AP117" s="96"/>
      <c r="AQ117" s="96"/>
      <c r="AR117" s="130">
        <f t="shared" si="120"/>
        <v>0</v>
      </c>
      <c r="AS117" s="96"/>
      <c r="AT117" s="96"/>
      <c r="AU117" s="388"/>
      <c r="AV117" s="261"/>
      <c r="AW117" s="42"/>
      <c r="AX117" s="42"/>
      <c r="AY117" s="42"/>
    </row>
    <row r="118" spans="1:51" ht="78" customHeight="1">
      <c r="A118" s="381" t="s">
        <v>194</v>
      </c>
      <c r="B118" s="71" t="s">
        <v>543</v>
      </c>
      <c r="C118" s="72" t="s">
        <v>56</v>
      </c>
      <c r="D118" s="72" t="s">
        <v>155</v>
      </c>
      <c r="E118" s="72"/>
      <c r="F118" s="354">
        <v>2122468.08</v>
      </c>
      <c r="G118" s="354">
        <v>2712453</v>
      </c>
      <c r="H118" s="82">
        <f>G118*G6</f>
        <v>1906322.818212</v>
      </c>
      <c r="I118" s="79"/>
      <c r="J118" s="79">
        <v>1906323</v>
      </c>
      <c r="K118" s="79">
        <v>1906323</v>
      </c>
      <c r="L118" s="79">
        <v>2278576.91</v>
      </c>
      <c r="M118" s="130">
        <f t="shared" si="144"/>
        <v>1.1952732616665698</v>
      </c>
      <c r="N118" s="79">
        <v>372295.07</v>
      </c>
      <c r="O118" s="132">
        <f t="shared" si="96"/>
        <v>0.1952948529708764</v>
      </c>
      <c r="P118" s="354">
        <v>1906281.84</v>
      </c>
      <c r="Q118" s="76">
        <f t="shared" si="130"/>
        <v>0.99997840869569332</v>
      </c>
      <c r="R118" s="79">
        <v>1906281.84</v>
      </c>
      <c r="S118" s="76">
        <f t="shared" si="131"/>
        <v>0.99997840869569332</v>
      </c>
      <c r="T118" s="79">
        <v>598741.86</v>
      </c>
      <c r="U118" s="79">
        <v>0</v>
      </c>
      <c r="V118" s="79">
        <v>208797.1</v>
      </c>
      <c r="W118" s="79">
        <v>133180.03</v>
      </c>
      <c r="X118" s="79">
        <v>0</v>
      </c>
      <c r="Y118" s="79">
        <f t="shared" si="177"/>
        <v>807538.96</v>
      </c>
      <c r="Z118" s="115">
        <f t="shared" si="111"/>
        <v>731921.89</v>
      </c>
      <c r="AA118" s="115">
        <v>210393.91</v>
      </c>
      <c r="AB118" s="136">
        <f>AA118/J118</f>
        <v>0.11036634924931399</v>
      </c>
      <c r="AC118" s="116">
        <f t="shared" si="178"/>
        <v>807538.96</v>
      </c>
      <c r="AD118" s="76">
        <f t="shared" si="146"/>
        <v>0.42361077320055412</v>
      </c>
      <c r="AE118" s="130">
        <v>1.3223086741038972E-2</v>
      </c>
      <c r="AF118" s="171">
        <f t="shared" si="133"/>
        <v>41.159999999916181</v>
      </c>
      <c r="AG118" s="172">
        <f t="shared" si="134"/>
        <v>2.1591304306728806E-5</v>
      </c>
      <c r="AH118" s="144" t="s">
        <v>419</v>
      </c>
      <c r="AI118" s="144"/>
      <c r="AJ118" s="243" t="s">
        <v>409</v>
      </c>
      <c r="AK118" s="354">
        <v>0</v>
      </c>
      <c r="AL118" s="354">
        <v>0</v>
      </c>
      <c r="AM118" s="130">
        <v>0</v>
      </c>
      <c r="AN118" s="354"/>
      <c r="AO118" s="354">
        <v>0</v>
      </c>
      <c r="AP118" s="96"/>
      <c r="AQ118" s="96"/>
      <c r="AR118" s="130">
        <f t="shared" si="120"/>
        <v>0</v>
      </c>
      <c r="AS118" s="96"/>
      <c r="AT118" s="96"/>
      <c r="AU118" s="388"/>
      <c r="AV118" s="261"/>
      <c r="AW118" s="42"/>
      <c r="AX118" s="42"/>
      <c r="AY118" s="42"/>
    </row>
    <row r="119" spans="1:51" ht="33.6" customHeight="1">
      <c r="A119" s="381" t="s">
        <v>63</v>
      </c>
      <c r="B119" s="71" t="s">
        <v>544</v>
      </c>
      <c r="C119" s="72" t="s">
        <v>56</v>
      </c>
      <c r="D119" s="72" t="s">
        <v>155</v>
      </c>
      <c r="E119" s="72"/>
      <c r="F119" s="354">
        <v>0</v>
      </c>
      <c r="G119" s="354">
        <v>0</v>
      </c>
      <c r="H119" s="82">
        <v>0</v>
      </c>
      <c r="I119" s="79"/>
      <c r="J119" s="79">
        <v>0</v>
      </c>
      <c r="K119" s="79">
        <v>0</v>
      </c>
      <c r="L119" s="79"/>
      <c r="M119" s="130" t="e">
        <f t="shared" si="144"/>
        <v>#DIV/0!</v>
      </c>
      <c r="N119" s="79"/>
      <c r="O119" s="132"/>
      <c r="P119" s="354">
        <v>0</v>
      </c>
      <c r="Q119" s="76">
        <v>0</v>
      </c>
      <c r="R119" s="79">
        <v>0</v>
      </c>
      <c r="S119" s="76"/>
      <c r="T119" s="79">
        <v>0</v>
      </c>
      <c r="U119" s="79">
        <v>0</v>
      </c>
      <c r="V119" s="79">
        <v>0</v>
      </c>
      <c r="W119" s="79">
        <v>0</v>
      </c>
      <c r="X119" s="79">
        <v>0</v>
      </c>
      <c r="Y119" s="79">
        <f t="shared" si="177"/>
        <v>0</v>
      </c>
      <c r="Z119" s="115">
        <f t="shared" si="111"/>
        <v>0</v>
      </c>
      <c r="AA119" s="115"/>
      <c r="AB119" s="139"/>
      <c r="AC119" s="116">
        <f t="shared" si="178"/>
        <v>0</v>
      </c>
      <c r="AD119" s="76">
        <v>0</v>
      </c>
      <c r="AE119" s="130"/>
      <c r="AF119" s="171">
        <f t="shared" si="133"/>
        <v>0</v>
      </c>
      <c r="AG119" s="172">
        <v>0</v>
      </c>
      <c r="AH119" s="96"/>
      <c r="AI119" s="354"/>
      <c r="AJ119" s="243" t="s">
        <v>409</v>
      </c>
      <c r="AK119" s="354">
        <v>0</v>
      </c>
      <c r="AL119" s="354">
        <v>0</v>
      </c>
      <c r="AM119" s="130">
        <v>0</v>
      </c>
      <c r="AN119" s="354"/>
      <c r="AO119" s="354">
        <v>0</v>
      </c>
      <c r="AP119" s="96"/>
      <c r="AQ119" s="96"/>
      <c r="AR119" s="130" t="e">
        <f t="shared" si="120"/>
        <v>#DIV/0!</v>
      </c>
      <c r="AS119" s="96"/>
      <c r="AT119" s="96"/>
      <c r="AU119" s="388"/>
      <c r="AV119" s="261"/>
      <c r="AW119" s="42"/>
      <c r="AX119" s="42"/>
      <c r="AY119" s="42"/>
    </row>
    <row r="120" spans="1:51" s="52" customFormat="1" ht="33.6" customHeight="1">
      <c r="A120" s="387" t="s">
        <v>64</v>
      </c>
      <c r="B120" s="77" t="s">
        <v>545</v>
      </c>
      <c r="C120" s="78" t="s">
        <v>56</v>
      </c>
      <c r="D120" s="78" t="s">
        <v>155</v>
      </c>
      <c r="E120" s="78"/>
      <c r="F120" s="354">
        <f>F121+F122+F123</f>
        <v>87984032.672563985</v>
      </c>
      <c r="G120" s="354">
        <v>77059917</v>
      </c>
      <c r="H120" s="95">
        <f>H121+H122+H123+H124</f>
        <v>54158017.907268003</v>
      </c>
      <c r="I120" s="354"/>
      <c r="J120" s="354">
        <f>J121+J122+J123+J124</f>
        <v>54158018</v>
      </c>
      <c r="K120" s="354">
        <f>K121+K122+K123+K124</f>
        <v>54158018</v>
      </c>
      <c r="L120" s="354">
        <f t="shared" ref="L120:N120" si="179">L121+L122+L123+L124</f>
        <v>99204044.100000009</v>
      </c>
      <c r="M120" s="130">
        <f t="shared" si="144"/>
        <v>1.8317517472666744</v>
      </c>
      <c r="N120" s="354">
        <f t="shared" si="179"/>
        <v>46347405.640000001</v>
      </c>
      <c r="O120" s="132">
        <f t="shared" si="96"/>
        <v>0.85578105240114222</v>
      </c>
      <c r="P120" s="81">
        <f t="shared" ref="P120" si="180">P121+P122+P123</f>
        <v>46788498.990000002</v>
      </c>
      <c r="Q120" s="76">
        <f>P120/J120</f>
        <v>0.86392561467075846</v>
      </c>
      <c r="R120" s="81">
        <f t="shared" ref="R120" si="181">R121+R122+R123</f>
        <v>46627863.5</v>
      </c>
      <c r="S120" s="76">
        <f>R120/J120</f>
        <v>0.86095956281117969</v>
      </c>
      <c r="T120" s="81">
        <f t="shared" ref="T120:X120" si="182">T121+T122+T123</f>
        <v>10568845.359999999</v>
      </c>
      <c r="U120" s="81">
        <f t="shared" si="182"/>
        <v>1388006.4400000002</v>
      </c>
      <c r="V120" s="81">
        <f t="shared" si="182"/>
        <v>0</v>
      </c>
      <c r="W120" s="81">
        <f t="shared" si="182"/>
        <v>0</v>
      </c>
      <c r="X120" s="81">
        <f t="shared" si="182"/>
        <v>110331.2</v>
      </c>
      <c r="Y120" s="81">
        <f t="shared" si="177"/>
        <v>11846520.600000001</v>
      </c>
      <c r="Z120" s="116">
        <f t="shared" si="111"/>
        <v>11956851.799999999</v>
      </c>
      <c r="AA120" s="81">
        <f t="shared" ref="AA120" si="183">AA121+AA122+AA123</f>
        <v>6713121.2000000002</v>
      </c>
      <c r="AB120" s="136">
        <f>AA120/J120</f>
        <v>0.12395433673366703</v>
      </c>
      <c r="AC120" s="81">
        <f>AC121+AC122+AC123</f>
        <v>11956851.800000001</v>
      </c>
      <c r="AD120" s="76">
        <f>AC120/J120</f>
        <v>0.22077713035953422</v>
      </c>
      <c r="AE120" s="141"/>
      <c r="AF120" s="171">
        <f t="shared" si="133"/>
        <v>7530154.5</v>
      </c>
      <c r="AG120" s="172">
        <f>AF120/J120</f>
        <v>0.13904043718882031</v>
      </c>
      <c r="AH120" s="96"/>
      <c r="AI120" s="354"/>
      <c r="AJ120" s="243" t="s">
        <v>409</v>
      </c>
      <c r="AK120" s="354">
        <f>AK121+AK122+AK123+AK124</f>
        <v>8937550</v>
      </c>
      <c r="AL120" s="354">
        <f>AL121+AL122+AL123+AL124</f>
        <v>8937550</v>
      </c>
      <c r="AM120" s="130">
        <f>AL120/K120</f>
        <v>0.16502727260070707</v>
      </c>
      <c r="AN120" s="354"/>
      <c r="AO120" s="354">
        <f>AO121+AO122+AO123+AO124</f>
        <v>8937550</v>
      </c>
      <c r="AP120" s="354">
        <f>AP121+AP122+AP123+AP124</f>
        <v>0</v>
      </c>
      <c r="AQ120" s="354">
        <f>AQ121+AQ122+AQ123+AQ124</f>
        <v>0</v>
      </c>
      <c r="AR120" s="130">
        <f t="shared" si="120"/>
        <v>0</v>
      </c>
      <c r="AS120" s="96"/>
      <c r="AT120" s="96"/>
      <c r="AU120" s="388"/>
      <c r="AV120" s="261"/>
    </row>
    <row r="121" spans="1:51" ht="62.45" customHeight="1">
      <c r="A121" s="381" t="s">
        <v>243</v>
      </c>
      <c r="B121" s="71" t="s">
        <v>546</v>
      </c>
      <c r="C121" s="72" t="s">
        <v>56</v>
      </c>
      <c r="D121" s="72" t="s">
        <v>155</v>
      </c>
      <c r="E121" s="72"/>
      <c r="F121" s="79">
        <v>43386001.799999997</v>
      </c>
      <c r="G121" s="79">
        <v>10380567</v>
      </c>
      <c r="H121" s="82">
        <f>G121*G6</f>
        <v>7295504.0098679997</v>
      </c>
      <c r="I121" s="79"/>
      <c r="J121" s="79">
        <v>7295504</v>
      </c>
      <c r="K121" s="79">
        <v>7295504</v>
      </c>
      <c r="L121" s="79">
        <v>26639458.73</v>
      </c>
      <c r="M121" s="130">
        <f t="shared" si="144"/>
        <v>3.6514898394956674</v>
      </c>
      <c r="N121" s="79">
        <v>18785211.350000001</v>
      </c>
      <c r="O121" s="132">
        <f t="shared" si="96"/>
        <v>2.5749024810348953</v>
      </c>
      <c r="P121" s="354">
        <v>6724755.46</v>
      </c>
      <c r="Q121" s="76">
        <f>P121/J121</f>
        <v>0.92176708559134501</v>
      </c>
      <c r="R121" s="79">
        <v>6724755.46</v>
      </c>
      <c r="S121" s="76">
        <f>R121/J121</f>
        <v>0.92176708559134501</v>
      </c>
      <c r="T121" s="79">
        <v>4621337.01</v>
      </c>
      <c r="U121" s="79">
        <v>152923.82999999999</v>
      </c>
      <c r="V121" s="79">
        <v>0</v>
      </c>
      <c r="W121" s="79">
        <v>0</v>
      </c>
      <c r="X121" s="79">
        <v>6206.2</v>
      </c>
      <c r="Y121" s="79">
        <f t="shared" si="177"/>
        <v>4768054.6399999997</v>
      </c>
      <c r="Z121" s="115">
        <f t="shared" si="111"/>
        <v>4774260.84</v>
      </c>
      <c r="AA121" s="115">
        <v>1129491.92</v>
      </c>
      <c r="AB121" s="136">
        <f>AA121/J121</f>
        <v>0.15482027286942751</v>
      </c>
      <c r="AC121" s="116">
        <f t="shared" ref="AC121:AC123" si="184">SUM(T121:V121)</f>
        <v>4774260.84</v>
      </c>
      <c r="AD121" s="76">
        <f>AC121/J121</f>
        <v>0.65441137994030296</v>
      </c>
      <c r="AE121" s="130">
        <v>1.1616891327014696E-2</v>
      </c>
      <c r="AF121" s="171">
        <f t="shared" si="133"/>
        <v>570748.54</v>
      </c>
      <c r="AG121" s="172">
        <f>AF121/J121</f>
        <v>7.8232914408654985E-2</v>
      </c>
      <c r="AH121" s="144" t="s">
        <v>420</v>
      </c>
      <c r="AI121" s="144"/>
      <c r="AJ121" s="243" t="s">
        <v>409</v>
      </c>
      <c r="AK121" s="354">
        <v>0</v>
      </c>
      <c r="AL121" s="354">
        <v>0</v>
      </c>
      <c r="AM121" s="130">
        <v>0</v>
      </c>
      <c r="AN121" s="354"/>
      <c r="AO121" s="354">
        <v>0</v>
      </c>
      <c r="AP121" s="170"/>
      <c r="AQ121" s="170"/>
      <c r="AR121" s="130">
        <f t="shared" si="120"/>
        <v>0</v>
      </c>
      <c r="AS121" s="170"/>
      <c r="AT121" s="170"/>
      <c r="AU121" s="388"/>
      <c r="AV121" s="261"/>
      <c r="AW121" s="42"/>
      <c r="AX121" s="42"/>
      <c r="AY121" s="42"/>
    </row>
    <row r="122" spans="1:51" ht="131.25" customHeight="1">
      <c r="A122" s="383" t="s">
        <v>298</v>
      </c>
      <c r="B122" s="350" t="s">
        <v>547</v>
      </c>
      <c r="C122" s="183" t="s">
        <v>56</v>
      </c>
      <c r="D122" s="183" t="s">
        <v>155</v>
      </c>
      <c r="E122" s="183"/>
      <c r="F122" s="187">
        <v>43748030.899999999</v>
      </c>
      <c r="G122" s="187">
        <v>63584939</v>
      </c>
      <c r="H122" s="187">
        <f>G122*G6</f>
        <v>44687749.468956001</v>
      </c>
      <c r="I122" s="187"/>
      <c r="J122" s="187">
        <v>44687750</v>
      </c>
      <c r="K122" s="187">
        <v>44687750</v>
      </c>
      <c r="L122" s="187">
        <v>72220387.150000006</v>
      </c>
      <c r="M122" s="184">
        <f t="shared" si="144"/>
        <v>1.6161115104251167</v>
      </c>
      <c r="N122" s="187">
        <v>27430671.73</v>
      </c>
      <c r="O122" s="185">
        <f t="shared" si="96"/>
        <v>0.61382977952570894</v>
      </c>
      <c r="P122" s="355">
        <v>39984410.770000003</v>
      </c>
      <c r="Q122" s="186">
        <f>P122/J122</f>
        <v>0.89475103960257574</v>
      </c>
      <c r="R122" s="187">
        <v>39823775.280000001</v>
      </c>
      <c r="S122" s="186">
        <f>R122/J122</f>
        <v>0.89115641937667489</v>
      </c>
      <c r="T122" s="187">
        <v>5936870.6500000004</v>
      </c>
      <c r="U122" s="187">
        <v>1235082.6100000001</v>
      </c>
      <c r="V122" s="187">
        <v>0</v>
      </c>
      <c r="W122" s="187">
        <v>0</v>
      </c>
      <c r="X122" s="187">
        <v>104125</v>
      </c>
      <c r="Y122" s="187">
        <f t="shared" si="177"/>
        <v>7067828.2600000007</v>
      </c>
      <c r="Z122" s="189">
        <f t="shared" si="111"/>
        <v>7171953.2600000007</v>
      </c>
      <c r="AA122" s="189">
        <v>5444070.5800000001</v>
      </c>
      <c r="AB122" s="201">
        <f>AA122/J122</f>
        <v>0.12182467409972532</v>
      </c>
      <c r="AC122" s="204">
        <f t="shared" si="184"/>
        <v>7171953.2600000007</v>
      </c>
      <c r="AD122" s="186">
        <f>AC122/J122</f>
        <v>0.16049036391404806</v>
      </c>
      <c r="AE122" s="184">
        <v>1.8252674543044259E-2</v>
      </c>
      <c r="AF122" s="190">
        <f t="shared" si="133"/>
        <v>4863974.7199999988</v>
      </c>
      <c r="AG122" s="191">
        <f>AF122/J122</f>
        <v>0.10884358062332515</v>
      </c>
      <c r="AH122" s="205" t="s">
        <v>421</v>
      </c>
      <c r="AI122" s="205"/>
      <c r="AJ122" s="244" t="s">
        <v>408</v>
      </c>
      <c r="AK122" s="355">
        <f>J122*0.2</f>
        <v>8937550</v>
      </c>
      <c r="AL122" s="355">
        <f>K122*0.2</f>
        <v>8937550</v>
      </c>
      <c r="AM122" s="212">
        <v>0.2</v>
      </c>
      <c r="AN122" s="202"/>
      <c r="AO122" s="355">
        <v>8937550</v>
      </c>
      <c r="AP122" s="355">
        <v>0</v>
      </c>
      <c r="AQ122" s="355">
        <v>0</v>
      </c>
      <c r="AR122" s="212">
        <f t="shared" si="120"/>
        <v>0</v>
      </c>
      <c r="AS122" s="194" t="s">
        <v>433</v>
      </c>
      <c r="AT122" s="194" t="s">
        <v>731</v>
      </c>
      <c r="AU122" s="399"/>
      <c r="AV122" s="258"/>
    </row>
    <row r="123" spans="1:51" ht="84" customHeight="1">
      <c r="A123" s="381" t="s">
        <v>252</v>
      </c>
      <c r="B123" s="71" t="s">
        <v>548</v>
      </c>
      <c r="C123" s="72" t="s">
        <v>56</v>
      </c>
      <c r="D123" s="72" t="s">
        <v>155</v>
      </c>
      <c r="E123" s="72"/>
      <c r="F123" s="354">
        <v>849999.97256399994</v>
      </c>
      <c r="G123" s="354">
        <v>248667</v>
      </c>
      <c r="H123" s="82">
        <f>G123*G6</f>
        <v>174764.16226799999</v>
      </c>
      <c r="I123" s="79"/>
      <c r="J123" s="79">
        <v>174764</v>
      </c>
      <c r="K123" s="79">
        <v>174764</v>
      </c>
      <c r="L123" s="79">
        <v>344198.22</v>
      </c>
      <c r="M123" s="130">
        <f t="shared" si="144"/>
        <v>1.9695029868851708</v>
      </c>
      <c r="N123" s="79">
        <v>131522.56</v>
      </c>
      <c r="O123" s="132">
        <f t="shared" si="96"/>
        <v>0.75257238332837428</v>
      </c>
      <c r="P123" s="354">
        <v>79332.759999999995</v>
      </c>
      <c r="Q123" s="76">
        <f>P123/J123</f>
        <v>0.45394223066535438</v>
      </c>
      <c r="R123" s="79">
        <v>79332.759999999995</v>
      </c>
      <c r="S123" s="76">
        <f>R123/J123</f>
        <v>0.45394223066535438</v>
      </c>
      <c r="T123" s="79">
        <v>10637.7</v>
      </c>
      <c r="U123" s="79">
        <v>0</v>
      </c>
      <c r="V123" s="79">
        <v>0</v>
      </c>
      <c r="W123" s="79">
        <v>0</v>
      </c>
      <c r="X123" s="79">
        <v>0</v>
      </c>
      <c r="Y123" s="79">
        <f t="shared" si="177"/>
        <v>10637.7</v>
      </c>
      <c r="Z123" s="115">
        <f t="shared" si="111"/>
        <v>10637.7</v>
      </c>
      <c r="AA123" s="115">
        <v>139558.70000000001</v>
      </c>
      <c r="AB123" s="136">
        <f>AA123/J123</f>
        <v>0.79855519443363632</v>
      </c>
      <c r="AC123" s="116">
        <f t="shared" si="184"/>
        <v>10637.7</v>
      </c>
      <c r="AD123" s="76">
        <f>AC123/J123</f>
        <v>6.0868943260625766E-2</v>
      </c>
      <c r="AE123" s="130">
        <v>1.0597572014248849E-3</v>
      </c>
      <c r="AF123" s="171">
        <f t="shared" si="133"/>
        <v>95431.24</v>
      </c>
      <c r="AG123" s="172">
        <f>AF123/J123</f>
        <v>0.54605776933464556</v>
      </c>
      <c r="AH123" s="96"/>
      <c r="AI123" s="354"/>
      <c r="AJ123" s="243" t="s">
        <v>409</v>
      </c>
      <c r="AK123" s="354">
        <v>0</v>
      </c>
      <c r="AL123" s="354">
        <v>0</v>
      </c>
      <c r="AM123" s="130">
        <v>0</v>
      </c>
      <c r="AN123" s="354"/>
      <c r="AO123" s="354">
        <v>0</v>
      </c>
      <c r="AP123" s="96"/>
      <c r="AQ123" s="96"/>
      <c r="AR123" s="130">
        <f t="shared" si="120"/>
        <v>0</v>
      </c>
      <c r="AS123" s="96"/>
      <c r="AT123" s="96"/>
      <c r="AU123" s="388"/>
      <c r="AV123" s="261"/>
      <c r="AW123" s="42"/>
      <c r="AX123" s="42"/>
      <c r="AY123" s="42"/>
    </row>
    <row r="124" spans="1:51" ht="50.45" customHeight="1">
      <c r="A124" s="400" t="s">
        <v>218</v>
      </c>
      <c r="B124" s="108" t="s">
        <v>549</v>
      </c>
      <c r="C124" s="72" t="s">
        <v>56</v>
      </c>
      <c r="D124" s="72" t="s">
        <v>155</v>
      </c>
      <c r="E124" s="72"/>
      <c r="F124" s="354"/>
      <c r="G124" s="354">
        <v>2845744</v>
      </c>
      <c r="H124" s="82">
        <f>G124*G6</f>
        <v>2000000.266176</v>
      </c>
      <c r="I124" s="79"/>
      <c r="J124" s="79">
        <v>2000000</v>
      </c>
      <c r="K124" s="79">
        <v>2000000</v>
      </c>
      <c r="L124" s="79"/>
      <c r="M124" s="130">
        <f t="shared" si="144"/>
        <v>0</v>
      </c>
      <c r="N124" s="79"/>
      <c r="O124" s="132">
        <f t="shared" si="96"/>
        <v>0</v>
      </c>
      <c r="P124" s="354">
        <v>0</v>
      </c>
      <c r="Q124" s="76">
        <f>P124/J124</f>
        <v>0</v>
      </c>
      <c r="R124" s="79">
        <v>0</v>
      </c>
      <c r="S124" s="76">
        <f>R124/J124</f>
        <v>0</v>
      </c>
      <c r="T124" s="79"/>
      <c r="U124" s="79"/>
      <c r="V124" s="79"/>
      <c r="W124" s="79"/>
      <c r="X124" s="79"/>
      <c r="Y124" s="79"/>
      <c r="Z124" s="115">
        <v>0</v>
      </c>
      <c r="AA124" s="115"/>
      <c r="AB124" s="139"/>
      <c r="AC124" s="116">
        <v>0</v>
      </c>
      <c r="AD124" s="76">
        <f>AC124/J124</f>
        <v>0</v>
      </c>
      <c r="AE124" s="130"/>
      <c r="AF124" s="171">
        <f t="shared" si="133"/>
        <v>2000000</v>
      </c>
      <c r="AG124" s="172">
        <f>AF124/J124</f>
        <v>1</v>
      </c>
      <c r="AH124" s="96"/>
      <c r="AI124" s="354"/>
      <c r="AJ124" s="243" t="s">
        <v>409</v>
      </c>
      <c r="AK124" s="354">
        <v>0</v>
      </c>
      <c r="AL124" s="354">
        <v>0</v>
      </c>
      <c r="AM124" s="130">
        <v>0</v>
      </c>
      <c r="AN124" s="354"/>
      <c r="AO124" s="354">
        <v>0</v>
      </c>
      <c r="AP124" s="96"/>
      <c r="AQ124" s="96"/>
      <c r="AR124" s="130">
        <f t="shared" si="120"/>
        <v>0</v>
      </c>
      <c r="AS124" s="96"/>
      <c r="AT124" s="96"/>
      <c r="AU124" s="388"/>
      <c r="AV124" s="261"/>
      <c r="AW124" s="42"/>
      <c r="AX124" s="42"/>
      <c r="AY124" s="42"/>
    </row>
    <row r="125" spans="1:51" s="52" customFormat="1" ht="33.6" customHeight="1">
      <c r="A125" s="387" t="s">
        <v>65</v>
      </c>
      <c r="B125" s="77" t="s">
        <v>550</v>
      </c>
      <c r="C125" s="78" t="s">
        <v>56</v>
      </c>
      <c r="D125" s="78" t="s">
        <v>155</v>
      </c>
      <c r="E125" s="78"/>
      <c r="F125" s="354">
        <v>14056080</v>
      </c>
      <c r="G125" s="354">
        <v>0</v>
      </c>
      <c r="H125" s="95">
        <f>I126</f>
        <v>0</v>
      </c>
      <c r="I125" s="354"/>
      <c r="J125" s="354">
        <f>J126</f>
        <v>0</v>
      </c>
      <c r="K125" s="354">
        <v>0</v>
      </c>
      <c r="L125" s="354">
        <f t="shared" ref="L125:N125" si="185">L126</f>
        <v>0</v>
      </c>
      <c r="M125" s="130"/>
      <c r="N125" s="354">
        <f t="shared" si="185"/>
        <v>0</v>
      </c>
      <c r="O125" s="132"/>
      <c r="P125" s="81">
        <f t="shared" ref="P125" si="186">P126</f>
        <v>0</v>
      </c>
      <c r="Q125" s="76">
        <v>0</v>
      </c>
      <c r="R125" s="81">
        <f t="shared" ref="R125" si="187">R126</f>
        <v>0</v>
      </c>
      <c r="S125" s="76">
        <v>0</v>
      </c>
      <c r="T125" s="81">
        <f t="shared" ref="T125:X125" si="188">T126</f>
        <v>0</v>
      </c>
      <c r="U125" s="81">
        <f t="shared" si="188"/>
        <v>0</v>
      </c>
      <c r="V125" s="81">
        <f t="shared" si="188"/>
        <v>0</v>
      </c>
      <c r="W125" s="81">
        <f t="shared" si="188"/>
        <v>0</v>
      </c>
      <c r="X125" s="81">
        <f t="shared" si="188"/>
        <v>0</v>
      </c>
      <c r="Y125" s="81">
        <f t="shared" si="177"/>
        <v>0</v>
      </c>
      <c r="Z125" s="116">
        <f t="shared" si="111"/>
        <v>0</v>
      </c>
      <c r="AA125" s="81">
        <f t="shared" ref="AA125" si="189">AA126</f>
        <v>0</v>
      </c>
      <c r="AB125" s="140"/>
      <c r="AC125" s="81">
        <f>AC126</f>
        <v>0</v>
      </c>
      <c r="AD125" s="76">
        <v>0</v>
      </c>
      <c r="AE125" s="130"/>
      <c r="AF125" s="171">
        <f t="shared" si="133"/>
        <v>0</v>
      </c>
      <c r="AG125" s="172">
        <v>0</v>
      </c>
      <c r="AH125" s="96"/>
      <c r="AI125" s="354"/>
      <c r="AJ125" s="243" t="s">
        <v>409</v>
      </c>
      <c r="AK125" s="354">
        <v>0</v>
      </c>
      <c r="AL125" s="354">
        <v>0</v>
      </c>
      <c r="AM125" s="130">
        <v>0</v>
      </c>
      <c r="AN125" s="354"/>
      <c r="AO125" s="354">
        <v>0</v>
      </c>
      <c r="AP125" s="96"/>
      <c r="AQ125" s="96"/>
      <c r="AR125" s="130" t="e">
        <f t="shared" si="120"/>
        <v>#DIV/0!</v>
      </c>
      <c r="AS125" s="96"/>
      <c r="AT125" s="96"/>
      <c r="AU125" s="388"/>
      <c r="AV125" s="261"/>
    </row>
    <row r="126" spans="1:51" ht="50.45" customHeight="1">
      <c r="A126" s="392" t="s">
        <v>142</v>
      </c>
      <c r="B126" s="71" t="s">
        <v>551</v>
      </c>
      <c r="C126" s="72" t="s">
        <v>56</v>
      </c>
      <c r="D126" s="72" t="s">
        <v>155</v>
      </c>
      <c r="E126" s="72"/>
      <c r="F126" s="354">
        <v>14056080</v>
      </c>
      <c r="G126" s="354"/>
      <c r="H126" s="82">
        <v>0</v>
      </c>
      <c r="I126" s="79"/>
      <c r="J126" s="79">
        <v>0</v>
      </c>
      <c r="K126" s="79">
        <v>0</v>
      </c>
      <c r="L126" s="354"/>
      <c r="M126" s="130"/>
      <c r="N126" s="354"/>
      <c r="O126" s="132"/>
      <c r="P126" s="354">
        <v>0</v>
      </c>
      <c r="Q126" s="76">
        <v>0</v>
      </c>
      <c r="R126" s="79">
        <v>0</v>
      </c>
      <c r="S126" s="76">
        <v>0</v>
      </c>
      <c r="T126" s="79">
        <v>0</v>
      </c>
      <c r="U126" s="79">
        <v>0</v>
      </c>
      <c r="V126" s="79">
        <v>0</v>
      </c>
      <c r="W126" s="79">
        <v>0</v>
      </c>
      <c r="X126" s="79">
        <v>0</v>
      </c>
      <c r="Y126" s="79">
        <f t="shared" si="177"/>
        <v>0</v>
      </c>
      <c r="Z126" s="115">
        <f t="shared" si="111"/>
        <v>0</v>
      </c>
      <c r="AA126" s="115"/>
      <c r="AB126" s="139"/>
      <c r="AC126" s="116">
        <f t="shared" ref="AC126:AC127" si="190">SUM(T126:V126)</f>
        <v>0</v>
      </c>
      <c r="AD126" s="76">
        <v>0</v>
      </c>
      <c r="AE126" s="130"/>
      <c r="AF126" s="171">
        <f t="shared" si="133"/>
        <v>0</v>
      </c>
      <c r="AG126" s="172">
        <v>0</v>
      </c>
      <c r="AH126" s="96"/>
      <c r="AI126" s="354"/>
      <c r="AJ126" s="243" t="s">
        <v>409</v>
      </c>
      <c r="AK126" s="354">
        <v>0</v>
      </c>
      <c r="AL126" s="354">
        <v>0</v>
      </c>
      <c r="AM126" s="130">
        <v>0</v>
      </c>
      <c r="AN126" s="354"/>
      <c r="AO126" s="354">
        <v>0</v>
      </c>
      <c r="AP126" s="96"/>
      <c r="AQ126" s="96"/>
      <c r="AR126" s="130" t="e">
        <f t="shared" si="120"/>
        <v>#DIV/0!</v>
      </c>
      <c r="AS126" s="96"/>
      <c r="AT126" s="96"/>
      <c r="AU126" s="388"/>
      <c r="AV126" s="261"/>
      <c r="AW126" s="42"/>
      <c r="AX126" s="42"/>
      <c r="AY126" s="42"/>
    </row>
    <row r="127" spans="1:51" ht="281.25" customHeight="1">
      <c r="A127" s="383" t="s">
        <v>299</v>
      </c>
      <c r="B127" s="350" t="s">
        <v>552</v>
      </c>
      <c r="C127" s="183" t="s">
        <v>56</v>
      </c>
      <c r="D127" s="183" t="s">
        <v>155</v>
      </c>
      <c r="E127" s="183"/>
      <c r="F127" s="187">
        <v>19734736</v>
      </c>
      <c r="G127" s="187">
        <v>100446026</v>
      </c>
      <c r="H127" s="206">
        <f>G127*G6</f>
        <v>70593868.856904</v>
      </c>
      <c r="I127" s="187"/>
      <c r="J127" s="187">
        <v>70593869</v>
      </c>
      <c r="K127" s="187">
        <v>70593869</v>
      </c>
      <c r="L127" s="355">
        <v>138733366.81</v>
      </c>
      <c r="M127" s="184">
        <f t="shared" si="144"/>
        <v>1.9652325162968474</v>
      </c>
      <c r="N127" s="355">
        <v>65711138.880000003</v>
      </c>
      <c r="O127" s="185">
        <f t="shared" si="96"/>
        <v>0.93083351020185623</v>
      </c>
      <c r="P127" s="355">
        <v>49952344.799999997</v>
      </c>
      <c r="Q127" s="186">
        <f>P127/J127</f>
        <v>0.70760174371516593</v>
      </c>
      <c r="R127" s="355">
        <v>49952344.799999997</v>
      </c>
      <c r="S127" s="186">
        <f>R127/J127</f>
        <v>0.70760174371516593</v>
      </c>
      <c r="T127" s="355">
        <v>18127608.350000001</v>
      </c>
      <c r="U127" s="355">
        <v>14687492.300000001</v>
      </c>
      <c r="V127" s="187">
        <v>0</v>
      </c>
      <c r="W127" s="187">
        <v>0</v>
      </c>
      <c r="X127" s="187">
        <v>4566694.37</v>
      </c>
      <c r="Y127" s="187">
        <f t="shared" si="177"/>
        <v>28248406.280000001</v>
      </c>
      <c r="Z127" s="189">
        <f t="shared" si="111"/>
        <v>32815100.650000002</v>
      </c>
      <c r="AA127" s="189">
        <v>20991340.300000001</v>
      </c>
      <c r="AB127" s="201">
        <f>AA127/J127</f>
        <v>0.29735358887894359</v>
      </c>
      <c r="AC127" s="204">
        <f t="shared" si="190"/>
        <v>32815100.650000002</v>
      </c>
      <c r="AD127" s="186">
        <f>AC127/J127</f>
        <v>0.46484349299512118</v>
      </c>
      <c r="AE127" s="184">
        <v>3.3083435634198854E-2</v>
      </c>
      <c r="AF127" s="190">
        <f t="shared" si="133"/>
        <v>20641524.200000003</v>
      </c>
      <c r="AG127" s="191">
        <f>AF127/J127</f>
        <v>0.29239825628483407</v>
      </c>
      <c r="AH127" s="205" t="s">
        <v>321</v>
      </c>
      <c r="AI127" s="205"/>
      <c r="AJ127" s="244" t="s">
        <v>408</v>
      </c>
      <c r="AK127" s="355">
        <f>J127*0.2+6000000</f>
        <v>20118773.800000001</v>
      </c>
      <c r="AL127" s="355">
        <f>K127*0.2+6000000</f>
        <v>20118773.800000001</v>
      </c>
      <c r="AM127" s="212">
        <f>AL127/K127</f>
        <v>0.28499321662055382</v>
      </c>
      <c r="AN127" s="202"/>
      <c r="AO127" s="355">
        <v>14118773.800000001</v>
      </c>
      <c r="AP127" s="355">
        <v>28086882</v>
      </c>
      <c r="AQ127" s="355">
        <v>23056324</v>
      </c>
      <c r="AR127" s="212">
        <f t="shared" si="120"/>
        <v>0.32660519003427901</v>
      </c>
      <c r="AS127" s="349" t="s">
        <v>432</v>
      </c>
      <c r="AT127" s="332" t="s">
        <v>733</v>
      </c>
      <c r="AU127" s="384"/>
      <c r="AV127" s="258"/>
    </row>
    <row r="128" spans="1:51" s="52" customFormat="1" ht="33.6" customHeight="1">
      <c r="A128" s="379" t="s">
        <v>66</v>
      </c>
      <c r="B128" s="66" t="s">
        <v>553</v>
      </c>
      <c r="C128" s="67" t="s">
        <v>56</v>
      </c>
      <c r="D128" s="67" t="s">
        <v>155</v>
      </c>
      <c r="E128" s="67"/>
      <c r="F128" s="353">
        <v>118190549</v>
      </c>
      <c r="G128" s="353">
        <v>184285138</v>
      </c>
      <c r="H128" s="94">
        <f>G128*G6</f>
        <v>129516332.12695199</v>
      </c>
      <c r="I128" s="94"/>
      <c r="J128" s="353">
        <f>J129</f>
        <v>129516331.482272</v>
      </c>
      <c r="K128" s="353">
        <f>K129</f>
        <v>147494366</v>
      </c>
      <c r="L128" s="353">
        <f t="shared" ref="L128:N128" si="191">L129</f>
        <v>129536329.47</v>
      </c>
      <c r="M128" s="129">
        <f t="shared" si="144"/>
        <v>1.0001544051433446</v>
      </c>
      <c r="N128" s="353">
        <f t="shared" si="191"/>
        <v>19998.8</v>
      </c>
      <c r="O128" s="126">
        <f t="shared" si="96"/>
        <v>1.5441141492443682E-4</v>
      </c>
      <c r="P128" s="68">
        <f t="shared" ref="P128" si="192">P129</f>
        <v>129516330.67</v>
      </c>
      <c r="Q128" s="69">
        <f>P128/J128</f>
        <v>0.9999999937284203</v>
      </c>
      <c r="R128" s="68">
        <f t="shared" ref="R128" si="193">R129</f>
        <v>129516330.67</v>
      </c>
      <c r="S128" s="69">
        <f>R128/J128</f>
        <v>0.9999999937284203</v>
      </c>
      <c r="T128" s="68">
        <f t="shared" ref="T128:X128" si="194">T129</f>
        <v>129516330.67</v>
      </c>
      <c r="U128" s="68">
        <f t="shared" si="194"/>
        <v>0</v>
      </c>
      <c r="V128" s="68">
        <f t="shared" si="194"/>
        <v>0</v>
      </c>
      <c r="W128" s="68">
        <f t="shared" si="194"/>
        <v>0</v>
      </c>
      <c r="X128" s="68">
        <f t="shared" si="194"/>
        <v>33477881</v>
      </c>
      <c r="Y128" s="81">
        <f t="shared" si="177"/>
        <v>96038449.670000002</v>
      </c>
      <c r="Z128" s="116">
        <f t="shared" si="111"/>
        <v>129516330.67</v>
      </c>
      <c r="AA128" s="68">
        <f t="shared" ref="AA128" si="195">AA129</f>
        <v>0</v>
      </c>
      <c r="AB128" s="133">
        <f>AA128/J128</f>
        <v>0</v>
      </c>
      <c r="AC128" s="68">
        <f>AC129</f>
        <v>129516330.67</v>
      </c>
      <c r="AD128" s="69">
        <f>AC128/J128</f>
        <v>0.9999999937284203</v>
      </c>
      <c r="AE128" s="138">
        <f>AE129</f>
        <v>0</v>
      </c>
      <c r="AF128" s="58">
        <v>0</v>
      </c>
      <c r="AG128" s="59">
        <f>AF128/J128</f>
        <v>0</v>
      </c>
      <c r="AH128" s="97"/>
      <c r="AI128" s="103"/>
      <c r="AJ128" s="242" t="s">
        <v>409</v>
      </c>
      <c r="AK128" s="353">
        <f>AK129</f>
        <v>0</v>
      </c>
      <c r="AL128" s="353">
        <f>AL129</f>
        <v>0</v>
      </c>
      <c r="AM128" s="130">
        <v>0</v>
      </c>
      <c r="AN128" s="353"/>
      <c r="AO128" s="68">
        <v>0</v>
      </c>
      <c r="AP128" s="353">
        <f>AP129</f>
        <v>0</v>
      </c>
      <c r="AQ128" s="353">
        <f>AQ129</f>
        <v>0</v>
      </c>
      <c r="AR128" s="130">
        <f t="shared" si="120"/>
        <v>0</v>
      </c>
      <c r="AS128" s="97"/>
      <c r="AT128" s="97"/>
      <c r="AU128" s="380"/>
      <c r="AV128" s="25"/>
    </row>
    <row r="129" spans="1:51" s="52" customFormat="1" ht="33.6" customHeight="1">
      <c r="A129" s="379" t="s">
        <v>67</v>
      </c>
      <c r="B129" s="66" t="s">
        <v>554</v>
      </c>
      <c r="C129" s="67" t="s">
        <v>56</v>
      </c>
      <c r="D129" s="67" t="s">
        <v>155</v>
      </c>
      <c r="E129" s="67"/>
      <c r="F129" s="353">
        <f>F130+F131+F134+F135</f>
        <v>118190548.72945599</v>
      </c>
      <c r="G129" s="94">
        <f>G130+G131+G134+G135</f>
        <v>184285138</v>
      </c>
      <c r="H129" s="94">
        <f>H130+H131+H134+H135</f>
        <v>129516332.12695199</v>
      </c>
      <c r="I129" s="94"/>
      <c r="J129" s="353">
        <f>J130+J131+J134+J135</f>
        <v>129516331.482272</v>
      </c>
      <c r="K129" s="353">
        <f>K130+K134+K135</f>
        <v>147494366</v>
      </c>
      <c r="L129" s="353">
        <f t="shared" ref="L129:N129" si="196">L130+L131+L134+L135</f>
        <v>129536329.47</v>
      </c>
      <c r="M129" s="129">
        <f t="shared" si="144"/>
        <v>1.0001544051433446</v>
      </c>
      <c r="N129" s="353">
        <f t="shared" si="196"/>
        <v>19998.8</v>
      </c>
      <c r="O129" s="126">
        <f t="shared" si="96"/>
        <v>1.5441141492443682E-4</v>
      </c>
      <c r="P129" s="68">
        <f t="shared" ref="P129" si="197">P130+P131+P134+P135</f>
        <v>129516330.67</v>
      </c>
      <c r="Q129" s="69">
        <f>P129/J129</f>
        <v>0.9999999937284203</v>
      </c>
      <c r="R129" s="68">
        <f t="shared" ref="R129" si="198">R130+R131+R134+R135</f>
        <v>129516330.67</v>
      </c>
      <c r="S129" s="69">
        <f>R129/J129</f>
        <v>0.9999999937284203</v>
      </c>
      <c r="T129" s="68">
        <f t="shared" ref="T129:X129" si="199">T130+T131+T134+T135</f>
        <v>129516330.67</v>
      </c>
      <c r="U129" s="68">
        <f t="shared" si="199"/>
        <v>0</v>
      </c>
      <c r="V129" s="68">
        <f t="shared" si="199"/>
        <v>0</v>
      </c>
      <c r="W129" s="68">
        <f t="shared" si="199"/>
        <v>0</v>
      </c>
      <c r="X129" s="68">
        <f t="shared" si="199"/>
        <v>33477881</v>
      </c>
      <c r="Y129" s="81">
        <f t="shared" si="177"/>
        <v>96038449.670000002</v>
      </c>
      <c r="Z129" s="116">
        <f t="shared" si="111"/>
        <v>129516330.67</v>
      </c>
      <c r="AA129" s="68">
        <f t="shared" ref="AA129" si="200">AA130+AA131+AA134+AA135</f>
        <v>0</v>
      </c>
      <c r="AB129" s="133">
        <f>AA129/J129</f>
        <v>0</v>
      </c>
      <c r="AC129" s="68">
        <f>AC130+AC131+AC134+AC135</f>
        <v>129516330.67</v>
      </c>
      <c r="AD129" s="69">
        <f>AC129/J129</f>
        <v>0.9999999937284203</v>
      </c>
      <c r="AE129" s="138">
        <f>AE130+AE131+AE134+AE135</f>
        <v>0</v>
      </c>
      <c r="AF129" s="58">
        <v>0</v>
      </c>
      <c r="AG129" s="59">
        <f>AF129/J129</f>
        <v>0</v>
      </c>
      <c r="AH129" s="97"/>
      <c r="AI129" s="103"/>
      <c r="AJ129" s="242" t="s">
        <v>409</v>
      </c>
      <c r="AK129" s="353">
        <f>AK130+AK134+AK135</f>
        <v>0</v>
      </c>
      <c r="AL129" s="353">
        <f>AL130+AL134+AL135</f>
        <v>0</v>
      </c>
      <c r="AM129" s="130">
        <v>0</v>
      </c>
      <c r="AN129" s="353"/>
      <c r="AO129" s="68">
        <v>0</v>
      </c>
      <c r="AP129" s="353">
        <f>AP130+AP134+AP135</f>
        <v>0</v>
      </c>
      <c r="AQ129" s="353">
        <f>AQ130+AQ134+AQ135</f>
        <v>0</v>
      </c>
      <c r="AR129" s="130">
        <f t="shared" si="120"/>
        <v>0</v>
      </c>
      <c r="AS129" s="97"/>
      <c r="AT129" s="97"/>
      <c r="AU129" s="380"/>
      <c r="AV129" s="25"/>
    </row>
    <row r="130" spans="1:51" ht="124.9" customHeight="1">
      <c r="A130" s="381" t="s">
        <v>68</v>
      </c>
      <c r="B130" s="71" t="s">
        <v>555</v>
      </c>
      <c r="C130" s="72" t="s">
        <v>56</v>
      </c>
      <c r="D130" s="72" t="s">
        <v>155</v>
      </c>
      <c r="E130" s="72"/>
      <c r="F130" s="79">
        <v>57875909.399999999</v>
      </c>
      <c r="G130" s="79">
        <v>83280404</v>
      </c>
      <c r="H130" s="82">
        <f>G130*G6</f>
        <v>58529801.052815996</v>
      </c>
      <c r="I130" s="82"/>
      <c r="J130" s="79">
        <v>58529801.052815996</v>
      </c>
      <c r="K130" s="79">
        <v>64306566</v>
      </c>
      <c r="L130" s="79">
        <v>58529800.700000003</v>
      </c>
      <c r="M130" s="130">
        <f t="shared" si="144"/>
        <v>0.9999999939720281</v>
      </c>
      <c r="N130" s="79"/>
      <c r="O130" s="126"/>
      <c r="P130" s="354">
        <v>58529800.700000003</v>
      </c>
      <c r="Q130" s="76">
        <f>P130/J130</f>
        <v>0.9999999939720281</v>
      </c>
      <c r="R130" s="79">
        <v>58529800.700000003</v>
      </c>
      <c r="S130" s="76">
        <f>R130/J130</f>
        <v>0.9999999939720281</v>
      </c>
      <c r="T130" s="79">
        <v>58529800.700000003</v>
      </c>
      <c r="U130" s="79">
        <v>0</v>
      </c>
      <c r="V130" s="79">
        <v>0</v>
      </c>
      <c r="W130" s="79">
        <v>0</v>
      </c>
      <c r="X130" s="79">
        <v>0</v>
      </c>
      <c r="Y130" s="81">
        <f t="shared" si="177"/>
        <v>58529800.700000003</v>
      </c>
      <c r="Z130" s="116">
        <f t="shared" si="111"/>
        <v>58529800.700000003</v>
      </c>
      <c r="AA130" s="116"/>
      <c r="AB130" s="140"/>
      <c r="AC130" s="116">
        <f>T130+U130+V130</f>
        <v>58529800.700000003</v>
      </c>
      <c r="AD130" s="76">
        <v>1</v>
      </c>
      <c r="AE130" s="130">
        <v>0</v>
      </c>
      <c r="AF130" s="171">
        <f t="shared" ref="AF130:AF144" si="201">J130-R130</f>
        <v>0.35281599313020706</v>
      </c>
      <c r="AG130" s="172">
        <f>AF130/J130</f>
        <v>6.0279718499612486E-9</v>
      </c>
      <c r="AH130" s="144" t="s">
        <v>322</v>
      </c>
      <c r="AI130" s="144"/>
      <c r="AJ130" s="243" t="s">
        <v>409</v>
      </c>
      <c r="AK130" s="354">
        <v>0</v>
      </c>
      <c r="AL130" s="354">
        <v>0</v>
      </c>
      <c r="AM130" s="130">
        <v>0</v>
      </c>
      <c r="AN130" s="354"/>
      <c r="AO130" s="354">
        <v>0</v>
      </c>
      <c r="AP130" s="96"/>
      <c r="AQ130" s="96"/>
      <c r="AR130" s="130">
        <f t="shared" si="120"/>
        <v>0</v>
      </c>
      <c r="AS130" s="96"/>
      <c r="AT130" s="96"/>
      <c r="AU130" s="388"/>
      <c r="AV130" s="261"/>
      <c r="AW130" s="42"/>
      <c r="AX130" s="42"/>
      <c r="AY130" s="42"/>
    </row>
    <row r="131" spans="1:51" s="52" customFormat="1" ht="33.6" customHeight="1">
      <c r="A131" s="387" t="s">
        <v>69</v>
      </c>
      <c r="B131" s="77" t="s">
        <v>556</v>
      </c>
      <c r="C131" s="78" t="s">
        <v>56</v>
      </c>
      <c r="D131" s="78" t="s">
        <v>155</v>
      </c>
      <c r="E131" s="78"/>
      <c r="F131" s="354">
        <f>SUM(F132,F133)</f>
        <v>0</v>
      </c>
      <c r="G131" s="354"/>
      <c r="H131" s="95">
        <f>SUM(H132,H133)</f>
        <v>0</v>
      </c>
      <c r="I131" s="95"/>
      <c r="J131" s="354">
        <f>SUM(J132,J133)</f>
        <v>0</v>
      </c>
      <c r="K131" s="354">
        <f>SUM(K132,K133)</f>
        <v>0</v>
      </c>
      <c r="L131" s="354">
        <f t="shared" ref="L131:N131" si="202">SUM(L132,L133)</f>
        <v>19998.8</v>
      </c>
      <c r="M131" s="130" t="e">
        <f t="shared" si="144"/>
        <v>#DIV/0!</v>
      </c>
      <c r="N131" s="354">
        <f t="shared" si="202"/>
        <v>19998.8</v>
      </c>
      <c r="O131" s="126"/>
      <c r="P131" s="81">
        <f t="shared" ref="P131" si="203">SUM(P132,P133)</f>
        <v>0</v>
      </c>
      <c r="Q131" s="76">
        <v>0</v>
      </c>
      <c r="R131" s="81">
        <f t="shared" ref="R131" si="204">SUM(R132,R133)</f>
        <v>0</v>
      </c>
      <c r="S131" s="76">
        <v>0</v>
      </c>
      <c r="T131" s="81">
        <f t="shared" ref="T131:X131" si="205">SUM(T132,T133)</f>
        <v>0</v>
      </c>
      <c r="U131" s="81">
        <f t="shared" si="205"/>
        <v>0</v>
      </c>
      <c r="V131" s="81">
        <f t="shared" si="205"/>
        <v>0</v>
      </c>
      <c r="W131" s="81">
        <f t="shared" si="205"/>
        <v>0</v>
      </c>
      <c r="X131" s="81">
        <f t="shared" si="205"/>
        <v>0</v>
      </c>
      <c r="Y131" s="81">
        <f t="shared" si="177"/>
        <v>0</v>
      </c>
      <c r="Z131" s="116">
        <f t="shared" si="111"/>
        <v>0</v>
      </c>
      <c r="AA131" s="116"/>
      <c r="AB131" s="140"/>
      <c r="AC131" s="81">
        <f>SUM(AC132,AC133)</f>
        <v>0</v>
      </c>
      <c r="AD131" s="76">
        <v>0</v>
      </c>
      <c r="AE131" s="130">
        <v>0</v>
      </c>
      <c r="AF131" s="171">
        <f t="shared" si="201"/>
        <v>0</v>
      </c>
      <c r="AG131" s="172">
        <v>0</v>
      </c>
      <c r="AH131" s="96" t="s">
        <v>425</v>
      </c>
      <c r="AI131" s="354"/>
      <c r="AJ131" s="243" t="s">
        <v>409</v>
      </c>
      <c r="AK131" s="354">
        <v>0</v>
      </c>
      <c r="AL131" s="354">
        <v>0</v>
      </c>
      <c r="AM131" s="130">
        <v>0</v>
      </c>
      <c r="AN131" s="354"/>
      <c r="AO131" s="354">
        <v>0</v>
      </c>
      <c r="AP131" s="96"/>
      <c r="AQ131" s="96"/>
      <c r="AR131" s="130" t="e">
        <f t="shared" si="120"/>
        <v>#DIV/0!</v>
      </c>
      <c r="AS131" s="96"/>
      <c r="AT131" s="96"/>
      <c r="AU131" s="388"/>
      <c r="AV131" s="261"/>
    </row>
    <row r="132" spans="1:51" ht="33.6" customHeight="1">
      <c r="A132" s="381" t="s">
        <v>70</v>
      </c>
      <c r="B132" s="71" t="s">
        <v>557</v>
      </c>
      <c r="C132" s="72" t="s">
        <v>56</v>
      </c>
      <c r="D132" s="72" t="s">
        <v>155</v>
      </c>
      <c r="E132" s="72"/>
      <c r="F132" s="79">
        <v>0</v>
      </c>
      <c r="G132" s="79"/>
      <c r="H132" s="82">
        <v>0</v>
      </c>
      <c r="I132" s="82"/>
      <c r="J132" s="79">
        <v>0</v>
      </c>
      <c r="K132" s="79">
        <v>0</v>
      </c>
      <c r="L132" s="79"/>
      <c r="M132" s="130" t="e">
        <f t="shared" si="144"/>
        <v>#DIV/0!</v>
      </c>
      <c r="N132" s="79"/>
      <c r="O132" s="126"/>
      <c r="P132" s="354">
        <v>0</v>
      </c>
      <c r="Q132" s="76">
        <v>0</v>
      </c>
      <c r="R132" s="79">
        <v>0</v>
      </c>
      <c r="S132" s="76">
        <v>0</v>
      </c>
      <c r="T132" s="79">
        <v>0</v>
      </c>
      <c r="U132" s="79">
        <v>0</v>
      </c>
      <c r="V132" s="79">
        <v>0</v>
      </c>
      <c r="W132" s="79">
        <v>0</v>
      </c>
      <c r="X132" s="79">
        <v>0</v>
      </c>
      <c r="Y132" s="79">
        <f t="shared" si="177"/>
        <v>0</v>
      </c>
      <c r="Z132" s="115">
        <f t="shared" si="111"/>
        <v>0</v>
      </c>
      <c r="AA132" s="115"/>
      <c r="AB132" s="139"/>
      <c r="AC132" s="116">
        <f t="shared" ref="AC132:AC134" si="206">SUM(T132:V132)</f>
        <v>0</v>
      </c>
      <c r="AD132" s="76">
        <v>0</v>
      </c>
      <c r="AE132" s="130">
        <v>0</v>
      </c>
      <c r="AF132" s="171">
        <f t="shared" si="201"/>
        <v>0</v>
      </c>
      <c r="AG132" s="172">
        <v>0</v>
      </c>
      <c r="AH132" s="96" t="s">
        <v>425</v>
      </c>
      <c r="AI132" s="354"/>
      <c r="AJ132" s="243" t="s">
        <v>409</v>
      </c>
      <c r="AK132" s="354">
        <v>0</v>
      </c>
      <c r="AL132" s="354">
        <v>0</v>
      </c>
      <c r="AM132" s="130">
        <v>0</v>
      </c>
      <c r="AN132" s="354"/>
      <c r="AO132" s="354">
        <v>0</v>
      </c>
      <c r="AP132" s="96"/>
      <c r="AQ132" s="96"/>
      <c r="AR132" s="130" t="e">
        <f t="shared" si="120"/>
        <v>#DIV/0!</v>
      </c>
      <c r="AS132" s="96"/>
      <c r="AT132" s="96"/>
      <c r="AU132" s="388"/>
      <c r="AV132" s="261"/>
      <c r="AW132" s="42"/>
      <c r="AX132" s="42"/>
      <c r="AY132" s="42"/>
    </row>
    <row r="133" spans="1:51" ht="33.6" customHeight="1">
      <c r="A133" s="381" t="s">
        <v>71</v>
      </c>
      <c r="B133" s="71" t="s">
        <v>558</v>
      </c>
      <c r="C133" s="72" t="s">
        <v>56</v>
      </c>
      <c r="D133" s="72" t="s">
        <v>155</v>
      </c>
      <c r="E133" s="72"/>
      <c r="F133" s="79">
        <v>0</v>
      </c>
      <c r="G133" s="79"/>
      <c r="H133" s="82">
        <v>0</v>
      </c>
      <c r="I133" s="82"/>
      <c r="J133" s="79">
        <v>0</v>
      </c>
      <c r="K133" s="79">
        <v>0</v>
      </c>
      <c r="L133" s="79">
        <v>19998.8</v>
      </c>
      <c r="M133" s="130" t="e">
        <f t="shared" si="144"/>
        <v>#DIV/0!</v>
      </c>
      <c r="N133" s="79">
        <v>19998.8</v>
      </c>
      <c r="O133" s="126"/>
      <c r="P133" s="354">
        <v>0</v>
      </c>
      <c r="Q133" s="76">
        <v>0</v>
      </c>
      <c r="R133" s="79">
        <v>0</v>
      </c>
      <c r="S133" s="76">
        <v>0</v>
      </c>
      <c r="T133" s="79">
        <v>0</v>
      </c>
      <c r="U133" s="79">
        <v>0</v>
      </c>
      <c r="V133" s="79">
        <v>0</v>
      </c>
      <c r="W133" s="79">
        <v>0</v>
      </c>
      <c r="X133" s="79">
        <v>0</v>
      </c>
      <c r="Y133" s="79">
        <f t="shared" si="177"/>
        <v>0</v>
      </c>
      <c r="Z133" s="115">
        <f t="shared" si="111"/>
        <v>0</v>
      </c>
      <c r="AA133" s="115"/>
      <c r="AB133" s="139"/>
      <c r="AC133" s="116">
        <f t="shared" si="206"/>
        <v>0</v>
      </c>
      <c r="AD133" s="76">
        <v>0</v>
      </c>
      <c r="AE133" s="130">
        <v>0</v>
      </c>
      <c r="AF133" s="171">
        <f t="shared" si="201"/>
        <v>0</v>
      </c>
      <c r="AG133" s="172">
        <v>0</v>
      </c>
      <c r="AH133" s="96" t="s">
        <v>425</v>
      </c>
      <c r="AI133" s="354"/>
      <c r="AJ133" s="243" t="s">
        <v>409</v>
      </c>
      <c r="AK133" s="354">
        <v>0</v>
      </c>
      <c r="AL133" s="354">
        <v>0</v>
      </c>
      <c r="AM133" s="130">
        <v>0</v>
      </c>
      <c r="AN133" s="354"/>
      <c r="AO133" s="354">
        <v>0</v>
      </c>
      <c r="AP133" s="96"/>
      <c r="AQ133" s="96"/>
      <c r="AR133" s="130" t="e">
        <f t="shared" si="120"/>
        <v>#DIV/0!</v>
      </c>
      <c r="AS133" s="96"/>
      <c r="AT133" s="96"/>
      <c r="AU133" s="388"/>
      <c r="AV133" s="261"/>
      <c r="AW133" s="42"/>
      <c r="AX133" s="42"/>
      <c r="AY133" s="42"/>
    </row>
    <row r="134" spans="1:51" ht="62.45" customHeight="1">
      <c r="A134" s="381" t="s">
        <v>253</v>
      </c>
      <c r="B134" s="71" t="s">
        <v>559</v>
      </c>
      <c r="C134" s="72" t="s">
        <v>56</v>
      </c>
      <c r="D134" s="72" t="s">
        <v>155</v>
      </c>
      <c r="E134" s="72"/>
      <c r="F134" s="79">
        <v>19999999.899999999</v>
      </c>
      <c r="G134" s="79">
        <v>28457436</v>
      </c>
      <c r="H134" s="105">
        <f>G134*G6</f>
        <v>19999999.850543998</v>
      </c>
      <c r="I134" s="82"/>
      <c r="J134" s="79">
        <v>20000000</v>
      </c>
      <c r="K134" s="79">
        <v>20000000</v>
      </c>
      <c r="L134" s="79">
        <v>20000000</v>
      </c>
      <c r="M134" s="130">
        <f t="shared" si="144"/>
        <v>1</v>
      </c>
      <c r="N134" s="79"/>
      <c r="O134" s="132">
        <f t="shared" si="96"/>
        <v>0</v>
      </c>
      <c r="P134" s="79">
        <v>20000000</v>
      </c>
      <c r="Q134" s="76">
        <f t="shared" ref="Q134:Q146" si="207">P134/J134</f>
        <v>1</v>
      </c>
      <c r="R134" s="79">
        <v>20000000</v>
      </c>
      <c r="S134" s="76">
        <f t="shared" ref="S134:S146" si="208">R134/J134</f>
        <v>1</v>
      </c>
      <c r="T134" s="79">
        <v>20000000</v>
      </c>
      <c r="U134" s="79">
        <v>0</v>
      </c>
      <c r="V134" s="79">
        <v>0</v>
      </c>
      <c r="W134" s="79">
        <v>0</v>
      </c>
      <c r="X134" s="79">
        <v>33477881</v>
      </c>
      <c r="Y134" s="79">
        <f t="shared" si="177"/>
        <v>-13477881</v>
      </c>
      <c r="Z134" s="115">
        <f t="shared" si="111"/>
        <v>20000000</v>
      </c>
      <c r="AA134" s="115"/>
      <c r="AB134" s="139"/>
      <c r="AC134" s="116">
        <f t="shared" si="206"/>
        <v>20000000</v>
      </c>
      <c r="AD134" s="76">
        <f t="shared" ref="AD134:AD141" si="209">AC134/J134</f>
        <v>1</v>
      </c>
      <c r="AE134" s="130">
        <v>0</v>
      </c>
      <c r="AF134" s="171">
        <f t="shared" si="201"/>
        <v>0</v>
      </c>
      <c r="AG134" s="172">
        <f t="shared" ref="AG134:AG160" si="210">AF134/J134</f>
        <v>0</v>
      </c>
      <c r="AH134" s="144" t="s">
        <v>323</v>
      </c>
      <c r="AI134" s="144"/>
      <c r="AJ134" s="243" t="s">
        <v>409</v>
      </c>
      <c r="AK134" s="354">
        <v>0</v>
      </c>
      <c r="AL134" s="354">
        <v>0</v>
      </c>
      <c r="AM134" s="130">
        <v>0</v>
      </c>
      <c r="AN134" s="354"/>
      <c r="AO134" s="354">
        <v>0</v>
      </c>
      <c r="AP134" s="96"/>
      <c r="AQ134" s="96"/>
      <c r="AR134" s="130">
        <f t="shared" si="120"/>
        <v>0</v>
      </c>
      <c r="AS134" s="96"/>
      <c r="AT134" s="96"/>
      <c r="AU134" s="388"/>
      <c r="AV134" s="261"/>
      <c r="AW134" s="42"/>
      <c r="AX134" s="42"/>
      <c r="AY134" s="42"/>
    </row>
    <row r="135" spans="1:51" ht="50.45" customHeight="1">
      <c r="A135" s="381" t="s">
        <v>224</v>
      </c>
      <c r="B135" s="71" t="s">
        <v>560</v>
      </c>
      <c r="C135" s="72" t="s">
        <v>56</v>
      </c>
      <c r="D135" s="72" t="s">
        <v>155</v>
      </c>
      <c r="E135" s="72"/>
      <c r="F135" s="79">
        <v>40314639.429455996</v>
      </c>
      <c r="G135" s="79">
        <v>72547298</v>
      </c>
      <c r="H135" s="105">
        <f>H136+H137</f>
        <v>50986531.223591998</v>
      </c>
      <c r="I135" s="79"/>
      <c r="J135" s="79">
        <f>J136+J137</f>
        <v>50986530.429455996</v>
      </c>
      <c r="K135" s="79">
        <f>K136+K137</f>
        <v>63187800</v>
      </c>
      <c r="L135" s="79">
        <f t="shared" ref="L135:N135" si="211">L136+L137</f>
        <v>50986529.969999999</v>
      </c>
      <c r="M135" s="130">
        <f t="shared" si="144"/>
        <v>0.99999999098867887</v>
      </c>
      <c r="N135" s="79">
        <f t="shared" si="211"/>
        <v>0</v>
      </c>
      <c r="O135" s="132">
        <f t="shared" si="96"/>
        <v>0</v>
      </c>
      <c r="P135" s="79">
        <f t="shared" ref="P135" si="212">P136+P137</f>
        <v>50986529.969999999</v>
      </c>
      <c r="Q135" s="76">
        <f t="shared" si="207"/>
        <v>0.99999999098867887</v>
      </c>
      <c r="R135" s="79">
        <f t="shared" ref="R135" si="213">R136+R137</f>
        <v>50986529.969999999</v>
      </c>
      <c r="S135" s="76">
        <f t="shared" si="208"/>
        <v>0.99999999098867887</v>
      </c>
      <c r="T135" s="79">
        <f t="shared" ref="T135:X135" si="214">T136+T137</f>
        <v>50986529.969999999</v>
      </c>
      <c r="U135" s="79">
        <f t="shared" si="214"/>
        <v>0</v>
      </c>
      <c r="V135" s="79">
        <f t="shared" si="214"/>
        <v>0</v>
      </c>
      <c r="W135" s="79">
        <f t="shared" si="214"/>
        <v>0</v>
      </c>
      <c r="X135" s="79">
        <f t="shared" si="214"/>
        <v>0</v>
      </c>
      <c r="Y135" s="81">
        <f>AC135-X135</f>
        <v>50986529.969999999</v>
      </c>
      <c r="Z135" s="115">
        <f>Z136+Z137</f>
        <v>50986529.969999999</v>
      </c>
      <c r="AA135" s="79">
        <f t="shared" ref="AA135" si="215">AA136+AA137</f>
        <v>0</v>
      </c>
      <c r="AB135" s="139"/>
      <c r="AC135" s="79">
        <f>AC136+AC137</f>
        <v>50986529.969999999</v>
      </c>
      <c r="AD135" s="76">
        <f t="shared" si="209"/>
        <v>0.99999999098867887</v>
      </c>
      <c r="AE135" s="130">
        <v>0</v>
      </c>
      <c r="AF135" s="171">
        <f t="shared" si="201"/>
        <v>0.45945599675178528</v>
      </c>
      <c r="AG135" s="172">
        <f t="shared" si="210"/>
        <v>9.0113210858204983E-9</v>
      </c>
      <c r="AH135" s="96"/>
      <c r="AI135" s="354"/>
      <c r="AJ135" s="243" t="s">
        <v>409</v>
      </c>
      <c r="AK135" s="354">
        <v>0</v>
      </c>
      <c r="AL135" s="354">
        <v>0</v>
      </c>
      <c r="AM135" s="130">
        <v>0</v>
      </c>
      <c r="AN135" s="354"/>
      <c r="AO135" s="354">
        <v>0</v>
      </c>
      <c r="AP135" s="96"/>
      <c r="AQ135" s="96"/>
      <c r="AR135" s="130">
        <f t="shared" si="120"/>
        <v>0</v>
      </c>
      <c r="AS135" s="96"/>
      <c r="AT135" s="96"/>
      <c r="AU135" s="388"/>
      <c r="AV135" s="261"/>
      <c r="AW135" s="42"/>
      <c r="AX135" s="42"/>
      <c r="AY135" s="42"/>
    </row>
    <row r="136" spans="1:51" ht="50.45" customHeight="1">
      <c r="A136" s="381" t="s">
        <v>199</v>
      </c>
      <c r="B136" s="71" t="s">
        <v>561</v>
      </c>
      <c r="C136" s="72" t="s">
        <v>56</v>
      </c>
      <c r="D136" s="72" t="s">
        <v>155</v>
      </c>
      <c r="E136" s="72"/>
      <c r="F136" s="79"/>
      <c r="G136" s="79">
        <v>57362564</v>
      </c>
      <c r="H136" s="105">
        <f>G136*G6</f>
        <v>40314639.429455996</v>
      </c>
      <c r="I136" s="79"/>
      <c r="J136" s="79">
        <v>40314639.429455996</v>
      </c>
      <c r="K136" s="79">
        <v>45449242</v>
      </c>
      <c r="L136" s="79">
        <v>40314638.969999999</v>
      </c>
      <c r="M136" s="130">
        <f t="shared" si="144"/>
        <v>0.99999998860324679</v>
      </c>
      <c r="N136" s="79"/>
      <c r="O136" s="132">
        <f t="shared" ref="O136:O200" si="216">N136/J136</f>
        <v>0</v>
      </c>
      <c r="P136" s="354">
        <v>40314638.969999999</v>
      </c>
      <c r="Q136" s="76">
        <f t="shared" si="207"/>
        <v>0.99999998860324679</v>
      </c>
      <c r="R136" s="79">
        <v>40314638.969999999</v>
      </c>
      <c r="S136" s="76">
        <f t="shared" si="208"/>
        <v>0.99999998860324679</v>
      </c>
      <c r="T136" s="79">
        <v>40314638.969999999</v>
      </c>
      <c r="U136" s="79">
        <v>0</v>
      </c>
      <c r="V136" s="79">
        <v>0</v>
      </c>
      <c r="W136" s="79">
        <v>0</v>
      </c>
      <c r="X136" s="79">
        <v>0</v>
      </c>
      <c r="Y136" s="79">
        <f>AC136-X136</f>
        <v>40314638.969999999</v>
      </c>
      <c r="Z136" s="115">
        <f>T136+U136+W136</f>
        <v>40314638.969999999</v>
      </c>
      <c r="AA136" s="115"/>
      <c r="AB136" s="139"/>
      <c r="AC136" s="116">
        <f>SUM(T136:V136)</f>
        <v>40314638.969999999</v>
      </c>
      <c r="AD136" s="76">
        <f t="shared" si="209"/>
        <v>0.99999998860324679</v>
      </c>
      <c r="AE136" s="130">
        <v>0</v>
      </c>
      <c r="AF136" s="171">
        <f t="shared" si="201"/>
        <v>0.45945599675178528</v>
      </c>
      <c r="AG136" s="172">
        <f t="shared" si="210"/>
        <v>1.1396753220520746E-8</v>
      </c>
      <c r="AH136" s="144" t="s">
        <v>324</v>
      </c>
      <c r="AI136" s="144"/>
      <c r="AJ136" s="243" t="s">
        <v>409</v>
      </c>
      <c r="AK136" s="354">
        <v>0</v>
      </c>
      <c r="AL136" s="354">
        <v>0</v>
      </c>
      <c r="AM136" s="130">
        <v>0</v>
      </c>
      <c r="AN136" s="354"/>
      <c r="AO136" s="354">
        <v>0</v>
      </c>
      <c r="AP136" s="96"/>
      <c r="AQ136" s="96"/>
      <c r="AR136" s="130">
        <f t="shared" si="120"/>
        <v>0</v>
      </c>
      <c r="AS136" s="96"/>
      <c r="AT136" s="96"/>
      <c r="AU136" s="388"/>
      <c r="AV136" s="261"/>
      <c r="AW136" s="42"/>
      <c r="AX136" s="42"/>
      <c r="AY136" s="42"/>
    </row>
    <row r="137" spans="1:51" ht="69" customHeight="1">
      <c r="A137" s="381" t="s">
        <v>200</v>
      </c>
      <c r="B137" s="71" t="s">
        <v>562</v>
      </c>
      <c r="C137" s="72" t="s">
        <v>56</v>
      </c>
      <c r="D137" s="72" t="s">
        <v>155</v>
      </c>
      <c r="E137" s="72"/>
      <c r="F137" s="79"/>
      <c r="G137" s="79">
        <v>15184734</v>
      </c>
      <c r="H137" s="105">
        <f>G137*G6</f>
        <v>10671891.794135999</v>
      </c>
      <c r="I137" s="79"/>
      <c r="J137" s="79">
        <v>10671891</v>
      </c>
      <c r="K137" s="79">
        <v>17738558</v>
      </c>
      <c r="L137" s="79">
        <v>10671891</v>
      </c>
      <c r="M137" s="130">
        <f t="shared" si="144"/>
        <v>1</v>
      </c>
      <c r="N137" s="79"/>
      <c r="O137" s="132">
        <f t="shared" si="216"/>
        <v>0</v>
      </c>
      <c r="P137" s="354">
        <v>10671891</v>
      </c>
      <c r="Q137" s="76">
        <f t="shared" si="207"/>
        <v>1</v>
      </c>
      <c r="R137" s="354">
        <v>10671891</v>
      </c>
      <c r="S137" s="76">
        <f t="shared" si="208"/>
        <v>1</v>
      </c>
      <c r="T137" s="354">
        <v>10671891</v>
      </c>
      <c r="U137" s="79">
        <v>0</v>
      </c>
      <c r="V137" s="79">
        <v>0</v>
      </c>
      <c r="W137" s="79">
        <v>0</v>
      </c>
      <c r="X137" s="79">
        <v>0</v>
      </c>
      <c r="Y137" s="79">
        <f t="shared" si="177"/>
        <v>10671891</v>
      </c>
      <c r="Z137" s="115">
        <f>T137+U137+W137</f>
        <v>10671891</v>
      </c>
      <c r="AA137" s="115"/>
      <c r="AB137" s="139"/>
      <c r="AC137" s="116">
        <f>SUM(T137:V137)</f>
        <v>10671891</v>
      </c>
      <c r="AD137" s="76">
        <f t="shared" si="209"/>
        <v>1</v>
      </c>
      <c r="AE137" s="130">
        <v>0</v>
      </c>
      <c r="AF137" s="171">
        <f t="shared" si="201"/>
        <v>0</v>
      </c>
      <c r="AG137" s="172">
        <f t="shared" si="210"/>
        <v>0</v>
      </c>
      <c r="AH137" s="144" t="s">
        <v>325</v>
      </c>
      <c r="AI137" s="144"/>
      <c r="AJ137" s="243" t="s">
        <v>409</v>
      </c>
      <c r="AK137" s="354">
        <v>0</v>
      </c>
      <c r="AL137" s="354">
        <v>0</v>
      </c>
      <c r="AM137" s="130">
        <v>0</v>
      </c>
      <c r="AN137" s="354"/>
      <c r="AO137" s="354">
        <v>0</v>
      </c>
      <c r="AP137" s="96"/>
      <c r="AQ137" s="96"/>
      <c r="AR137" s="130">
        <f t="shared" si="120"/>
        <v>0</v>
      </c>
      <c r="AS137" s="96"/>
      <c r="AT137" s="96"/>
      <c r="AU137" s="388"/>
      <c r="AV137" s="261"/>
      <c r="AW137" s="42"/>
      <c r="AX137" s="42"/>
      <c r="AY137" s="42"/>
    </row>
    <row r="138" spans="1:51" s="52" customFormat="1" ht="50.45" customHeight="1">
      <c r="A138" s="379" t="s">
        <v>72</v>
      </c>
      <c r="B138" s="66" t="s">
        <v>563</v>
      </c>
      <c r="C138" s="67" t="s">
        <v>56</v>
      </c>
      <c r="D138" s="67" t="s">
        <v>155</v>
      </c>
      <c r="E138" s="67"/>
      <c r="F138" s="353">
        <f>F139+F144</f>
        <v>54101851.919999994</v>
      </c>
      <c r="G138" s="353">
        <v>76980000</v>
      </c>
      <c r="H138" s="94">
        <f>H139+H144</f>
        <v>54101852.223663993</v>
      </c>
      <c r="I138" s="353"/>
      <c r="J138" s="353">
        <f>J139+J144</f>
        <v>54101852.607243992</v>
      </c>
      <c r="K138" s="353">
        <f>K139+K144</f>
        <v>59433653</v>
      </c>
      <c r="L138" s="353">
        <f t="shared" ref="L138:N138" si="217">L139+L144</f>
        <v>85143529.239999995</v>
      </c>
      <c r="M138" s="129">
        <f t="shared" si="144"/>
        <v>1.5737636538642239</v>
      </c>
      <c r="N138" s="353">
        <f t="shared" si="217"/>
        <v>36525519.850000001</v>
      </c>
      <c r="O138" s="126">
        <f t="shared" si="216"/>
        <v>0.67512512214987253</v>
      </c>
      <c r="P138" s="68">
        <f t="shared" ref="P138" si="218">P139+P144</f>
        <v>36031830.289999999</v>
      </c>
      <c r="Q138" s="69">
        <f t="shared" si="207"/>
        <v>0.66599993444911165</v>
      </c>
      <c r="R138" s="68">
        <f t="shared" ref="R138" si="219">R139+R144</f>
        <v>35136199.480000004</v>
      </c>
      <c r="S138" s="69">
        <f t="shared" si="208"/>
        <v>0.64944540319300315</v>
      </c>
      <c r="T138" s="68">
        <f t="shared" ref="T138:X138" si="220">T139+T144</f>
        <v>13133640.07</v>
      </c>
      <c r="U138" s="68">
        <f t="shared" si="220"/>
        <v>247647.46</v>
      </c>
      <c r="V138" s="68">
        <f t="shared" si="220"/>
        <v>0</v>
      </c>
      <c r="W138" s="68">
        <f t="shared" si="220"/>
        <v>0</v>
      </c>
      <c r="X138" s="68">
        <f t="shared" si="220"/>
        <v>51765.81</v>
      </c>
      <c r="Y138" s="81">
        <f t="shared" si="177"/>
        <v>13329521.719999999</v>
      </c>
      <c r="Z138" s="68">
        <f t="shared" si="111"/>
        <v>13381287.530000001</v>
      </c>
      <c r="AA138" s="68">
        <f t="shared" ref="AA138" si="221">AA139+AA144</f>
        <v>13018871.149999999</v>
      </c>
      <c r="AB138" s="133">
        <f>AA138/J138</f>
        <v>0.24063632801100845</v>
      </c>
      <c r="AC138" s="68">
        <f>AC139+AC144</f>
        <v>13381287.529999999</v>
      </c>
      <c r="AD138" s="69">
        <f t="shared" si="209"/>
        <v>0.24733510748961499</v>
      </c>
      <c r="AE138" s="138">
        <v>2.2053666982654211E-2</v>
      </c>
      <c r="AF138" s="58">
        <f t="shared" si="201"/>
        <v>18965653.127243988</v>
      </c>
      <c r="AG138" s="59">
        <f t="shared" si="210"/>
        <v>0.35055459680699685</v>
      </c>
      <c r="AH138" s="97"/>
      <c r="AI138" s="103"/>
      <c r="AJ138" s="242" t="s">
        <v>409</v>
      </c>
      <c r="AK138" s="68">
        <f>AK139+AK144</f>
        <v>0</v>
      </c>
      <c r="AL138" s="68">
        <f>AL139+AL144</f>
        <v>0</v>
      </c>
      <c r="AM138" s="129">
        <v>0</v>
      </c>
      <c r="AN138" s="353"/>
      <c r="AO138" s="68">
        <v>0</v>
      </c>
      <c r="AP138" s="68">
        <f>AP139+AP144</f>
        <v>6000000</v>
      </c>
      <c r="AQ138" s="68">
        <f>AQ139+AQ144</f>
        <v>6000000</v>
      </c>
      <c r="AR138" s="129">
        <f t="shared" si="120"/>
        <v>0.10095290626002747</v>
      </c>
      <c r="AS138" s="97"/>
      <c r="AT138" s="97"/>
      <c r="AU138" s="380"/>
      <c r="AV138" s="25"/>
    </row>
    <row r="139" spans="1:51" s="52" customFormat="1" ht="50.45" customHeight="1">
      <c r="A139" s="379" t="s">
        <v>73</v>
      </c>
      <c r="B139" s="66" t="s">
        <v>564</v>
      </c>
      <c r="C139" s="67" t="s">
        <v>56</v>
      </c>
      <c r="D139" s="67" t="s">
        <v>155</v>
      </c>
      <c r="E139" s="67"/>
      <c r="F139" s="353">
        <f>F141+F142+F143</f>
        <v>6985871.7599999998</v>
      </c>
      <c r="G139" s="353">
        <v>27619658</v>
      </c>
      <c r="H139" s="105">
        <f>H140+H143</f>
        <v>19411206.424695998</v>
      </c>
      <c r="I139" s="353"/>
      <c r="J139" s="353">
        <f>J140+J143</f>
        <v>19411206.619999997</v>
      </c>
      <c r="K139" s="353">
        <f>K140+K143</f>
        <v>21713825</v>
      </c>
      <c r="L139" s="353">
        <f t="shared" ref="L139:N139" si="222">L140+L143</f>
        <v>15997841.139999999</v>
      </c>
      <c r="M139" s="129">
        <f t="shared" si="144"/>
        <v>0.82415490459603391</v>
      </c>
      <c r="N139" s="353">
        <f t="shared" si="222"/>
        <v>4785303.1399999997</v>
      </c>
      <c r="O139" s="126">
        <f t="shared" si="216"/>
        <v>0.24652270380088306</v>
      </c>
      <c r="P139" s="68">
        <f>P140+P143</f>
        <v>10696681.449999999</v>
      </c>
      <c r="Q139" s="69">
        <f t="shared" si="207"/>
        <v>0.55105700842825822</v>
      </c>
      <c r="R139" s="68">
        <f>R140+R143</f>
        <v>9801050.6400000006</v>
      </c>
      <c r="S139" s="69">
        <f t="shared" si="208"/>
        <v>0.50491712503341546</v>
      </c>
      <c r="T139" s="68">
        <f t="shared" ref="T139:X139" si="223">T140+T143</f>
        <v>3256301.9200000004</v>
      </c>
      <c r="U139" s="68">
        <f t="shared" si="223"/>
        <v>0</v>
      </c>
      <c r="V139" s="68">
        <f t="shared" si="223"/>
        <v>0</v>
      </c>
      <c r="W139" s="68">
        <f t="shared" si="223"/>
        <v>0</v>
      </c>
      <c r="X139" s="68">
        <f t="shared" si="223"/>
        <v>0</v>
      </c>
      <c r="Y139" s="81">
        <f t="shared" si="177"/>
        <v>3256301.9200000004</v>
      </c>
      <c r="Z139" s="116">
        <f t="shared" si="111"/>
        <v>3256301.9200000004</v>
      </c>
      <c r="AA139" s="68">
        <f>AA140+AA143</f>
        <v>800552.04</v>
      </c>
      <c r="AB139" s="133">
        <f>AA139/J139</f>
        <v>4.1241745331542928E-2</v>
      </c>
      <c r="AC139" s="68">
        <f>AC140+AC143</f>
        <v>3256301.9200000004</v>
      </c>
      <c r="AD139" s="69">
        <f t="shared" si="209"/>
        <v>0.16775370968669853</v>
      </c>
      <c r="AE139" s="138"/>
      <c r="AF139" s="171">
        <f t="shared" si="201"/>
        <v>9610155.9799999967</v>
      </c>
      <c r="AG139" s="172">
        <f t="shared" si="210"/>
        <v>0.49508287496658454</v>
      </c>
      <c r="AH139" s="97"/>
      <c r="AI139" s="103"/>
      <c r="AJ139" s="242" t="s">
        <v>409</v>
      </c>
      <c r="AK139" s="68">
        <f>AK140+AK143</f>
        <v>0</v>
      </c>
      <c r="AL139" s="68">
        <f>AL140+AL143</f>
        <v>0</v>
      </c>
      <c r="AM139" s="129">
        <v>0</v>
      </c>
      <c r="AN139" s="353"/>
      <c r="AO139" s="68">
        <v>0</v>
      </c>
      <c r="AP139" s="68">
        <f>AP140+AP143</f>
        <v>0</v>
      </c>
      <c r="AQ139" s="68">
        <f>AQ140+AQ143</f>
        <v>0</v>
      </c>
      <c r="AR139" s="129">
        <f t="shared" si="120"/>
        <v>0</v>
      </c>
      <c r="AS139" s="97"/>
      <c r="AT139" s="97"/>
      <c r="AU139" s="380"/>
      <c r="AV139" s="25"/>
    </row>
    <row r="140" spans="1:51" s="52" customFormat="1" ht="33.6" customHeight="1">
      <c r="A140" s="387" t="s">
        <v>183</v>
      </c>
      <c r="B140" s="77" t="s">
        <v>565</v>
      </c>
      <c r="C140" s="78" t="s">
        <v>56</v>
      </c>
      <c r="D140" s="78" t="s">
        <v>155</v>
      </c>
      <c r="E140" s="78"/>
      <c r="F140" s="354">
        <f>F141+F142</f>
        <v>5271030</v>
      </c>
      <c r="G140" s="354">
        <v>25180284</v>
      </c>
      <c r="H140" s="354">
        <f>H141+H142</f>
        <v>17696804.619999997</v>
      </c>
      <c r="I140" s="354"/>
      <c r="J140" s="354">
        <f>J141+J142</f>
        <v>17696804.619999997</v>
      </c>
      <c r="K140" s="354">
        <f>K141+K142</f>
        <v>19696804</v>
      </c>
      <c r="L140" s="354">
        <f t="shared" ref="L140:N140" si="224">L141+L142</f>
        <v>12569038.119999999</v>
      </c>
      <c r="M140" s="130">
        <f t="shared" si="144"/>
        <v>0.71024336821773648</v>
      </c>
      <c r="N140" s="354">
        <f t="shared" si="224"/>
        <v>3070901.63</v>
      </c>
      <c r="O140" s="132">
        <f t="shared" si="216"/>
        <v>0.17352859433897058</v>
      </c>
      <c r="P140" s="81">
        <f>P141+P142</f>
        <v>8982279.9399999995</v>
      </c>
      <c r="Q140" s="76">
        <f t="shared" si="207"/>
        <v>0.50756507363191994</v>
      </c>
      <c r="R140" s="81">
        <f>R141+R142</f>
        <v>8086649.1300000008</v>
      </c>
      <c r="S140" s="76">
        <f t="shared" si="208"/>
        <v>0.4569553263226343</v>
      </c>
      <c r="T140" s="81">
        <f>T141+T142</f>
        <v>2854518.72</v>
      </c>
      <c r="U140" s="81">
        <f t="shared" ref="U140:X140" si="225">U141+U142</f>
        <v>0</v>
      </c>
      <c r="V140" s="81">
        <f t="shared" si="225"/>
        <v>0</v>
      </c>
      <c r="W140" s="81">
        <f t="shared" si="225"/>
        <v>0</v>
      </c>
      <c r="X140" s="81">
        <f t="shared" si="225"/>
        <v>0</v>
      </c>
      <c r="Y140" s="81">
        <f t="shared" si="177"/>
        <v>2854518.72</v>
      </c>
      <c r="Z140" s="116">
        <f t="shared" si="111"/>
        <v>2854518.72</v>
      </c>
      <c r="AA140" s="81">
        <f>AA141+AA142</f>
        <v>800552.04</v>
      </c>
      <c r="AB140" s="136">
        <f>AA140/J140</f>
        <v>4.5237095463847653E-2</v>
      </c>
      <c r="AC140" s="81">
        <f>AC141+AC142</f>
        <v>2854518.72</v>
      </c>
      <c r="AD140" s="76">
        <f t="shared" si="209"/>
        <v>0.16130136379388929</v>
      </c>
      <c r="AE140" s="141">
        <f>AE141+AE142</f>
        <v>1.1580867540507305E-2</v>
      </c>
      <c r="AF140" s="171">
        <f t="shared" si="201"/>
        <v>9610155.4899999965</v>
      </c>
      <c r="AG140" s="172">
        <f t="shared" si="210"/>
        <v>0.54304467367736575</v>
      </c>
      <c r="AH140" s="96"/>
      <c r="AI140" s="354"/>
      <c r="AJ140" s="243" t="s">
        <v>409</v>
      </c>
      <c r="AK140" s="354">
        <v>0</v>
      </c>
      <c r="AL140" s="354">
        <v>0</v>
      </c>
      <c r="AM140" s="130">
        <v>0</v>
      </c>
      <c r="AN140" s="354"/>
      <c r="AO140" s="354">
        <v>0</v>
      </c>
      <c r="AP140" s="96"/>
      <c r="AQ140" s="96"/>
      <c r="AR140" s="130">
        <f t="shared" si="120"/>
        <v>0</v>
      </c>
      <c r="AS140" s="96"/>
      <c r="AT140" s="96"/>
      <c r="AU140" s="388"/>
      <c r="AV140" s="261"/>
    </row>
    <row r="141" spans="1:51" ht="50.45" customHeight="1">
      <c r="A141" s="381" t="s">
        <v>184</v>
      </c>
      <c r="B141" s="71" t="s">
        <v>566</v>
      </c>
      <c r="C141" s="72" t="s">
        <v>56</v>
      </c>
      <c r="D141" s="72" t="s">
        <v>155</v>
      </c>
      <c r="E141" s="72"/>
      <c r="F141" s="79">
        <v>5271030</v>
      </c>
      <c r="G141" s="79">
        <v>20911669</v>
      </c>
      <c r="H141" s="82">
        <v>14696804.619999999</v>
      </c>
      <c r="I141" s="79"/>
      <c r="J141" s="79">
        <v>14696804.619999999</v>
      </c>
      <c r="K141" s="79">
        <v>14696804</v>
      </c>
      <c r="L141" s="79">
        <v>9569038.4299999997</v>
      </c>
      <c r="M141" s="130">
        <f t="shared" si="144"/>
        <v>0.65109652590591494</v>
      </c>
      <c r="N141" s="79">
        <v>3070901.63</v>
      </c>
      <c r="O141" s="132">
        <f t="shared" si="216"/>
        <v>0.20895029289706921</v>
      </c>
      <c r="P141" s="354">
        <v>5982280.25</v>
      </c>
      <c r="Q141" s="76">
        <f t="shared" si="207"/>
        <v>0.40704632093013426</v>
      </c>
      <c r="R141" s="79">
        <v>5086649.4400000004</v>
      </c>
      <c r="S141" s="76">
        <f t="shared" si="208"/>
        <v>0.34610580813450326</v>
      </c>
      <c r="T141" s="79">
        <v>2461665.3000000003</v>
      </c>
      <c r="U141" s="79">
        <v>0</v>
      </c>
      <c r="V141" s="79">
        <v>0</v>
      </c>
      <c r="W141" s="79">
        <v>0</v>
      </c>
      <c r="X141" s="79">
        <v>0</v>
      </c>
      <c r="Y141" s="79">
        <f t="shared" si="177"/>
        <v>2461665.3000000003</v>
      </c>
      <c r="Z141" s="115">
        <f t="shared" si="111"/>
        <v>2461665.3000000003</v>
      </c>
      <c r="AA141" s="115">
        <v>800552.04</v>
      </c>
      <c r="AB141" s="136">
        <f>AA141/J141</f>
        <v>5.4471162997606758E-2</v>
      </c>
      <c r="AC141" s="116">
        <f t="shared" ref="AC141:AC143" si="226">SUM(T141:V141)</f>
        <v>2461665.3000000003</v>
      </c>
      <c r="AD141" s="76">
        <f t="shared" si="209"/>
        <v>0.16749663370023085</v>
      </c>
      <c r="AE141" s="130">
        <v>1.1580867540507305E-2</v>
      </c>
      <c r="AF141" s="171">
        <f t="shared" si="201"/>
        <v>9610155.1799999997</v>
      </c>
      <c r="AG141" s="172">
        <f t="shared" si="210"/>
        <v>0.6538941918654968</v>
      </c>
      <c r="AH141" s="144" t="s">
        <v>326</v>
      </c>
      <c r="AI141" s="144"/>
      <c r="AJ141" s="243" t="s">
        <v>409</v>
      </c>
      <c r="AK141" s="354">
        <v>0</v>
      </c>
      <c r="AL141" s="354">
        <v>0</v>
      </c>
      <c r="AM141" s="130">
        <v>0</v>
      </c>
      <c r="AN141" s="354"/>
      <c r="AO141" s="354">
        <v>0</v>
      </c>
      <c r="AP141" s="170"/>
      <c r="AQ141" s="170"/>
      <c r="AR141" s="130">
        <f t="shared" si="120"/>
        <v>0</v>
      </c>
      <c r="AS141" s="170"/>
      <c r="AT141" s="170"/>
      <c r="AU141" s="388"/>
      <c r="AV141" s="261"/>
      <c r="AW141" s="42"/>
      <c r="AX141" s="42"/>
      <c r="AY141" s="42"/>
    </row>
    <row r="142" spans="1:51" ht="67.150000000000006" customHeight="1">
      <c r="A142" s="381" t="s">
        <v>74</v>
      </c>
      <c r="B142" s="71" t="s">
        <v>567</v>
      </c>
      <c r="C142" s="72" t="s">
        <v>56</v>
      </c>
      <c r="D142" s="72" t="s">
        <v>155</v>
      </c>
      <c r="E142" s="72"/>
      <c r="F142" s="79">
        <v>0</v>
      </c>
      <c r="G142" s="79">
        <v>4268615</v>
      </c>
      <c r="H142" s="82">
        <v>3000000</v>
      </c>
      <c r="I142" s="79"/>
      <c r="J142" s="79">
        <v>3000000</v>
      </c>
      <c r="K142" s="79">
        <v>5000000</v>
      </c>
      <c r="L142" s="79">
        <v>2999999.69</v>
      </c>
      <c r="M142" s="130">
        <f t="shared" si="144"/>
        <v>0.99999989666666667</v>
      </c>
      <c r="N142" s="79"/>
      <c r="O142" s="132">
        <f t="shared" si="216"/>
        <v>0</v>
      </c>
      <c r="P142" s="354">
        <v>2999999.69</v>
      </c>
      <c r="Q142" s="76">
        <f t="shared" si="207"/>
        <v>0.99999989666666667</v>
      </c>
      <c r="R142" s="79">
        <v>2999999.69</v>
      </c>
      <c r="S142" s="76">
        <f t="shared" si="208"/>
        <v>0.99999989666666667</v>
      </c>
      <c r="T142" s="79">
        <v>392853.42</v>
      </c>
      <c r="U142" s="79">
        <v>0</v>
      </c>
      <c r="V142" s="79">
        <v>0</v>
      </c>
      <c r="W142" s="79">
        <v>0</v>
      </c>
      <c r="X142" s="79">
        <v>0</v>
      </c>
      <c r="Y142" s="79">
        <f t="shared" si="177"/>
        <v>392853.42</v>
      </c>
      <c r="Z142" s="115">
        <f t="shared" si="111"/>
        <v>392853.42</v>
      </c>
      <c r="AA142" s="115"/>
      <c r="AB142" s="139"/>
      <c r="AC142" s="116">
        <f t="shared" si="226"/>
        <v>392853.42</v>
      </c>
      <c r="AD142" s="76">
        <v>0</v>
      </c>
      <c r="AE142" s="130">
        <v>0</v>
      </c>
      <c r="AF142" s="171">
        <f t="shared" si="201"/>
        <v>0.31000000005587935</v>
      </c>
      <c r="AG142" s="172">
        <f t="shared" si="210"/>
        <v>1.0333333335195979E-7</v>
      </c>
      <c r="AH142" s="145" t="s">
        <v>327</v>
      </c>
      <c r="AI142" s="145"/>
      <c r="AJ142" s="243" t="s">
        <v>409</v>
      </c>
      <c r="AK142" s="354">
        <v>0</v>
      </c>
      <c r="AL142" s="354">
        <v>0</v>
      </c>
      <c r="AM142" s="130">
        <v>0</v>
      </c>
      <c r="AN142" s="354"/>
      <c r="AO142" s="354">
        <v>0</v>
      </c>
      <c r="AP142" s="236"/>
      <c r="AQ142" s="236"/>
      <c r="AR142" s="130">
        <f t="shared" si="120"/>
        <v>0</v>
      </c>
      <c r="AS142" s="236"/>
      <c r="AT142" s="236"/>
      <c r="AU142" s="388"/>
      <c r="AV142" s="261"/>
      <c r="AW142" s="42"/>
      <c r="AX142" s="42"/>
      <c r="AY142" s="42"/>
    </row>
    <row r="143" spans="1:51" ht="67.150000000000006" customHeight="1">
      <c r="A143" s="381" t="s">
        <v>75</v>
      </c>
      <c r="B143" s="71" t="s">
        <v>568</v>
      </c>
      <c r="C143" s="72" t="s">
        <v>56</v>
      </c>
      <c r="D143" s="72" t="s">
        <v>155</v>
      </c>
      <c r="E143" s="72"/>
      <c r="F143" s="79">
        <v>1714841.76</v>
      </c>
      <c r="G143" s="79">
        <v>2439374</v>
      </c>
      <c r="H143" s="82">
        <f>G143*G6</f>
        <v>1714401.8046959999</v>
      </c>
      <c r="I143" s="79"/>
      <c r="J143" s="79">
        <v>1714402</v>
      </c>
      <c r="K143" s="79">
        <v>2017021</v>
      </c>
      <c r="L143" s="79">
        <v>3428803.02</v>
      </c>
      <c r="M143" s="130">
        <f t="shared" si="144"/>
        <v>1.9999994283721088</v>
      </c>
      <c r="N143" s="79">
        <v>1714401.51</v>
      </c>
      <c r="O143" s="132">
        <f t="shared" si="216"/>
        <v>0.99999971418605438</v>
      </c>
      <c r="P143" s="354">
        <v>1714401.51</v>
      </c>
      <c r="Q143" s="76">
        <f t="shared" si="207"/>
        <v>0.99999971418605438</v>
      </c>
      <c r="R143" s="79">
        <v>1714401.51</v>
      </c>
      <c r="S143" s="76">
        <f t="shared" si="208"/>
        <v>0.99999971418605438</v>
      </c>
      <c r="T143" s="79">
        <v>401783.2</v>
      </c>
      <c r="U143" s="79">
        <v>0</v>
      </c>
      <c r="V143" s="79">
        <v>0</v>
      </c>
      <c r="W143" s="79">
        <v>0</v>
      </c>
      <c r="X143" s="79">
        <v>0</v>
      </c>
      <c r="Y143" s="79">
        <f t="shared" si="177"/>
        <v>401783.2</v>
      </c>
      <c r="Z143" s="115">
        <f t="shared" si="111"/>
        <v>401783.2</v>
      </c>
      <c r="AA143" s="115"/>
      <c r="AB143" s="139"/>
      <c r="AC143" s="116">
        <f t="shared" si="226"/>
        <v>401783.2</v>
      </c>
      <c r="AD143" s="76">
        <f>AC143/J143</f>
        <v>0.23435763607368634</v>
      </c>
      <c r="AE143" s="130">
        <v>0</v>
      </c>
      <c r="AF143" s="171">
        <f t="shared" si="201"/>
        <v>0.48999999999068677</v>
      </c>
      <c r="AG143" s="172">
        <f t="shared" si="210"/>
        <v>2.8581394561525636E-7</v>
      </c>
      <c r="AH143" s="144" t="s">
        <v>328</v>
      </c>
      <c r="AI143" s="144"/>
      <c r="AJ143" s="243" t="s">
        <v>409</v>
      </c>
      <c r="AK143" s="354">
        <v>0</v>
      </c>
      <c r="AL143" s="354">
        <v>0</v>
      </c>
      <c r="AM143" s="130">
        <v>0</v>
      </c>
      <c r="AN143" s="354"/>
      <c r="AO143" s="354">
        <v>0</v>
      </c>
      <c r="AP143" s="170"/>
      <c r="AQ143" s="170"/>
      <c r="AR143" s="130">
        <f t="shared" si="120"/>
        <v>0</v>
      </c>
      <c r="AS143" s="170"/>
      <c r="AT143" s="170"/>
      <c r="AU143" s="388"/>
      <c r="AV143" s="261"/>
      <c r="AW143" s="42"/>
      <c r="AX143" s="42"/>
      <c r="AY143" s="42"/>
    </row>
    <row r="144" spans="1:51" s="52" customFormat="1" ht="67.150000000000006" customHeight="1">
      <c r="A144" s="379" t="s">
        <v>76</v>
      </c>
      <c r="B144" s="66" t="s">
        <v>569</v>
      </c>
      <c r="C144" s="67" t="s">
        <v>56</v>
      </c>
      <c r="D144" s="67" t="s">
        <v>155</v>
      </c>
      <c r="E144" s="67"/>
      <c r="F144" s="353">
        <f>F145+F146+F148</f>
        <v>47115980.159999996</v>
      </c>
      <c r="G144" s="353">
        <v>49360342</v>
      </c>
      <c r="H144" s="113">
        <f>H145+H146+H148</f>
        <v>34690645.798967995</v>
      </c>
      <c r="I144" s="353"/>
      <c r="J144" s="353">
        <f>J145+J146+J148</f>
        <v>34690645.987243995</v>
      </c>
      <c r="K144" s="353">
        <f>K145+K146+K148</f>
        <v>37719828</v>
      </c>
      <c r="L144" s="353">
        <f>L145+L146+L148</f>
        <v>69145688.099999994</v>
      </c>
      <c r="M144" s="129">
        <f t="shared" si="144"/>
        <v>1.9932084321930865</v>
      </c>
      <c r="N144" s="353">
        <f>N145+N146+N148</f>
        <v>31740216.710000001</v>
      </c>
      <c r="O144" s="126">
        <f t="shared" si="216"/>
        <v>0.91495029298881059</v>
      </c>
      <c r="P144" s="68">
        <f>P145+P146+P148</f>
        <v>25335148.84</v>
      </c>
      <c r="Q144" s="69">
        <f t="shared" si="207"/>
        <v>0.73031643311905814</v>
      </c>
      <c r="R144" s="68">
        <f>R145+R146+R148</f>
        <v>25335148.84</v>
      </c>
      <c r="S144" s="69">
        <f t="shared" si="208"/>
        <v>0.73031643311905814</v>
      </c>
      <c r="T144" s="68">
        <f>T145+T146+T148</f>
        <v>9877338.1500000004</v>
      </c>
      <c r="U144" s="68">
        <f>U145+U146+U148</f>
        <v>247647.46</v>
      </c>
      <c r="V144" s="68">
        <f>V145+V146+V148</f>
        <v>0</v>
      </c>
      <c r="W144" s="68">
        <f>W145+W146+W148</f>
        <v>0</v>
      </c>
      <c r="X144" s="68">
        <f>X145+X146+X148</f>
        <v>51765.81</v>
      </c>
      <c r="Y144" s="81">
        <f t="shared" si="177"/>
        <v>10073219.799999999</v>
      </c>
      <c r="Z144" s="68">
        <f t="shared" si="111"/>
        <v>10124985.610000001</v>
      </c>
      <c r="AA144" s="68">
        <f>AA145+AA146+AA148</f>
        <v>12218319.109999999</v>
      </c>
      <c r="AB144" s="133">
        <f>AA144/J144</f>
        <v>0.35220788665892139</v>
      </c>
      <c r="AC144" s="68">
        <f>AC145+AC146+AC148</f>
        <v>10124985.609999999</v>
      </c>
      <c r="AD144" s="69">
        <f>AC144/J144</f>
        <v>0.29186500631101048</v>
      </c>
      <c r="AE144" s="138"/>
      <c r="AF144" s="58">
        <f t="shared" si="201"/>
        <v>9355497.1472439952</v>
      </c>
      <c r="AG144" s="59">
        <f t="shared" si="210"/>
        <v>0.26968356688094192</v>
      </c>
      <c r="AH144" s="97"/>
      <c r="AI144" s="103"/>
      <c r="AJ144" s="242" t="s">
        <v>409</v>
      </c>
      <c r="AK144" s="68">
        <f>AK145+AK146+AK147+AK148</f>
        <v>0</v>
      </c>
      <c r="AL144" s="68">
        <f>AL145+AL146+AL147+AL148</f>
        <v>0</v>
      </c>
      <c r="AM144" s="129">
        <v>0</v>
      </c>
      <c r="AN144" s="353"/>
      <c r="AO144" s="68">
        <v>0</v>
      </c>
      <c r="AP144" s="68">
        <f>AP145+AP146+AP147+AP148</f>
        <v>6000000</v>
      </c>
      <c r="AQ144" s="68">
        <f>AQ145+AQ146+AQ147+AQ148</f>
        <v>6000000</v>
      </c>
      <c r="AR144" s="129">
        <f t="shared" si="120"/>
        <v>0.15906753339384264</v>
      </c>
      <c r="AS144" s="97"/>
      <c r="AT144" s="97"/>
      <c r="AU144" s="380"/>
      <c r="AV144" s="25"/>
    </row>
    <row r="145" spans="1:55" ht="64.5" customHeight="1">
      <c r="A145" s="381" t="s">
        <v>77</v>
      </c>
      <c r="B145" s="71" t="s">
        <v>570</v>
      </c>
      <c r="C145" s="72" t="s">
        <v>56</v>
      </c>
      <c r="D145" s="72" t="s">
        <v>155</v>
      </c>
      <c r="E145" s="72"/>
      <c r="F145" s="79">
        <v>17179418.987243999</v>
      </c>
      <c r="G145" s="79">
        <v>24444111</v>
      </c>
      <c r="H145" s="82">
        <v>17179418.987243999</v>
      </c>
      <c r="I145" s="79"/>
      <c r="J145" s="79">
        <v>17179418.987243999</v>
      </c>
      <c r="K145" s="79">
        <v>20208601</v>
      </c>
      <c r="L145" s="79">
        <v>17179418</v>
      </c>
      <c r="M145" s="130">
        <f t="shared" si="144"/>
        <v>0.99999994253333013</v>
      </c>
      <c r="N145" s="79"/>
      <c r="O145" s="132">
        <f t="shared" si="216"/>
        <v>0</v>
      </c>
      <c r="P145" s="354">
        <v>17179418</v>
      </c>
      <c r="Q145" s="76">
        <f t="shared" si="207"/>
        <v>0.99999994253333013</v>
      </c>
      <c r="R145" s="79">
        <v>17179418</v>
      </c>
      <c r="S145" s="76">
        <f t="shared" si="208"/>
        <v>0.99999994253333013</v>
      </c>
      <c r="T145" s="79">
        <v>5301767.8499999996</v>
      </c>
      <c r="U145" s="79">
        <v>0</v>
      </c>
      <c r="V145" s="79">
        <v>0</v>
      </c>
      <c r="W145" s="79">
        <v>0</v>
      </c>
      <c r="X145" s="79">
        <v>0</v>
      </c>
      <c r="Y145" s="79">
        <f t="shared" si="177"/>
        <v>5301767.8499999996</v>
      </c>
      <c r="Z145" s="115">
        <f t="shared" ref="Z145:Z151" si="227">T145+U145+W145</f>
        <v>5301767.8499999996</v>
      </c>
      <c r="AA145" s="115"/>
      <c r="AB145" s="139"/>
      <c r="AC145" s="116">
        <f t="shared" ref="AC145:AC148" si="228">SUM(T145:V145)</f>
        <v>5301767.8499999996</v>
      </c>
      <c r="AD145" s="76">
        <f>AC145/J145</f>
        <v>0.30861159239067687</v>
      </c>
      <c r="AE145" s="130">
        <v>6.5928849444603669E-5</v>
      </c>
      <c r="AF145" s="171">
        <v>0</v>
      </c>
      <c r="AG145" s="172">
        <f t="shared" si="210"/>
        <v>0</v>
      </c>
      <c r="AH145" s="144" t="s">
        <v>329</v>
      </c>
      <c r="AI145" s="144"/>
      <c r="AJ145" s="243" t="s">
        <v>409</v>
      </c>
      <c r="AK145" s="354">
        <v>0</v>
      </c>
      <c r="AL145" s="354">
        <v>0</v>
      </c>
      <c r="AM145" s="130">
        <v>0</v>
      </c>
      <c r="AN145" s="354"/>
      <c r="AO145" s="354">
        <v>0</v>
      </c>
      <c r="AP145" s="96"/>
      <c r="AQ145" s="96"/>
      <c r="AR145" s="130">
        <f t="shared" si="120"/>
        <v>0</v>
      </c>
      <c r="AS145" s="96"/>
      <c r="AT145" s="96"/>
      <c r="AU145" s="388"/>
      <c r="AV145" s="261"/>
      <c r="AW145" s="42"/>
      <c r="AX145" s="42"/>
      <c r="AY145" s="42"/>
    </row>
    <row r="146" spans="1:55" ht="81.75" customHeight="1">
      <c r="A146" s="381" t="s">
        <v>300</v>
      </c>
      <c r="B146" s="71" t="s">
        <v>571</v>
      </c>
      <c r="C146" s="72" t="s">
        <v>56</v>
      </c>
      <c r="D146" s="72" t="s">
        <v>155</v>
      </c>
      <c r="E146" s="72"/>
      <c r="F146" s="79">
        <v>25638289.919999998</v>
      </c>
      <c r="G146" s="79">
        <v>20068096</v>
      </c>
      <c r="H146" s="79">
        <f>G146*G6</f>
        <v>14103938.141184</v>
      </c>
      <c r="I146" s="79"/>
      <c r="J146" s="79">
        <v>14103938</v>
      </c>
      <c r="K146" s="79">
        <v>14103938</v>
      </c>
      <c r="L146" s="79">
        <v>51966270.100000001</v>
      </c>
      <c r="M146" s="130">
        <f t="shared" si="144"/>
        <v>3.6845220178931588</v>
      </c>
      <c r="N146" s="79">
        <v>31740216.710000001</v>
      </c>
      <c r="O146" s="137">
        <f t="shared" si="216"/>
        <v>2.2504506691677175</v>
      </c>
      <c r="P146" s="354">
        <v>8155730.8399999999</v>
      </c>
      <c r="Q146" s="76">
        <f t="shared" si="207"/>
        <v>0.57825912450834649</v>
      </c>
      <c r="R146" s="79">
        <v>8155730.8399999999</v>
      </c>
      <c r="S146" s="76">
        <f t="shared" si="208"/>
        <v>0.57825912450834649</v>
      </c>
      <c r="T146" s="79">
        <v>4575570.3000000007</v>
      </c>
      <c r="U146" s="79">
        <v>247647.46</v>
      </c>
      <c r="V146" s="79">
        <v>0</v>
      </c>
      <c r="W146" s="79">
        <v>0</v>
      </c>
      <c r="X146" s="79">
        <v>51765.81</v>
      </c>
      <c r="Y146" s="79">
        <f t="shared" si="177"/>
        <v>4771451.9500000011</v>
      </c>
      <c r="Z146" s="80">
        <f t="shared" si="227"/>
        <v>4823217.7600000007</v>
      </c>
      <c r="AA146" s="80">
        <v>12218319.109999999</v>
      </c>
      <c r="AB146" s="136">
        <f>AA146/J146</f>
        <v>0.86630550347002377</v>
      </c>
      <c r="AC146" s="118">
        <f t="shared" si="228"/>
        <v>4823217.7600000007</v>
      </c>
      <c r="AD146" s="76">
        <f>AC146/J146</f>
        <v>0.34197667062915343</v>
      </c>
      <c r="AE146" s="130">
        <v>3.9066575736960561E-2</v>
      </c>
      <c r="AF146" s="174">
        <f t="shared" ref="AF146:AF157" si="229">J146-R146</f>
        <v>5948207.1600000001</v>
      </c>
      <c r="AG146" s="182">
        <f t="shared" si="210"/>
        <v>0.42174087549165346</v>
      </c>
      <c r="AH146" s="145" t="s">
        <v>330</v>
      </c>
      <c r="AI146" s="145"/>
      <c r="AJ146" s="243" t="s">
        <v>409</v>
      </c>
      <c r="AK146" s="354">
        <v>0</v>
      </c>
      <c r="AL146" s="354">
        <v>0</v>
      </c>
      <c r="AM146" s="130">
        <v>0</v>
      </c>
      <c r="AN146" s="176"/>
      <c r="AO146" s="354">
        <v>0</v>
      </c>
      <c r="AP146" s="96"/>
      <c r="AQ146" s="96"/>
      <c r="AR146" s="130">
        <f t="shared" si="120"/>
        <v>0</v>
      </c>
      <c r="AS146" s="170"/>
      <c r="AT146" s="71"/>
      <c r="AU146" s="388"/>
      <c r="AV146" s="261"/>
      <c r="AW146" s="42"/>
      <c r="AX146" s="42"/>
      <c r="AY146" s="42"/>
    </row>
    <row r="147" spans="1:55" ht="266.25" customHeight="1">
      <c r="A147" s="383" t="s">
        <v>720</v>
      </c>
      <c r="B147" s="350" t="s">
        <v>721</v>
      </c>
      <c r="C147" s="183" t="s">
        <v>56</v>
      </c>
      <c r="D147" s="183" t="s">
        <v>155</v>
      </c>
      <c r="E147" s="350"/>
      <c r="F147" s="350"/>
      <c r="G147" s="350"/>
      <c r="H147" s="350"/>
      <c r="I147" s="350"/>
      <c r="J147" s="187">
        <v>6200000</v>
      </c>
      <c r="K147" s="187">
        <v>6200000</v>
      </c>
      <c r="L147" s="350"/>
      <c r="M147" s="350"/>
      <c r="N147" s="350"/>
      <c r="O147" s="350"/>
      <c r="P147" s="350"/>
      <c r="Q147" s="350"/>
      <c r="R147" s="350"/>
      <c r="S147" s="350"/>
      <c r="T147" s="350"/>
      <c r="U147" s="350"/>
      <c r="V147" s="350"/>
      <c r="W147" s="350"/>
      <c r="X147" s="350"/>
      <c r="Y147" s="350"/>
      <c r="Z147" s="350"/>
      <c r="AA147" s="350"/>
      <c r="AB147" s="350"/>
      <c r="AC147" s="350"/>
      <c r="AD147" s="350"/>
      <c r="AE147" s="350"/>
      <c r="AF147" s="350"/>
      <c r="AG147" s="350"/>
      <c r="AH147" s="350"/>
      <c r="AI147" s="350"/>
      <c r="AJ147" s="244" t="s">
        <v>409</v>
      </c>
      <c r="AK147" s="187">
        <v>0</v>
      </c>
      <c r="AL147" s="187">
        <v>0</v>
      </c>
      <c r="AM147" s="358">
        <f>AL147/K147</f>
        <v>0</v>
      </c>
      <c r="AN147" s="350"/>
      <c r="AO147" s="350"/>
      <c r="AP147" s="187">
        <v>6000000</v>
      </c>
      <c r="AQ147" s="187">
        <v>6000000</v>
      </c>
      <c r="AR147" s="358">
        <f t="shared" si="120"/>
        <v>0.967741935483871</v>
      </c>
      <c r="AS147" s="359" t="s">
        <v>433</v>
      </c>
      <c r="AT147" s="350" t="s">
        <v>732</v>
      </c>
      <c r="AU147" s="401"/>
      <c r="AV147" s="261"/>
      <c r="AW147" s="42"/>
      <c r="AX147" s="42"/>
      <c r="AY147" s="42"/>
    </row>
    <row r="148" spans="1:55" s="52" customFormat="1" ht="33.6" customHeight="1">
      <c r="A148" s="381" t="s">
        <v>78</v>
      </c>
      <c r="B148" s="71" t="s">
        <v>572</v>
      </c>
      <c r="C148" s="72" t="s">
        <v>56</v>
      </c>
      <c r="D148" s="72" t="s">
        <v>155</v>
      </c>
      <c r="E148" s="72"/>
      <c r="F148" s="79">
        <v>4298271.2527559996</v>
      </c>
      <c r="G148" s="79">
        <v>4848135</v>
      </c>
      <c r="H148" s="82">
        <f>G148*G6</f>
        <v>3407288.6705399998</v>
      </c>
      <c r="I148" s="79"/>
      <c r="J148" s="79">
        <v>3407289</v>
      </c>
      <c r="K148" s="79">
        <v>3407289</v>
      </c>
      <c r="L148" s="79"/>
      <c r="M148" s="130">
        <f t="shared" si="144"/>
        <v>0</v>
      </c>
      <c r="N148" s="79"/>
      <c r="O148" s="132">
        <f t="shared" si="216"/>
        <v>0</v>
      </c>
      <c r="P148" s="354">
        <v>0</v>
      </c>
      <c r="Q148" s="76">
        <v>0</v>
      </c>
      <c r="R148" s="79">
        <v>0</v>
      </c>
      <c r="S148" s="76">
        <v>0</v>
      </c>
      <c r="T148" s="79">
        <v>0</v>
      </c>
      <c r="U148" s="79">
        <v>0</v>
      </c>
      <c r="V148" s="79">
        <v>0</v>
      </c>
      <c r="W148" s="79">
        <v>0</v>
      </c>
      <c r="X148" s="79">
        <v>0</v>
      </c>
      <c r="Y148" s="79">
        <f t="shared" si="177"/>
        <v>0</v>
      </c>
      <c r="Z148" s="115">
        <f t="shared" si="227"/>
        <v>0</v>
      </c>
      <c r="AA148" s="115"/>
      <c r="AB148" s="139"/>
      <c r="AC148" s="116">
        <f t="shared" si="228"/>
        <v>0</v>
      </c>
      <c r="AD148" s="76">
        <v>0</v>
      </c>
      <c r="AE148" s="130"/>
      <c r="AF148" s="171">
        <f t="shared" si="229"/>
        <v>3407289</v>
      </c>
      <c r="AG148" s="172">
        <f t="shared" si="210"/>
        <v>1</v>
      </c>
      <c r="AH148" s="96"/>
      <c r="AI148" s="354"/>
      <c r="AJ148" s="243" t="s">
        <v>409</v>
      </c>
      <c r="AK148" s="354">
        <v>0</v>
      </c>
      <c r="AL148" s="354">
        <v>0</v>
      </c>
      <c r="AM148" s="130">
        <v>0</v>
      </c>
      <c r="AN148" s="354"/>
      <c r="AO148" s="354">
        <v>0</v>
      </c>
      <c r="AP148" s="96"/>
      <c r="AQ148" s="96"/>
      <c r="AR148" s="130">
        <f t="shared" ref="AR148:AR211" si="230">AQ148/K148</f>
        <v>0</v>
      </c>
      <c r="AS148" s="96"/>
      <c r="AT148" s="96"/>
      <c r="AU148" s="388"/>
      <c r="AV148" s="261"/>
    </row>
    <row r="149" spans="1:55" s="52" customFormat="1" ht="67.150000000000006" customHeight="1">
      <c r="A149" s="379" t="s">
        <v>301</v>
      </c>
      <c r="B149" s="66" t="s">
        <v>529</v>
      </c>
      <c r="C149" s="67" t="s">
        <v>56</v>
      </c>
      <c r="D149" s="67" t="s">
        <v>157</v>
      </c>
      <c r="E149" s="67"/>
      <c r="F149" s="353">
        <v>17948876</v>
      </c>
      <c r="G149" s="353"/>
      <c r="H149" s="94">
        <f t="shared" ref="H149:H150" si="231">H150</f>
        <v>16153989.297024</v>
      </c>
      <c r="I149" s="353"/>
      <c r="J149" s="353">
        <f t="shared" ref="J149:P150" si="232">J150</f>
        <v>16153989.297024</v>
      </c>
      <c r="K149" s="353">
        <f>K150</f>
        <v>16153989</v>
      </c>
      <c r="L149" s="353">
        <f t="shared" si="232"/>
        <v>15119930.74</v>
      </c>
      <c r="M149" s="129">
        <f t="shared" si="144"/>
        <v>0.93598741846297362</v>
      </c>
      <c r="N149" s="353">
        <f t="shared" si="232"/>
        <v>0</v>
      </c>
      <c r="O149" s="126">
        <f t="shared" si="216"/>
        <v>0</v>
      </c>
      <c r="P149" s="68">
        <f t="shared" si="232"/>
        <v>15409970.640000001</v>
      </c>
      <c r="Q149" s="69">
        <f t="shared" ref="Q149:Q160" si="233">P149/J149</f>
        <v>0.95394211031444298</v>
      </c>
      <c r="R149" s="68">
        <f t="shared" ref="R149:R150" si="234">R150</f>
        <v>15409970.640000001</v>
      </c>
      <c r="S149" s="69">
        <f t="shared" ref="S149:S160" si="235">R149/J149</f>
        <v>0.95394211031444298</v>
      </c>
      <c r="T149" s="68">
        <f t="shared" ref="T149:X150" si="236">T150</f>
        <v>6001445.3099999996</v>
      </c>
      <c r="U149" s="68">
        <f t="shared" si="236"/>
        <v>0</v>
      </c>
      <c r="V149" s="68">
        <f t="shared" si="236"/>
        <v>0</v>
      </c>
      <c r="W149" s="68">
        <f t="shared" si="236"/>
        <v>0</v>
      </c>
      <c r="X149" s="68">
        <f t="shared" si="236"/>
        <v>0</v>
      </c>
      <c r="Y149" s="81">
        <f t="shared" si="177"/>
        <v>6001445.3099999996</v>
      </c>
      <c r="Z149" s="68">
        <f t="shared" si="227"/>
        <v>6001445.3099999996</v>
      </c>
      <c r="AA149" s="68">
        <f t="shared" ref="AA149:AA150" si="237">AA150</f>
        <v>0</v>
      </c>
      <c r="AB149" s="133">
        <f>AA149/J149</f>
        <v>0</v>
      </c>
      <c r="AC149" s="68">
        <f>AC150</f>
        <v>6001445.3099999996</v>
      </c>
      <c r="AD149" s="69">
        <f t="shared" ref="AD149:AD160" si="238">AC149/J149</f>
        <v>0.37151475091701514</v>
      </c>
      <c r="AE149" s="138">
        <f>AE150</f>
        <v>1.3838308591882618E-2</v>
      </c>
      <c r="AF149" s="58">
        <f t="shared" si="229"/>
        <v>744018.65702399984</v>
      </c>
      <c r="AG149" s="59">
        <f t="shared" si="210"/>
        <v>4.6057889685556998E-2</v>
      </c>
      <c r="AH149" s="97"/>
      <c r="AI149" s="103"/>
      <c r="AJ149" s="242" t="s">
        <v>409</v>
      </c>
      <c r="AK149" s="354">
        <v>0</v>
      </c>
      <c r="AL149" s="354">
        <v>0</v>
      </c>
      <c r="AM149" s="130">
        <v>0</v>
      </c>
      <c r="AN149" s="353"/>
      <c r="AO149" s="354">
        <v>0</v>
      </c>
      <c r="AP149" s="97"/>
      <c r="AQ149" s="97"/>
      <c r="AR149" s="130">
        <f t="shared" si="230"/>
        <v>0</v>
      </c>
      <c r="AS149" s="97"/>
      <c r="AT149" s="97"/>
      <c r="AU149" s="388"/>
      <c r="AV149" s="261"/>
    </row>
    <row r="150" spans="1:55" ht="66">
      <c r="A150" s="379" t="s">
        <v>205</v>
      </c>
      <c r="B150" s="66" t="s">
        <v>573</v>
      </c>
      <c r="C150" s="67" t="s">
        <v>56</v>
      </c>
      <c r="D150" s="67" t="s">
        <v>157</v>
      </c>
      <c r="E150" s="67"/>
      <c r="F150" s="87">
        <v>17948876.199999999</v>
      </c>
      <c r="G150" s="353"/>
      <c r="H150" s="94">
        <f t="shared" si="231"/>
        <v>16153989.297024</v>
      </c>
      <c r="I150" s="353"/>
      <c r="J150" s="353">
        <f t="shared" si="232"/>
        <v>16153989.297024</v>
      </c>
      <c r="K150" s="353">
        <f>K151</f>
        <v>16153989</v>
      </c>
      <c r="L150" s="353">
        <f t="shared" si="232"/>
        <v>15119930.74</v>
      </c>
      <c r="M150" s="129">
        <f t="shared" si="144"/>
        <v>0.93598741846297362</v>
      </c>
      <c r="N150" s="353">
        <f t="shared" si="232"/>
        <v>0</v>
      </c>
      <c r="O150" s="126">
        <f t="shared" si="216"/>
        <v>0</v>
      </c>
      <c r="P150" s="68">
        <f t="shared" si="232"/>
        <v>15409970.640000001</v>
      </c>
      <c r="Q150" s="69">
        <f t="shared" si="233"/>
        <v>0.95394211031444298</v>
      </c>
      <c r="R150" s="68">
        <f t="shared" si="234"/>
        <v>15409970.640000001</v>
      </c>
      <c r="S150" s="69">
        <f t="shared" si="235"/>
        <v>0.95394211031444298</v>
      </c>
      <c r="T150" s="68">
        <f t="shared" si="236"/>
        <v>6001445.3099999996</v>
      </c>
      <c r="U150" s="68">
        <f t="shared" si="236"/>
        <v>0</v>
      </c>
      <c r="V150" s="68">
        <f t="shared" si="236"/>
        <v>0</v>
      </c>
      <c r="W150" s="68">
        <f t="shared" si="236"/>
        <v>0</v>
      </c>
      <c r="X150" s="68">
        <f t="shared" si="236"/>
        <v>0</v>
      </c>
      <c r="Y150" s="81">
        <f t="shared" si="177"/>
        <v>6001445.3099999996</v>
      </c>
      <c r="Z150" s="116">
        <f>T150+U150+W150</f>
        <v>6001445.3099999996</v>
      </c>
      <c r="AA150" s="68">
        <f t="shared" si="237"/>
        <v>0</v>
      </c>
      <c r="AB150" s="133">
        <f>AA150/J150</f>
        <v>0</v>
      </c>
      <c r="AC150" s="68">
        <f>AC151</f>
        <v>6001445.3099999996</v>
      </c>
      <c r="AD150" s="69">
        <f t="shared" si="238"/>
        <v>0.37151475091701514</v>
      </c>
      <c r="AE150" s="138">
        <f>AE151</f>
        <v>1.3838308591882618E-2</v>
      </c>
      <c r="AF150" s="58">
        <f t="shared" si="229"/>
        <v>744018.65702399984</v>
      </c>
      <c r="AG150" s="59">
        <f t="shared" si="210"/>
        <v>4.6057889685556998E-2</v>
      </c>
      <c r="AH150" s="97"/>
      <c r="AI150" s="103"/>
      <c r="AJ150" s="242" t="s">
        <v>409</v>
      </c>
      <c r="AK150" s="354">
        <v>0</v>
      </c>
      <c r="AL150" s="354">
        <v>0</v>
      </c>
      <c r="AM150" s="130">
        <v>0</v>
      </c>
      <c r="AN150" s="353"/>
      <c r="AO150" s="354">
        <v>0</v>
      </c>
      <c r="AP150" s="97"/>
      <c r="AQ150" s="97"/>
      <c r="AR150" s="130">
        <f t="shared" si="230"/>
        <v>0</v>
      </c>
      <c r="AS150" s="97"/>
      <c r="AT150" s="97"/>
      <c r="AU150" s="388"/>
      <c r="AV150" s="261"/>
      <c r="AW150" s="42"/>
      <c r="AX150" s="42"/>
      <c r="AY150" s="42"/>
    </row>
    <row r="151" spans="1:55" s="52" customFormat="1" ht="74.25" customHeight="1">
      <c r="A151" s="381" t="s">
        <v>302</v>
      </c>
      <c r="B151" s="71" t="s">
        <v>531</v>
      </c>
      <c r="C151" s="72" t="s">
        <v>56</v>
      </c>
      <c r="D151" s="72" t="s">
        <v>157</v>
      </c>
      <c r="E151" s="72"/>
      <c r="F151" s="79">
        <v>17948876.199999999</v>
      </c>
      <c r="G151" s="79"/>
      <c r="H151" s="79">
        <v>16153989.297024</v>
      </c>
      <c r="I151" s="79"/>
      <c r="J151" s="79">
        <v>16153989.297024</v>
      </c>
      <c r="K151" s="79">
        <v>16153989</v>
      </c>
      <c r="L151" s="354">
        <v>15119930.74</v>
      </c>
      <c r="M151" s="130">
        <f t="shared" si="144"/>
        <v>0.93598741846297362</v>
      </c>
      <c r="N151" s="354"/>
      <c r="O151" s="132">
        <f t="shared" si="216"/>
        <v>0</v>
      </c>
      <c r="P151" s="354">
        <v>15409970.640000001</v>
      </c>
      <c r="Q151" s="76">
        <f t="shared" si="233"/>
        <v>0.95394211031444298</v>
      </c>
      <c r="R151" s="79">
        <v>15409970.640000001</v>
      </c>
      <c r="S151" s="76">
        <f t="shared" si="235"/>
        <v>0.95394211031444298</v>
      </c>
      <c r="T151" s="79">
        <v>6001445.3099999996</v>
      </c>
      <c r="U151" s="79">
        <v>0</v>
      </c>
      <c r="V151" s="79">
        <v>0</v>
      </c>
      <c r="W151" s="79">
        <v>0</v>
      </c>
      <c r="X151" s="79">
        <v>0</v>
      </c>
      <c r="Y151" s="115">
        <f>AC151-X151</f>
        <v>6001445.3099999996</v>
      </c>
      <c r="Z151" s="115">
        <f t="shared" si="227"/>
        <v>6001445.3099999996</v>
      </c>
      <c r="AA151" s="115"/>
      <c r="AB151" s="139"/>
      <c r="AC151" s="116">
        <f>SUM(T151:V151)</f>
        <v>6001445.3099999996</v>
      </c>
      <c r="AD151" s="76">
        <f t="shared" si="238"/>
        <v>0.37151475091701514</v>
      </c>
      <c r="AE151" s="76">
        <v>1.3838308591882618E-2</v>
      </c>
      <c r="AF151" s="171">
        <f t="shared" si="229"/>
        <v>744018.65702399984</v>
      </c>
      <c r="AG151" s="172">
        <f t="shared" si="210"/>
        <v>4.6057889685556998E-2</v>
      </c>
      <c r="AH151" s="167" t="s">
        <v>404</v>
      </c>
      <c r="AI151" s="227"/>
      <c r="AJ151" s="243" t="s">
        <v>409</v>
      </c>
      <c r="AK151" s="354">
        <v>0</v>
      </c>
      <c r="AL151" s="354">
        <v>0</v>
      </c>
      <c r="AM151" s="130">
        <v>0</v>
      </c>
      <c r="AN151" s="354"/>
      <c r="AO151" s="354">
        <v>0</v>
      </c>
      <c r="AP151" s="96"/>
      <c r="AQ151" s="96"/>
      <c r="AR151" s="130">
        <f t="shared" si="230"/>
        <v>0</v>
      </c>
      <c r="AS151" s="96"/>
      <c r="AT151" s="96"/>
      <c r="AU151" s="388"/>
      <c r="AV151" s="267"/>
      <c r="AW151" s="294"/>
      <c r="AX151" s="250"/>
      <c r="AY151" s="250"/>
      <c r="AZ151" s="315"/>
      <c r="BA151" s="315"/>
      <c r="BB151" s="315"/>
      <c r="BC151" s="315"/>
    </row>
    <row r="152" spans="1:55" s="52" customFormat="1" ht="51.75">
      <c r="A152" s="377" t="s">
        <v>79</v>
      </c>
      <c r="B152" s="61" t="s">
        <v>574</v>
      </c>
      <c r="C152" s="62" t="s">
        <v>148</v>
      </c>
      <c r="D152" s="62" t="s">
        <v>1</v>
      </c>
      <c r="E152" s="63"/>
      <c r="F152" s="352">
        <f>F155+F186+F204+F214+F235+F251+F258+F261</f>
        <v>2256431635.6594682</v>
      </c>
      <c r="G152" s="352"/>
      <c r="H152" s="352">
        <f>H155+H186+H204+H214+H235+H251+H258+H261</f>
        <v>2256431635.6594682</v>
      </c>
      <c r="I152" s="352"/>
      <c r="J152" s="352">
        <f>J155+J186+J204+J214+J235+J251+J258+J261</f>
        <v>2256431635.6594682</v>
      </c>
      <c r="K152" s="316">
        <f>K155+K186+K204+K214+K235+K251+K258+K261</f>
        <v>2382750918.0128522</v>
      </c>
      <c r="L152" s="352">
        <f t="shared" ref="L152:AI152" si="239">L155+L186+L204+L214+L235+L251+L258+L261</f>
        <v>2501454884.6900001</v>
      </c>
      <c r="M152" s="352" t="e">
        <f t="shared" si="239"/>
        <v>#DIV/0!</v>
      </c>
      <c r="N152" s="352">
        <f t="shared" si="239"/>
        <v>357225951.73000002</v>
      </c>
      <c r="O152" s="352" t="e">
        <f t="shared" si="239"/>
        <v>#DIV/0!</v>
      </c>
      <c r="P152" s="352">
        <f t="shared" si="239"/>
        <v>1953049430.26</v>
      </c>
      <c r="Q152" s="352">
        <f t="shared" si="239"/>
        <v>50.193026742336045</v>
      </c>
      <c r="R152" s="352">
        <f t="shared" si="239"/>
        <v>1939770623.3799999</v>
      </c>
      <c r="S152" s="352">
        <f t="shared" si="239"/>
        <v>49.445039439166017</v>
      </c>
      <c r="T152" s="352">
        <f t="shared" si="239"/>
        <v>533555704.00999999</v>
      </c>
      <c r="U152" s="352">
        <f t="shared" si="239"/>
        <v>9695423.129999999</v>
      </c>
      <c r="V152" s="352">
        <f t="shared" si="239"/>
        <v>404877546.62</v>
      </c>
      <c r="W152" s="352">
        <f t="shared" si="239"/>
        <v>103521060.87</v>
      </c>
      <c r="X152" s="352">
        <f t="shared" ca="1" si="239"/>
        <v>2382750918.0128522</v>
      </c>
      <c r="Y152" s="352">
        <f t="shared" ca="1" si="239"/>
        <v>2382750918.0128522</v>
      </c>
      <c r="Z152" s="352">
        <f t="shared" si="239"/>
        <v>646772188.00999999</v>
      </c>
      <c r="AA152" s="352">
        <f t="shared" si="239"/>
        <v>97888633.166944236</v>
      </c>
      <c r="AB152" s="352">
        <f t="shared" si="239"/>
        <v>2.0360894708136672</v>
      </c>
      <c r="AC152" s="352">
        <f t="shared" si="239"/>
        <v>948128673.75999999</v>
      </c>
      <c r="AD152" s="352">
        <f t="shared" si="239"/>
        <v>24.770578754150094</v>
      </c>
      <c r="AE152" s="352">
        <f t="shared" si="239"/>
        <v>0.4186758175376355</v>
      </c>
      <c r="AF152" s="352">
        <f t="shared" si="239"/>
        <v>316661006.42555195</v>
      </c>
      <c r="AG152" s="352" t="e">
        <f t="shared" si="239"/>
        <v>#DIV/0!</v>
      </c>
      <c r="AH152" s="352" t="e">
        <f t="shared" si="239"/>
        <v>#VALUE!</v>
      </c>
      <c r="AI152" s="352">
        <f t="shared" si="239"/>
        <v>2732598309.2396169</v>
      </c>
      <c r="AJ152" s="246" t="s">
        <v>408</v>
      </c>
      <c r="AK152" s="352">
        <f>AK155+AK186+AK204+AK214+AK235+AK251+AK258+AK261</f>
        <v>147458195.82064852</v>
      </c>
      <c r="AL152" s="317">
        <f>AL155+AL186+AL204+AL214+AL235+AL251+AL258+AL261</f>
        <v>156951817.54405802</v>
      </c>
      <c r="AM152" s="312">
        <f t="shared" ref="AM152:AM154" si="240">AL152/K152</f>
        <v>6.5870006116691152E-2</v>
      </c>
      <c r="AN152" s="352"/>
      <c r="AO152" s="352">
        <f>AO153+AO154</f>
        <v>160041278.54405802</v>
      </c>
      <c r="AP152" s="317">
        <f>AP155+AP186+AP204+AP214+AP235+AP251+AP258+AP261</f>
        <v>203666412.54405802</v>
      </c>
      <c r="AQ152" s="317">
        <f>AQ155+AQ186+AQ204+AQ214+AQ235+AQ251+AQ258+AQ261</f>
        <v>170334656.54405802</v>
      </c>
      <c r="AR152" s="312">
        <f t="shared" si="230"/>
        <v>7.1486555836105761E-2</v>
      </c>
      <c r="AS152" s="352"/>
      <c r="AT152" s="352"/>
      <c r="AU152" s="402">
        <f>AU153+AU154</f>
        <v>11632889.058823533</v>
      </c>
      <c r="AV152" s="267"/>
      <c r="AW152" s="294"/>
      <c r="AX152" s="250"/>
      <c r="AY152" s="250"/>
    </row>
    <row r="153" spans="1:55" s="52" customFormat="1">
      <c r="A153" s="377" t="s">
        <v>79</v>
      </c>
      <c r="B153" s="61" t="s">
        <v>575</v>
      </c>
      <c r="C153" s="62" t="s">
        <v>56</v>
      </c>
      <c r="D153" s="62" t="s">
        <v>1</v>
      </c>
      <c r="E153" s="63"/>
      <c r="F153" s="352">
        <f>F155+F186+F214+F251+F258</f>
        <v>1174270515.104856</v>
      </c>
      <c r="G153" s="352"/>
      <c r="H153" s="352">
        <f>H155+H186+H214+H251+H258</f>
        <v>1174270515.104856</v>
      </c>
      <c r="I153" s="352"/>
      <c r="J153" s="352">
        <f>J155+J186+J214+J251+J258</f>
        <v>1174270515.104856</v>
      </c>
      <c r="K153" s="316">
        <f>K155+K186+K214+K251+K258</f>
        <v>1242973338.6968999</v>
      </c>
      <c r="L153" s="352">
        <f t="shared" ref="L153:AI153" si="241">L155+L186+L214+L251+L258</f>
        <v>1337631846.4000001</v>
      </c>
      <c r="M153" s="352" t="e">
        <f t="shared" si="241"/>
        <v>#DIV/0!</v>
      </c>
      <c r="N153" s="352">
        <f t="shared" si="241"/>
        <v>267705646</v>
      </c>
      <c r="O153" s="352" t="e">
        <f t="shared" si="241"/>
        <v>#DIV/0!</v>
      </c>
      <c r="P153" s="352">
        <f t="shared" si="241"/>
        <v>991460620.42000008</v>
      </c>
      <c r="Q153" s="352">
        <f t="shared" si="241"/>
        <v>37.84395540774733</v>
      </c>
      <c r="R153" s="352">
        <f t="shared" si="241"/>
        <v>985776778.29999995</v>
      </c>
      <c r="S153" s="352">
        <f t="shared" si="241"/>
        <v>37.649148629498669</v>
      </c>
      <c r="T153" s="352">
        <f t="shared" si="241"/>
        <v>281952272.50999999</v>
      </c>
      <c r="U153" s="352">
        <f t="shared" si="241"/>
        <v>0</v>
      </c>
      <c r="V153" s="352">
        <f t="shared" si="241"/>
        <v>209667330.50999999</v>
      </c>
      <c r="W153" s="352">
        <f t="shared" si="241"/>
        <v>67103464.060000002</v>
      </c>
      <c r="X153" s="352">
        <f t="shared" si="241"/>
        <v>3772453.6399999997</v>
      </c>
      <c r="Y153" s="352">
        <f t="shared" si="241"/>
        <v>487847149.38000005</v>
      </c>
      <c r="Z153" s="352">
        <f t="shared" si="241"/>
        <v>349055736.57000005</v>
      </c>
      <c r="AA153" s="352">
        <f t="shared" si="241"/>
        <v>22582033.140000001</v>
      </c>
      <c r="AB153" s="352">
        <f t="shared" si="241"/>
        <v>1.3395256481449942</v>
      </c>
      <c r="AC153" s="352">
        <f t="shared" si="241"/>
        <v>491619603.02000004</v>
      </c>
      <c r="AD153" s="352">
        <f t="shared" si="241"/>
        <v>19.813749604191447</v>
      </c>
      <c r="AE153" s="352">
        <f t="shared" si="241"/>
        <v>0.40094756745438931</v>
      </c>
      <c r="AF153" s="352">
        <f t="shared" si="241"/>
        <v>188493732.23281202</v>
      </c>
      <c r="AG153" s="352" t="e">
        <f t="shared" si="241"/>
        <v>#DIV/0!</v>
      </c>
      <c r="AH153" s="352" t="e">
        <f t="shared" si="241"/>
        <v>#VALUE!</v>
      </c>
      <c r="AI153" s="352">
        <f t="shared" si="241"/>
        <v>1382289098.9211719</v>
      </c>
      <c r="AJ153" s="246" t="s">
        <v>408</v>
      </c>
      <c r="AK153" s="352">
        <f>AK155+AK186+AK214+AK251+AK258</f>
        <v>108341230.37017849</v>
      </c>
      <c r="AL153" s="317">
        <f>AL155+AL186+AL214+AL251+AL258</f>
        <v>112527700</v>
      </c>
      <c r="AM153" s="312">
        <f t="shared" si="240"/>
        <v>9.0531064904393721E-2</v>
      </c>
      <c r="AN153" s="352"/>
      <c r="AO153" s="352">
        <f>AO155+AO186+AO232+AO251+AO258</f>
        <v>115617161</v>
      </c>
      <c r="AP153" s="317">
        <f>AP155+AP186+AP214+AP251+AP258</f>
        <v>156459456</v>
      </c>
      <c r="AQ153" s="317">
        <f>AQ155+AQ186+AQ214+AQ251+AQ258</f>
        <v>123127700</v>
      </c>
      <c r="AR153" s="312">
        <f t="shared" si="230"/>
        <v>9.9059003251899036E-2</v>
      </c>
      <c r="AS153" s="352"/>
      <c r="AT153" s="352"/>
      <c r="AU153" s="402">
        <f>AU155+AU186+AU232+AU251+AU258</f>
        <v>11264494.235294122</v>
      </c>
      <c r="AV153" s="267"/>
      <c r="AW153" s="294"/>
      <c r="AX153" s="250"/>
      <c r="AY153" s="250"/>
    </row>
    <row r="154" spans="1:55" s="98" customFormat="1">
      <c r="A154" s="377" t="s">
        <v>79</v>
      </c>
      <c r="B154" s="61" t="s">
        <v>576</v>
      </c>
      <c r="C154" s="62" t="s">
        <v>171</v>
      </c>
      <c r="D154" s="62" t="s">
        <v>1</v>
      </c>
      <c r="E154" s="63"/>
      <c r="F154" s="352">
        <f>F204+F235+F261</f>
        <v>1082161120.5546119</v>
      </c>
      <c r="G154" s="352"/>
      <c r="H154" s="352">
        <f>H204+H235+H261</f>
        <v>1082161120.5546119</v>
      </c>
      <c r="I154" s="352"/>
      <c r="J154" s="352">
        <f>J204+J235+J261</f>
        <v>1082161120.5546119</v>
      </c>
      <c r="K154" s="316">
        <f>K204+K235+K261</f>
        <v>1139777579.3159521</v>
      </c>
      <c r="L154" s="352">
        <f t="shared" ref="L154:AI154" si="242">L204+L235+L261</f>
        <v>1163823038.29</v>
      </c>
      <c r="M154" s="352">
        <f t="shared" si="242"/>
        <v>18.008977062506695</v>
      </c>
      <c r="N154" s="352">
        <f t="shared" si="242"/>
        <v>89520305.730000004</v>
      </c>
      <c r="O154" s="352">
        <f t="shared" si="242"/>
        <v>3.8171440077539822</v>
      </c>
      <c r="P154" s="352">
        <f t="shared" si="242"/>
        <v>961588809.84000015</v>
      </c>
      <c r="Q154" s="352">
        <f t="shared" si="242"/>
        <v>12.349071334588714</v>
      </c>
      <c r="R154" s="352">
        <f t="shared" si="242"/>
        <v>953993845.08000004</v>
      </c>
      <c r="S154" s="352">
        <f t="shared" si="242"/>
        <v>11.795890809667345</v>
      </c>
      <c r="T154" s="352">
        <f t="shared" si="242"/>
        <v>251603431.50000003</v>
      </c>
      <c r="U154" s="352">
        <f t="shared" si="242"/>
        <v>9695423.129999999</v>
      </c>
      <c r="V154" s="352">
        <f t="shared" si="242"/>
        <v>195210216.11000001</v>
      </c>
      <c r="W154" s="352">
        <f t="shared" si="242"/>
        <v>36417596.810000002</v>
      </c>
      <c r="X154" s="352">
        <f t="shared" ca="1" si="242"/>
        <v>1139777579.3159521</v>
      </c>
      <c r="Y154" s="352">
        <f t="shared" ca="1" si="242"/>
        <v>1139777579.3159521</v>
      </c>
      <c r="Z154" s="352">
        <f t="shared" si="242"/>
        <v>297716451.44</v>
      </c>
      <c r="AA154" s="352">
        <f t="shared" si="242"/>
        <v>75306600.02694422</v>
      </c>
      <c r="AB154" s="352">
        <f t="shared" si="242"/>
        <v>0.69656382266867323</v>
      </c>
      <c r="AC154" s="352">
        <f t="shared" si="242"/>
        <v>456509070.74000007</v>
      </c>
      <c r="AD154" s="352">
        <f t="shared" si="242"/>
        <v>4.9568291499586472</v>
      </c>
      <c r="AE154" s="352">
        <f t="shared" si="242"/>
        <v>1.7728250083246192E-2</v>
      </c>
      <c r="AF154" s="352">
        <f t="shared" si="242"/>
        <v>128167274.19273999</v>
      </c>
      <c r="AG154" s="352" t="e">
        <f t="shared" si="242"/>
        <v>#DIV/0!</v>
      </c>
      <c r="AH154" s="352" t="e">
        <f t="shared" si="242"/>
        <v>#VALUE!</v>
      </c>
      <c r="AI154" s="352">
        <f t="shared" si="242"/>
        <v>1350309210.318444</v>
      </c>
      <c r="AJ154" s="246" t="s">
        <v>408</v>
      </c>
      <c r="AK154" s="352">
        <f>AK204+AK235+AK261</f>
        <v>39116965.45047003</v>
      </c>
      <c r="AL154" s="317">
        <f>AL204+AL235+AL261</f>
        <v>44424117.54405801</v>
      </c>
      <c r="AM154" s="312">
        <f t="shared" si="240"/>
        <v>3.8976128632675466E-2</v>
      </c>
      <c r="AN154" s="352"/>
      <c r="AO154" s="352">
        <f>AO204+AO235+AO261</f>
        <v>44424117.54405801</v>
      </c>
      <c r="AP154" s="317">
        <f>AP204+AP235+AP261</f>
        <v>47206956.54405801</v>
      </c>
      <c r="AQ154" s="317">
        <f>AQ204+AQ235+AQ261</f>
        <v>47206956.54405801</v>
      </c>
      <c r="AR154" s="312">
        <f t="shared" si="230"/>
        <v>4.1417691838077475E-2</v>
      </c>
      <c r="AS154" s="352"/>
      <c r="AT154" s="352"/>
      <c r="AU154" s="402">
        <f>AU204+AU235+AU261</f>
        <v>368394.82352941157</v>
      </c>
      <c r="AV154" s="260"/>
      <c r="AW154" s="294"/>
      <c r="AX154" s="250"/>
      <c r="AY154" s="250"/>
    </row>
    <row r="155" spans="1:55" s="98" customFormat="1" ht="49.5">
      <c r="A155" s="379" t="s">
        <v>80</v>
      </c>
      <c r="B155" s="66" t="s">
        <v>577</v>
      </c>
      <c r="C155" s="67" t="s">
        <v>56</v>
      </c>
      <c r="D155" s="67" t="s">
        <v>1</v>
      </c>
      <c r="E155" s="68"/>
      <c r="F155" s="353">
        <f>F156+F159+F162+F168+F178</f>
        <v>354651228.75374401</v>
      </c>
      <c r="G155" s="353"/>
      <c r="H155" s="353">
        <f>H156+H159+H162+H168+H178</f>
        <v>354651228.75374401</v>
      </c>
      <c r="I155" s="353"/>
      <c r="J155" s="353">
        <f>J156+J159+J162+J168+J178</f>
        <v>354651228.75374401</v>
      </c>
      <c r="K155" s="178">
        <f>K156+K159+K162+K168+K178</f>
        <v>386675299.12993193</v>
      </c>
      <c r="L155" s="353">
        <f t="shared" ref="L155:AI155" si="243">L156+L159+L162+L168+L178</f>
        <v>379817151.5</v>
      </c>
      <c r="M155" s="353" t="e">
        <f t="shared" si="243"/>
        <v>#DIV/0!</v>
      </c>
      <c r="N155" s="353">
        <f t="shared" si="243"/>
        <v>20490981.240000002</v>
      </c>
      <c r="O155" s="353" t="e">
        <f t="shared" si="243"/>
        <v>#DIV/0!</v>
      </c>
      <c r="P155" s="353">
        <f t="shared" si="243"/>
        <v>348301638.25999999</v>
      </c>
      <c r="Q155" s="353">
        <f t="shared" si="243"/>
        <v>18.455493081557481</v>
      </c>
      <c r="R155" s="353">
        <f t="shared" si="243"/>
        <v>348297473.25999999</v>
      </c>
      <c r="S155" s="353">
        <f t="shared" si="243"/>
        <v>18.454320799700149</v>
      </c>
      <c r="T155" s="353">
        <f t="shared" si="243"/>
        <v>97838472.909999996</v>
      </c>
      <c r="U155" s="353">
        <f t="shared" si="243"/>
        <v>0</v>
      </c>
      <c r="V155" s="353">
        <f t="shared" si="243"/>
        <v>70919215.670000002</v>
      </c>
      <c r="W155" s="353">
        <f t="shared" si="243"/>
        <v>18452225.930000003</v>
      </c>
      <c r="X155" s="353">
        <f t="shared" si="243"/>
        <v>76627.909999999989</v>
      </c>
      <c r="Y155" s="353">
        <f t="shared" si="243"/>
        <v>168681060.67000002</v>
      </c>
      <c r="Z155" s="353">
        <f t="shared" si="243"/>
        <v>116290698.84</v>
      </c>
      <c r="AA155" s="353">
        <f t="shared" si="243"/>
        <v>10831832.390000001</v>
      </c>
      <c r="AB155" s="353">
        <f t="shared" si="243"/>
        <v>0.9392695807315502</v>
      </c>
      <c r="AC155" s="353">
        <f t="shared" si="243"/>
        <v>168757688.58000001</v>
      </c>
      <c r="AD155" s="353">
        <f t="shared" si="243"/>
        <v>11.802768958550898</v>
      </c>
      <c r="AE155" s="353">
        <f t="shared" si="243"/>
        <v>0.21505288535759318</v>
      </c>
      <c r="AF155" s="353">
        <f t="shared" si="243"/>
        <v>6353750.921699998</v>
      </c>
      <c r="AG155" s="353">
        <f t="shared" si="243"/>
        <v>0.54567777727483346</v>
      </c>
      <c r="AH155" s="353" t="e">
        <f t="shared" si="243"/>
        <v>#VALUE!</v>
      </c>
      <c r="AI155" s="353">
        <f t="shared" si="243"/>
        <v>414546897.75437999</v>
      </c>
      <c r="AJ155" s="242" t="s">
        <v>408</v>
      </c>
      <c r="AK155" s="353">
        <f>AK156+AK159+AK162+AK168+AK178</f>
        <v>38229775.370178491</v>
      </c>
      <c r="AL155" s="318">
        <f>AL156+AL159+AL162+AL168+AL178</f>
        <v>42416245</v>
      </c>
      <c r="AM155" s="311">
        <f>AL155/K155</f>
        <v>0.10969473637297725</v>
      </c>
      <c r="AN155" s="353"/>
      <c r="AO155" s="353">
        <f>AO156+AO159+AO162+AO168+AO178</f>
        <v>45505706</v>
      </c>
      <c r="AP155" s="318">
        <f>AP156+AP159+AP162+AP168+AP178</f>
        <v>53016245</v>
      </c>
      <c r="AQ155" s="318">
        <f>AQ156+AQ159+AQ162+AQ168+AQ178</f>
        <v>53016245</v>
      </c>
      <c r="AR155" s="311">
        <f t="shared" si="230"/>
        <v>0.1371079174679459</v>
      </c>
      <c r="AS155" s="353"/>
      <c r="AT155" s="353"/>
      <c r="AU155" s="386">
        <f>AU156+AU159+AU162+AU168+AU178</f>
        <v>1980119.823529413</v>
      </c>
      <c r="AV155" s="260"/>
      <c r="AW155" s="294"/>
      <c r="AX155" s="250"/>
      <c r="AY155" s="250"/>
    </row>
    <row r="156" spans="1:55" s="83" customFormat="1" ht="270.75" customHeight="1">
      <c r="A156" s="379" t="s">
        <v>81</v>
      </c>
      <c r="B156" s="66" t="s">
        <v>578</v>
      </c>
      <c r="C156" s="67" t="s">
        <v>56</v>
      </c>
      <c r="D156" s="67" t="s">
        <v>5</v>
      </c>
      <c r="E156" s="110"/>
      <c r="F156" s="94">
        <f>F157+F158</f>
        <v>61454399.016527995</v>
      </c>
      <c r="G156" s="94"/>
      <c r="H156" s="94">
        <f>H157+H158</f>
        <v>61454399.016527995</v>
      </c>
      <c r="I156" s="94"/>
      <c r="J156" s="353">
        <f>J157+J158</f>
        <v>61454399.016527995</v>
      </c>
      <c r="K156" s="178">
        <f t="shared" ref="K156:AL156" si="244">K157+K158</f>
        <v>71022217.352844</v>
      </c>
      <c r="L156" s="353">
        <f t="shared" si="244"/>
        <v>63535734.659999996</v>
      </c>
      <c r="M156" s="353">
        <f t="shared" si="244"/>
        <v>2.0349877515897798</v>
      </c>
      <c r="N156" s="353">
        <f t="shared" si="244"/>
        <v>2700775.7</v>
      </c>
      <c r="O156" s="353">
        <f t="shared" si="244"/>
        <v>4.5401589700191154E-2</v>
      </c>
      <c r="P156" s="353">
        <f t="shared" si="244"/>
        <v>57053354.960000001</v>
      </c>
      <c r="Q156" s="353">
        <f t="shared" si="244"/>
        <v>1.9260152280957894</v>
      </c>
      <c r="R156" s="353">
        <f t="shared" si="244"/>
        <v>57053354.960000001</v>
      </c>
      <c r="S156" s="353">
        <f t="shared" si="244"/>
        <v>1.9260152280957894</v>
      </c>
      <c r="T156" s="353">
        <f t="shared" si="244"/>
        <v>4670579.83</v>
      </c>
      <c r="U156" s="353">
        <f t="shared" si="244"/>
        <v>0</v>
      </c>
      <c r="V156" s="353">
        <f t="shared" si="244"/>
        <v>2141042.41</v>
      </c>
      <c r="W156" s="353">
        <f t="shared" si="244"/>
        <v>479012.27</v>
      </c>
      <c r="X156" s="353">
        <f t="shared" si="244"/>
        <v>0</v>
      </c>
      <c r="Y156" s="353">
        <f t="shared" si="244"/>
        <v>6811622.2400000002</v>
      </c>
      <c r="Z156" s="353">
        <f t="shared" si="244"/>
        <v>5149592.0999999996</v>
      </c>
      <c r="AA156" s="353">
        <f t="shared" si="244"/>
        <v>3781604</v>
      </c>
      <c r="AB156" s="353">
        <f t="shared" si="244"/>
        <v>6.3570933793799189E-2</v>
      </c>
      <c r="AC156" s="353">
        <f t="shared" si="244"/>
        <v>6811622.2400000002</v>
      </c>
      <c r="AD156" s="353">
        <f t="shared" si="244"/>
        <v>0.12885321630699167</v>
      </c>
      <c r="AE156" s="353">
        <f t="shared" si="244"/>
        <v>0.13094149463670821</v>
      </c>
      <c r="AF156" s="353">
        <f t="shared" si="244"/>
        <v>4401042.6415079981</v>
      </c>
      <c r="AG156" s="353">
        <f t="shared" si="244"/>
        <v>7.3984052901094888E-2</v>
      </c>
      <c r="AH156" s="353" t="e">
        <f t="shared" si="244"/>
        <v>#VALUE!</v>
      </c>
      <c r="AI156" s="353">
        <f t="shared" si="244"/>
        <v>71022217.352844</v>
      </c>
      <c r="AJ156" s="242" t="s">
        <v>408</v>
      </c>
      <c r="AK156" s="353">
        <f t="shared" si="244"/>
        <v>27009096.370178495</v>
      </c>
      <c r="AL156" s="318">
        <f t="shared" si="244"/>
        <v>31195566</v>
      </c>
      <c r="AM156" s="311">
        <f>AL156/K156</f>
        <v>0.43923672285558135</v>
      </c>
      <c r="AN156" s="353"/>
      <c r="AO156" s="353">
        <f t="shared" ref="AO156:AQ156" si="245">AO157+AO158</f>
        <v>34285027</v>
      </c>
      <c r="AP156" s="318">
        <f t="shared" si="245"/>
        <v>31195566</v>
      </c>
      <c r="AQ156" s="318">
        <f t="shared" si="245"/>
        <v>31195566</v>
      </c>
      <c r="AR156" s="311">
        <f t="shared" si="230"/>
        <v>0.43923672285558135</v>
      </c>
      <c r="AS156" s="353"/>
      <c r="AT156" s="353"/>
      <c r="AU156" s="386">
        <f>AU157+AU158</f>
        <v>0</v>
      </c>
      <c r="AV156" s="258"/>
      <c r="AW156" s="294"/>
      <c r="AX156" s="250"/>
      <c r="AY156" s="250"/>
    </row>
    <row r="157" spans="1:55" s="83" customFormat="1" ht="280.5" customHeight="1">
      <c r="A157" s="383" t="s">
        <v>233</v>
      </c>
      <c r="B157" s="350" t="s">
        <v>579</v>
      </c>
      <c r="C157" s="183" t="s">
        <v>56</v>
      </c>
      <c r="D157" s="183" t="s">
        <v>5</v>
      </c>
      <c r="E157" s="187">
        <v>84641477</v>
      </c>
      <c r="F157" s="187">
        <f>E157*$E$6</f>
        <v>59486368.601507999</v>
      </c>
      <c r="G157" s="187">
        <v>84641477</v>
      </c>
      <c r="H157" s="187">
        <f>G157*$G$6</f>
        <v>59486368.601507999</v>
      </c>
      <c r="I157" s="187">
        <v>84641477</v>
      </c>
      <c r="J157" s="355">
        <f>I157*$I$6</f>
        <v>59486368.601507999</v>
      </c>
      <c r="K157" s="355">
        <v>68706887.204771996</v>
      </c>
      <c r="L157" s="355">
        <v>61567705.659999996</v>
      </c>
      <c r="M157" s="184">
        <f t="shared" ref="M157:M216" si="246">L157/J157</f>
        <v>1.0349884705928953</v>
      </c>
      <c r="N157" s="355">
        <v>2700775.7</v>
      </c>
      <c r="O157" s="185">
        <f t="shared" si="216"/>
        <v>4.5401589700191154E-2</v>
      </c>
      <c r="P157" s="355">
        <v>55085325.960000001</v>
      </c>
      <c r="Q157" s="186">
        <f t="shared" si="233"/>
        <v>0.92601594709890511</v>
      </c>
      <c r="R157" s="355">
        <v>55085325.960000001</v>
      </c>
      <c r="S157" s="186">
        <f t="shared" si="235"/>
        <v>0.92601594709890511</v>
      </c>
      <c r="T157" s="187">
        <v>4641380.57</v>
      </c>
      <c r="U157" s="187"/>
      <c r="V157" s="187">
        <v>2141042.41</v>
      </c>
      <c r="W157" s="187">
        <v>479012.27</v>
      </c>
      <c r="X157" s="187">
        <v>0</v>
      </c>
      <c r="Y157" s="187">
        <f t="shared" ref="Y157:Y182" si="247">AC157-X157</f>
        <v>6782422.9800000004</v>
      </c>
      <c r="Z157" s="189">
        <f t="shared" ref="Z157:Z213" si="248">T157+U157+W157</f>
        <v>5120392.84</v>
      </c>
      <c r="AA157" s="189">
        <v>3781604</v>
      </c>
      <c r="AB157" s="201">
        <f t="shared" ref="AB157" si="249">AA157/J157</f>
        <v>6.3570933793799189E-2</v>
      </c>
      <c r="AC157" s="204">
        <f>SUM(T157:V157)</f>
        <v>6782422.9800000004</v>
      </c>
      <c r="AD157" s="186">
        <f t="shared" si="238"/>
        <v>0.11401642324873842</v>
      </c>
      <c r="AE157" s="184">
        <v>0.13094149463670821</v>
      </c>
      <c r="AF157" s="190">
        <f t="shared" si="229"/>
        <v>4401042.6415079981</v>
      </c>
      <c r="AG157" s="191">
        <f t="shared" si="210"/>
        <v>7.3984052901094888E-2</v>
      </c>
      <c r="AH157" s="192" t="s">
        <v>353</v>
      </c>
      <c r="AI157" s="355">
        <v>68706887.204771996</v>
      </c>
      <c r="AJ157" s="244" t="s">
        <v>408</v>
      </c>
      <c r="AK157" s="355">
        <f>(J157/K157)*AL157</f>
        <v>27009096.370178495</v>
      </c>
      <c r="AL157" s="355">
        <v>31195566</v>
      </c>
      <c r="AM157" s="212">
        <f t="shared" ref="AM157:AM216" si="250">AL157/K157</f>
        <v>0.45403841258337974</v>
      </c>
      <c r="AN157" s="184" t="s">
        <v>408</v>
      </c>
      <c r="AO157" s="355">
        <v>34285027</v>
      </c>
      <c r="AP157" s="355">
        <v>31195566</v>
      </c>
      <c r="AQ157" s="355">
        <v>31195566</v>
      </c>
      <c r="AR157" s="212">
        <f t="shared" si="230"/>
        <v>0.45403841258337974</v>
      </c>
      <c r="AS157" s="324" t="s">
        <v>433</v>
      </c>
      <c r="AT157" s="274" t="s">
        <v>724</v>
      </c>
      <c r="AU157" s="384"/>
      <c r="AV157" s="261"/>
      <c r="AW157" s="294"/>
    </row>
    <row r="158" spans="1:55" s="98" customFormat="1" ht="33.6" customHeight="1">
      <c r="A158" s="381" t="s">
        <v>82</v>
      </c>
      <c r="B158" s="71" t="s">
        <v>580</v>
      </c>
      <c r="C158" s="72" t="s">
        <v>56</v>
      </c>
      <c r="D158" s="72" t="s">
        <v>5</v>
      </c>
      <c r="E158" s="82">
        <v>2800255</v>
      </c>
      <c r="F158" s="82">
        <f>E158*$E$6</f>
        <v>1968030.41502</v>
      </c>
      <c r="G158" s="82">
        <v>2800255</v>
      </c>
      <c r="H158" s="82">
        <f>G158*$G$6</f>
        <v>1968030.41502</v>
      </c>
      <c r="I158" s="109">
        <v>2800255</v>
      </c>
      <c r="J158" s="354">
        <f>I158*$I$6</f>
        <v>1968030.41502</v>
      </c>
      <c r="K158" s="354">
        <v>2315330.1480720001</v>
      </c>
      <c r="L158" s="354">
        <v>1968029</v>
      </c>
      <c r="M158" s="130">
        <f t="shared" si="246"/>
        <v>0.9999992809968844</v>
      </c>
      <c r="N158" s="354"/>
      <c r="O158" s="132">
        <f t="shared" si="216"/>
        <v>0</v>
      </c>
      <c r="P158" s="354">
        <v>1968029</v>
      </c>
      <c r="Q158" s="76">
        <f t="shared" si="233"/>
        <v>0.9999992809968844</v>
      </c>
      <c r="R158" s="354">
        <v>1968029</v>
      </c>
      <c r="S158" s="76">
        <f t="shared" si="235"/>
        <v>0.9999992809968844</v>
      </c>
      <c r="T158" s="79">
        <v>29199.26</v>
      </c>
      <c r="U158" s="79"/>
      <c r="V158" s="79">
        <v>0</v>
      </c>
      <c r="W158" s="79">
        <v>0</v>
      </c>
      <c r="X158" s="79">
        <v>0</v>
      </c>
      <c r="Y158" s="79">
        <f t="shared" si="247"/>
        <v>29199.26</v>
      </c>
      <c r="Z158" s="115">
        <f t="shared" si="248"/>
        <v>29199.26</v>
      </c>
      <c r="AA158" s="115"/>
      <c r="AB158" s="139"/>
      <c r="AC158" s="116">
        <f>SUM(T158:V158)</f>
        <v>29199.26</v>
      </c>
      <c r="AD158" s="76">
        <f t="shared" si="238"/>
        <v>1.483679305825325E-2</v>
      </c>
      <c r="AE158" s="130">
        <v>0</v>
      </c>
      <c r="AF158" s="171">
        <v>0</v>
      </c>
      <c r="AG158" s="172">
        <f t="shared" si="210"/>
        <v>0</v>
      </c>
      <c r="AH158" s="149" t="s">
        <v>428</v>
      </c>
      <c r="AI158" s="354">
        <v>2315330.1480720001</v>
      </c>
      <c r="AJ158" s="243" t="s">
        <v>409</v>
      </c>
      <c r="AK158" s="354">
        <v>0</v>
      </c>
      <c r="AL158" s="354">
        <v>0</v>
      </c>
      <c r="AM158" s="96">
        <f t="shared" si="250"/>
        <v>0</v>
      </c>
      <c r="AN158" s="354"/>
      <c r="AO158" s="354">
        <f t="shared" ref="AO158:AO187" si="251">AL158</f>
        <v>0</v>
      </c>
      <c r="AP158" s="96"/>
      <c r="AQ158" s="96"/>
      <c r="AR158" s="96">
        <f t="shared" si="230"/>
        <v>0</v>
      </c>
      <c r="AS158" s="96"/>
      <c r="AT158" s="96"/>
      <c r="AU158" s="388"/>
      <c r="AV158" s="268"/>
      <c r="AW158" s="294"/>
    </row>
    <row r="159" spans="1:55" s="83" customFormat="1" ht="33">
      <c r="A159" s="379" t="s">
        <v>83</v>
      </c>
      <c r="B159" s="66" t="s">
        <v>581</v>
      </c>
      <c r="C159" s="67" t="s">
        <v>56</v>
      </c>
      <c r="D159" s="67" t="s">
        <v>5</v>
      </c>
      <c r="E159" s="110"/>
      <c r="F159" s="94">
        <f>F160+F161</f>
        <v>85374366.188316002</v>
      </c>
      <c r="G159" s="94"/>
      <c r="H159" s="94">
        <f>H160+H161</f>
        <v>85374366.188316002</v>
      </c>
      <c r="I159" s="94"/>
      <c r="J159" s="353">
        <f>J160+J161</f>
        <v>85374366.188316002</v>
      </c>
      <c r="K159" s="353">
        <f t="shared" ref="K159:AL159" si="252">K160+K161</f>
        <v>92718203.434872001</v>
      </c>
      <c r="L159" s="353">
        <f t="shared" si="252"/>
        <v>85498063</v>
      </c>
      <c r="M159" s="353" t="e">
        <f t="shared" si="252"/>
        <v>#DIV/0!</v>
      </c>
      <c r="N159" s="353">
        <f t="shared" si="252"/>
        <v>123698</v>
      </c>
      <c r="O159" s="353">
        <f t="shared" si="252"/>
        <v>1.4488892336506601E-3</v>
      </c>
      <c r="P159" s="353">
        <f t="shared" si="252"/>
        <v>85374365</v>
      </c>
      <c r="Q159" s="353">
        <f t="shared" si="252"/>
        <v>0.99999998608111484</v>
      </c>
      <c r="R159" s="353">
        <f t="shared" si="252"/>
        <v>85374365</v>
      </c>
      <c r="S159" s="353">
        <f t="shared" si="252"/>
        <v>0.99999998608111484</v>
      </c>
      <c r="T159" s="353">
        <f t="shared" si="252"/>
        <v>13073372.73</v>
      </c>
      <c r="U159" s="353">
        <f t="shared" si="252"/>
        <v>0</v>
      </c>
      <c r="V159" s="353">
        <f t="shared" si="252"/>
        <v>27174908.670000002</v>
      </c>
      <c r="W159" s="353">
        <f t="shared" si="252"/>
        <v>282690.31000000198</v>
      </c>
      <c r="X159" s="353">
        <f t="shared" si="252"/>
        <v>0</v>
      </c>
      <c r="Y159" s="353">
        <f t="shared" si="252"/>
        <v>40248281.400000006</v>
      </c>
      <c r="Z159" s="353">
        <f t="shared" si="252"/>
        <v>13356063.040000003</v>
      </c>
      <c r="AA159" s="353">
        <f t="shared" si="252"/>
        <v>0</v>
      </c>
      <c r="AB159" s="353">
        <f t="shared" si="252"/>
        <v>0</v>
      </c>
      <c r="AC159" s="353">
        <f t="shared" si="252"/>
        <v>40248281.400000006</v>
      </c>
      <c r="AD159" s="353">
        <f t="shared" si="252"/>
        <v>0.47143285738978907</v>
      </c>
      <c r="AE159" s="353">
        <f t="shared" si="252"/>
        <v>1.6564464889063462E-3</v>
      </c>
      <c r="AF159" s="353">
        <f t="shared" si="252"/>
        <v>0</v>
      </c>
      <c r="AG159" s="353">
        <f t="shared" si="252"/>
        <v>0</v>
      </c>
      <c r="AH159" s="353" t="e">
        <f t="shared" si="252"/>
        <v>#VALUE!</v>
      </c>
      <c r="AI159" s="353">
        <f t="shared" si="252"/>
        <v>100440431.057832</v>
      </c>
      <c r="AJ159" s="242" t="s">
        <v>409</v>
      </c>
      <c r="AK159" s="353">
        <f t="shared" si="252"/>
        <v>0</v>
      </c>
      <c r="AL159" s="353">
        <f t="shared" si="252"/>
        <v>0</v>
      </c>
      <c r="AM159" s="311">
        <f t="shared" si="250"/>
        <v>0</v>
      </c>
      <c r="AN159" s="353"/>
      <c r="AO159" s="178">
        <f t="shared" si="251"/>
        <v>0</v>
      </c>
      <c r="AP159" s="353">
        <f t="shared" ref="AP159:AQ159" si="253">AP160+AP161</f>
        <v>0</v>
      </c>
      <c r="AQ159" s="353">
        <f t="shared" si="253"/>
        <v>0</v>
      </c>
      <c r="AR159" s="311">
        <f t="shared" si="230"/>
        <v>0</v>
      </c>
      <c r="AS159" s="353"/>
      <c r="AT159" s="353"/>
      <c r="AU159" s="403"/>
      <c r="AV159" s="261"/>
      <c r="AW159" s="294"/>
    </row>
    <row r="160" spans="1:55" s="83" customFormat="1" ht="171.75" customHeight="1">
      <c r="A160" s="381" t="s">
        <v>84</v>
      </c>
      <c r="B160" s="71" t="s">
        <v>582</v>
      </c>
      <c r="C160" s="72" t="s">
        <v>56</v>
      </c>
      <c r="D160" s="72" t="s">
        <v>5</v>
      </c>
      <c r="E160" s="82">
        <v>121476779</v>
      </c>
      <c r="F160" s="82">
        <f>E160*$E$6</f>
        <v>85374366.188316002</v>
      </c>
      <c r="G160" s="82">
        <v>121476779</v>
      </c>
      <c r="H160" s="82">
        <f>G160*$G$6</f>
        <v>85374366.188316002</v>
      </c>
      <c r="I160" s="82">
        <v>121476779</v>
      </c>
      <c r="J160" s="354">
        <f>I160*$I$6</f>
        <v>85374366.188316002</v>
      </c>
      <c r="K160" s="354">
        <v>92718203.434872001</v>
      </c>
      <c r="L160" s="354">
        <v>85498063</v>
      </c>
      <c r="M160" s="130">
        <f t="shared" si="246"/>
        <v>1.0014488753147655</v>
      </c>
      <c r="N160" s="354">
        <v>123698</v>
      </c>
      <c r="O160" s="132">
        <f t="shared" si="216"/>
        <v>1.4488892336506601E-3</v>
      </c>
      <c r="P160" s="354">
        <v>85374365</v>
      </c>
      <c r="Q160" s="76">
        <f t="shared" si="233"/>
        <v>0.99999998608111484</v>
      </c>
      <c r="R160" s="354">
        <v>85374365</v>
      </c>
      <c r="S160" s="76">
        <f t="shared" si="235"/>
        <v>0.99999998608111484</v>
      </c>
      <c r="T160" s="79">
        <v>13073372.73</v>
      </c>
      <c r="U160" s="79"/>
      <c r="V160" s="79">
        <v>27174908.670000002</v>
      </c>
      <c r="W160" s="79">
        <v>282690.31000000198</v>
      </c>
      <c r="X160" s="79">
        <v>0</v>
      </c>
      <c r="Y160" s="79">
        <f t="shared" si="247"/>
        <v>40248281.400000006</v>
      </c>
      <c r="Z160" s="115">
        <f t="shared" si="248"/>
        <v>13356063.040000003</v>
      </c>
      <c r="AA160" s="115"/>
      <c r="AB160" s="139"/>
      <c r="AC160" s="116">
        <f>SUM(T160:V160)</f>
        <v>40248281.400000006</v>
      </c>
      <c r="AD160" s="76">
        <f t="shared" si="238"/>
        <v>0.47143285738978907</v>
      </c>
      <c r="AE160" s="130">
        <v>1.6564464889063462E-3</v>
      </c>
      <c r="AF160" s="171">
        <v>0</v>
      </c>
      <c r="AG160" s="172">
        <f t="shared" si="210"/>
        <v>0</v>
      </c>
      <c r="AH160" s="149" t="s">
        <v>354</v>
      </c>
      <c r="AI160" s="354">
        <v>100440431.057832</v>
      </c>
      <c r="AJ160" s="243" t="s">
        <v>409</v>
      </c>
      <c r="AK160" s="354">
        <v>0</v>
      </c>
      <c r="AL160" s="354">
        <v>0</v>
      </c>
      <c r="AM160" s="96">
        <f t="shared" si="250"/>
        <v>0</v>
      </c>
      <c r="AN160" s="354"/>
      <c r="AO160" s="354">
        <f t="shared" si="251"/>
        <v>0</v>
      </c>
      <c r="AP160" s="170"/>
      <c r="AQ160" s="170"/>
      <c r="AR160" s="96">
        <f t="shared" si="230"/>
        <v>0</v>
      </c>
      <c r="AS160" s="170"/>
      <c r="AT160" s="170"/>
      <c r="AU160" s="388"/>
      <c r="AV160" s="261"/>
      <c r="AW160" s="294"/>
    </row>
    <row r="161" spans="1:51" s="98" customFormat="1" ht="50.45" customHeight="1">
      <c r="A161" s="381" t="s">
        <v>85</v>
      </c>
      <c r="B161" s="71" t="s">
        <v>583</v>
      </c>
      <c r="C161" s="72" t="s">
        <v>56</v>
      </c>
      <c r="D161" s="72" t="s">
        <v>5</v>
      </c>
      <c r="E161" s="109">
        <v>0</v>
      </c>
      <c r="F161" s="82">
        <f>E161*$E$6</f>
        <v>0</v>
      </c>
      <c r="G161" s="82">
        <v>0</v>
      </c>
      <c r="H161" s="82">
        <f>G161*$G$6</f>
        <v>0</v>
      </c>
      <c r="I161" s="82">
        <v>0</v>
      </c>
      <c r="J161" s="354">
        <f>I161*$I$6</f>
        <v>0</v>
      </c>
      <c r="K161" s="354">
        <v>0</v>
      </c>
      <c r="L161" s="354"/>
      <c r="M161" s="130" t="e">
        <f t="shared" si="246"/>
        <v>#DIV/0!</v>
      </c>
      <c r="N161" s="354"/>
      <c r="O161" s="126"/>
      <c r="P161" s="354">
        <v>0</v>
      </c>
      <c r="Q161" s="76">
        <v>0</v>
      </c>
      <c r="R161" s="354">
        <v>0</v>
      </c>
      <c r="S161" s="76">
        <v>0</v>
      </c>
      <c r="T161" s="79">
        <v>0</v>
      </c>
      <c r="U161" s="79">
        <v>0</v>
      </c>
      <c r="V161" s="79">
        <v>0</v>
      </c>
      <c r="W161" s="79">
        <v>0</v>
      </c>
      <c r="X161" s="79">
        <v>0</v>
      </c>
      <c r="Y161" s="79">
        <f t="shared" si="247"/>
        <v>0</v>
      </c>
      <c r="Z161" s="115">
        <f t="shared" si="248"/>
        <v>0</v>
      </c>
      <c r="AA161" s="115"/>
      <c r="AB161" s="139"/>
      <c r="AC161" s="116">
        <f>SUM(T161:V161)</f>
        <v>0</v>
      </c>
      <c r="AD161" s="76">
        <v>0</v>
      </c>
      <c r="AE161" s="130"/>
      <c r="AF161" s="171">
        <f>J161-R161</f>
        <v>0</v>
      </c>
      <c r="AG161" s="172">
        <v>0</v>
      </c>
      <c r="AH161" s="149" t="s">
        <v>355</v>
      </c>
      <c r="AI161" s="354">
        <v>0</v>
      </c>
      <c r="AJ161" s="243" t="s">
        <v>409</v>
      </c>
      <c r="AK161" s="354">
        <v>0</v>
      </c>
      <c r="AL161" s="354">
        <v>0</v>
      </c>
      <c r="AM161" s="96" t="e">
        <f t="shared" si="250"/>
        <v>#DIV/0!</v>
      </c>
      <c r="AN161" s="354"/>
      <c r="AO161" s="354">
        <f t="shared" si="251"/>
        <v>0</v>
      </c>
      <c r="AP161" s="96"/>
      <c r="AQ161" s="96"/>
      <c r="AR161" s="96" t="e">
        <f t="shared" si="230"/>
        <v>#DIV/0!</v>
      </c>
      <c r="AS161" s="96"/>
      <c r="AT161" s="96"/>
      <c r="AU161" s="388"/>
      <c r="AV161" s="260"/>
      <c r="AW161" s="294"/>
    </row>
    <row r="162" spans="1:51" s="83" customFormat="1" ht="67.150000000000006" customHeight="1">
      <c r="A162" s="379" t="s">
        <v>86</v>
      </c>
      <c r="B162" s="66" t="s">
        <v>584</v>
      </c>
      <c r="C162" s="67" t="s">
        <v>56</v>
      </c>
      <c r="D162" s="67" t="s">
        <v>5</v>
      </c>
      <c r="E162" s="110"/>
      <c r="F162" s="94">
        <f>F163+F164+F165</f>
        <v>29189753.208707999</v>
      </c>
      <c r="G162" s="94"/>
      <c r="H162" s="94">
        <f>H163+H164+H165</f>
        <v>29189753.208707999</v>
      </c>
      <c r="I162" s="94"/>
      <c r="J162" s="353">
        <f>J163+J164+J165</f>
        <v>29189753.208707999</v>
      </c>
      <c r="K162" s="353">
        <f t="shared" ref="K162:AL162" si="254">K163+K164+K165</f>
        <v>29189753.208707999</v>
      </c>
      <c r="L162" s="353">
        <f t="shared" si="254"/>
        <v>30961983.029999997</v>
      </c>
      <c r="M162" s="353">
        <f t="shared" si="254"/>
        <v>4.7683818162035205</v>
      </c>
      <c r="N162" s="353">
        <f t="shared" si="254"/>
        <v>2064521.15</v>
      </c>
      <c r="O162" s="353">
        <f t="shared" si="254"/>
        <v>0.80212360190317444</v>
      </c>
      <c r="P162" s="353">
        <f t="shared" si="254"/>
        <v>28813828.879999999</v>
      </c>
      <c r="Q162" s="353">
        <f t="shared" si="254"/>
        <v>3.9365789726438587</v>
      </c>
      <c r="R162" s="353">
        <f t="shared" si="254"/>
        <v>28813828.879999999</v>
      </c>
      <c r="S162" s="353">
        <f t="shared" si="254"/>
        <v>3.9365789726438587</v>
      </c>
      <c r="T162" s="353">
        <f t="shared" si="254"/>
        <v>15649317.48</v>
      </c>
      <c r="U162" s="353">
        <f t="shared" si="254"/>
        <v>0</v>
      </c>
      <c r="V162" s="353">
        <f t="shared" si="254"/>
        <v>8230000.0800000001</v>
      </c>
      <c r="W162" s="353">
        <f t="shared" si="254"/>
        <v>5982509.6900000013</v>
      </c>
      <c r="X162" s="353">
        <f t="shared" si="254"/>
        <v>56200.229999999996</v>
      </c>
      <c r="Y162" s="353">
        <f t="shared" si="254"/>
        <v>23823117.330000002</v>
      </c>
      <c r="Z162" s="353">
        <f t="shared" si="254"/>
        <v>21631827.170000002</v>
      </c>
      <c r="AA162" s="353">
        <f t="shared" si="254"/>
        <v>83633</v>
      </c>
      <c r="AB162" s="353">
        <f t="shared" si="254"/>
        <v>2.9679241656488189E-2</v>
      </c>
      <c r="AC162" s="353">
        <f t="shared" si="254"/>
        <v>23879317.560000002</v>
      </c>
      <c r="AD162" s="353">
        <f t="shared" si="254"/>
        <v>2.812041938875149</v>
      </c>
      <c r="AE162" s="353">
        <f t="shared" si="254"/>
        <v>3.6581916625955904E-2</v>
      </c>
      <c r="AF162" s="353">
        <f t="shared" si="254"/>
        <v>375922.92397599947</v>
      </c>
      <c r="AG162" s="353">
        <f t="shared" si="254"/>
        <v>6.3420396452984779E-2</v>
      </c>
      <c r="AH162" s="353" t="e">
        <f t="shared" si="254"/>
        <v>#VALUE!</v>
      </c>
      <c r="AI162" s="353">
        <f t="shared" si="254"/>
        <v>32928118.787568003</v>
      </c>
      <c r="AJ162" s="242" t="s">
        <v>409</v>
      </c>
      <c r="AK162" s="353">
        <f t="shared" si="254"/>
        <v>0</v>
      </c>
      <c r="AL162" s="353">
        <f t="shared" si="254"/>
        <v>0</v>
      </c>
      <c r="AM162" s="96">
        <f t="shared" si="250"/>
        <v>0</v>
      </c>
      <c r="AN162" s="353"/>
      <c r="AO162" s="353">
        <f t="shared" si="251"/>
        <v>0</v>
      </c>
      <c r="AP162" s="353">
        <f t="shared" ref="AP162:AQ162" si="255">AP163+AP164+AP165</f>
        <v>0</v>
      </c>
      <c r="AQ162" s="353">
        <f t="shared" si="255"/>
        <v>0</v>
      </c>
      <c r="AR162" s="96">
        <f t="shared" si="230"/>
        <v>0</v>
      </c>
      <c r="AS162" s="97"/>
      <c r="AT162" s="97"/>
      <c r="AU162" s="386"/>
      <c r="AV162" s="261"/>
      <c r="AW162" s="294"/>
    </row>
    <row r="163" spans="1:51" s="83" customFormat="1" ht="69.75" customHeight="1">
      <c r="A163" s="381" t="s">
        <v>266</v>
      </c>
      <c r="B163" s="71" t="s">
        <v>585</v>
      </c>
      <c r="C163" s="72" t="s">
        <v>56</v>
      </c>
      <c r="D163" s="72" t="s">
        <v>5</v>
      </c>
      <c r="E163" s="109">
        <v>26132443</v>
      </c>
      <c r="F163" s="109">
        <f>E163*$E$6</f>
        <v>18365985.470171999</v>
      </c>
      <c r="G163" s="82">
        <v>26132443</v>
      </c>
      <c r="H163" s="82">
        <f>G163*$G$6</f>
        <v>18365985.470171999</v>
      </c>
      <c r="I163" s="109">
        <v>26132443</v>
      </c>
      <c r="J163" s="354">
        <f>I163*$I$6</f>
        <v>18365985.470171999</v>
      </c>
      <c r="K163" s="354">
        <v>18365985.470171999</v>
      </c>
      <c r="L163" s="354">
        <v>18352027.239999998</v>
      </c>
      <c r="M163" s="130">
        <f t="shared" si="246"/>
        <v>0.9992399955779846</v>
      </c>
      <c r="N163" s="354">
        <v>180239</v>
      </c>
      <c r="O163" s="132">
        <f t="shared" si="216"/>
        <v>9.813739659803403E-3</v>
      </c>
      <c r="P163" s="354">
        <v>18171788.239999998</v>
      </c>
      <c r="Q163" s="76">
        <f t="shared" ref="Q163:Q172" si="256">P163/J163</f>
        <v>0.98942625591818123</v>
      </c>
      <c r="R163" s="354">
        <v>18171788.239999998</v>
      </c>
      <c r="S163" s="76">
        <f t="shared" ref="S163:S172" si="257">R163/J163</f>
        <v>0.98942625591818123</v>
      </c>
      <c r="T163" s="79">
        <v>10070519.970000001</v>
      </c>
      <c r="U163" s="79"/>
      <c r="V163" s="79">
        <v>6213005.79</v>
      </c>
      <c r="W163" s="79">
        <v>4933144.84</v>
      </c>
      <c r="X163" s="79">
        <v>20799.47</v>
      </c>
      <c r="Y163" s="79">
        <f t="shared" si="247"/>
        <v>16262726.290000001</v>
      </c>
      <c r="Z163" s="115">
        <f t="shared" si="248"/>
        <v>15003664.810000001</v>
      </c>
      <c r="AA163" s="115"/>
      <c r="AB163" s="139"/>
      <c r="AC163" s="116">
        <f>SUM(T163:V163)</f>
        <v>16283525.760000002</v>
      </c>
      <c r="AD163" s="76">
        <f t="shared" ref="AD163:AD172" si="258">AC163/J163</f>
        <v>0.88661323327549735</v>
      </c>
      <c r="AE163" s="130">
        <v>1.0356108941139121E-2</v>
      </c>
      <c r="AF163" s="171">
        <f>J163-R163</f>
        <v>194197.23017200083</v>
      </c>
      <c r="AG163" s="172">
        <f t="shared" ref="AG163:AG172" si="259">AF163/J163</f>
        <v>1.0573744081818777E-2</v>
      </c>
      <c r="AH163" s="149" t="s">
        <v>410</v>
      </c>
      <c r="AI163" s="217">
        <v>21607075.050792001</v>
      </c>
      <c r="AJ163" s="243" t="s">
        <v>409</v>
      </c>
      <c r="AK163" s="354">
        <v>0</v>
      </c>
      <c r="AL163" s="354">
        <v>0</v>
      </c>
      <c r="AM163" s="96">
        <f t="shared" si="250"/>
        <v>0</v>
      </c>
      <c r="AN163" s="130"/>
      <c r="AO163" s="354">
        <f t="shared" si="251"/>
        <v>0</v>
      </c>
      <c r="AP163" s="170"/>
      <c r="AQ163" s="170"/>
      <c r="AR163" s="96">
        <f t="shared" si="230"/>
        <v>0</v>
      </c>
      <c r="AS163" s="170"/>
      <c r="AT163" s="170"/>
      <c r="AU163" s="388"/>
      <c r="AV163" s="261"/>
      <c r="AW163" s="294"/>
    </row>
    <row r="164" spans="1:51" s="98" customFormat="1" ht="56.25" customHeight="1">
      <c r="A164" s="381" t="s">
        <v>87</v>
      </c>
      <c r="B164" s="71" t="s">
        <v>586</v>
      </c>
      <c r="C164" s="72" t="s">
        <v>56</v>
      </c>
      <c r="D164" s="72" t="s">
        <v>5</v>
      </c>
      <c r="E164" s="109">
        <v>3168083</v>
      </c>
      <c r="F164" s="109">
        <f>E164*$E$6</f>
        <v>2226541.4047320001</v>
      </c>
      <c r="G164" s="109">
        <v>3168083</v>
      </c>
      <c r="H164" s="82">
        <f>G164*$G$6</f>
        <v>2226541.4047320001</v>
      </c>
      <c r="I164" s="109">
        <v>3168083</v>
      </c>
      <c r="J164" s="354">
        <f>I164*$I$6</f>
        <v>2226541.4047320001</v>
      </c>
      <c r="K164" s="354">
        <v>2226541.4047320001</v>
      </c>
      <c r="L164" s="354">
        <v>3860256.15</v>
      </c>
      <c r="M164" s="130">
        <f t="shared" si="246"/>
        <v>1.7337455040341563</v>
      </c>
      <c r="N164" s="354">
        <v>1633716.15</v>
      </c>
      <c r="O164" s="132">
        <f t="shared" si="216"/>
        <v>0.73374613493731267</v>
      </c>
      <c r="P164" s="354">
        <v>2226540</v>
      </c>
      <c r="Q164" s="76">
        <f t="shared" si="256"/>
        <v>0.99999936909684362</v>
      </c>
      <c r="R164" s="354">
        <v>2226540</v>
      </c>
      <c r="S164" s="76">
        <f t="shared" si="257"/>
        <v>0.99999936909684362</v>
      </c>
      <c r="T164" s="79">
        <v>8269</v>
      </c>
      <c r="U164" s="79"/>
      <c r="V164" s="79">
        <v>578549.68000000005</v>
      </c>
      <c r="W164" s="79">
        <v>0</v>
      </c>
      <c r="X164" s="79">
        <v>0</v>
      </c>
      <c r="Y164" s="79">
        <f t="shared" si="247"/>
        <v>586818.68000000005</v>
      </c>
      <c r="Z164" s="115">
        <f t="shared" si="248"/>
        <v>8269</v>
      </c>
      <c r="AA164" s="115"/>
      <c r="AB164" s="139"/>
      <c r="AC164" s="116">
        <f>SUM(T164:V164)</f>
        <v>586818.68000000005</v>
      </c>
      <c r="AD164" s="76">
        <f t="shared" si="258"/>
        <v>0.26355614979934905</v>
      </c>
      <c r="AE164" s="130">
        <v>0</v>
      </c>
      <c r="AF164" s="171">
        <v>0</v>
      </c>
      <c r="AG164" s="172">
        <f t="shared" si="259"/>
        <v>0</v>
      </c>
      <c r="AH164" s="149" t="s">
        <v>356</v>
      </c>
      <c r="AI164" s="217">
        <v>2226541.4047320001</v>
      </c>
      <c r="AJ164" s="243" t="s">
        <v>409</v>
      </c>
      <c r="AK164" s="354">
        <v>0</v>
      </c>
      <c r="AL164" s="354">
        <v>0</v>
      </c>
      <c r="AM164" s="96">
        <f t="shared" si="250"/>
        <v>0</v>
      </c>
      <c r="AN164" s="354"/>
      <c r="AO164" s="354">
        <f t="shared" si="251"/>
        <v>0</v>
      </c>
      <c r="AP164" s="96"/>
      <c r="AQ164" s="96"/>
      <c r="AR164" s="96">
        <f t="shared" si="230"/>
        <v>0</v>
      </c>
      <c r="AS164" s="96"/>
      <c r="AT164" s="96"/>
      <c r="AU164" s="388"/>
      <c r="AV164" s="261"/>
      <c r="AW164" s="294"/>
    </row>
    <row r="165" spans="1:51" s="83" customFormat="1" ht="100.5" customHeight="1">
      <c r="A165" s="387" t="s">
        <v>88</v>
      </c>
      <c r="B165" s="77" t="s">
        <v>587</v>
      </c>
      <c r="C165" s="78" t="s">
        <v>56</v>
      </c>
      <c r="D165" s="78" t="s">
        <v>5</v>
      </c>
      <c r="E165" s="111"/>
      <c r="F165" s="109">
        <f>F166+F167</f>
        <v>8597226.3338040002</v>
      </c>
      <c r="G165" s="95"/>
      <c r="H165" s="95">
        <f>H166+H167</f>
        <v>8597226.3338040002</v>
      </c>
      <c r="I165" s="95"/>
      <c r="J165" s="354">
        <f>J166+J167</f>
        <v>8597226.3338040002</v>
      </c>
      <c r="K165" s="354">
        <f t="shared" ref="K165:AL165" si="260">K166+K167</f>
        <v>8597226.3338040002</v>
      </c>
      <c r="L165" s="354">
        <f t="shared" si="260"/>
        <v>8749699.6400000006</v>
      </c>
      <c r="M165" s="354">
        <f t="shared" si="260"/>
        <v>2.0353963165913802</v>
      </c>
      <c r="N165" s="354">
        <f t="shared" si="260"/>
        <v>250566</v>
      </c>
      <c r="O165" s="354">
        <f t="shared" si="260"/>
        <v>5.8563727306058404E-2</v>
      </c>
      <c r="P165" s="354">
        <f t="shared" si="260"/>
        <v>8415500.6400000006</v>
      </c>
      <c r="Q165" s="354">
        <f t="shared" si="260"/>
        <v>1.9471533476288339</v>
      </c>
      <c r="R165" s="354">
        <f t="shared" si="260"/>
        <v>8415500.6400000006</v>
      </c>
      <c r="S165" s="354">
        <f t="shared" si="260"/>
        <v>1.9471533476288339</v>
      </c>
      <c r="T165" s="354">
        <f t="shared" si="260"/>
        <v>5570528.5099999998</v>
      </c>
      <c r="U165" s="354">
        <f t="shared" si="260"/>
        <v>0</v>
      </c>
      <c r="V165" s="354">
        <f t="shared" si="260"/>
        <v>1438444.6099999999</v>
      </c>
      <c r="W165" s="354">
        <f t="shared" si="260"/>
        <v>1049364.850000001</v>
      </c>
      <c r="X165" s="354">
        <f t="shared" si="260"/>
        <v>35400.759999999995</v>
      </c>
      <c r="Y165" s="354">
        <f t="shared" si="260"/>
        <v>6973572.3600000003</v>
      </c>
      <c r="Z165" s="354">
        <f t="shared" si="260"/>
        <v>6619893.3600000013</v>
      </c>
      <c r="AA165" s="354">
        <f t="shared" si="260"/>
        <v>83633</v>
      </c>
      <c r="AB165" s="354">
        <f t="shared" si="260"/>
        <v>2.9679241656488189E-2</v>
      </c>
      <c r="AC165" s="354">
        <f t="shared" si="260"/>
        <v>7008973.1200000001</v>
      </c>
      <c r="AD165" s="354">
        <f t="shared" si="260"/>
        <v>1.6618725558003022</v>
      </c>
      <c r="AE165" s="354">
        <f t="shared" si="260"/>
        <v>2.6225807684816783E-2</v>
      </c>
      <c r="AF165" s="354">
        <f t="shared" si="260"/>
        <v>181725.69380399864</v>
      </c>
      <c r="AG165" s="354">
        <f t="shared" si="260"/>
        <v>5.2846652371165995E-2</v>
      </c>
      <c r="AH165" s="354" t="e">
        <f t="shared" si="260"/>
        <v>#VALUE!</v>
      </c>
      <c r="AI165" s="354">
        <f t="shared" si="260"/>
        <v>9094502.3320439998</v>
      </c>
      <c r="AJ165" s="243" t="s">
        <v>409</v>
      </c>
      <c r="AK165" s="354">
        <f t="shared" si="260"/>
        <v>0</v>
      </c>
      <c r="AL165" s="354">
        <f t="shared" si="260"/>
        <v>0</v>
      </c>
      <c r="AM165" s="96">
        <f t="shared" si="250"/>
        <v>0</v>
      </c>
      <c r="AN165" s="354"/>
      <c r="AO165" s="354">
        <f t="shared" si="251"/>
        <v>0</v>
      </c>
      <c r="AP165" s="96"/>
      <c r="AQ165" s="96"/>
      <c r="AR165" s="96">
        <f t="shared" si="230"/>
        <v>0</v>
      </c>
      <c r="AS165" s="96"/>
      <c r="AT165" s="96"/>
      <c r="AU165" s="388"/>
      <c r="AV165" s="261"/>
      <c r="AW165" s="294"/>
    </row>
    <row r="166" spans="1:51" s="83" customFormat="1" ht="72.75" customHeight="1">
      <c r="A166" s="381" t="s">
        <v>264</v>
      </c>
      <c r="B166" s="71" t="s">
        <v>588</v>
      </c>
      <c r="C166" s="72" t="s">
        <v>56</v>
      </c>
      <c r="D166" s="72" t="s">
        <v>5</v>
      </c>
      <c r="E166" s="109">
        <v>8223247</v>
      </c>
      <c r="F166" s="109">
        <f>E166*$E$6</f>
        <v>5779330.8845879994</v>
      </c>
      <c r="G166" s="82">
        <v>8223247</v>
      </c>
      <c r="H166" s="82">
        <f>G166*$G$6</f>
        <v>5779330.8845879994</v>
      </c>
      <c r="I166" s="109">
        <v>8223247</v>
      </c>
      <c r="J166" s="354">
        <f>I166*$I$6</f>
        <v>5779330.8845879994</v>
      </c>
      <c r="K166" s="354">
        <v>5779330.8845879994</v>
      </c>
      <c r="L166" s="354">
        <v>5882235.4400000004</v>
      </c>
      <c r="M166" s="130">
        <f t="shared" si="246"/>
        <v>1.0178056175475989</v>
      </c>
      <c r="N166" s="354">
        <v>166933</v>
      </c>
      <c r="O166" s="132">
        <f t="shared" si="216"/>
        <v>2.8884485649570215E-2</v>
      </c>
      <c r="P166" s="354">
        <v>5715302.4400000004</v>
      </c>
      <c r="Q166" s="76">
        <f t="shared" si="256"/>
        <v>0.98892113189802877</v>
      </c>
      <c r="R166" s="354">
        <v>5715302.4400000004</v>
      </c>
      <c r="S166" s="76">
        <f t="shared" si="257"/>
        <v>0.98892113189802877</v>
      </c>
      <c r="T166" s="79">
        <v>3525475.3000000003</v>
      </c>
      <c r="U166" s="79"/>
      <c r="V166" s="79">
        <v>1013764.6</v>
      </c>
      <c r="W166" s="79">
        <v>678068.71</v>
      </c>
      <c r="X166" s="79">
        <v>2088.81</v>
      </c>
      <c r="Y166" s="79">
        <f t="shared" si="247"/>
        <v>4537151.0900000008</v>
      </c>
      <c r="Z166" s="115">
        <f t="shared" ref="Z166:Z180" si="261">T166+U166+W166</f>
        <v>4203544.01</v>
      </c>
      <c r="AA166" s="115"/>
      <c r="AB166" s="139"/>
      <c r="AC166" s="116">
        <f>SUM(T166:V166)</f>
        <v>4539239.9000000004</v>
      </c>
      <c r="AD166" s="76">
        <f t="shared" si="258"/>
        <v>0.78542654688711366</v>
      </c>
      <c r="AE166" s="130">
        <v>1.5736375058729886E-2</v>
      </c>
      <c r="AF166" s="171">
        <f t="shared" ref="AF166:AF181" si="262">J166-R166</f>
        <v>64028.444587999023</v>
      </c>
      <c r="AG166" s="172">
        <f t="shared" si="259"/>
        <v>1.1078868101971206E-2</v>
      </c>
      <c r="AH166" s="149" t="s">
        <v>411</v>
      </c>
      <c r="AI166" s="217">
        <v>5779330.8845879994</v>
      </c>
      <c r="AJ166" s="243" t="s">
        <v>409</v>
      </c>
      <c r="AK166" s="354">
        <v>0</v>
      </c>
      <c r="AL166" s="354">
        <v>0</v>
      </c>
      <c r="AM166" s="96">
        <f t="shared" si="250"/>
        <v>0</v>
      </c>
      <c r="AN166" s="130"/>
      <c r="AO166" s="354">
        <f t="shared" si="251"/>
        <v>0</v>
      </c>
      <c r="AP166" s="170"/>
      <c r="AQ166" s="170"/>
      <c r="AR166" s="96">
        <f t="shared" si="230"/>
        <v>0</v>
      </c>
      <c r="AS166" s="170"/>
      <c r="AT166" s="170"/>
      <c r="AU166" s="388"/>
      <c r="AV166" s="261"/>
      <c r="AW166" s="294"/>
    </row>
    <row r="167" spans="1:51" s="98" customFormat="1" ht="103.5" customHeight="1">
      <c r="A167" s="381" t="s">
        <v>247</v>
      </c>
      <c r="B167" s="71" t="s">
        <v>589</v>
      </c>
      <c r="C167" s="72" t="s">
        <v>56</v>
      </c>
      <c r="D167" s="72" t="s">
        <v>5</v>
      </c>
      <c r="E167" s="109">
        <v>4009504</v>
      </c>
      <c r="F167" s="109">
        <f>E167*$E$6</f>
        <v>2817895.4492159998</v>
      </c>
      <c r="G167" s="109">
        <v>4009504</v>
      </c>
      <c r="H167" s="82">
        <f>G167*$G$6</f>
        <v>2817895.4492159998</v>
      </c>
      <c r="I167" s="109">
        <v>4009504</v>
      </c>
      <c r="J167" s="354">
        <f>I167*$I$6</f>
        <v>2817895.4492159998</v>
      </c>
      <c r="K167" s="354">
        <v>2817895.4492159998</v>
      </c>
      <c r="L167" s="354">
        <v>2867464.2</v>
      </c>
      <c r="M167" s="130">
        <f t="shared" si="246"/>
        <v>1.0175906990437815</v>
      </c>
      <c r="N167" s="354">
        <v>83633</v>
      </c>
      <c r="O167" s="132">
        <f t="shared" si="216"/>
        <v>2.9679241656488189E-2</v>
      </c>
      <c r="P167" s="354">
        <v>2700198.2</v>
      </c>
      <c r="Q167" s="76">
        <f t="shared" si="256"/>
        <v>0.95823221573080519</v>
      </c>
      <c r="R167" s="354">
        <v>2700198.2</v>
      </c>
      <c r="S167" s="76">
        <f t="shared" si="257"/>
        <v>0.95823221573080519</v>
      </c>
      <c r="T167" s="79">
        <v>2045053.21</v>
      </c>
      <c r="U167" s="79"/>
      <c r="V167" s="79">
        <v>424680.01</v>
      </c>
      <c r="W167" s="79">
        <v>371296.140000001</v>
      </c>
      <c r="X167" s="79">
        <v>33311.949999999997</v>
      </c>
      <c r="Y167" s="79">
        <f t="shared" si="247"/>
        <v>2436421.2699999996</v>
      </c>
      <c r="Z167" s="115">
        <f t="shared" si="261"/>
        <v>2416349.350000001</v>
      </c>
      <c r="AA167" s="115">
        <v>83633</v>
      </c>
      <c r="AB167" s="136">
        <f>AA167/J167</f>
        <v>2.9679241656488189E-2</v>
      </c>
      <c r="AC167" s="116">
        <f>SUM(T167:V167)</f>
        <v>2469733.2199999997</v>
      </c>
      <c r="AD167" s="76">
        <f t="shared" si="258"/>
        <v>0.87644600891318858</v>
      </c>
      <c r="AE167" s="130">
        <v>1.0489432626086896E-2</v>
      </c>
      <c r="AF167" s="171">
        <f t="shared" si="262"/>
        <v>117697.24921599962</v>
      </c>
      <c r="AG167" s="172">
        <f t="shared" si="259"/>
        <v>4.1767784269194787E-2</v>
      </c>
      <c r="AH167" s="149" t="s">
        <v>412</v>
      </c>
      <c r="AI167" s="217">
        <v>3315171.4474559999</v>
      </c>
      <c r="AJ167" s="243" t="s">
        <v>409</v>
      </c>
      <c r="AK167" s="354">
        <v>0</v>
      </c>
      <c r="AL167" s="354">
        <v>0</v>
      </c>
      <c r="AM167" s="96">
        <f t="shared" si="250"/>
        <v>0</v>
      </c>
      <c r="AN167" s="130"/>
      <c r="AO167" s="354">
        <f t="shared" si="251"/>
        <v>0</v>
      </c>
      <c r="AP167" s="170"/>
      <c r="AQ167" s="170"/>
      <c r="AR167" s="96">
        <f t="shared" si="230"/>
        <v>0</v>
      </c>
      <c r="AS167" s="170"/>
      <c r="AT167" s="170"/>
      <c r="AU167" s="388"/>
      <c r="AV167" s="260"/>
      <c r="AW167" s="294"/>
      <c r="AX167" s="250"/>
      <c r="AY167" s="250"/>
    </row>
    <row r="168" spans="1:51" s="98" customFormat="1" ht="49.5">
      <c r="A168" s="379" t="s">
        <v>89</v>
      </c>
      <c r="B168" s="66" t="s">
        <v>590</v>
      </c>
      <c r="C168" s="67" t="s">
        <v>56</v>
      </c>
      <c r="D168" s="67" t="s">
        <v>1</v>
      </c>
      <c r="E168" s="110"/>
      <c r="F168" s="94">
        <f>F169+F175+F176+F177</f>
        <v>33116083.014564004</v>
      </c>
      <c r="G168" s="94"/>
      <c r="H168" s="94">
        <f>H169+H175+H176+H177</f>
        <v>33116083.014564004</v>
      </c>
      <c r="I168" s="94"/>
      <c r="J168" s="353">
        <f>J169+J175+J176+J177</f>
        <v>33116083.014564004</v>
      </c>
      <c r="K168" s="353">
        <f t="shared" ref="K168:AL168" si="263">K169+K175+K176+K177</f>
        <v>34919264.426147997</v>
      </c>
      <c r="L168" s="353">
        <f t="shared" si="263"/>
        <v>39164849.219999999</v>
      </c>
      <c r="M168" s="353" t="e">
        <f t="shared" si="263"/>
        <v>#DIV/0!</v>
      </c>
      <c r="N168" s="353">
        <f t="shared" si="263"/>
        <v>5991263.9699999997</v>
      </c>
      <c r="O168" s="353" t="e">
        <f t="shared" si="263"/>
        <v>#DIV/0!</v>
      </c>
      <c r="P168" s="353">
        <f t="shared" si="263"/>
        <v>32992575.57</v>
      </c>
      <c r="Q168" s="353">
        <f t="shared" si="263"/>
        <v>6.9571208435876164</v>
      </c>
      <c r="R168" s="353">
        <f t="shared" si="263"/>
        <v>32992575.57</v>
      </c>
      <c r="S168" s="353">
        <f t="shared" si="263"/>
        <v>6.9571208435876164</v>
      </c>
      <c r="T168" s="353">
        <f t="shared" si="263"/>
        <v>24751801.620000001</v>
      </c>
      <c r="U168" s="353">
        <f t="shared" si="263"/>
        <v>0</v>
      </c>
      <c r="V168" s="353">
        <f t="shared" si="263"/>
        <v>4306935.58</v>
      </c>
      <c r="W168" s="353">
        <f t="shared" si="263"/>
        <v>3706960.9399999902</v>
      </c>
      <c r="X168" s="353">
        <f t="shared" si="263"/>
        <v>19432.28</v>
      </c>
      <c r="Y168" s="353">
        <f t="shared" si="263"/>
        <v>29039304.920000002</v>
      </c>
      <c r="Z168" s="353">
        <f t="shared" si="263"/>
        <v>28458762.559999991</v>
      </c>
      <c r="AA168" s="353">
        <f t="shared" si="263"/>
        <v>181061</v>
      </c>
      <c r="AB168" s="353">
        <f t="shared" si="263"/>
        <v>9.5603222603743293E-2</v>
      </c>
      <c r="AC168" s="353">
        <f t="shared" si="263"/>
        <v>29058737.199999999</v>
      </c>
      <c r="AD168" s="353">
        <f t="shared" si="263"/>
        <v>5.832668846420348</v>
      </c>
      <c r="AE168" s="353">
        <f t="shared" si="263"/>
        <v>4.126317772120551E-2</v>
      </c>
      <c r="AF168" s="353">
        <f t="shared" si="263"/>
        <v>123507.44456399989</v>
      </c>
      <c r="AG168" s="353">
        <f t="shared" si="263"/>
        <v>4.2879156412383039E-2</v>
      </c>
      <c r="AH168" s="353" t="e">
        <f t="shared" si="263"/>
        <v>#VALUE!</v>
      </c>
      <c r="AI168" s="353">
        <f t="shared" si="263"/>
        <v>38960098.573703997</v>
      </c>
      <c r="AJ168" s="242" t="s">
        <v>408</v>
      </c>
      <c r="AK168" s="178">
        <f t="shared" si="263"/>
        <v>11220679</v>
      </c>
      <c r="AL168" s="178">
        <f t="shared" si="263"/>
        <v>11220679</v>
      </c>
      <c r="AM168" s="311">
        <f t="shared" si="250"/>
        <v>0.32133205508183071</v>
      </c>
      <c r="AN168" s="354"/>
      <c r="AO168" s="353">
        <f t="shared" si="251"/>
        <v>11220679</v>
      </c>
      <c r="AP168" s="178">
        <f t="shared" ref="AP168:AQ168" si="264">AP169+AP175+AP176+AP177</f>
        <v>11220679</v>
      </c>
      <c r="AQ168" s="178">
        <f t="shared" si="264"/>
        <v>11220679</v>
      </c>
      <c r="AR168" s="311">
        <f t="shared" si="230"/>
        <v>0.32133205508183071</v>
      </c>
      <c r="AS168" s="96"/>
      <c r="AT168" s="96"/>
      <c r="AU168" s="386">
        <f>AU169+AU175+AU176+AU177</f>
        <v>1980119.823529413</v>
      </c>
      <c r="AV168" s="261"/>
      <c r="AW168" s="294"/>
    </row>
    <row r="169" spans="1:51" s="83" customFormat="1" ht="82.5">
      <c r="A169" s="387" t="s">
        <v>90</v>
      </c>
      <c r="B169" s="77" t="s">
        <v>591</v>
      </c>
      <c r="C169" s="78" t="s">
        <v>56</v>
      </c>
      <c r="D169" s="78" t="s">
        <v>156</v>
      </c>
      <c r="E169" s="111"/>
      <c r="F169" s="95">
        <f>F170+F171+F172+F173+F174</f>
        <v>8129950.9299120009</v>
      </c>
      <c r="G169" s="95"/>
      <c r="H169" s="95">
        <f>H170+H171+H172+H173+H174</f>
        <v>8129950.9299120009</v>
      </c>
      <c r="I169" s="95"/>
      <c r="J169" s="354">
        <f>J170+J171+J172+J173+J174</f>
        <v>8129950.9299120009</v>
      </c>
      <c r="K169" s="354">
        <f t="shared" ref="K169:AL169" si="265">K170+K171+K172+K173+K174</f>
        <v>9564647.2846679986</v>
      </c>
      <c r="L169" s="354">
        <f t="shared" si="265"/>
        <v>8575948.2300000004</v>
      </c>
      <c r="M169" s="354" t="e">
        <f t="shared" si="265"/>
        <v>#DIV/0!</v>
      </c>
      <c r="N169" s="354">
        <f t="shared" si="265"/>
        <v>447270</v>
      </c>
      <c r="O169" s="354" t="e">
        <f t="shared" si="265"/>
        <v>#DIV/0!</v>
      </c>
      <c r="P169" s="354">
        <f t="shared" si="265"/>
        <v>8128678.2300000004</v>
      </c>
      <c r="Q169" s="354">
        <f t="shared" si="265"/>
        <v>3.9997379801730197</v>
      </c>
      <c r="R169" s="354">
        <f t="shared" si="265"/>
        <v>8128678.2300000004</v>
      </c>
      <c r="S169" s="354">
        <f t="shared" si="265"/>
        <v>3.9997379801730197</v>
      </c>
      <c r="T169" s="354">
        <f t="shared" si="265"/>
        <v>5430849.8800000008</v>
      </c>
      <c r="U169" s="354">
        <f t="shared" si="265"/>
        <v>0</v>
      </c>
      <c r="V169" s="354">
        <f t="shared" si="265"/>
        <v>103842.97</v>
      </c>
      <c r="W169" s="354">
        <f t="shared" si="265"/>
        <v>103842.97</v>
      </c>
      <c r="X169" s="354">
        <f t="shared" si="265"/>
        <v>0</v>
      </c>
      <c r="Y169" s="354">
        <f t="shared" si="265"/>
        <v>5534692.8499999996</v>
      </c>
      <c r="Z169" s="354">
        <f t="shared" si="265"/>
        <v>5534692.8499999996</v>
      </c>
      <c r="AA169" s="354">
        <f t="shared" si="265"/>
        <v>0</v>
      </c>
      <c r="AB169" s="354">
        <f t="shared" si="265"/>
        <v>0</v>
      </c>
      <c r="AC169" s="354">
        <f t="shared" si="265"/>
        <v>5534692.8499999996</v>
      </c>
      <c r="AD169" s="354">
        <f t="shared" si="265"/>
        <v>2.9872549015182539</v>
      </c>
      <c r="AE169" s="354">
        <f t="shared" si="265"/>
        <v>5.8375899273650968E-3</v>
      </c>
      <c r="AF169" s="354">
        <f t="shared" si="265"/>
        <v>1272.6999119996326</v>
      </c>
      <c r="AG169" s="354">
        <f t="shared" si="265"/>
        <v>2.620198269801745E-4</v>
      </c>
      <c r="AH169" s="354" t="e">
        <f t="shared" si="265"/>
        <v>#VALUE!</v>
      </c>
      <c r="AI169" s="354">
        <f t="shared" si="265"/>
        <v>9564647.2846679986</v>
      </c>
      <c r="AJ169" s="243" t="s">
        <v>409</v>
      </c>
      <c r="AK169" s="354">
        <f t="shared" si="265"/>
        <v>0</v>
      </c>
      <c r="AL169" s="354">
        <f t="shared" si="265"/>
        <v>0</v>
      </c>
      <c r="AM169" s="96">
        <f t="shared" si="250"/>
        <v>0</v>
      </c>
      <c r="AN169" s="354"/>
      <c r="AO169" s="354">
        <f t="shared" si="251"/>
        <v>0</v>
      </c>
      <c r="AP169" s="354">
        <f t="shared" ref="AP169:AQ169" si="266">AP170+AP171+AP172+AP173+AP174</f>
        <v>0</v>
      </c>
      <c r="AQ169" s="354">
        <f t="shared" si="266"/>
        <v>0</v>
      </c>
      <c r="AR169" s="96">
        <f t="shared" si="230"/>
        <v>0</v>
      </c>
      <c r="AS169" s="96"/>
      <c r="AT169" s="96"/>
      <c r="AU169" s="388"/>
      <c r="AV169" s="261"/>
      <c r="AW169" s="294"/>
    </row>
    <row r="170" spans="1:51" s="83" customFormat="1" ht="99">
      <c r="A170" s="381" t="s">
        <v>91</v>
      </c>
      <c r="B170" s="71" t="s">
        <v>592</v>
      </c>
      <c r="C170" s="72" t="s">
        <v>56</v>
      </c>
      <c r="D170" s="72" t="s">
        <v>156</v>
      </c>
      <c r="E170" s="109">
        <v>636408</v>
      </c>
      <c r="F170" s="95">
        <f>E170*$E$6</f>
        <v>447270.088032</v>
      </c>
      <c r="G170" s="82">
        <v>636408</v>
      </c>
      <c r="H170" s="82">
        <f>G170*$G$6</f>
        <v>447270.088032</v>
      </c>
      <c r="I170" s="82">
        <v>636408</v>
      </c>
      <c r="J170" s="354">
        <f>I170*$I$6</f>
        <v>447270.088032</v>
      </c>
      <c r="K170" s="354">
        <v>526200.59966399998</v>
      </c>
      <c r="L170" s="354">
        <v>894540</v>
      </c>
      <c r="M170" s="130">
        <f t="shared" si="246"/>
        <v>1.9999996063586529</v>
      </c>
      <c r="N170" s="354">
        <v>447270</v>
      </c>
      <c r="O170" s="132">
        <f t="shared" si="216"/>
        <v>0.99999980317932646</v>
      </c>
      <c r="P170" s="354">
        <v>447270</v>
      </c>
      <c r="Q170" s="76">
        <f t="shared" si="256"/>
        <v>0.99999980317932646</v>
      </c>
      <c r="R170" s="354">
        <v>447270</v>
      </c>
      <c r="S170" s="76">
        <f t="shared" si="257"/>
        <v>0.99999980317932646</v>
      </c>
      <c r="T170" s="79">
        <v>203988.95</v>
      </c>
      <c r="U170" s="79"/>
      <c r="V170" s="79"/>
      <c r="W170" s="79">
        <v>0</v>
      </c>
      <c r="X170" s="79">
        <v>0</v>
      </c>
      <c r="Y170" s="79">
        <f t="shared" si="247"/>
        <v>203988.95</v>
      </c>
      <c r="Z170" s="115">
        <f t="shared" si="261"/>
        <v>203988.95</v>
      </c>
      <c r="AA170" s="115"/>
      <c r="AB170" s="139"/>
      <c r="AC170" s="116">
        <f t="shared" ref="AC170:AC176" si="267">SUM(T170:V170)</f>
        <v>203988.95</v>
      </c>
      <c r="AD170" s="76">
        <f t="shared" si="258"/>
        <v>0.45607554687494684</v>
      </c>
      <c r="AE170" s="130">
        <v>0</v>
      </c>
      <c r="AF170" s="171">
        <f t="shared" si="262"/>
        <v>8.8031999999657273E-2</v>
      </c>
      <c r="AG170" s="172">
        <f t="shared" si="259"/>
        <v>1.9682067358226516E-7</v>
      </c>
      <c r="AH170" s="155" t="s">
        <v>359</v>
      </c>
      <c r="AI170" s="228">
        <v>526200.59966399998</v>
      </c>
      <c r="AJ170" s="243" t="s">
        <v>409</v>
      </c>
      <c r="AK170" s="354">
        <v>0</v>
      </c>
      <c r="AL170" s="354">
        <v>0</v>
      </c>
      <c r="AM170" s="96">
        <f t="shared" si="250"/>
        <v>0</v>
      </c>
      <c r="AN170" s="354"/>
      <c r="AO170" s="354">
        <f t="shared" si="251"/>
        <v>0</v>
      </c>
      <c r="AP170" s="96"/>
      <c r="AQ170" s="96"/>
      <c r="AR170" s="96">
        <f t="shared" si="230"/>
        <v>0</v>
      </c>
      <c r="AS170" s="96"/>
      <c r="AT170" s="96"/>
      <c r="AU170" s="388"/>
      <c r="AV170" s="261"/>
      <c r="AW170" s="294"/>
    </row>
    <row r="171" spans="1:51" s="83" customFormat="1" ht="72.75" customHeight="1">
      <c r="A171" s="381" t="s">
        <v>92</v>
      </c>
      <c r="B171" s="71" t="s">
        <v>593</v>
      </c>
      <c r="C171" s="72" t="s">
        <v>56</v>
      </c>
      <c r="D171" s="72" t="s">
        <v>156</v>
      </c>
      <c r="E171" s="109">
        <v>3054313</v>
      </c>
      <c r="F171" s="95">
        <f t="shared" ref="F171:F177" si="268">E171*$E$6</f>
        <v>2146583.393652</v>
      </c>
      <c r="G171" s="82">
        <v>3054313</v>
      </c>
      <c r="H171" s="82">
        <f t="shared" ref="H171:H177" si="269">G171*$G$6</f>
        <v>2146583.393652</v>
      </c>
      <c r="I171" s="82">
        <v>3054313</v>
      </c>
      <c r="J171" s="354">
        <f t="shared" ref="J171:J177" si="270">I171*$I$6</f>
        <v>2146583.393652</v>
      </c>
      <c r="K171" s="354">
        <v>2525392.6412399998</v>
      </c>
      <c r="L171" s="354">
        <v>2146582.14</v>
      </c>
      <c r="M171" s="130">
        <f t="shared" si="246"/>
        <v>0.99999941597796593</v>
      </c>
      <c r="N171" s="354"/>
      <c r="O171" s="132">
        <f t="shared" si="216"/>
        <v>0</v>
      </c>
      <c r="P171" s="354">
        <v>2146582.14</v>
      </c>
      <c r="Q171" s="76">
        <f t="shared" si="256"/>
        <v>0.99999941597796593</v>
      </c>
      <c r="R171" s="354">
        <v>2146582.14</v>
      </c>
      <c r="S171" s="76">
        <f t="shared" si="257"/>
        <v>0.99999941597796593</v>
      </c>
      <c r="T171" s="79">
        <v>2146582.14</v>
      </c>
      <c r="U171" s="79"/>
      <c r="V171" s="79"/>
      <c r="W171" s="79">
        <v>0</v>
      </c>
      <c r="X171" s="79">
        <v>0</v>
      </c>
      <c r="Y171" s="79">
        <f t="shared" si="247"/>
        <v>2146582.14</v>
      </c>
      <c r="Z171" s="115">
        <f t="shared" si="261"/>
        <v>2146582.14</v>
      </c>
      <c r="AA171" s="115"/>
      <c r="AB171" s="139"/>
      <c r="AC171" s="116">
        <f t="shared" si="267"/>
        <v>2146582.14</v>
      </c>
      <c r="AD171" s="76">
        <f t="shared" si="258"/>
        <v>0.99999941597796593</v>
      </c>
      <c r="AE171" s="130">
        <v>5.8375899273650968E-3</v>
      </c>
      <c r="AF171" s="171">
        <f t="shared" si="262"/>
        <v>1.2536519998684525</v>
      </c>
      <c r="AG171" s="172">
        <f t="shared" si="259"/>
        <v>5.8402203407322741E-7</v>
      </c>
      <c r="AH171" s="155" t="s">
        <v>360</v>
      </c>
      <c r="AI171" s="228">
        <v>2525392.6412399998</v>
      </c>
      <c r="AJ171" s="243" t="s">
        <v>409</v>
      </c>
      <c r="AK171" s="354">
        <v>0</v>
      </c>
      <c r="AL171" s="354">
        <v>0</v>
      </c>
      <c r="AM171" s="96">
        <f t="shared" si="250"/>
        <v>0</v>
      </c>
      <c r="AN171" s="354"/>
      <c r="AO171" s="354">
        <f t="shared" si="251"/>
        <v>0</v>
      </c>
      <c r="AP171" s="96"/>
      <c r="AQ171" s="96"/>
      <c r="AR171" s="96">
        <f t="shared" si="230"/>
        <v>0</v>
      </c>
      <c r="AS171" s="96"/>
      <c r="AT171" s="96"/>
      <c r="AU171" s="388"/>
      <c r="AV171" s="261"/>
      <c r="AW171" s="294"/>
    </row>
    <row r="172" spans="1:51" s="83" customFormat="1" ht="125.25" customHeight="1">
      <c r="A172" s="381" t="s">
        <v>93</v>
      </c>
      <c r="B172" s="71" t="s">
        <v>594</v>
      </c>
      <c r="C172" s="72" t="s">
        <v>56</v>
      </c>
      <c r="D172" s="72" t="s">
        <v>156</v>
      </c>
      <c r="E172" s="109">
        <v>738777</v>
      </c>
      <c r="F172" s="95">
        <f t="shared" si="268"/>
        <v>519215.43070799997</v>
      </c>
      <c r="G172" s="82">
        <v>738777</v>
      </c>
      <c r="H172" s="82">
        <f t="shared" si="269"/>
        <v>519215.43070799997</v>
      </c>
      <c r="I172" s="82">
        <v>738777</v>
      </c>
      <c r="J172" s="354">
        <f t="shared" si="270"/>
        <v>519215.43070799997</v>
      </c>
      <c r="K172" s="354">
        <v>610841.39379599993</v>
      </c>
      <c r="L172" s="354">
        <v>519210.9</v>
      </c>
      <c r="M172" s="130">
        <f t="shared" si="246"/>
        <v>0.9999912739342246</v>
      </c>
      <c r="N172" s="354"/>
      <c r="O172" s="132">
        <f t="shared" si="216"/>
        <v>0</v>
      </c>
      <c r="P172" s="354">
        <v>519210.9</v>
      </c>
      <c r="Q172" s="76">
        <f t="shared" si="256"/>
        <v>0.9999912739342246</v>
      </c>
      <c r="R172" s="354">
        <v>519210.9</v>
      </c>
      <c r="S172" s="76">
        <f t="shared" si="257"/>
        <v>0.9999912739342246</v>
      </c>
      <c r="T172" s="79">
        <v>415367.93</v>
      </c>
      <c r="U172" s="79"/>
      <c r="V172" s="79">
        <v>103842.97</v>
      </c>
      <c r="W172" s="79">
        <v>103842.97</v>
      </c>
      <c r="X172" s="79">
        <v>0</v>
      </c>
      <c r="Y172" s="79">
        <f t="shared" si="247"/>
        <v>519210.9</v>
      </c>
      <c r="Z172" s="115">
        <f t="shared" si="261"/>
        <v>519210.9</v>
      </c>
      <c r="AA172" s="115"/>
      <c r="AB172" s="139"/>
      <c r="AC172" s="116">
        <f t="shared" si="267"/>
        <v>519210.9</v>
      </c>
      <c r="AD172" s="76">
        <f t="shared" si="258"/>
        <v>0.9999912739342246</v>
      </c>
      <c r="AE172" s="130">
        <v>0</v>
      </c>
      <c r="AF172" s="171">
        <f t="shared" si="262"/>
        <v>4.5307079999474809</v>
      </c>
      <c r="AG172" s="172">
        <f t="shared" si="259"/>
        <v>8.7260657753746395E-6</v>
      </c>
      <c r="AH172" s="156" t="s">
        <v>361</v>
      </c>
      <c r="AI172" s="354">
        <v>610841.39379599993</v>
      </c>
      <c r="AJ172" s="243" t="s">
        <v>409</v>
      </c>
      <c r="AK172" s="354">
        <v>0</v>
      </c>
      <c r="AL172" s="354">
        <v>0</v>
      </c>
      <c r="AM172" s="96">
        <f t="shared" si="250"/>
        <v>0</v>
      </c>
      <c r="AN172" s="354"/>
      <c r="AO172" s="354">
        <f t="shared" si="251"/>
        <v>0</v>
      </c>
      <c r="AP172" s="96"/>
      <c r="AQ172" s="96"/>
      <c r="AR172" s="96">
        <f t="shared" si="230"/>
        <v>0</v>
      </c>
      <c r="AS172" s="96"/>
      <c r="AT172" s="96"/>
      <c r="AU172" s="388"/>
      <c r="AV172" s="261"/>
      <c r="AW172" s="294"/>
    </row>
    <row r="173" spans="1:51" s="83" customFormat="1" ht="80.25" customHeight="1">
      <c r="A173" s="381" t="s">
        <v>94</v>
      </c>
      <c r="B173" s="71" t="s">
        <v>595</v>
      </c>
      <c r="C173" s="72" t="s">
        <v>56</v>
      </c>
      <c r="D173" s="72" t="s">
        <v>156</v>
      </c>
      <c r="E173" s="109">
        <v>0</v>
      </c>
      <c r="F173" s="95">
        <f t="shared" si="268"/>
        <v>0</v>
      </c>
      <c r="G173" s="82">
        <v>0</v>
      </c>
      <c r="H173" s="82">
        <f t="shared" si="269"/>
        <v>0</v>
      </c>
      <c r="I173" s="82">
        <v>0</v>
      </c>
      <c r="J173" s="354">
        <f t="shared" si="270"/>
        <v>0</v>
      </c>
      <c r="K173" s="354">
        <v>0</v>
      </c>
      <c r="L173" s="354"/>
      <c r="M173" s="130" t="e">
        <f t="shared" si="246"/>
        <v>#DIV/0!</v>
      </c>
      <c r="N173" s="354"/>
      <c r="O173" s="132" t="e">
        <f t="shared" si="216"/>
        <v>#DIV/0!</v>
      </c>
      <c r="P173" s="354">
        <v>0</v>
      </c>
      <c r="Q173" s="76"/>
      <c r="R173" s="354">
        <v>0</v>
      </c>
      <c r="S173" s="81">
        <v>0</v>
      </c>
      <c r="T173" s="81">
        <v>0</v>
      </c>
      <c r="U173" s="81">
        <v>0</v>
      </c>
      <c r="V173" s="81">
        <v>0</v>
      </c>
      <c r="W173" s="79">
        <v>0</v>
      </c>
      <c r="X173" s="79">
        <v>0</v>
      </c>
      <c r="Y173" s="79">
        <f t="shared" si="247"/>
        <v>0</v>
      </c>
      <c r="Z173" s="115">
        <f t="shared" si="261"/>
        <v>0</v>
      </c>
      <c r="AA173" s="115"/>
      <c r="AB173" s="139"/>
      <c r="AC173" s="116">
        <f t="shared" si="267"/>
        <v>0</v>
      </c>
      <c r="AD173" s="76"/>
      <c r="AE173" s="130"/>
      <c r="AF173" s="171">
        <f t="shared" si="262"/>
        <v>0</v>
      </c>
      <c r="AG173" s="172">
        <v>0</v>
      </c>
      <c r="AH173" s="155" t="s">
        <v>362</v>
      </c>
      <c r="AI173" s="228">
        <v>0</v>
      </c>
      <c r="AJ173" s="243" t="s">
        <v>409</v>
      </c>
      <c r="AK173" s="354">
        <v>0</v>
      </c>
      <c r="AL173" s="354">
        <v>0</v>
      </c>
      <c r="AM173" s="96">
        <v>0</v>
      </c>
      <c r="AN173" s="354"/>
      <c r="AO173" s="354">
        <f t="shared" si="251"/>
        <v>0</v>
      </c>
      <c r="AP173" s="96"/>
      <c r="AQ173" s="96"/>
      <c r="AR173" s="96" t="e">
        <f t="shared" si="230"/>
        <v>#DIV/0!</v>
      </c>
      <c r="AS173" s="96"/>
      <c r="AT173" s="96"/>
      <c r="AU173" s="388"/>
      <c r="AV173" s="261"/>
      <c r="AW173" s="294"/>
    </row>
    <row r="174" spans="1:51" s="83" customFormat="1" ht="120.75" customHeight="1">
      <c r="A174" s="381" t="s">
        <v>234</v>
      </c>
      <c r="B174" s="71" t="s">
        <v>596</v>
      </c>
      <c r="C174" s="72" t="s">
        <v>56</v>
      </c>
      <c r="D174" s="72" t="s">
        <v>156</v>
      </c>
      <c r="E174" s="109">
        <v>7138380</v>
      </c>
      <c r="F174" s="95">
        <f t="shared" si="268"/>
        <v>5016882.0175200002</v>
      </c>
      <c r="G174" s="82">
        <v>7138380</v>
      </c>
      <c r="H174" s="82">
        <f t="shared" si="269"/>
        <v>5016882.0175200002</v>
      </c>
      <c r="I174" s="82">
        <v>7138380</v>
      </c>
      <c r="J174" s="354">
        <f t="shared" si="270"/>
        <v>5016882.0175200002</v>
      </c>
      <c r="K174" s="354">
        <v>5902212.6499680001</v>
      </c>
      <c r="L174" s="354">
        <v>5015615.1900000004</v>
      </c>
      <c r="M174" s="130">
        <f t="shared" si="246"/>
        <v>0.99974748708150285</v>
      </c>
      <c r="N174" s="354"/>
      <c r="O174" s="132">
        <f t="shared" si="216"/>
        <v>0</v>
      </c>
      <c r="P174" s="354">
        <v>5015615.1900000004</v>
      </c>
      <c r="Q174" s="76">
        <f t="shared" ref="Q174:Q200" si="271">P174/J174</f>
        <v>0.99974748708150285</v>
      </c>
      <c r="R174" s="354">
        <v>5015615.1900000004</v>
      </c>
      <c r="S174" s="76">
        <f t="shared" ref="S174:S200" si="272">R174/J174</f>
        <v>0.99974748708150285</v>
      </c>
      <c r="T174" s="79">
        <v>2664910.86</v>
      </c>
      <c r="U174" s="79"/>
      <c r="V174" s="79"/>
      <c r="W174" s="79">
        <v>0</v>
      </c>
      <c r="X174" s="79">
        <v>0</v>
      </c>
      <c r="Y174" s="79">
        <f t="shared" si="247"/>
        <v>2664910.86</v>
      </c>
      <c r="Z174" s="115">
        <f t="shared" si="261"/>
        <v>2664910.86</v>
      </c>
      <c r="AA174" s="115"/>
      <c r="AB174" s="139"/>
      <c r="AC174" s="116">
        <f t="shared" si="267"/>
        <v>2664910.86</v>
      </c>
      <c r="AD174" s="76">
        <f t="shared" ref="AD174:AD200" si="273">AC174/J174</f>
        <v>0.5311886647311167</v>
      </c>
      <c r="AE174" s="130">
        <v>0</v>
      </c>
      <c r="AF174" s="171">
        <f t="shared" si="262"/>
        <v>1266.827519999817</v>
      </c>
      <c r="AG174" s="172">
        <f t="shared" ref="AG174:AG200" si="274">AF174/J174</f>
        <v>2.5251291849714437E-4</v>
      </c>
      <c r="AH174" s="155" t="s">
        <v>363</v>
      </c>
      <c r="AI174" s="228">
        <v>5902212.6499680001</v>
      </c>
      <c r="AJ174" s="243" t="s">
        <v>409</v>
      </c>
      <c r="AK174" s="354">
        <v>0</v>
      </c>
      <c r="AL174" s="354">
        <v>0</v>
      </c>
      <c r="AM174" s="96">
        <f t="shared" si="250"/>
        <v>0</v>
      </c>
      <c r="AN174" s="354"/>
      <c r="AO174" s="354">
        <f t="shared" si="251"/>
        <v>0</v>
      </c>
      <c r="AP174" s="96"/>
      <c r="AQ174" s="96"/>
      <c r="AR174" s="96">
        <f t="shared" si="230"/>
        <v>0</v>
      </c>
      <c r="AS174" s="96"/>
      <c r="AT174" s="96"/>
      <c r="AU174" s="388"/>
      <c r="AV174" s="261"/>
      <c r="AW174" s="294"/>
    </row>
    <row r="175" spans="1:51" s="83" customFormat="1" ht="75.75" customHeight="1">
      <c r="A175" s="381" t="s">
        <v>249</v>
      </c>
      <c r="B175" s="71" t="s">
        <v>597</v>
      </c>
      <c r="C175" s="72" t="s">
        <v>56</v>
      </c>
      <c r="D175" s="72" t="s">
        <v>156</v>
      </c>
      <c r="E175" s="109">
        <v>2971072</v>
      </c>
      <c r="F175" s="95">
        <f t="shared" si="268"/>
        <v>2088081.2858879999</v>
      </c>
      <c r="G175" s="109">
        <v>2971072</v>
      </c>
      <c r="H175" s="82">
        <f t="shared" si="269"/>
        <v>2088081.2858879999</v>
      </c>
      <c r="I175" s="109">
        <v>2971072</v>
      </c>
      <c r="J175" s="354">
        <f t="shared" si="270"/>
        <v>2088081.2858879999</v>
      </c>
      <c r="K175" s="354">
        <v>2456566.342716</v>
      </c>
      <c r="L175" s="354">
        <v>2073555.43</v>
      </c>
      <c r="M175" s="130">
        <f t="shared" si="246"/>
        <v>0.99304344328634575</v>
      </c>
      <c r="N175" s="354"/>
      <c r="O175" s="132">
        <f t="shared" si="216"/>
        <v>0</v>
      </c>
      <c r="P175" s="354">
        <v>2073555.43</v>
      </c>
      <c r="Q175" s="76">
        <f t="shared" si="271"/>
        <v>0.99304344328634575</v>
      </c>
      <c r="R175" s="354">
        <v>2073555.43</v>
      </c>
      <c r="S175" s="76">
        <f t="shared" si="272"/>
        <v>0.99304344328634575</v>
      </c>
      <c r="T175" s="79">
        <v>2019607.61</v>
      </c>
      <c r="U175" s="79">
        <v>0</v>
      </c>
      <c r="V175" s="79">
        <v>0</v>
      </c>
      <c r="W175" s="79">
        <v>0</v>
      </c>
      <c r="X175" s="79">
        <v>0</v>
      </c>
      <c r="Y175" s="79">
        <f>AC175-X175</f>
        <v>2019607.61</v>
      </c>
      <c r="Z175" s="115">
        <f t="shared" si="261"/>
        <v>2019607.61</v>
      </c>
      <c r="AA175" s="115"/>
      <c r="AB175" s="139"/>
      <c r="AC175" s="116">
        <f t="shared" si="267"/>
        <v>2019607.61</v>
      </c>
      <c r="AD175" s="76">
        <f t="shared" si="273"/>
        <v>0.96720737054119044</v>
      </c>
      <c r="AE175" s="130">
        <v>4.9732546953630162E-3</v>
      </c>
      <c r="AF175" s="171">
        <f t="shared" si="262"/>
        <v>14525.855887999991</v>
      </c>
      <c r="AG175" s="172">
        <f t="shared" si="274"/>
        <v>6.9565567136542624E-3</v>
      </c>
      <c r="AH175" s="362" t="s">
        <v>364</v>
      </c>
      <c r="AI175" s="363">
        <v>2456566.342716</v>
      </c>
      <c r="AJ175" s="243" t="s">
        <v>409</v>
      </c>
      <c r="AK175" s="354">
        <v>0</v>
      </c>
      <c r="AL175" s="354">
        <v>0</v>
      </c>
      <c r="AM175" s="96">
        <f t="shared" si="250"/>
        <v>0</v>
      </c>
      <c r="AN175" s="354"/>
      <c r="AO175" s="354">
        <f t="shared" si="251"/>
        <v>0</v>
      </c>
      <c r="AP175" s="96"/>
      <c r="AQ175" s="96"/>
      <c r="AR175" s="96">
        <f t="shared" si="230"/>
        <v>0</v>
      </c>
      <c r="AS175" s="96"/>
      <c r="AT175" s="96"/>
      <c r="AU175" s="388"/>
      <c r="AV175" s="258"/>
      <c r="AW175" s="294"/>
      <c r="AX175" s="250"/>
      <c r="AY175" s="250"/>
    </row>
    <row r="176" spans="1:51" s="83" customFormat="1" ht="126.75" customHeight="1">
      <c r="A176" s="383" t="s">
        <v>262</v>
      </c>
      <c r="B176" s="350" t="s">
        <v>598</v>
      </c>
      <c r="C176" s="183" t="s">
        <v>56</v>
      </c>
      <c r="D176" s="183" t="s">
        <v>687</v>
      </c>
      <c r="E176" s="207">
        <v>29886243</v>
      </c>
      <c r="F176" s="355">
        <f t="shared" si="268"/>
        <v>21004171.125372</v>
      </c>
      <c r="G176" s="207">
        <v>29886243</v>
      </c>
      <c r="H176" s="187">
        <f t="shared" si="269"/>
        <v>21004171.125372</v>
      </c>
      <c r="I176" s="207">
        <v>29886243</v>
      </c>
      <c r="J176" s="355">
        <f t="shared" si="270"/>
        <v>21004171.125372</v>
      </c>
      <c r="K176" s="355">
        <v>21004171.125372</v>
      </c>
      <c r="L176" s="355">
        <v>21133628.609999999</v>
      </c>
      <c r="M176" s="184">
        <f t="shared" si="246"/>
        <v>1.00616341791615</v>
      </c>
      <c r="N176" s="355">
        <v>173662</v>
      </c>
      <c r="O176" s="185">
        <f t="shared" si="216"/>
        <v>8.2679768205765995E-3</v>
      </c>
      <c r="P176" s="355">
        <v>20960017.93</v>
      </c>
      <c r="Q176" s="186">
        <f t="shared" si="271"/>
        <v>0.99789788441979199</v>
      </c>
      <c r="R176" s="355">
        <v>20960017.93</v>
      </c>
      <c r="S176" s="186">
        <f t="shared" si="272"/>
        <v>0.99789788441979199</v>
      </c>
      <c r="T176" s="187">
        <v>15748111.359999999</v>
      </c>
      <c r="U176" s="187"/>
      <c r="V176" s="187">
        <v>3977856.23</v>
      </c>
      <c r="W176" s="187">
        <v>3426629.8299999898</v>
      </c>
      <c r="X176" s="187">
        <v>2593.64</v>
      </c>
      <c r="Y176" s="187">
        <f t="shared" si="247"/>
        <v>19723373.949999999</v>
      </c>
      <c r="Z176" s="189">
        <f t="shared" si="261"/>
        <v>19174741.18999999</v>
      </c>
      <c r="AA176" s="189"/>
      <c r="AB176" s="184"/>
      <c r="AC176" s="204">
        <f t="shared" si="267"/>
        <v>19725967.59</v>
      </c>
      <c r="AD176" s="186">
        <f t="shared" si="273"/>
        <v>0.93914525225763401</v>
      </c>
      <c r="AE176" s="184">
        <v>1.0093867959734239E-2</v>
      </c>
      <c r="AF176" s="190">
        <f t="shared" si="262"/>
        <v>44153.195372000337</v>
      </c>
      <c r="AG176" s="191">
        <f t="shared" si="274"/>
        <v>2.1021155802080408E-3</v>
      </c>
      <c r="AH176" s="208" t="s">
        <v>367</v>
      </c>
      <c r="AI176" s="219">
        <v>24710791.047552001</v>
      </c>
      <c r="AJ176" s="244" t="s">
        <v>408</v>
      </c>
      <c r="AK176" s="355">
        <v>11220679</v>
      </c>
      <c r="AL176" s="355">
        <v>11220679</v>
      </c>
      <c r="AM176" s="212">
        <f t="shared" si="250"/>
        <v>0.53421193976304904</v>
      </c>
      <c r="AN176" s="191" t="s">
        <v>409</v>
      </c>
      <c r="AO176" s="355">
        <f t="shared" si="251"/>
        <v>11220679</v>
      </c>
      <c r="AP176" s="355">
        <v>11220679</v>
      </c>
      <c r="AQ176" s="355">
        <v>11220679</v>
      </c>
      <c r="AR176" s="212">
        <f t="shared" si="230"/>
        <v>0.53421193976304904</v>
      </c>
      <c r="AS176" s="194" t="s">
        <v>433</v>
      </c>
      <c r="AT176" s="194" t="s">
        <v>704</v>
      </c>
      <c r="AU176" s="384">
        <f>AO176/0.85-AO176</f>
        <v>1980119.823529413</v>
      </c>
      <c r="AV176" s="261"/>
      <c r="AW176" s="294"/>
    </row>
    <row r="177" spans="1:51" s="98" customFormat="1" ht="33.6" customHeight="1">
      <c r="A177" s="381" t="s">
        <v>241</v>
      </c>
      <c r="B177" s="71" t="s">
        <v>599</v>
      </c>
      <c r="C177" s="72" t="s">
        <v>56</v>
      </c>
      <c r="D177" s="72" t="s">
        <v>687</v>
      </c>
      <c r="E177" s="109">
        <v>2694748</v>
      </c>
      <c r="F177" s="95">
        <f t="shared" si="268"/>
        <v>1893879.6733919999</v>
      </c>
      <c r="G177" s="109">
        <v>2694748</v>
      </c>
      <c r="H177" s="82">
        <f t="shared" si="269"/>
        <v>1893879.6733919999</v>
      </c>
      <c r="I177" s="109">
        <v>2694748</v>
      </c>
      <c r="J177" s="354">
        <f t="shared" si="270"/>
        <v>1893879.6733919999</v>
      </c>
      <c r="K177" s="354">
        <v>1893879.6733919999</v>
      </c>
      <c r="L177" s="354">
        <v>7381716.9500000002</v>
      </c>
      <c r="M177" s="130">
        <f t="shared" si="246"/>
        <v>3.8976694526633286</v>
      </c>
      <c r="N177" s="354">
        <v>5370331.9699999997</v>
      </c>
      <c r="O177" s="132">
        <f t="shared" si="216"/>
        <v>2.8356246943511256</v>
      </c>
      <c r="P177" s="354">
        <v>1830323.98</v>
      </c>
      <c r="Q177" s="76">
        <f t="shared" si="271"/>
        <v>0.96644153570845948</v>
      </c>
      <c r="R177" s="354">
        <v>1830323.98</v>
      </c>
      <c r="S177" s="76">
        <f t="shared" si="272"/>
        <v>0.96644153570845948</v>
      </c>
      <c r="T177" s="79">
        <v>1553232.77</v>
      </c>
      <c r="U177" s="79"/>
      <c r="V177" s="79">
        <v>225236.38</v>
      </c>
      <c r="W177" s="79">
        <v>176488.14</v>
      </c>
      <c r="X177" s="79">
        <v>16838.64</v>
      </c>
      <c r="Y177" s="79">
        <f t="shared" si="247"/>
        <v>1761630.51</v>
      </c>
      <c r="Z177" s="115">
        <f t="shared" si="261"/>
        <v>1729720.9100000001</v>
      </c>
      <c r="AA177" s="115">
        <v>181061</v>
      </c>
      <c r="AB177" s="136">
        <f t="shared" ref="AB177:AB182" si="275">AA177/J177</f>
        <v>9.5603222603743293E-2</v>
      </c>
      <c r="AC177" s="116">
        <f>SUM(T177:V177)</f>
        <v>1778469.15</v>
      </c>
      <c r="AD177" s="76">
        <f t="shared" si="273"/>
        <v>0.93906132210326965</v>
      </c>
      <c r="AE177" s="130">
        <v>2.0358465138743155E-2</v>
      </c>
      <c r="AF177" s="171">
        <f t="shared" si="262"/>
        <v>63555.693391999928</v>
      </c>
      <c r="AG177" s="172">
        <f t="shared" si="274"/>
        <v>3.3558464291540559E-2</v>
      </c>
      <c r="AH177" s="157" t="s">
        <v>368</v>
      </c>
      <c r="AI177" s="214">
        <v>2228093.8987679998</v>
      </c>
      <c r="AJ177" s="243" t="s">
        <v>409</v>
      </c>
      <c r="AK177" s="354">
        <v>0</v>
      </c>
      <c r="AL177" s="354">
        <v>0</v>
      </c>
      <c r="AM177" s="96">
        <f t="shared" si="250"/>
        <v>0</v>
      </c>
      <c r="AN177" s="354"/>
      <c r="AO177" s="354">
        <f t="shared" si="251"/>
        <v>0</v>
      </c>
      <c r="AP177" s="96"/>
      <c r="AQ177" s="96"/>
      <c r="AR177" s="96">
        <f t="shared" si="230"/>
        <v>0</v>
      </c>
      <c r="AS177" s="96"/>
      <c r="AT177" s="96"/>
      <c r="AU177" s="388"/>
      <c r="AV177" s="260"/>
      <c r="AW177" s="294"/>
    </row>
    <row r="178" spans="1:51" s="98" customFormat="1" ht="41.25" customHeight="1">
      <c r="A178" s="379" t="s">
        <v>95</v>
      </c>
      <c r="B178" s="66" t="s">
        <v>600</v>
      </c>
      <c r="C178" s="67" t="s">
        <v>56</v>
      </c>
      <c r="D178" s="67" t="s">
        <v>685</v>
      </c>
      <c r="E178" s="110"/>
      <c r="F178" s="94">
        <f>F179+F182+F183</f>
        <v>145516627.32562798</v>
      </c>
      <c r="G178" s="94"/>
      <c r="H178" s="94">
        <f>H179+H182+H183</f>
        <v>145516627.32562798</v>
      </c>
      <c r="I178" s="94"/>
      <c r="J178" s="353">
        <f>J179+J182+J183</f>
        <v>145516627.32562798</v>
      </c>
      <c r="K178" s="353">
        <f t="shared" ref="K178:AL178" si="276">K179+K182+K183</f>
        <v>158825860.70735997</v>
      </c>
      <c r="L178" s="353">
        <f t="shared" si="276"/>
        <v>160656521.59</v>
      </c>
      <c r="M178" s="353">
        <f t="shared" si="276"/>
        <v>5.7107858675904959</v>
      </c>
      <c r="N178" s="353">
        <f t="shared" si="276"/>
        <v>9610722.4199999999</v>
      </c>
      <c r="O178" s="353">
        <f t="shared" si="276"/>
        <v>0.27033991270199331</v>
      </c>
      <c r="P178" s="353">
        <f t="shared" si="276"/>
        <v>144067513.84999999</v>
      </c>
      <c r="Q178" s="353">
        <f t="shared" si="276"/>
        <v>4.6357780511491029</v>
      </c>
      <c r="R178" s="353">
        <f t="shared" si="276"/>
        <v>144063348.84999999</v>
      </c>
      <c r="S178" s="353">
        <f t="shared" si="276"/>
        <v>4.6346057692917721</v>
      </c>
      <c r="T178" s="353">
        <f t="shared" si="276"/>
        <v>39693401.25</v>
      </c>
      <c r="U178" s="353">
        <f t="shared" si="276"/>
        <v>0</v>
      </c>
      <c r="V178" s="353">
        <f t="shared" si="276"/>
        <v>29066328.93</v>
      </c>
      <c r="W178" s="353">
        <f t="shared" si="276"/>
        <v>8001052.7200000109</v>
      </c>
      <c r="X178" s="353">
        <f t="shared" si="276"/>
        <v>995.4</v>
      </c>
      <c r="Y178" s="353">
        <f t="shared" si="276"/>
        <v>68758734.780000001</v>
      </c>
      <c r="Z178" s="353">
        <f t="shared" si="276"/>
        <v>47694453.970000014</v>
      </c>
      <c r="AA178" s="353">
        <f t="shared" si="276"/>
        <v>6785534.3899999997</v>
      </c>
      <c r="AB178" s="353">
        <f t="shared" si="276"/>
        <v>0.75041618267751953</v>
      </c>
      <c r="AC178" s="353">
        <f t="shared" si="276"/>
        <v>68759730.179999992</v>
      </c>
      <c r="AD178" s="353">
        <f t="shared" si="276"/>
        <v>2.5577720995586204</v>
      </c>
      <c r="AE178" s="353">
        <f t="shared" si="276"/>
        <v>4.6098498848171961E-3</v>
      </c>
      <c r="AF178" s="353">
        <f t="shared" si="276"/>
        <v>1453277.9116520006</v>
      </c>
      <c r="AG178" s="353">
        <f t="shared" si="276"/>
        <v>0.36539417150837078</v>
      </c>
      <c r="AH178" s="353" t="e">
        <f t="shared" si="276"/>
        <v>#VALUE!</v>
      </c>
      <c r="AI178" s="353">
        <f t="shared" si="276"/>
        <v>171196031.98243201</v>
      </c>
      <c r="AJ178" s="242" t="s">
        <v>409</v>
      </c>
      <c r="AK178" s="353">
        <f t="shared" si="276"/>
        <v>0</v>
      </c>
      <c r="AL178" s="353">
        <f t="shared" si="276"/>
        <v>0</v>
      </c>
      <c r="AM178" s="96">
        <f t="shared" si="250"/>
        <v>0</v>
      </c>
      <c r="AN178" s="354"/>
      <c r="AO178" s="353">
        <f t="shared" si="251"/>
        <v>0</v>
      </c>
      <c r="AP178" s="353">
        <f t="shared" ref="AP178:AQ178" si="277">AP179+AP182+AP183</f>
        <v>10600000</v>
      </c>
      <c r="AQ178" s="353">
        <f t="shared" si="277"/>
        <v>10600000</v>
      </c>
      <c r="AR178" s="96">
        <f t="shared" si="230"/>
        <v>6.6739761099300604E-2</v>
      </c>
      <c r="AS178" s="96"/>
      <c r="AT178" s="96"/>
      <c r="AU178" s="386"/>
      <c r="AV178" s="261"/>
      <c r="AW178" s="294"/>
    </row>
    <row r="179" spans="1:51" s="83" customFormat="1" ht="33">
      <c r="A179" s="387" t="s">
        <v>96</v>
      </c>
      <c r="B179" s="77" t="s">
        <v>601</v>
      </c>
      <c r="C179" s="78" t="s">
        <v>56</v>
      </c>
      <c r="D179" s="78" t="s">
        <v>685</v>
      </c>
      <c r="E179" s="111"/>
      <c r="F179" s="95">
        <f>F180+F181</f>
        <v>7657701.7821120005</v>
      </c>
      <c r="G179" s="95"/>
      <c r="H179" s="95">
        <f>H180+H181</f>
        <v>7657701.7821120005</v>
      </c>
      <c r="I179" s="95"/>
      <c r="J179" s="354">
        <f>J180+J181</f>
        <v>7657701.7821120005</v>
      </c>
      <c r="K179" s="354">
        <f t="shared" ref="K179:AI179" si="278">K180+K181</f>
        <v>7657701.7821120005</v>
      </c>
      <c r="L179" s="354">
        <f t="shared" si="278"/>
        <v>7553894.9299999997</v>
      </c>
      <c r="M179" s="354">
        <f t="shared" si="278"/>
        <v>1.9530954706946306</v>
      </c>
      <c r="N179" s="354">
        <f t="shared" si="278"/>
        <v>749455.52</v>
      </c>
      <c r="O179" s="354">
        <f t="shared" si="278"/>
        <v>0.19654219961192521</v>
      </c>
      <c r="P179" s="354">
        <f t="shared" si="278"/>
        <v>6352799.1899999995</v>
      </c>
      <c r="Q179" s="354">
        <f t="shared" si="278"/>
        <v>1.6369791646578213</v>
      </c>
      <c r="R179" s="354">
        <f t="shared" si="278"/>
        <v>6348634.1899999995</v>
      </c>
      <c r="S179" s="354">
        <f t="shared" si="278"/>
        <v>1.6358068828004901</v>
      </c>
      <c r="T179" s="354">
        <f t="shared" si="278"/>
        <v>1955723.7200000002</v>
      </c>
      <c r="U179" s="354">
        <f t="shared" si="278"/>
        <v>0</v>
      </c>
      <c r="V179" s="354">
        <f t="shared" si="278"/>
        <v>1487621.59</v>
      </c>
      <c r="W179" s="354">
        <f t="shared" si="278"/>
        <v>644990.34000000102</v>
      </c>
      <c r="X179" s="354">
        <f t="shared" si="278"/>
        <v>995.4</v>
      </c>
      <c r="Y179" s="354">
        <f t="shared" si="278"/>
        <v>3442349.91</v>
      </c>
      <c r="Z179" s="354">
        <f t="shared" si="278"/>
        <v>2600714.0600000015</v>
      </c>
      <c r="AA179" s="354">
        <f t="shared" si="278"/>
        <v>258889.29</v>
      </c>
      <c r="AB179" s="354">
        <f t="shared" si="278"/>
        <v>6.5322385363004457E-2</v>
      </c>
      <c r="AC179" s="354">
        <f t="shared" si="278"/>
        <v>3443345.31</v>
      </c>
      <c r="AD179" s="354">
        <f t="shared" si="278"/>
        <v>0.84393718360146441</v>
      </c>
      <c r="AE179" s="354">
        <f t="shared" si="278"/>
        <v>1.4811674087064994E-3</v>
      </c>
      <c r="AF179" s="354">
        <f t="shared" si="278"/>
        <v>1309067.5921120001</v>
      </c>
      <c r="AG179" s="354">
        <f t="shared" si="278"/>
        <v>0.36419311719950986</v>
      </c>
      <c r="AH179" s="354" t="e">
        <f t="shared" si="278"/>
        <v>#VALUE!</v>
      </c>
      <c r="AI179" s="354">
        <f t="shared" si="278"/>
        <v>9009061.044156</v>
      </c>
      <c r="AJ179" s="243" t="s">
        <v>409</v>
      </c>
      <c r="AK179" s="354">
        <f t="shared" ref="AK179:AL179" si="279">AK180+AK181</f>
        <v>0</v>
      </c>
      <c r="AL179" s="354">
        <f t="shared" si="279"/>
        <v>0</v>
      </c>
      <c r="AM179" s="96">
        <f t="shared" si="250"/>
        <v>0</v>
      </c>
      <c r="AN179" s="354"/>
      <c r="AO179" s="354">
        <f t="shared" si="251"/>
        <v>0</v>
      </c>
      <c r="AP179" s="354"/>
      <c r="AQ179" s="354"/>
      <c r="AR179" s="96">
        <f t="shared" si="230"/>
        <v>0</v>
      </c>
      <c r="AS179" s="96"/>
      <c r="AT179" s="96"/>
      <c r="AU179" s="388"/>
      <c r="AV179" s="261"/>
      <c r="AW179" s="294"/>
    </row>
    <row r="180" spans="1:51" s="83" customFormat="1" ht="53.25" customHeight="1">
      <c r="A180" s="381" t="s">
        <v>303</v>
      </c>
      <c r="B180" s="71" t="s">
        <v>602</v>
      </c>
      <c r="C180" s="72" t="s">
        <v>56</v>
      </c>
      <c r="D180" s="72" t="s">
        <v>685</v>
      </c>
      <c r="E180" s="109">
        <v>5055321</v>
      </c>
      <c r="F180" s="95">
        <f>E180*$E$6</f>
        <v>3552899.820084</v>
      </c>
      <c r="G180" s="82">
        <v>5055321</v>
      </c>
      <c r="H180" s="82">
        <f>G180*$G$6</f>
        <v>3552899.820084</v>
      </c>
      <c r="I180" s="109">
        <v>5055321</v>
      </c>
      <c r="J180" s="354">
        <f>I180*$I$6</f>
        <v>3552899.820084</v>
      </c>
      <c r="K180" s="354">
        <v>3552899.820084</v>
      </c>
      <c r="L180" s="354">
        <v>2981715.28</v>
      </c>
      <c r="M180" s="130">
        <f t="shared" si="246"/>
        <v>0.83923426806036538</v>
      </c>
      <c r="N180" s="354">
        <v>368944.5</v>
      </c>
      <c r="O180" s="132">
        <f t="shared" si="216"/>
        <v>0.10384320377242642</v>
      </c>
      <c r="P180" s="354">
        <v>2360497.16</v>
      </c>
      <c r="Q180" s="76">
        <f t="shared" si="271"/>
        <v>0.66438607321728305</v>
      </c>
      <c r="R180" s="354">
        <v>2356332.16</v>
      </c>
      <c r="S180" s="76">
        <f t="shared" si="272"/>
        <v>0.66321379135995173</v>
      </c>
      <c r="T180" s="79">
        <v>85471.8</v>
      </c>
      <c r="U180" s="79"/>
      <c r="V180" s="79">
        <v>48749.25</v>
      </c>
      <c r="W180" s="79">
        <v>328.24000000002002</v>
      </c>
      <c r="X180" s="79">
        <v>0</v>
      </c>
      <c r="Y180" s="79">
        <f t="shared" si="247"/>
        <v>134221.04999999999</v>
      </c>
      <c r="Z180" s="115">
        <f t="shared" si="261"/>
        <v>85800.040000000023</v>
      </c>
      <c r="AA180" s="115">
        <v>59522.69</v>
      </c>
      <c r="AB180" s="136">
        <f t="shared" si="275"/>
        <v>1.6753270008776303E-2</v>
      </c>
      <c r="AC180" s="116">
        <f>SUM(T180:V180)</f>
        <v>134221.04999999999</v>
      </c>
      <c r="AD180" s="76">
        <f t="shared" si="273"/>
        <v>3.7777887583902277E-2</v>
      </c>
      <c r="AE180" s="130">
        <v>0</v>
      </c>
      <c r="AF180" s="171">
        <f t="shared" si="262"/>
        <v>1196567.6600839999</v>
      </c>
      <c r="AG180" s="172">
        <f t="shared" si="274"/>
        <v>0.33678620864004821</v>
      </c>
      <c r="AH180" s="164" t="s">
        <v>414</v>
      </c>
      <c r="AI180" s="213">
        <v>4179882.5133480001</v>
      </c>
      <c r="AJ180" s="243" t="s">
        <v>409</v>
      </c>
      <c r="AK180" s="354">
        <v>0</v>
      </c>
      <c r="AL180" s="354">
        <v>0</v>
      </c>
      <c r="AM180" s="96">
        <f t="shared" si="250"/>
        <v>0</v>
      </c>
      <c r="AN180" s="130"/>
      <c r="AO180" s="354">
        <f t="shared" si="251"/>
        <v>0</v>
      </c>
      <c r="AP180" s="170"/>
      <c r="AQ180" s="170"/>
      <c r="AR180" s="96">
        <f t="shared" si="230"/>
        <v>0</v>
      </c>
      <c r="AS180" s="170"/>
      <c r="AT180" s="170"/>
      <c r="AU180" s="388"/>
      <c r="AV180" s="261"/>
      <c r="AW180" s="294"/>
    </row>
    <row r="181" spans="1:51" s="83" customFormat="1" ht="57" customHeight="1">
      <c r="A181" s="381" t="s">
        <v>263</v>
      </c>
      <c r="B181" s="71" t="s">
        <v>603</v>
      </c>
      <c r="C181" s="72" t="s">
        <v>56</v>
      </c>
      <c r="D181" s="72" t="s">
        <v>685</v>
      </c>
      <c r="E181" s="109">
        <v>5840607</v>
      </c>
      <c r="F181" s="95">
        <f>E181*$E$6</f>
        <v>4104801.962028</v>
      </c>
      <c r="G181" s="82">
        <v>5840607</v>
      </c>
      <c r="H181" s="82">
        <f>G181*$G$6</f>
        <v>4104801.962028</v>
      </c>
      <c r="I181" s="109">
        <v>5840607</v>
      </c>
      <c r="J181" s="354">
        <f>I181*$I$6</f>
        <v>4104801.962028</v>
      </c>
      <c r="K181" s="354">
        <v>4104801.962028</v>
      </c>
      <c r="L181" s="354">
        <v>4572179.6500000004</v>
      </c>
      <c r="M181" s="130">
        <f t="shared" si="246"/>
        <v>1.1138612026342654</v>
      </c>
      <c r="N181" s="354">
        <v>380511.02</v>
      </c>
      <c r="O181" s="132">
        <f t="shared" si="216"/>
        <v>9.2698995839498782E-2</v>
      </c>
      <c r="P181" s="354">
        <v>3992302.03</v>
      </c>
      <c r="Q181" s="76">
        <f t="shared" si="271"/>
        <v>0.97259309144053829</v>
      </c>
      <c r="R181" s="354">
        <v>3992302.03</v>
      </c>
      <c r="S181" s="76">
        <f t="shared" si="272"/>
        <v>0.97259309144053829</v>
      </c>
      <c r="T181" s="79">
        <v>1870251.9200000002</v>
      </c>
      <c r="U181" s="79"/>
      <c r="V181" s="79">
        <v>1438872.34</v>
      </c>
      <c r="W181" s="79">
        <v>644662.10000000102</v>
      </c>
      <c r="X181" s="79">
        <v>995.4</v>
      </c>
      <c r="Y181" s="79">
        <f t="shared" si="247"/>
        <v>3308128.8600000003</v>
      </c>
      <c r="Z181" s="115">
        <f t="shared" ref="Z181:Z182" si="280">T181+U181+W181</f>
        <v>2514914.0200000014</v>
      </c>
      <c r="AA181" s="115">
        <v>199366.6</v>
      </c>
      <c r="AB181" s="136">
        <f t="shared" si="275"/>
        <v>4.8569115354228157E-2</v>
      </c>
      <c r="AC181" s="116">
        <f>SUM(T181:V181)</f>
        <v>3309124.2600000002</v>
      </c>
      <c r="AD181" s="76">
        <f t="shared" si="273"/>
        <v>0.80615929601756209</v>
      </c>
      <c r="AE181" s="130">
        <v>1.4811674087064994E-3</v>
      </c>
      <c r="AF181" s="171">
        <f t="shared" si="262"/>
        <v>112499.93202800024</v>
      </c>
      <c r="AG181" s="172">
        <f t="shared" si="274"/>
        <v>2.7406908559461669E-2</v>
      </c>
      <c r="AH181" s="164" t="s">
        <v>413</v>
      </c>
      <c r="AI181" s="213">
        <v>4829178.5308079999</v>
      </c>
      <c r="AJ181" s="243" t="s">
        <v>409</v>
      </c>
      <c r="AK181" s="354">
        <v>0</v>
      </c>
      <c r="AL181" s="354">
        <v>0</v>
      </c>
      <c r="AM181" s="96">
        <f t="shared" si="250"/>
        <v>0</v>
      </c>
      <c r="AN181" s="130"/>
      <c r="AO181" s="354">
        <f t="shared" si="251"/>
        <v>0</v>
      </c>
      <c r="AP181" s="170"/>
      <c r="AQ181" s="170"/>
      <c r="AR181" s="96">
        <f t="shared" si="230"/>
        <v>0</v>
      </c>
      <c r="AS181" s="170"/>
      <c r="AT181" s="170"/>
      <c r="AU181" s="388"/>
      <c r="AV181" s="261"/>
      <c r="AW181" s="294"/>
    </row>
    <row r="182" spans="1:51" s="98" customFormat="1" ht="201.75" customHeight="1">
      <c r="A182" s="383" t="s">
        <v>209</v>
      </c>
      <c r="B182" s="350" t="s">
        <v>604</v>
      </c>
      <c r="C182" s="183" t="s">
        <v>56</v>
      </c>
      <c r="D182" s="183" t="s">
        <v>685</v>
      </c>
      <c r="E182" s="207">
        <v>13555194</v>
      </c>
      <c r="F182" s="355">
        <f>E182*$E$6</f>
        <v>9526644.5639759991</v>
      </c>
      <c r="G182" s="187">
        <v>13555194</v>
      </c>
      <c r="H182" s="187">
        <f>G182*$G$6</f>
        <v>9526644.5639759991</v>
      </c>
      <c r="I182" s="207">
        <v>13555194</v>
      </c>
      <c r="J182" s="355">
        <f>I182*$I$6</f>
        <v>9526644.5639759991</v>
      </c>
      <c r="K182" s="355">
        <v>10678405.381607998</v>
      </c>
      <c r="L182" s="355">
        <v>16053289.1</v>
      </c>
      <c r="M182" s="184">
        <f t="shared" si="246"/>
        <v>1.6850937381146578</v>
      </c>
      <c r="N182" s="355"/>
      <c r="O182" s="185">
        <f t="shared" si="216"/>
        <v>0</v>
      </c>
      <c r="P182" s="355">
        <v>9526644</v>
      </c>
      <c r="Q182" s="186">
        <f t="shared" si="271"/>
        <v>0.99999994080014265</v>
      </c>
      <c r="R182" s="355">
        <v>9526644</v>
      </c>
      <c r="S182" s="186">
        <f t="shared" si="272"/>
        <v>0.99999994080014265</v>
      </c>
      <c r="T182" s="187">
        <v>2469344.9</v>
      </c>
      <c r="U182" s="187"/>
      <c r="V182" s="187"/>
      <c r="W182" s="187">
        <v>0</v>
      </c>
      <c r="X182" s="187">
        <v>0</v>
      </c>
      <c r="Y182" s="187">
        <f t="shared" si="247"/>
        <v>2469344.9</v>
      </c>
      <c r="Z182" s="189">
        <f t="shared" si="280"/>
        <v>2469344.9</v>
      </c>
      <c r="AA182" s="189">
        <v>6526645.0999999996</v>
      </c>
      <c r="AB182" s="201">
        <f t="shared" si="275"/>
        <v>0.68509379731451503</v>
      </c>
      <c r="AC182" s="204">
        <f>SUM(T182:V182)</f>
        <v>2469344.9</v>
      </c>
      <c r="AD182" s="186">
        <f t="shared" si="273"/>
        <v>0.25920405483978765</v>
      </c>
      <c r="AE182" s="184">
        <v>0</v>
      </c>
      <c r="AF182" s="190">
        <v>0</v>
      </c>
      <c r="AG182" s="191">
        <f t="shared" si="274"/>
        <v>0</v>
      </c>
      <c r="AH182" s="328" t="s">
        <v>395</v>
      </c>
      <c r="AI182" s="329">
        <v>10678405.381607998</v>
      </c>
      <c r="AJ182" s="244" t="s">
        <v>408</v>
      </c>
      <c r="AK182" s="355">
        <v>0</v>
      </c>
      <c r="AL182" s="355">
        <v>0</v>
      </c>
      <c r="AM182" s="212">
        <f t="shared" si="250"/>
        <v>0</v>
      </c>
      <c r="AN182" s="355"/>
      <c r="AO182" s="355">
        <f t="shared" si="251"/>
        <v>0</v>
      </c>
      <c r="AP182" s="330">
        <v>10600000</v>
      </c>
      <c r="AQ182" s="330">
        <v>10600000</v>
      </c>
      <c r="AR182" s="212">
        <f t="shared" si="230"/>
        <v>0.99265757584526249</v>
      </c>
      <c r="AS182" s="330" t="s">
        <v>433</v>
      </c>
      <c r="AT182" s="314" t="s">
        <v>717</v>
      </c>
      <c r="AU182" s="384"/>
      <c r="AV182" s="261"/>
      <c r="AW182" s="294"/>
    </row>
    <row r="183" spans="1:51" s="83" customFormat="1" ht="75.75" customHeight="1">
      <c r="A183" s="387" t="s">
        <v>97</v>
      </c>
      <c r="B183" s="77" t="s">
        <v>605</v>
      </c>
      <c r="C183" s="78" t="s">
        <v>56</v>
      </c>
      <c r="D183" s="78" t="s">
        <v>685</v>
      </c>
      <c r="E183" s="111"/>
      <c r="F183" s="95">
        <f>F184+F185</f>
        <v>128332280.97953999</v>
      </c>
      <c r="G183" s="95"/>
      <c r="H183" s="95">
        <f>H184+H185</f>
        <v>128332280.97953999</v>
      </c>
      <c r="I183" s="95"/>
      <c r="J183" s="354">
        <f>J184+J185</f>
        <v>128332280.97953999</v>
      </c>
      <c r="K183" s="354">
        <f>K184+K185</f>
        <v>140489753.54363999</v>
      </c>
      <c r="L183" s="354">
        <f t="shared" ref="L183:AI183" si="281">L184+L185</f>
        <v>137049337.56</v>
      </c>
      <c r="M183" s="354">
        <f t="shared" si="281"/>
        <v>2.0725966587812072</v>
      </c>
      <c r="N183" s="354">
        <f t="shared" si="281"/>
        <v>8861266.9000000004</v>
      </c>
      <c r="O183" s="354">
        <f t="shared" si="281"/>
        <v>7.3797713090068121E-2</v>
      </c>
      <c r="P183" s="354">
        <f t="shared" si="281"/>
        <v>128188070.66</v>
      </c>
      <c r="Q183" s="354">
        <f t="shared" si="281"/>
        <v>1.998798945691139</v>
      </c>
      <c r="R183" s="354">
        <f t="shared" si="281"/>
        <v>128188070.66</v>
      </c>
      <c r="S183" s="354">
        <f t="shared" si="281"/>
        <v>1.998798945691139</v>
      </c>
      <c r="T183" s="354">
        <f t="shared" si="281"/>
        <v>35268332.630000003</v>
      </c>
      <c r="U183" s="354">
        <f t="shared" si="281"/>
        <v>0</v>
      </c>
      <c r="V183" s="354">
        <f t="shared" si="281"/>
        <v>27578707.34</v>
      </c>
      <c r="W183" s="354">
        <f t="shared" si="281"/>
        <v>7356062.3800000101</v>
      </c>
      <c r="X183" s="354">
        <f t="shared" si="281"/>
        <v>0</v>
      </c>
      <c r="Y183" s="354">
        <f t="shared" si="281"/>
        <v>62847039.969999999</v>
      </c>
      <c r="Z183" s="354">
        <f t="shared" si="281"/>
        <v>42624395.010000013</v>
      </c>
      <c r="AA183" s="354">
        <f t="shared" si="281"/>
        <v>0</v>
      </c>
      <c r="AB183" s="354">
        <f t="shared" si="281"/>
        <v>0</v>
      </c>
      <c r="AC183" s="354">
        <f t="shared" si="281"/>
        <v>62847039.969999999</v>
      </c>
      <c r="AD183" s="354">
        <f t="shared" si="281"/>
        <v>1.4546308611173684</v>
      </c>
      <c r="AE183" s="354">
        <f t="shared" si="281"/>
        <v>3.1286824761106967E-3</v>
      </c>
      <c r="AF183" s="354">
        <f t="shared" si="281"/>
        <v>144210.31954000052</v>
      </c>
      <c r="AG183" s="354">
        <f t="shared" si="281"/>
        <v>1.2010543088609269E-3</v>
      </c>
      <c r="AH183" s="354" t="e">
        <f t="shared" si="281"/>
        <v>#VALUE!</v>
      </c>
      <c r="AI183" s="354">
        <f t="shared" si="281"/>
        <v>151508565.55666801</v>
      </c>
      <c r="AJ183" s="243" t="s">
        <v>409</v>
      </c>
      <c r="AK183" s="354">
        <f>AK184+AK185</f>
        <v>0</v>
      </c>
      <c r="AL183" s="354">
        <f>AL184+AL185</f>
        <v>0</v>
      </c>
      <c r="AM183" s="96">
        <f t="shared" si="250"/>
        <v>0</v>
      </c>
      <c r="AN183" s="354"/>
      <c r="AO183" s="354">
        <f t="shared" si="251"/>
        <v>0</v>
      </c>
      <c r="AP183" s="354"/>
      <c r="AQ183" s="354"/>
      <c r="AR183" s="96">
        <f t="shared" si="230"/>
        <v>0</v>
      </c>
      <c r="AS183" s="327"/>
      <c r="AT183" s="327"/>
      <c r="AU183" s="388"/>
      <c r="AV183" s="261"/>
      <c r="AW183" s="294"/>
    </row>
    <row r="184" spans="1:51" s="83" customFormat="1" ht="62.25" customHeight="1">
      <c r="A184" s="381" t="s">
        <v>211</v>
      </c>
      <c r="B184" s="71" t="s">
        <v>606</v>
      </c>
      <c r="C184" s="72" t="s">
        <v>56</v>
      </c>
      <c r="D184" s="72" t="s">
        <v>685</v>
      </c>
      <c r="E184" s="109">
        <v>170851458</v>
      </c>
      <c r="F184" s="95">
        <f>E184*$E$6</f>
        <v>120075088.088232</v>
      </c>
      <c r="G184" s="82">
        <v>170851458</v>
      </c>
      <c r="H184" s="82">
        <f>G184*$G$6</f>
        <v>120075088.088232</v>
      </c>
      <c r="I184" s="109">
        <v>170851458</v>
      </c>
      <c r="J184" s="354">
        <f>I184*$I$6</f>
        <v>120075088.088232</v>
      </c>
      <c r="K184" s="354">
        <v>130775408.304168</v>
      </c>
      <c r="L184" s="354">
        <v>128792145.14</v>
      </c>
      <c r="M184" s="130">
        <f t="shared" si="246"/>
        <v>1.0725967158596847</v>
      </c>
      <c r="N184" s="354">
        <v>8861266.9000000004</v>
      </c>
      <c r="O184" s="132">
        <f t="shared" si="216"/>
        <v>7.3797713090068121E-2</v>
      </c>
      <c r="P184" s="354">
        <v>119930878.23999999</v>
      </c>
      <c r="Q184" s="76">
        <f t="shared" si="271"/>
        <v>0.99879900276961664</v>
      </c>
      <c r="R184" s="354">
        <v>119930878.23999999</v>
      </c>
      <c r="S184" s="76">
        <f t="shared" si="272"/>
        <v>0.99879900276961664</v>
      </c>
      <c r="T184" s="79">
        <v>28439140.210000001</v>
      </c>
      <c r="U184" s="79"/>
      <c r="V184" s="79">
        <v>26150707.34</v>
      </c>
      <c r="W184" s="79">
        <v>5928062.3800000101</v>
      </c>
      <c r="X184" s="79">
        <v>0</v>
      </c>
      <c r="Y184" s="79">
        <f t="shared" ref="Y184:Y248" si="282">AC184-X184</f>
        <v>54589847.549999997</v>
      </c>
      <c r="Z184" s="354">
        <f t="shared" si="248"/>
        <v>34367202.590000011</v>
      </c>
      <c r="AA184" s="354"/>
      <c r="AB184" s="130"/>
      <c r="AC184" s="116">
        <f>SUM(T184:V184)</f>
        <v>54589847.549999997</v>
      </c>
      <c r="AD184" s="76">
        <f t="shared" si="273"/>
        <v>0.45463091819584595</v>
      </c>
      <c r="AE184" s="130">
        <v>2.3704919367074791E-3</v>
      </c>
      <c r="AF184" s="171">
        <f t="shared" ref="AF184:AF211" si="283">J184-R184</f>
        <v>144209.84823200107</v>
      </c>
      <c r="AG184" s="172">
        <f t="shared" si="274"/>
        <v>1.2009972303833306E-3</v>
      </c>
      <c r="AH184" s="164" t="s">
        <v>396</v>
      </c>
      <c r="AI184" s="213">
        <v>141794220.31719601</v>
      </c>
      <c r="AJ184" s="243" t="s">
        <v>409</v>
      </c>
      <c r="AK184" s="354">
        <v>0</v>
      </c>
      <c r="AL184" s="354">
        <v>0</v>
      </c>
      <c r="AM184" s="96">
        <f t="shared" si="250"/>
        <v>0</v>
      </c>
      <c r="AN184" s="354"/>
      <c r="AO184" s="354">
        <f t="shared" si="251"/>
        <v>0</v>
      </c>
      <c r="AP184" s="87"/>
      <c r="AQ184" s="87"/>
      <c r="AR184" s="96">
        <f t="shared" si="230"/>
        <v>0</v>
      </c>
      <c r="AS184" s="87"/>
      <c r="AT184" s="313"/>
      <c r="AU184" s="388"/>
      <c r="AV184" s="261"/>
      <c r="AW184" s="294"/>
    </row>
    <row r="185" spans="1:51" s="98" customFormat="1" ht="69.75" customHeight="1">
      <c r="A185" s="381" t="s">
        <v>212</v>
      </c>
      <c r="B185" s="71" t="s">
        <v>607</v>
      </c>
      <c r="C185" s="72" t="s">
        <v>56</v>
      </c>
      <c r="D185" s="72" t="s">
        <v>685</v>
      </c>
      <c r="E185" s="109">
        <v>11748927</v>
      </c>
      <c r="F185" s="95">
        <f>E185*$E$6</f>
        <v>8257192.8913079994</v>
      </c>
      <c r="G185" s="109">
        <v>11748927</v>
      </c>
      <c r="H185" s="82">
        <f>G185*$G$6</f>
        <v>8257192.8913079994</v>
      </c>
      <c r="I185" s="109">
        <v>11748927</v>
      </c>
      <c r="J185" s="354">
        <f>I185*$I$6</f>
        <v>8257192.8913079994</v>
      </c>
      <c r="K185" s="354">
        <v>9714345.2394719999</v>
      </c>
      <c r="L185" s="354">
        <v>8257192.4199999999</v>
      </c>
      <c r="M185" s="130">
        <f t="shared" si="246"/>
        <v>0.99999994292152239</v>
      </c>
      <c r="N185" s="354"/>
      <c r="O185" s="132">
        <f t="shared" si="216"/>
        <v>0</v>
      </c>
      <c r="P185" s="354">
        <v>8257192.4199999999</v>
      </c>
      <c r="Q185" s="76">
        <f t="shared" si="271"/>
        <v>0.99999994292152239</v>
      </c>
      <c r="R185" s="354">
        <v>8257192.4199999999</v>
      </c>
      <c r="S185" s="76">
        <f t="shared" si="272"/>
        <v>0.99999994292152239</v>
      </c>
      <c r="T185" s="79">
        <v>6829192.4199999999</v>
      </c>
      <c r="U185" s="79"/>
      <c r="V185" s="79">
        <v>1428000</v>
      </c>
      <c r="W185" s="79">
        <v>1428000</v>
      </c>
      <c r="X185" s="79">
        <v>0</v>
      </c>
      <c r="Y185" s="79">
        <f t="shared" si="282"/>
        <v>8257192.4199999999</v>
      </c>
      <c r="Z185" s="354">
        <f t="shared" si="248"/>
        <v>8257192.4199999999</v>
      </c>
      <c r="AA185" s="354"/>
      <c r="AB185" s="130"/>
      <c r="AC185" s="116">
        <f>SUM(T185:V185)</f>
        <v>8257192.4199999999</v>
      </c>
      <c r="AD185" s="76">
        <f t="shared" si="273"/>
        <v>0.99999994292152239</v>
      </c>
      <c r="AE185" s="130">
        <v>7.5819053940321746E-4</v>
      </c>
      <c r="AF185" s="171">
        <f t="shared" si="283"/>
        <v>0.47130799945443869</v>
      </c>
      <c r="AG185" s="172">
        <f t="shared" si="274"/>
        <v>5.7078477596250036E-8</v>
      </c>
      <c r="AH185" s="164" t="s">
        <v>397</v>
      </c>
      <c r="AI185" s="213">
        <v>9714345.2394719999</v>
      </c>
      <c r="AJ185" s="243" t="s">
        <v>409</v>
      </c>
      <c r="AK185" s="354">
        <v>0</v>
      </c>
      <c r="AL185" s="354">
        <v>0</v>
      </c>
      <c r="AM185" s="96">
        <f t="shared" si="250"/>
        <v>0</v>
      </c>
      <c r="AN185" s="354"/>
      <c r="AO185" s="354">
        <f t="shared" si="251"/>
        <v>0</v>
      </c>
      <c r="AP185" s="96"/>
      <c r="AQ185" s="96"/>
      <c r="AR185" s="96">
        <f t="shared" si="230"/>
        <v>0</v>
      </c>
      <c r="AS185" s="96"/>
      <c r="AT185" s="96"/>
      <c r="AU185" s="388"/>
      <c r="AV185" s="260"/>
      <c r="AW185" s="294"/>
      <c r="AX185" s="250"/>
      <c r="AY185" s="250"/>
    </row>
    <row r="186" spans="1:51" s="98" customFormat="1" ht="66">
      <c r="A186" s="379" t="s">
        <v>98</v>
      </c>
      <c r="B186" s="66" t="s">
        <v>608</v>
      </c>
      <c r="C186" s="67" t="s">
        <v>56</v>
      </c>
      <c r="D186" s="67" t="s">
        <v>138</v>
      </c>
      <c r="E186" s="110"/>
      <c r="F186" s="94">
        <f>F187+F195</f>
        <v>359266842.01624799</v>
      </c>
      <c r="G186" s="94"/>
      <c r="H186" s="94">
        <f>H187+H195</f>
        <v>359266842.01624799</v>
      </c>
      <c r="I186" s="94"/>
      <c r="J186" s="353">
        <f>J187+J195</f>
        <v>359266842.01624799</v>
      </c>
      <c r="K186" s="353">
        <f t="shared" ref="K186:AI186" si="284">K187+K195</f>
        <v>383823640.976556</v>
      </c>
      <c r="L186" s="353">
        <f t="shared" si="284"/>
        <v>501452965.13</v>
      </c>
      <c r="M186" s="353">
        <f t="shared" si="284"/>
        <v>12.31874755083555</v>
      </c>
      <c r="N186" s="353">
        <f t="shared" si="284"/>
        <v>170080011.66</v>
      </c>
      <c r="O186" s="353">
        <f t="shared" si="284"/>
        <v>4.6349580614899661</v>
      </c>
      <c r="P186" s="353">
        <f t="shared" si="284"/>
        <v>282467005.98000002</v>
      </c>
      <c r="Q186" s="353">
        <f t="shared" si="284"/>
        <v>6.8144672279460767</v>
      </c>
      <c r="R186" s="353">
        <f t="shared" si="284"/>
        <v>280602655.98000002</v>
      </c>
      <c r="S186" s="353">
        <f t="shared" si="284"/>
        <v>6.7952361805665467</v>
      </c>
      <c r="T186" s="353">
        <f t="shared" si="284"/>
        <v>94163738.169999987</v>
      </c>
      <c r="U186" s="353">
        <f t="shared" si="284"/>
        <v>0</v>
      </c>
      <c r="V186" s="353">
        <f t="shared" si="284"/>
        <v>26967925.729999997</v>
      </c>
      <c r="W186" s="353">
        <f t="shared" si="284"/>
        <v>4490880.2199999858</v>
      </c>
      <c r="X186" s="353">
        <f t="shared" si="284"/>
        <v>89094.98000000001</v>
      </c>
      <c r="Y186" s="353">
        <f t="shared" si="284"/>
        <v>121042568.92</v>
      </c>
      <c r="Z186" s="353">
        <f t="shared" si="284"/>
        <v>98654618.389999986</v>
      </c>
      <c r="AA186" s="353">
        <f t="shared" si="284"/>
        <v>1552349.04</v>
      </c>
      <c r="AB186" s="353">
        <f t="shared" si="284"/>
        <v>2.7546116734447734E-2</v>
      </c>
      <c r="AC186" s="353">
        <f t="shared" si="284"/>
        <v>121131663.89999999</v>
      </c>
      <c r="AD186" s="353">
        <f t="shared" si="284"/>
        <v>3.8692684460904161</v>
      </c>
      <c r="AE186" s="353">
        <f t="shared" si="284"/>
        <v>2.4612754968797806E-2</v>
      </c>
      <c r="AF186" s="353">
        <f t="shared" si="284"/>
        <v>78664186.036248013</v>
      </c>
      <c r="AG186" s="353">
        <f t="shared" si="284"/>
        <v>3.2047638194334529</v>
      </c>
      <c r="AH186" s="353" t="e">
        <f t="shared" si="284"/>
        <v>#VALUE!</v>
      </c>
      <c r="AI186" s="353">
        <f t="shared" si="284"/>
        <v>402046716.17295605</v>
      </c>
      <c r="AJ186" s="242" t="s">
        <v>408</v>
      </c>
      <c r="AK186" s="353">
        <f t="shared" ref="AK186:AL186" si="285">AK187+AK195</f>
        <v>26135455</v>
      </c>
      <c r="AL186" s="353">
        <f t="shared" si="285"/>
        <v>26135455</v>
      </c>
      <c r="AM186" s="311">
        <f t="shared" si="250"/>
        <v>6.8092353387884094E-2</v>
      </c>
      <c r="AN186" s="247"/>
      <c r="AO186" s="353">
        <f t="shared" si="251"/>
        <v>26135455</v>
      </c>
      <c r="AP186" s="353">
        <f t="shared" ref="AP186:AQ186" si="286">AP187+AP195</f>
        <v>26135455</v>
      </c>
      <c r="AQ186" s="353">
        <f t="shared" si="286"/>
        <v>26135455</v>
      </c>
      <c r="AR186" s="311">
        <f t="shared" si="230"/>
        <v>6.8092353387884094E-2</v>
      </c>
      <c r="AS186" s="96"/>
      <c r="AT186" s="96"/>
      <c r="AU186" s="386">
        <f>AU187+AU195</f>
        <v>4170962.6470588259</v>
      </c>
      <c r="AV186" s="260"/>
      <c r="AW186" s="294"/>
      <c r="AX186" s="250"/>
      <c r="AY186" s="250"/>
    </row>
    <row r="187" spans="1:51" s="83" customFormat="1" ht="135" customHeight="1">
      <c r="A187" s="379" t="s">
        <v>99</v>
      </c>
      <c r="B187" s="66" t="s">
        <v>609</v>
      </c>
      <c r="C187" s="67" t="s">
        <v>56</v>
      </c>
      <c r="D187" s="67" t="s">
        <v>168</v>
      </c>
      <c r="E187" s="110"/>
      <c r="F187" s="94">
        <f>F188+F189+F190+F193+F194</f>
        <v>231383309.82435599</v>
      </c>
      <c r="G187" s="94"/>
      <c r="H187" s="94">
        <f>H188+H189+H190+H193+H194</f>
        <v>231383309.82435599</v>
      </c>
      <c r="I187" s="94"/>
      <c r="J187" s="353">
        <f>J188+J189+J190+J193+J194</f>
        <v>231383309.82435599</v>
      </c>
      <c r="K187" s="353">
        <f t="shared" ref="K187:AI187" si="287">K188+K189+K190+K193+K194</f>
        <v>255940108.78466401</v>
      </c>
      <c r="L187" s="353">
        <f t="shared" si="287"/>
        <v>419944636.06999999</v>
      </c>
      <c r="M187" s="353">
        <f t="shared" si="287"/>
        <v>10.743618466592908</v>
      </c>
      <c r="N187" s="353">
        <f t="shared" si="287"/>
        <v>170038528.68000001</v>
      </c>
      <c r="O187" s="353">
        <f t="shared" si="287"/>
        <v>4.6315578174059739</v>
      </c>
      <c r="P187" s="353">
        <f t="shared" si="287"/>
        <v>201039944.75</v>
      </c>
      <c r="Q187" s="353">
        <f t="shared" si="287"/>
        <v>5.2463094306360656</v>
      </c>
      <c r="R187" s="353">
        <f t="shared" si="287"/>
        <v>201039944.75</v>
      </c>
      <c r="S187" s="353">
        <f t="shared" si="287"/>
        <v>5.2463094306360656</v>
      </c>
      <c r="T187" s="353">
        <f t="shared" si="287"/>
        <v>64261511.709999993</v>
      </c>
      <c r="U187" s="353">
        <f t="shared" si="287"/>
        <v>0</v>
      </c>
      <c r="V187" s="353">
        <f t="shared" si="287"/>
        <v>17675312.579999998</v>
      </c>
      <c r="W187" s="353">
        <f t="shared" si="287"/>
        <v>3894019.979999986</v>
      </c>
      <c r="X187" s="353">
        <f t="shared" si="287"/>
        <v>48896.26</v>
      </c>
      <c r="Y187" s="353">
        <f t="shared" si="287"/>
        <v>81887928.030000001</v>
      </c>
      <c r="Z187" s="353">
        <f t="shared" si="287"/>
        <v>68155531.689999983</v>
      </c>
      <c r="AA187" s="353">
        <f t="shared" si="287"/>
        <v>1552349.04</v>
      </c>
      <c r="AB187" s="353">
        <f t="shared" si="287"/>
        <v>2.7546116734447734E-2</v>
      </c>
      <c r="AC187" s="353">
        <f t="shared" si="287"/>
        <v>81936824.289999992</v>
      </c>
      <c r="AD187" s="353">
        <f t="shared" si="287"/>
        <v>2.7991329727700842</v>
      </c>
      <c r="AE187" s="353">
        <f t="shared" si="287"/>
        <v>1.3677290967297154E-2</v>
      </c>
      <c r="AF187" s="353">
        <f t="shared" si="287"/>
        <v>30343365.074356008</v>
      </c>
      <c r="AG187" s="353">
        <f t="shared" si="287"/>
        <v>0.75369056936393408</v>
      </c>
      <c r="AH187" s="353" t="e">
        <f t="shared" si="287"/>
        <v>#VALUE!</v>
      </c>
      <c r="AI187" s="353">
        <f t="shared" si="287"/>
        <v>271333305.72364801</v>
      </c>
      <c r="AJ187" s="242" t="s">
        <v>408</v>
      </c>
      <c r="AK187" s="353">
        <f>AK188+AK189+AK190+AK193+AK194</f>
        <v>23635455</v>
      </c>
      <c r="AL187" s="353">
        <f t="shared" ref="AL187" si="288">AL188+AL189+AL190+AL193+AL194</f>
        <v>23635455</v>
      </c>
      <c r="AM187" s="311">
        <f t="shared" si="250"/>
        <v>9.2347600820494147E-2</v>
      </c>
      <c r="AN187" s="354"/>
      <c r="AO187" s="353">
        <f t="shared" si="251"/>
        <v>23635455</v>
      </c>
      <c r="AP187" s="353">
        <f>AP188+AP189+AP190+AP193+AP194</f>
        <v>23635455</v>
      </c>
      <c r="AQ187" s="353">
        <f>AQ188+AQ189+AQ190+AQ193+AQ194</f>
        <v>23635455</v>
      </c>
      <c r="AR187" s="311">
        <f t="shared" si="230"/>
        <v>9.2347600820494147E-2</v>
      </c>
      <c r="AS187" s="96"/>
      <c r="AT187" s="96"/>
      <c r="AU187" s="386">
        <f>AU188+AU189+AU190+AU193+AU194</f>
        <v>4170962.6470588259</v>
      </c>
      <c r="AV187" s="258"/>
      <c r="AW187" s="294"/>
      <c r="AX187" s="250"/>
      <c r="AY187" s="250"/>
    </row>
    <row r="188" spans="1:51" s="83" customFormat="1" ht="132" customHeight="1">
      <c r="A188" s="381" t="s">
        <v>229</v>
      </c>
      <c r="B188" s="71" t="s">
        <v>610</v>
      </c>
      <c r="C188" s="72" t="s">
        <v>56</v>
      </c>
      <c r="D188" s="72" t="s">
        <v>168</v>
      </c>
      <c r="E188" s="112">
        <v>198000000</v>
      </c>
      <c r="F188" s="112">
        <f>E188*$E$6</f>
        <v>139155192</v>
      </c>
      <c r="G188" s="112">
        <v>198000000</v>
      </c>
      <c r="H188" s="79">
        <f>G188*$G$6</f>
        <v>139155192</v>
      </c>
      <c r="I188" s="112">
        <v>198000000</v>
      </c>
      <c r="J188" s="354">
        <f>I188*$I$6</f>
        <v>139155192</v>
      </c>
      <c r="K188" s="354">
        <v>163711990.96030802</v>
      </c>
      <c r="L188" s="354">
        <v>245448557.28</v>
      </c>
      <c r="M188" s="130">
        <f t="shared" si="246"/>
        <v>1.763847641990965</v>
      </c>
      <c r="N188" s="354">
        <v>122007501.7</v>
      </c>
      <c r="O188" s="137">
        <f t="shared" si="216"/>
        <v>0.87677290330640345</v>
      </c>
      <c r="P188" s="354">
        <v>123441055.58</v>
      </c>
      <c r="Q188" s="76">
        <f t="shared" si="271"/>
        <v>0.88707473868456166</v>
      </c>
      <c r="R188" s="354">
        <v>123441055.58</v>
      </c>
      <c r="S188" s="76">
        <f t="shared" si="272"/>
        <v>0.88707473868456166</v>
      </c>
      <c r="T188" s="79">
        <v>36338406.159999996</v>
      </c>
      <c r="U188" s="79"/>
      <c r="V188" s="79"/>
      <c r="W188" s="79">
        <v>37193.529999986298</v>
      </c>
      <c r="X188" s="79">
        <v>0</v>
      </c>
      <c r="Y188" s="79">
        <f t="shared" si="282"/>
        <v>36338406.159999996</v>
      </c>
      <c r="Z188" s="354">
        <f t="shared" si="248"/>
        <v>36375599.689999983</v>
      </c>
      <c r="AA188" s="354"/>
      <c r="AB188" s="130"/>
      <c r="AC188" s="118">
        <f t="shared" ref="AC188:AC194" si="289">SUM(T188:V188)</f>
        <v>36338406.159999996</v>
      </c>
      <c r="AD188" s="76">
        <f t="shared" si="273"/>
        <v>0.26113582711308392</v>
      </c>
      <c r="AE188" s="130">
        <v>0</v>
      </c>
      <c r="AF188" s="174">
        <f t="shared" si="283"/>
        <v>15714136.420000002</v>
      </c>
      <c r="AG188" s="182">
        <f t="shared" si="274"/>
        <v>0.1129252613154384</v>
      </c>
      <c r="AH188" s="150" t="s">
        <v>382</v>
      </c>
      <c r="AI188" s="230">
        <v>163711990.96030802</v>
      </c>
      <c r="AJ188" s="243" t="s">
        <v>409</v>
      </c>
      <c r="AK188" s="354">
        <v>0</v>
      </c>
      <c r="AL188" s="354">
        <v>0</v>
      </c>
      <c r="AM188" s="96">
        <f t="shared" si="250"/>
        <v>0</v>
      </c>
      <c r="AN188" s="182" t="s">
        <v>408</v>
      </c>
      <c r="AO188" s="354">
        <v>0</v>
      </c>
      <c r="AP188" s="307"/>
      <c r="AQ188" s="307"/>
      <c r="AR188" s="96">
        <f t="shared" si="230"/>
        <v>0</v>
      </c>
      <c r="AS188" s="307"/>
      <c r="AT188" s="307"/>
      <c r="AU188" s="388">
        <v>0</v>
      </c>
      <c r="AV188" s="258"/>
      <c r="AW188" s="294"/>
      <c r="AX188" s="250"/>
      <c r="AY188" s="250"/>
    </row>
    <row r="189" spans="1:51" s="98" customFormat="1" ht="244.5" customHeight="1">
      <c r="A189" s="383" t="s">
        <v>304</v>
      </c>
      <c r="B189" s="350" t="s">
        <v>611</v>
      </c>
      <c r="C189" s="183" t="s">
        <v>56</v>
      </c>
      <c r="D189" s="183" t="s">
        <v>168</v>
      </c>
      <c r="E189" s="207">
        <v>80185302</v>
      </c>
      <c r="F189" s="207">
        <f>E189*$E$6</f>
        <v>56354550.986808002</v>
      </c>
      <c r="G189" s="207">
        <v>80185302</v>
      </c>
      <c r="H189" s="187">
        <f>G189*$G$6</f>
        <v>56354550.986808002</v>
      </c>
      <c r="I189" s="207">
        <v>80185302</v>
      </c>
      <c r="J189" s="355">
        <f>I189*$I$6</f>
        <v>56354550.986808002</v>
      </c>
      <c r="K189" s="355">
        <v>56354550.986808002</v>
      </c>
      <c r="L189" s="355">
        <v>106645022.86</v>
      </c>
      <c r="M189" s="184">
        <f t="shared" si="246"/>
        <v>1.8923941543774248</v>
      </c>
      <c r="N189" s="355">
        <v>12242709.17</v>
      </c>
      <c r="O189" s="185">
        <f t="shared" si="216"/>
        <v>0.21724437433395374</v>
      </c>
      <c r="P189" s="355">
        <v>45519272.689999998</v>
      </c>
      <c r="Q189" s="186">
        <f t="shared" si="271"/>
        <v>0.80773019912190536</v>
      </c>
      <c r="R189" s="355">
        <v>45519272.689999998</v>
      </c>
      <c r="S189" s="186">
        <f t="shared" si="272"/>
        <v>0.80773019912190536</v>
      </c>
      <c r="T189" s="187">
        <v>19147626.649999999</v>
      </c>
      <c r="U189" s="187"/>
      <c r="V189" s="187">
        <v>12014219.32</v>
      </c>
      <c r="W189" s="187">
        <v>2325365.5499999998</v>
      </c>
      <c r="X189" s="187">
        <v>25873.79</v>
      </c>
      <c r="Y189" s="187">
        <f t="shared" si="282"/>
        <v>31135972.18</v>
      </c>
      <c r="Z189" s="355">
        <f t="shared" si="248"/>
        <v>21472992.199999999</v>
      </c>
      <c r="AA189" s="355">
        <v>1552349.04</v>
      </c>
      <c r="AB189" s="201">
        <f>AA189/J189</f>
        <v>2.7546116734447734E-2</v>
      </c>
      <c r="AC189" s="204">
        <f t="shared" si="289"/>
        <v>31161845.969999999</v>
      </c>
      <c r="AD189" s="186">
        <f t="shared" si="273"/>
        <v>0.55296059367582673</v>
      </c>
      <c r="AE189" s="184">
        <v>9.5497322742168506E-3</v>
      </c>
      <c r="AF189" s="190">
        <f t="shared" si="283"/>
        <v>10835278.296808004</v>
      </c>
      <c r="AG189" s="191">
        <f t="shared" si="274"/>
        <v>0.19226980087809462</v>
      </c>
      <c r="AH189" s="192" t="s">
        <v>383</v>
      </c>
      <c r="AI189" s="229">
        <v>65417117.905092001</v>
      </c>
      <c r="AJ189" s="244" t="s">
        <v>408</v>
      </c>
      <c r="AK189" s="355">
        <v>23635455</v>
      </c>
      <c r="AL189" s="355">
        <v>23635455</v>
      </c>
      <c r="AM189" s="212">
        <f t="shared" si="250"/>
        <v>0.41940632275701756</v>
      </c>
      <c r="AN189" s="191" t="s">
        <v>408</v>
      </c>
      <c r="AO189" s="355">
        <v>23635455.098680802</v>
      </c>
      <c r="AP189" s="355">
        <v>23635455</v>
      </c>
      <c r="AQ189" s="355">
        <v>23635455</v>
      </c>
      <c r="AR189" s="212">
        <f t="shared" si="230"/>
        <v>0.41940632275701756</v>
      </c>
      <c r="AS189" s="324" t="s">
        <v>433</v>
      </c>
      <c r="AT189" s="274" t="s">
        <v>728</v>
      </c>
      <c r="AU189" s="384">
        <f>AL189/0.85-AL189</f>
        <v>4170962.6470588259</v>
      </c>
      <c r="AV189" s="261"/>
      <c r="AW189" s="294"/>
    </row>
    <row r="190" spans="1:51" s="83" customFormat="1" ht="123" customHeight="1">
      <c r="A190" s="387" t="s">
        <v>305</v>
      </c>
      <c r="B190" s="77" t="s">
        <v>612</v>
      </c>
      <c r="C190" s="78" t="s">
        <v>56</v>
      </c>
      <c r="D190" s="78" t="s">
        <v>168</v>
      </c>
      <c r="E190" s="111"/>
      <c r="F190" s="109">
        <f>F191+F192</f>
        <v>18343908.288119998</v>
      </c>
      <c r="G190" s="95"/>
      <c r="H190" s="95">
        <f>H191+H192</f>
        <v>18343908.288119998</v>
      </c>
      <c r="I190" s="95"/>
      <c r="J190" s="354">
        <f>J191+J192</f>
        <v>18343908.288119998</v>
      </c>
      <c r="K190" s="354">
        <f>K191+K192</f>
        <v>18343908.288119998</v>
      </c>
      <c r="L190" s="354">
        <f t="shared" ref="L190:AI190" si="290">L191+L192</f>
        <v>50321398.390000001</v>
      </c>
      <c r="M190" s="354">
        <f t="shared" si="290"/>
        <v>5.0873769304821126</v>
      </c>
      <c r="N190" s="354">
        <f t="shared" si="290"/>
        <v>35788317.810000002</v>
      </c>
      <c r="O190" s="354">
        <f t="shared" si="290"/>
        <v>3.5375405397656166</v>
      </c>
      <c r="P190" s="354">
        <f t="shared" si="290"/>
        <v>14549958.939999999</v>
      </c>
      <c r="Q190" s="354">
        <f t="shared" si="290"/>
        <v>1.5515047530871939</v>
      </c>
      <c r="R190" s="354">
        <f t="shared" si="290"/>
        <v>14549958.939999999</v>
      </c>
      <c r="S190" s="354">
        <f t="shared" si="290"/>
        <v>1.5515047530871939</v>
      </c>
      <c r="T190" s="354">
        <f t="shared" si="290"/>
        <v>5240380.4800000004</v>
      </c>
      <c r="U190" s="354">
        <f t="shared" si="290"/>
        <v>0</v>
      </c>
      <c r="V190" s="354">
        <f t="shared" si="290"/>
        <v>2162881.29</v>
      </c>
      <c r="W190" s="354">
        <f t="shared" si="290"/>
        <v>1531460.9</v>
      </c>
      <c r="X190" s="354">
        <f t="shared" si="290"/>
        <v>23022.47</v>
      </c>
      <c r="Y190" s="354">
        <f t="shared" si="290"/>
        <v>7380239.3000000007</v>
      </c>
      <c r="Z190" s="354">
        <f t="shared" si="290"/>
        <v>6771841.3800000008</v>
      </c>
      <c r="AA190" s="354">
        <f t="shared" si="290"/>
        <v>0</v>
      </c>
      <c r="AB190" s="354">
        <f t="shared" si="290"/>
        <v>0</v>
      </c>
      <c r="AC190" s="354">
        <f t="shared" si="290"/>
        <v>7403261.7700000005</v>
      </c>
      <c r="AD190" s="354">
        <f t="shared" si="290"/>
        <v>0.73178456659826874</v>
      </c>
      <c r="AE190" s="354">
        <f t="shared" si="290"/>
        <v>4.1275586930803023E-3</v>
      </c>
      <c r="AF190" s="354">
        <f t="shared" si="290"/>
        <v>3793949.3481199993</v>
      </c>
      <c r="AG190" s="354">
        <f t="shared" si="290"/>
        <v>0.44849524691280618</v>
      </c>
      <c r="AH190" s="354" t="e">
        <f t="shared" si="290"/>
        <v>#VALUE!</v>
      </c>
      <c r="AI190" s="354">
        <f t="shared" si="290"/>
        <v>21581068.491576001</v>
      </c>
      <c r="AJ190" s="243" t="s">
        <v>409</v>
      </c>
      <c r="AK190" s="354">
        <f>AK191+AK192</f>
        <v>0</v>
      </c>
      <c r="AL190" s="354">
        <f>AL191+AL192</f>
        <v>0</v>
      </c>
      <c r="AM190" s="96">
        <f t="shared" si="250"/>
        <v>0</v>
      </c>
      <c r="AN190" s="354"/>
      <c r="AO190" s="354">
        <f>AL190</f>
        <v>0</v>
      </c>
      <c r="AP190" s="96"/>
      <c r="AQ190" s="96"/>
      <c r="AR190" s="96">
        <f t="shared" si="230"/>
        <v>0</v>
      </c>
      <c r="AS190" s="96"/>
      <c r="AT190" s="96"/>
      <c r="AU190" s="388">
        <f>AU191+AU192</f>
        <v>0</v>
      </c>
      <c r="AV190" s="258"/>
      <c r="AW190" s="294"/>
      <c r="AX190" s="250"/>
      <c r="AY190" s="250"/>
    </row>
    <row r="191" spans="1:51" s="83" customFormat="1" ht="218.45" customHeight="1">
      <c r="A191" s="381" t="s">
        <v>306</v>
      </c>
      <c r="B191" s="71" t="s">
        <v>613</v>
      </c>
      <c r="C191" s="72" t="s">
        <v>56</v>
      </c>
      <c r="D191" s="72" t="s">
        <v>168</v>
      </c>
      <c r="E191" s="112">
        <v>14394800</v>
      </c>
      <c r="F191" s="112">
        <f>E191*$E$6</f>
        <v>10116723.019199999</v>
      </c>
      <c r="G191" s="112">
        <v>14394800</v>
      </c>
      <c r="H191" s="79">
        <f>G191*$G$6</f>
        <v>10116723.019199999</v>
      </c>
      <c r="I191" s="112">
        <v>14394800</v>
      </c>
      <c r="J191" s="354">
        <f>I191*$I$6</f>
        <v>10116723.019199999</v>
      </c>
      <c r="K191" s="354">
        <v>10116723.019199999</v>
      </c>
      <c r="L191" s="354">
        <v>45330825.640000001</v>
      </c>
      <c r="M191" s="130">
        <f t="shared" si="246"/>
        <v>4.4807815291541537</v>
      </c>
      <c r="N191" s="354">
        <v>35788317.810000002</v>
      </c>
      <c r="O191" s="137">
        <f t="shared" si="216"/>
        <v>3.5375405397656166</v>
      </c>
      <c r="P191" s="354">
        <v>9559386.1899999995</v>
      </c>
      <c r="Q191" s="76">
        <f t="shared" si="271"/>
        <v>0.94490935175923474</v>
      </c>
      <c r="R191" s="354">
        <v>9559386.1899999995</v>
      </c>
      <c r="S191" s="76">
        <f t="shared" si="272"/>
        <v>0.94490935175923474</v>
      </c>
      <c r="T191" s="79">
        <v>5240380.4800000004</v>
      </c>
      <c r="U191" s="79"/>
      <c r="V191" s="79">
        <v>2162881.29</v>
      </c>
      <c r="W191" s="79">
        <v>1531460.9</v>
      </c>
      <c r="X191" s="79">
        <v>23022.47</v>
      </c>
      <c r="Y191" s="79">
        <f t="shared" si="282"/>
        <v>7380239.3000000007</v>
      </c>
      <c r="Z191" s="354">
        <f t="shared" si="248"/>
        <v>6771841.3800000008</v>
      </c>
      <c r="AA191" s="354"/>
      <c r="AB191" s="130"/>
      <c r="AC191" s="118">
        <f t="shared" si="289"/>
        <v>7403261.7700000005</v>
      </c>
      <c r="AD191" s="76">
        <f t="shared" si="273"/>
        <v>0.73178456659826874</v>
      </c>
      <c r="AE191" s="130">
        <v>4.1275586930803023E-3</v>
      </c>
      <c r="AF191" s="174">
        <f t="shared" si="283"/>
        <v>557336.82919999957</v>
      </c>
      <c r="AG191" s="182">
        <f t="shared" si="274"/>
        <v>5.5090648240765233E-2</v>
      </c>
      <c r="AH191" s="150" t="s">
        <v>415</v>
      </c>
      <c r="AI191" s="230">
        <v>11902027.205435999</v>
      </c>
      <c r="AJ191" s="243" t="s">
        <v>409</v>
      </c>
      <c r="AK191" s="354">
        <v>0</v>
      </c>
      <c r="AL191" s="354">
        <v>0</v>
      </c>
      <c r="AM191" s="96">
        <f t="shared" si="250"/>
        <v>0</v>
      </c>
      <c r="AN191" s="130" t="s">
        <v>408</v>
      </c>
      <c r="AO191" s="354">
        <v>0</v>
      </c>
      <c r="AP191" s="307"/>
      <c r="AQ191" s="307"/>
      <c r="AR191" s="96">
        <f t="shared" si="230"/>
        <v>0</v>
      </c>
      <c r="AS191" s="307"/>
      <c r="AT191" s="307"/>
      <c r="AU191" s="388">
        <f>AL191/0.85-AL191</f>
        <v>0</v>
      </c>
      <c r="AV191" s="261"/>
      <c r="AW191" s="294"/>
    </row>
    <row r="192" spans="1:51" s="83" customFormat="1" ht="171.6" customHeight="1">
      <c r="A192" s="381" t="s">
        <v>100</v>
      </c>
      <c r="B192" s="71" t="s">
        <v>614</v>
      </c>
      <c r="C192" s="72" t="s">
        <v>56</v>
      </c>
      <c r="D192" s="72" t="s">
        <v>168</v>
      </c>
      <c r="E192" s="109">
        <v>11706230</v>
      </c>
      <c r="F192" s="109">
        <f>E192*$E$6</f>
        <v>8227185.2689199997</v>
      </c>
      <c r="G192" s="82">
        <v>11706230</v>
      </c>
      <c r="H192" s="82">
        <f>G192*$G$6</f>
        <v>8227185.2689199997</v>
      </c>
      <c r="I192" s="109">
        <v>11706230</v>
      </c>
      <c r="J192" s="354">
        <f>I192*$I$6</f>
        <v>8227185.2689199997</v>
      </c>
      <c r="K192" s="354">
        <v>8227185.2689199997</v>
      </c>
      <c r="L192" s="354">
        <v>4990572.75</v>
      </c>
      <c r="M192" s="130">
        <f t="shared" si="246"/>
        <v>0.60659540132795908</v>
      </c>
      <c r="N192" s="354"/>
      <c r="O192" s="132">
        <f t="shared" si="216"/>
        <v>0</v>
      </c>
      <c r="P192" s="354">
        <v>4990572.75</v>
      </c>
      <c r="Q192" s="76">
        <f t="shared" si="271"/>
        <v>0.60659540132795908</v>
      </c>
      <c r="R192" s="354">
        <v>4990572.75</v>
      </c>
      <c r="S192" s="76">
        <f t="shared" si="272"/>
        <v>0.60659540132795908</v>
      </c>
      <c r="T192" s="79">
        <v>0</v>
      </c>
      <c r="U192" s="79">
        <v>0</v>
      </c>
      <c r="V192" s="79">
        <v>0</v>
      </c>
      <c r="W192" s="79">
        <v>0</v>
      </c>
      <c r="X192" s="79">
        <v>0</v>
      </c>
      <c r="Y192" s="79">
        <f>AC192-X192</f>
        <v>0</v>
      </c>
      <c r="Z192" s="354">
        <f>T192+U192+W192</f>
        <v>0</v>
      </c>
      <c r="AA192" s="354"/>
      <c r="AB192" s="130"/>
      <c r="AC192" s="116">
        <f t="shared" si="289"/>
        <v>0</v>
      </c>
      <c r="AD192" s="76">
        <f t="shared" si="273"/>
        <v>0</v>
      </c>
      <c r="AE192" s="130"/>
      <c r="AF192" s="171">
        <f t="shared" si="283"/>
        <v>3236612.5189199997</v>
      </c>
      <c r="AG192" s="172">
        <f t="shared" si="274"/>
        <v>0.39340459867204092</v>
      </c>
      <c r="AH192" s="150" t="s">
        <v>384</v>
      </c>
      <c r="AI192" s="230">
        <v>9679041.2861400004</v>
      </c>
      <c r="AJ192" s="243" t="s">
        <v>409</v>
      </c>
      <c r="AK192" s="354">
        <v>0</v>
      </c>
      <c r="AL192" s="354">
        <v>0</v>
      </c>
      <c r="AM192" s="96">
        <f t="shared" si="250"/>
        <v>0</v>
      </c>
      <c r="AN192" s="354"/>
      <c r="AO192" s="354">
        <f t="shared" ref="AO192:AO223" si="291">AL192</f>
        <v>0</v>
      </c>
      <c r="AP192" s="96"/>
      <c r="AQ192" s="96"/>
      <c r="AR192" s="96">
        <f t="shared" si="230"/>
        <v>0</v>
      </c>
      <c r="AS192" s="96"/>
      <c r="AT192" s="96"/>
      <c r="AU192" s="404"/>
      <c r="AV192" s="261"/>
      <c r="AW192" s="294"/>
    </row>
    <row r="193" spans="1:51" s="83" customFormat="1" ht="33.6" customHeight="1">
      <c r="A193" s="381" t="s">
        <v>307</v>
      </c>
      <c r="B193" s="71" t="s">
        <v>615</v>
      </c>
      <c r="C193" s="72" t="s">
        <v>56</v>
      </c>
      <c r="D193" s="72" t="s">
        <v>168</v>
      </c>
      <c r="E193" s="109">
        <v>4942457</v>
      </c>
      <c r="F193" s="109">
        <f>E193*$E$6</f>
        <v>3473578.5494280001</v>
      </c>
      <c r="G193" s="109">
        <v>4942457</v>
      </c>
      <c r="H193" s="82">
        <f>G193*$G$6</f>
        <v>3473578.5494280001</v>
      </c>
      <c r="I193" s="109">
        <v>4942457</v>
      </c>
      <c r="J193" s="354">
        <f>I193*$I$6</f>
        <v>3473578.5494280001</v>
      </c>
      <c r="K193" s="354">
        <v>3473578.5494280001</v>
      </c>
      <c r="L193" s="354">
        <v>3473577.68</v>
      </c>
      <c r="M193" s="130">
        <f t="shared" si="246"/>
        <v>0.99999974970250782</v>
      </c>
      <c r="N193" s="354"/>
      <c r="O193" s="132">
        <f t="shared" si="216"/>
        <v>0</v>
      </c>
      <c r="P193" s="354">
        <v>3473577.68</v>
      </c>
      <c r="Q193" s="76">
        <f t="shared" si="271"/>
        <v>0.99999974970250782</v>
      </c>
      <c r="R193" s="354">
        <v>3473577.68</v>
      </c>
      <c r="S193" s="76">
        <f t="shared" si="272"/>
        <v>0.99999974970250782</v>
      </c>
      <c r="T193" s="79">
        <v>3473578</v>
      </c>
      <c r="U193" s="79">
        <v>0</v>
      </c>
      <c r="V193" s="79">
        <v>0</v>
      </c>
      <c r="W193" s="79">
        <v>0</v>
      </c>
      <c r="X193" s="79">
        <v>0</v>
      </c>
      <c r="Y193" s="79">
        <f>AC193-X193</f>
        <v>3473578</v>
      </c>
      <c r="Z193" s="354">
        <f>T193+U193+W193</f>
        <v>3473578</v>
      </c>
      <c r="AA193" s="354"/>
      <c r="AB193" s="130"/>
      <c r="AC193" s="116">
        <f t="shared" si="289"/>
        <v>3473578</v>
      </c>
      <c r="AD193" s="76">
        <f t="shared" si="273"/>
        <v>0.99999984182652202</v>
      </c>
      <c r="AE193" s="130">
        <v>0</v>
      </c>
      <c r="AF193" s="171">
        <f t="shared" si="283"/>
        <v>0.86942799994722009</v>
      </c>
      <c r="AG193" s="172">
        <f t="shared" si="274"/>
        <v>2.5029749221890785E-7</v>
      </c>
      <c r="AH193" s="150" t="s">
        <v>429</v>
      </c>
      <c r="AI193" s="230">
        <v>4086563.4954240001</v>
      </c>
      <c r="AJ193" s="243" t="s">
        <v>409</v>
      </c>
      <c r="AK193" s="354">
        <v>0</v>
      </c>
      <c r="AL193" s="354">
        <v>0</v>
      </c>
      <c r="AM193" s="96">
        <f t="shared" si="250"/>
        <v>0</v>
      </c>
      <c r="AN193" s="354"/>
      <c r="AO193" s="354">
        <f t="shared" si="291"/>
        <v>0</v>
      </c>
      <c r="AP193" s="96"/>
      <c r="AQ193" s="96"/>
      <c r="AR193" s="96">
        <f t="shared" si="230"/>
        <v>0</v>
      </c>
      <c r="AS193" s="96"/>
      <c r="AT193" s="96"/>
      <c r="AU193" s="388"/>
      <c r="AV193" s="261"/>
      <c r="AW193" s="294"/>
    </row>
    <row r="194" spans="1:51" s="98" customFormat="1" ht="50.45" customHeight="1">
      <c r="A194" s="381" t="s">
        <v>101</v>
      </c>
      <c r="B194" s="71" t="s">
        <v>616</v>
      </c>
      <c r="C194" s="72" t="s">
        <v>56</v>
      </c>
      <c r="D194" s="72" t="s">
        <v>168</v>
      </c>
      <c r="E194" s="109">
        <v>20000000</v>
      </c>
      <c r="F194" s="109">
        <f>E194*$E$6</f>
        <v>14056080</v>
      </c>
      <c r="G194" s="82">
        <v>20000000</v>
      </c>
      <c r="H194" s="82">
        <f>G194*$G$6</f>
        <v>14056080</v>
      </c>
      <c r="I194" s="109">
        <v>20000000</v>
      </c>
      <c r="J194" s="354">
        <f>I194*$I$6</f>
        <v>14056080</v>
      </c>
      <c r="K194" s="354">
        <v>14056080</v>
      </c>
      <c r="L194" s="354">
        <v>14056079.859999999</v>
      </c>
      <c r="M194" s="130">
        <f t="shared" si="246"/>
        <v>0.99999999003989726</v>
      </c>
      <c r="N194" s="354"/>
      <c r="O194" s="132">
        <f t="shared" si="216"/>
        <v>0</v>
      </c>
      <c r="P194" s="354">
        <v>14056079.859999999</v>
      </c>
      <c r="Q194" s="76">
        <f t="shared" si="271"/>
        <v>0.99999999003989726</v>
      </c>
      <c r="R194" s="354">
        <v>14056079.859999999</v>
      </c>
      <c r="S194" s="76">
        <f t="shared" si="272"/>
        <v>0.99999999003989726</v>
      </c>
      <c r="T194" s="79">
        <v>61520.42</v>
      </c>
      <c r="U194" s="79"/>
      <c r="V194" s="79">
        <v>3498211.97</v>
      </c>
      <c r="W194" s="79">
        <v>0</v>
      </c>
      <c r="X194" s="79">
        <v>0</v>
      </c>
      <c r="Y194" s="79">
        <f>AC194-X194</f>
        <v>3559732.39</v>
      </c>
      <c r="Z194" s="354">
        <f>T194+U194+W194</f>
        <v>61520.42</v>
      </c>
      <c r="AA194" s="354"/>
      <c r="AB194" s="130"/>
      <c r="AC194" s="116">
        <f t="shared" si="289"/>
        <v>3559732.39</v>
      </c>
      <c r="AD194" s="76">
        <f t="shared" si="273"/>
        <v>0.2532521435563827</v>
      </c>
      <c r="AE194" s="130">
        <v>0</v>
      </c>
      <c r="AF194" s="171">
        <f t="shared" si="283"/>
        <v>0.14000000059604645</v>
      </c>
      <c r="AG194" s="172">
        <f t="shared" si="274"/>
        <v>9.9601027168347393E-9</v>
      </c>
      <c r="AH194" s="96"/>
      <c r="AI194" s="354">
        <v>16536564.871247999</v>
      </c>
      <c r="AJ194" s="243" t="s">
        <v>409</v>
      </c>
      <c r="AK194" s="354">
        <v>0</v>
      </c>
      <c r="AL194" s="354">
        <v>0</v>
      </c>
      <c r="AM194" s="96">
        <f t="shared" si="250"/>
        <v>0</v>
      </c>
      <c r="AN194" s="354"/>
      <c r="AO194" s="354">
        <f t="shared" si="291"/>
        <v>0</v>
      </c>
      <c r="AP194" s="96"/>
      <c r="AQ194" s="96"/>
      <c r="AR194" s="96">
        <f t="shared" si="230"/>
        <v>0</v>
      </c>
      <c r="AS194" s="96"/>
      <c r="AT194" s="96"/>
      <c r="AU194" s="388"/>
      <c r="AV194" s="260"/>
      <c r="AW194" s="294"/>
    </row>
    <row r="195" spans="1:51" s="98" customFormat="1" ht="76.5" customHeight="1">
      <c r="A195" s="379" t="s">
        <v>102</v>
      </c>
      <c r="B195" s="66" t="s">
        <v>617</v>
      </c>
      <c r="C195" s="67" t="s">
        <v>56</v>
      </c>
      <c r="D195" s="67" t="s">
        <v>138</v>
      </c>
      <c r="E195" s="110"/>
      <c r="F195" s="94">
        <f>F196+F199+F200+F201</f>
        <v>127883532.19189201</v>
      </c>
      <c r="G195" s="94"/>
      <c r="H195" s="94">
        <f>H196+H199+H200+H201</f>
        <v>127883532.19189201</v>
      </c>
      <c r="I195" s="94"/>
      <c r="J195" s="353">
        <f>J196+J199+J200+J201</f>
        <v>127883532.19189201</v>
      </c>
      <c r="K195" s="353">
        <f t="shared" ref="K195:AI195" si="292">K196+K199+K200+K201</f>
        <v>127883532.19189201</v>
      </c>
      <c r="L195" s="353">
        <f t="shared" si="292"/>
        <v>81508329.060000002</v>
      </c>
      <c r="M195" s="353">
        <f t="shared" si="292"/>
        <v>1.5751290842426409</v>
      </c>
      <c r="N195" s="353">
        <f t="shared" si="292"/>
        <v>41482.980000000003</v>
      </c>
      <c r="O195" s="353">
        <f t="shared" si="292"/>
        <v>3.4002440839918566E-3</v>
      </c>
      <c r="P195" s="353">
        <f t="shared" si="292"/>
        <v>81427061.230000004</v>
      </c>
      <c r="Q195" s="353">
        <f t="shared" si="292"/>
        <v>1.5681577973100111</v>
      </c>
      <c r="R195" s="353">
        <f t="shared" si="292"/>
        <v>79562711.230000004</v>
      </c>
      <c r="S195" s="353">
        <f t="shared" si="292"/>
        <v>1.5489267499304811</v>
      </c>
      <c r="T195" s="353">
        <f t="shared" si="292"/>
        <v>29902226.460000001</v>
      </c>
      <c r="U195" s="353">
        <f t="shared" si="292"/>
        <v>0</v>
      </c>
      <c r="V195" s="353">
        <f t="shared" si="292"/>
        <v>9292613.1500000004</v>
      </c>
      <c r="W195" s="353">
        <f t="shared" si="292"/>
        <v>596860.24</v>
      </c>
      <c r="X195" s="353">
        <f t="shared" si="292"/>
        <v>40198.720000000001</v>
      </c>
      <c r="Y195" s="353">
        <f t="shared" si="292"/>
        <v>39154640.890000001</v>
      </c>
      <c r="Z195" s="353">
        <f t="shared" si="292"/>
        <v>30499086.699999999</v>
      </c>
      <c r="AA195" s="353">
        <f t="shared" si="292"/>
        <v>0</v>
      </c>
      <c r="AB195" s="353">
        <f t="shared" si="292"/>
        <v>0</v>
      </c>
      <c r="AC195" s="353">
        <f t="shared" si="292"/>
        <v>39194839.609999999</v>
      </c>
      <c r="AD195" s="353">
        <f t="shared" si="292"/>
        <v>1.0701354733203319</v>
      </c>
      <c r="AE195" s="353">
        <f t="shared" si="292"/>
        <v>1.0935464001500653E-2</v>
      </c>
      <c r="AF195" s="353">
        <f t="shared" si="292"/>
        <v>48320820.961892001</v>
      </c>
      <c r="AG195" s="353">
        <f t="shared" si="292"/>
        <v>2.4510732500695189</v>
      </c>
      <c r="AH195" s="353" t="e">
        <f t="shared" si="292"/>
        <v>#VALUE!</v>
      </c>
      <c r="AI195" s="353">
        <f t="shared" si="292"/>
        <v>130713410.44930802</v>
      </c>
      <c r="AJ195" s="242" t="s">
        <v>409</v>
      </c>
      <c r="AK195" s="353">
        <f>AK196+AK199+AK200+AK201</f>
        <v>2500000</v>
      </c>
      <c r="AL195" s="353">
        <f t="shared" ref="AL195" si="293">AL196+AL199+AL200+AL201</f>
        <v>2500000</v>
      </c>
      <c r="AM195" s="311">
        <f t="shared" si="250"/>
        <v>1.9549037762334371E-2</v>
      </c>
      <c r="AN195" s="354"/>
      <c r="AO195" s="353">
        <f t="shared" si="291"/>
        <v>2500000</v>
      </c>
      <c r="AP195" s="353">
        <f>AP196+AP199+AP200+AP201</f>
        <v>2500000</v>
      </c>
      <c r="AQ195" s="353">
        <f>AQ196+AQ199+AQ200+AQ201</f>
        <v>2500000</v>
      </c>
      <c r="AR195" s="311">
        <f t="shared" si="230"/>
        <v>1.9549037762334371E-2</v>
      </c>
      <c r="AS195" s="96"/>
      <c r="AT195" s="96"/>
      <c r="AU195" s="386"/>
      <c r="AV195" s="261"/>
      <c r="AW195" s="294"/>
    </row>
    <row r="196" spans="1:51" s="83" customFormat="1" ht="61.5" customHeight="1">
      <c r="A196" s="387" t="s">
        <v>103</v>
      </c>
      <c r="B196" s="77" t="s">
        <v>618</v>
      </c>
      <c r="C196" s="78" t="s">
        <v>56</v>
      </c>
      <c r="D196" s="78" t="s">
        <v>1</v>
      </c>
      <c r="E196" s="111"/>
      <c r="F196" s="95">
        <f>F197+F198</f>
        <v>109144798.45582801</v>
      </c>
      <c r="G196" s="95"/>
      <c r="H196" s="95">
        <f>H197+H198</f>
        <v>109144798.45582801</v>
      </c>
      <c r="I196" s="95"/>
      <c r="J196" s="354">
        <f>J197+J198</f>
        <v>109144798.45582801</v>
      </c>
      <c r="K196" s="354">
        <f t="shared" ref="K196:AI196" si="294">K197+K198</f>
        <v>109144798.45582801</v>
      </c>
      <c r="L196" s="354">
        <f t="shared" si="294"/>
        <v>81508329.060000002</v>
      </c>
      <c r="M196" s="354">
        <f t="shared" si="294"/>
        <v>1.5751290842426409</v>
      </c>
      <c r="N196" s="354">
        <f t="shared" si="294"/>
        <v>41482.980000000003</v>
      </c>
      <c r="O196" s="354">
        <f t="shared" si="294"/>
        <v>3.4002440839918566E-3</v>
      </c>
      <c r="P196" s="354">
        <f t="shared" si="294"/>
        <v>81427061.230000004</v>
      </c>
      <c r="Q196" s="354">
        <f t="shared" si="294"/>
        <v>1.5681577973100111</v>
      </c>
      <c r="R196" s="354">
        <f t="shared" si="294"/>
        <v>79562711.230000004</v>
      </c>
      <c r="S196" s="354">
        <f t="shared" si="294"/>
        <v>1.5489267499304811</v>
      </c>
      <c r="T196" s="354">
        <f t="shared" si="294"/>
        <v>29902226.460000001</v>
      </c>
      <c r="U196" s="354">
        <f t="shared" si="294"/>
        <v>0</v>
      </c>
      <c r="V196" s="354">
        <f t="shared" si="294"/>
        <v>9292613.1500000004</v>
      </c>
      <c r="W196" s="354">
        <f t="shared" si="294"/>
        <v>596860.24</v>
      </c>
      <c r="X196" s="354">
        <f t="shared" si="294"/>
        <v>40198.720000000001</v>
      </c>
      <c r="Y196" s="354">
        <f t="shared" si="294"/>
        <v>39154640.890000001</v>
      </c>
      <c r="Z196" s="354">
        <f t="shared" si="294"/>
        <v>30499086.699999999</v>
      </c>
      <c r="AA196" s="354">
        <f t="shared" si="294"/>
        <v>0</v>
      </c>
      <c r="AB196" s="354">
        <f t="shared" si="294"/>
        <v>0</v>
      </c>
      <c r="AC196" s="354">
        <f t="shared" si="294"/>
        <v>39194839.609999999</v>
      </c>
      <c r="AD196" s="354">
        <f t="shared" si="294"/>
        <v>1.0701354733203319</v>
      </c>
      <c r="AE196" s="354">
        <f t="shared" si="294"/>
        <v>1.0935464001500653E-2</v>
      </c>
      <c r="AF196" s="354">
        <f t="shared" si="294"/>
        <v>29582087.225827999</v>
      </c>
      <c r="AG196" s="354">
        <f t="shared" si="294"/>
        <v>0.45107325006951893</v>
      </c>
      <c r="AH196" s="354" t="e">
        <f t="shared" si="294"/>
        <v>#VALUE!</v>
      </c>
      <c r="AI196" s="354">
        <f t="shared" si="294"/>
        <v>109144798.45582801</v>
      </c>
      <c r="AJ196" s="243" t="s">
        <v>409</v>
      </c>
      <c r="AK196" s="354">
        <f>AK197+AK198</f>
        <v>2500000</v>
      </c>
      <c r="AL196" s="354">
        <f t="shared" ref="AL196" si="295">AL197+AL198</f>
        <v>2500000</v>
      </c>
      <c r="AM196" s="96">
        <f t="shared" si="250"/>
        <v>2.2905351747126775E-2</v>
      </c>
      <c r="AN196" s="354"/>
      <c r="AO196" s="354">
        <f t="shared" si="291"/>
        <v>2500000</v>
      </c>
      <c r="AP196" s="354">
        <f>AP197+AP198</f>
        <v>2500000</v>
      </c>
      <c r="AQ196" s="354">
        <f>AQ197+AQ198</f>
        <v>2500000</v>
      </c>
      <c r="AR196" s="96">
        <f t="shared" si="230"/>
        <v>2.2905351747126775E-2</v>
      </c>
      <c r="AS196" s="96"/>
      <c r="AT196" s="96"/>
      <c r="AU196" s="388"/>
      <c r="AV196" s="261"/>
      <c r="AW196" s="294"/>
    </row>
    <row r="197" spans="1:51" s="83" customFormat="1" ht="72.75" customHeight="1">
      <c r="A197" s="383" t="s">
        <v>208</v>
      </c>
      <c r="B197" s="350" t="s">
        <v>619</v>
      </c>
      <c r="C197" s="183" t="s">
        <v>56</v>
      </c>
      <c r="D197" s="183" t="s">
        <v>687</v>
      </c>
      <c r="E197" s="207">
        <v>137940020</v>
      </c>
      <c r="F197" s="355">
        <f>E197*$E$6</f>
        <v>96944797.816080004</v>
      </c>
      <c r="G197" s="207">
        <v>137940020</v>
      </c>
      <c r="H197" s="187">
        <f>G197*$G$6</f>
        <v>96944797.816080004</v>
      </c>
      <c r="I197" s="207">
        <v>137940020</v>
      </c>
      <c r="J197" s="355">
        <f>I197*$I$6</f>
        <v>96944797.816080004</v>
      </c>
      <c r="K197" s="355">
        <v>96944797.816080004</v>
      </c>
      <c r="L197" s="355">
        <v>71259376.659999996</v>
      </c>
      <c r="M197" s="184">
        <f t="shared" si="246"/>
        <v>0.7350510627211847</v>
      </c>
      <c r="N197" s="355"/>
      <c r="O197" s="185">
        <f t="shared" si="216"/>
        <v>0</v>
      </c>
      <c r="P197" s="355">
        <v>71263702.980000004</v>
      </c>
      <c r="Q197" s="186">
        <f t="shared" si="271"/>
        <v>0.73509568935507819</v>
      </c>
      <c r="R197" s="355">
        <v>69399352.980000004</v>
      </c>
      <c r="S197" s="186">
        <f t="shared" si="272"/>
        <v>0.715864641975548</v>
      </c>
      <c r="T197" s="187">
        <v>29902226.460000001</v>
      </c>
      <c r="U197" s="187"/>
      <c r="V197" s="187"/>
      <c r="W197" s="187">
        <v>0</v>
      </c>
      <c r="X197" s="187">
        <v>0</v>
      </c>
      <c r="Y197" s="187">
        <f t="shared" si="282"/>
        <v>29902226.460000001</v>
      </c>
      <c r="Z197" s="355">
        <f t="shared" si="248"/>
        <v>29902226.460000001</v>
      </c>
      <c r="AA197" s="355"/>
      <c r="AB197" s="184"/>
      <c r="AC197" s="204">
        <f>SUM(T197:V197)</f>
        <v>29902226.460000001</v>
      </c>
      <c r="AD197" s="186">
        <f t="shared" si="273"/>
        <v>0.30844591080306727</v>
      </c>
      <c r="AE197" s="184">
        <v>1.0214439926895932E-2</v>
      </c>
      <c r="AF197" s="190">
        <f t="shared" si="283"/>
        <v>27545444.83608</v>
      </c>
      <c r="AG197" s="191">
        <f t="shared" si="274"/>
        <v>0.28413535802445195</v>
      </c>
      <c r="AH197" s="308" t="s">
        <v>369</v>
      </c>
      <c r="AI197" s="309">
        <v>96944797.816080004</v>
      </c>
      <c r="AJ197" s="244" t="s">
        <v>408</v>
      </c>
      <c r="AK197" s="355">
        <v>2500000</v>
      </c>
      <c r="AL197" s="355">
        <v>2500000</v>
      </c>
      <c r="AM197" s="212">
        <f t="shared" si="250"/>
        <v>2.5787871616823683E-2</v>
      </c>
      <c r="AN197" s="355"/>
      <c r="AO197" s="355">
        <f t="shared" si="291"/>
        <v>2500000</v>
      </c>
      <c r="AP197" s="355">
        <v>2500000</v>
      </c>
      <c r="AQ197" s="355">
        <v>2500000</v>
      </c>
      <c r="AR197" s="212">
        <f t="shared" si="230"/>
        <v>2.5787871616823683E-2</v>
      </c>
      <c r="AS197" s="212" t="s">
        <v>433</v>
      </c>
      <c r="AT197" s="212" t="s">
        <v>702</v>
      </c>
      <c r="AU197" s="384"/>
      <c r="AV197" s="261"/>
      <c r="AW197" s="294"/>
    </row>
    <row r="198" spans="1:51" s="83" customFormat="1" ht="46.5" customHeight="1">
      <c r="A198" s="381" t="s">
        <v>254</v>
      </c>
      <c r="B198" s="71" t="s">
        <v>620</v>
      </c>
      <c r="C198" s="72" t="s">
        <v>56</v>
      </c>
      <c r="D198" s="72" t="s">
        <v>5</v>
      </c>
      <c r="E198" s="109">
        <v>17359037</v>
      </c>
      <c r="F198" s="95">
        <f>E198*$E$6</f>
        <v>12200000.639748</v>
      </c>
      <c r="G198" s="109">
        <v>17359037</v>
      </c>
      <c r="H198" s="82">
        <f>G198*$G$6</f>
        <v>12200000.639748</v>
      </c>
      <c r="I198" s="109">
        <v>17359037</v>
      </c>
      <c r="J198" s="354">
        <f>I198*$I$6</f>
        <v>12200000.639748</v>
      </c>
      <c r="K198" s="354">
        <v>12200000.639748</v>
      </c>
      <c r="L198" s="354">
        <v>10248952.4</v>
      </c>
      <c r="M198" s="130">
        <f t="shared" si="246"/>
        <v>0.84007802152145628</v>
      </c>
      <c r="N198" s="354">
        <v>41482.980000000003</v>
      </c>
      <c r="O198" s="132">
        <f t="shared" si="216"/>
        <v>3.4002440839918566E-3</v>
      </c>
      <c r="P198" s="354">
        <v>10163358.25</v>
      </c>
      <c r="Q198" s="76">
        <f t="shared" si="271"/>
        <v>0.83306210795493307</v>
      </c>
      <c r="R198" s="354">
        <v>10163358.25</v>
      </c>
      <c r="S198" s="76">
        <f t="shared" si="272"/>
        <v>0.83306210795493307</v>
      </c>
      <c r="T198" s="79">
        <v>0</v>
      </c>
      <c r="U198" s="79"/>
      <c r="V198" s="79">
        <v>9292613.1500000004</v>
      </c>
      <c r="W198" s="79">
        <v>596860.24</v>
      </c>
      <c r="X198" s="79">
        <v>40198.720000000001</v>
      </c>
      <c r="Y198" s="79">
        <f t="shared" si="282"/>
        <v>9252414.4299999997</v>
      </c>
      <c r="Z198" s="354">
        <f t="shared" si="248"/>
        <v>596860.24</v>
      </c>
      <c r="AA198" s="354"/>
      <c r="AB198" s="130"/>
      <c r="AC198" s="116">
        <f>SUM(T198:V198)</f>
        <v>9292613.1500000004</v>
      </c>
      <c r="AD198" s="76">
        <f t="shared" si="273"/>
        <v>0.7616895625172645</v>
      </c>
      <c r="AE198" s="130">
        <v>7.2102407460471988E-4</v>
      </c>
      <c r="AF198" s="171">
        <f t="shared" si="283"/>
        <v>2036642.3897479996</v>
      </c>
      <c r="AG198" s="172">
        <f t="shared" si="274"/>
        <v>0.16693789204506698</v>
      </c>
      <c r="AH198" s="154" t="s">
        <v>357</v>
      </c>
      <c r="AI198" s="220">
        <v>12200000.639748</v>
      </c>
      <c r="AJ198" s="243" t="s">
        <v>409</v>
      </c>
      <c r="AK198" s="354">
        <v>0</v>
      </c>
      <c r="AL198" s="354">
        <v>0</v>
      </c>
      <c r="AM198" s="96">
        <f t="shared" si="250"/>
        <v>0</v>
      </c>
      <c r="AN198" s="354"/>
      <c r="AO198" s="354">
        <f t="shared" si="291"/>
        <v>0</v>
      </c>
      <c r="AP198" s="96"/>
      <c r="AQ198" s="96"/>
      <c r="AR198" s="96">
        <f t="shared" si="230"/>
        <v>0</v>
      </c>
      <c r="AS198" s="96"/>
      <c r="AT198" s="96"/>
      <c r="AU198" s="388"/>
      <c r="AV198" s="261"/>
      <c r="AW198" s="294"/>
    </row>
    <row r="199" spans="1:51" s="83" customFormat="1" ht="57" customHeight="1">
      <c r="A199" s="381" t="s">
        <v>104</v>
      </c>
      <c r="B199" s="71" t="s">
        <v>621</v>
      </c>
      <c r="C199" s="72" t="s">
        <v>56</v>
      </c>
      <c r="D199" s="72" t="s">
        <v>687</v>
      </c>
      <c r="E199" s="109">
        <v>3628324</v>
      </c>
      <c r="F199" s="95">
        <f>E199*$E$6</f>
        <v>2550000.6204960002</v>
      </c>
      <c r="G199" s="82">
        <v>3628324</v>
      </c>
      <c r="H199" s="82">
        <f>G199*$G$6</f>
        <v>2550000.6204960002</v>
      </c>
      <c r="I199" s="109">
        <v>3628324</v>
      </c>
      <c r="J199" s="354">
        <f>I199*$I$6</f>
        <v>2550000.6204960002</v>
      </c>
      <c r="K199" s="354">
        <v>2550000.6204960002</v>
      </c>
      <c r="L199" s="354"/>
      <c r="M199" s="130">
        <f t="shared" si="246"/>
        <v>0</v>
      </c>
      <c r="N199" s="354"/>
      <c r="O199" s="132">
        <f t="shared" si="216"/>
        <v>0</v>
      </c>
      <c r="P199" s="354">
        <v>0</v>
      </c>
      <c r="Q199" s="76">
        <f t="shared" si="271"/>
        <v>0</v>
      </c>
      <c r="R199" s="354">
        <v>0</v>
      </c>
      <c r="S199" s="76">
        <f t="shared" si="272"/>
        <v>0</v>
      </c>
      <c r="T199" s="79">
        <v>0</v>
      </c>
      <c r="U199" s="79">
        <v>0</v>
      </c>
      <c r="V199" s="79">
        <v>0</v>
      </c>
      <c r="W199" s="79">
        <v>0</v>
      </c>
      <c r="X199" s="79">
        <v>0</v>
      </c>
      <c r="Y199" s="79">
        <f t="shared" si="282"/>
        <v>0</v>
      </c>
      <c r="Z199" s="354">
        <f t="shared" si="248"/>
        <v>0</v>
      </c>
      <c r="AA199" s="354"/>
      <c r="AB199" s="130"/>
      <c r="AC199" s="118">
        <f>SUM(T199:V199)</f>
        <v>0</v>
      </c>
      <c r="AD199" s="76">
        <f t="shared" si="273"/>
        <v>0</v>
      </c>
      <c r="AE199" s="130"/>
      <c r="AF199" s="171">
        <f t="shared" si="283"/>
        <v>2550000.6204960002</v>
      </c>
      <c r="AG199" s="172">
        <f t="shared" si="274"/>
        <v>1</v>
      </c>
      <c r="AH199" s="158" t="s">
        <v>370</v>
      </c>
      <c r="AI199" s="217">
        <v>3000000.3992640004</v>
      </c>
      <c r="AJ199" s="243" t="s">
        <v>409</v>
      </c>
      <c r="AK199" s="354">
        <v>0</v>
      </c>
      <c r="AL199" s="354">
        <v>0</v>
      </c>
      <c r="AM199" s="96">
        <f t="shared" si="250"/>
        <v>0</v>
      </c>
      <c r="AN199" s="354"/>
      <c r="AO199" s="354">
        <f t="shared" si="291"/>
        <v>0</v>
      </c>
      <c r="AP199" s="96"/>
      <c r="AQ199" s="96"/>
      <c r="AR199" s="96">
        <f t="shared" si="230"/>
        <v>0</v>
      </c>
      <c r="AS199" s="96"/>
      <c r="AT199" s="96"/>
      <c r="AU199" s="388"/>
      <c r="AV199" s="261"/>
      <c r="AW199" s="294"/>
    </row>
    <row r="200" spans="1:51" s="98" customFormat="1" ht="100.9" customHeight="1">
      <c r="A200" s="381" t="s">
        <v>105</v>
      </c>
      <c r="B200" s="71" t="s">
        <v>622</v>
      </c>
      <c r="C200" s="72" t="s">
        <v>56</v>
      </c>
      <c r="D200" s="72" t="s">
        <v>168</v>
      </c>
      <c r="E200" s="109">
        <v>23034492</v>
      </c>
      <c r="F200" s="95">
        <f>E200*$E$6</f>
        <v>16188733.115567999</v>
      </c>
      <c r="G200" s="109">
        <v>23034492</v>
      </c>
      <c r="H200" s="82">
        <f>G200*$G$6</f>
        <v>16188733.115567999</v>
      </c>
      <c r="I200" s="109">
        <v>23034492</v>
      </c>
      <c r="J200" s="354">
        <f>I200*$I$6</f>
        <v>16188733.115567999</v>
      </c>
      <c r="K200" s="354">
        <v>16188733.115567999</v>
      </c>
      <c r="L200" s="354"/>
      <c r="M200" s="130">
        <f t="shared" si="246"/>
        <v>0</v>
      </c>
      <c r="N200" s="354"/>
      <c r="O200" s="132">
        <f t="shared" si="216"/>
        <v>0</v>
      </c>
      <c r="P200" s="354">
        <v>0</v>
      </c>
      <c r="Q200" s="76">
        <f t="shared" si="271"/>
        <v>0</v>
      </c>
      <c r="R200" s="354">
        <v>0</v>
      </c>
      <c r="S200" s="76">
        <f t="shared" si="272"/>
        <v>0</v>
      </c>
      <c r="T200" s="79">
        <v>0</v>
      </c>
      <c r="U200" s="79">
        <v>0</v>
      </c>
      <c r="V200" s="79">
        <v>0</v>
      </c>
      <c r="W200" s="79">
        <v>0</v>
      </c>
      <c r="X200" s="79">
        <v>0</v>
      </c>
      <c r="Y200" s="79">
        <f t="shared" si="282"/>
        <v>0</v>
      </c>
      <c r="Z200" s="354">
        <f t="shared" si="248"/>
        <v>0</v>
      </c>
      <c r="AA200" s="354"/>
      <c r="AB200" s="130"/>
      <c r="AC200" s="118">
        <f>SUM(T200:V200)</f>
        <v>0</v>
      </c>
      <c r="AD200" s="76">
        <f t="shared" si="273"/>
        <v>0</v>
      </c>
      <c r="AE200" s="130"/>
      <c r="AF200" s="171">
        <f t="shared" si="283"/>
        <v>16188733.115567999</v>
      </c>
      <c r="AG200" s="172">
        <f t="shared" si="274"/>
        <v>1</v>
      </c>
      <c r="AH200" s="150" t="s">
        <v>385</v>
      </c>
      <c r="AI200" s="230">
        <v>18568611.594216</v>
      </c>
      <c r="AJ200" s="243" t="s">
        <v>409</v>
      </c>
      <c r="AK200" s="354">
        <v>0</v>
      </c>
      <c r="AL200" s="354">
        <v>0</v>
      </c>
      <c r="AM200" s="96">
        <f t="shared" si="250"/>
        <v>0</v>
      </c>
      <c r="AN200" s="354"/>
      <c r="AO200" s="354">
        <f t="shared" si="291"/>
        <v>0</v>
      </c>
      <c r="AP200" s="96"/>
      <c r="AQ200" s="96"/>
      <c r="AR200" s="96">
        <f t="shared" si="230"/>
        <v>0</v>
      </c>
      <c r="AS200" s="96"/>
      <c r="AT200" s="96"/>
      <c r="AU200" s="388"/>
      <c r="AV200" s="261"/>
      <c r="AW200" s="294"/>
    </row>
    <row r="201" spans="1:51" s="83" customFormat="1" ht="105.75" customHeight="1">
      <c r="A201" s="387" t="s">
        <v>106</v>
      </c>
      <c r="B201" s="77" t="s">
        <v>623</v>
      </c>
      <c r="C201" s="78" t="s">
        <v>56</v>
      </c>
      <c r="D201" s="78" t="s">
        <v>168</v>
      </c>
      <c r="E201" s="111"/>
      <c r="F201" s="95">
        <f>F202+F203</f>
        <v>0</v>
      </c>
      <c r="G201" s="95"/>
      <c r="H201" s="95">
        <f>H202+H203</f>
        <v>0</v>
      </c>
      <c r="I201" s="95"/>
      <c r="J201" s="354">
        <f>J202+J203</f>
        <v>0</v>
      </c>
      <c r="K201" s="354">
        <f t="shared" ref="K201:AI201" si="296">K202+K203</f>
        <v>0</v>
      </c>
      <c r="L201" s="354">
        <f t="shared" si="296"/>
        <v>0</v>
      </c>
      <c r="M201" s="354">
        <f t="shared" si="296"/>
        <v>0</v>
      </c>
      <c r="N201" s="354">
        <f t="shared" si="296"/>
        <v>0</v>
      </c>
      <c r="O201" s="354">
        <f t="shared" si="296"/>
        <v>0</v>
      </c>
      <c r="P201" s="354">
        <f t="shared" si="296"/>
        <v>0</v>
      </c>
      <c r="Q201" s="354">
        <f t="shared" si="296"/>
        <v>0</v>
      </c>
      <c r="R201" s="354">
        <f t="shared" si="296"/>
        <v>0</v>
      </c>
      <c r="S201" s="354">
        <f t="shared" si="296"/>
        <v>0</v>
      </c>
      <c r="T201" s="354">
        <f t="shared" si="296"/>
        <v>0</v>
      </c>
      <c r="U201" s="354">
        <f t="shared" si="296"/>
        <v>0</v>
      </c>
      <c r="V201" s="354">
        <f t="shared" si="296"/>
        <v>0</v>
      </c>
      <c r="W201" s="354">
        <f t="shared" si="296"/>
        <v>0</v>
      </c>
      <c r="X201" s="354">
        <f t="shared" si="296"/>
        <v>0</v>
      </c>
      <c r="Y201" s="354">
        <f t="shared" si="296"/>
        <v>0</v>
      </c>
      <c r="Z201" s="354">
        <f t="shared" si="296"/>
        <v>0</v>
      </c>
      <c r="AA201" s="354">
        <f t="shared" si="296"/>
        <v>0</v>
      </c>
      <c r="AB201" s="354">
        <f t="shared" si="296"/>
        <v>0</v>
      </c>
      <c r="AC201" s="354">
        <f t="shared" si="296"/>
        <v>0</v>
      </c>
      <c r="AD201" s="354">
        <f t="shared" si="296"/>
        <v>0</v>
      </c>
      <c r="AE201" s="354">
        <f t="shared" si="296"/>
        <v>0</v>
      </c>
      <c r="AF201" s="354">
        <f t="shared" si="296"/>
        <v>0</v>
      </c>
      <c r="AG201" s="354">
        <f t="shared" si="296"/>
        <v>0</v>
      </c>
      <c r="AH201" s="354" t="e">
        <f t="shared" si="296"/>
        <v>#VALUE!</v>
      </c>
      <c r="AI201" s="354">
        <f t="shared" si="296"/>
        <v>0</v>
      </c>
      <c r="AJ201" s="243" t="s">
        <v>409</v>
      </c>
      <c r="AK201" s="354">
        <f>AK202+AK203</f>
        <v>0</v>
      </c>
      <c r="AL201" s="354">
        <f t="shared" ref="AL201" si="297">AL202+AL203</f>
        <v>0</v>
      </c>
      <c r="AM201" s="96">
        <v>0</v>
      </c>
      <c r="AN201" s="354"/>
      <c r="AO201" s="354">
        <f t="shared" si="291"/>
        <v>0</v>
      </c>
      <c r="AP201" s="96"/>
      <c r="AQ201" s="96"/>
      <c r="AR201" s="96" t="e">
        <f t="shared" si="230"/>
        <v>#DIV/0!</v>
      </c>
      <c r="AS201" s="96"/>
      <c r="AT201" s="96"/>
      <c r="AU201" s="388"/>
      <c r="AV201" s="261"/>
      <c r="AW201" s="294"/>
    </row>
    <row r="202" spans="1:51" s="83" customFormat="1" ht="72" customHeight="1">
      <c r="A202" s="381" t="s">
        <v>107</v>
      </c>
      <c r="B202" s="71" t="s">
        <v>624</v>
      </c>
      <c r="C202" s="72" t="s">
        <v>56</v>
      </c>
      <c r="D202" s="72" t="s">
        <v>168</v>
      </c>
      <c r="E202" s="109">
        <v>0</v>
      </c>
      <c r="F202" s="95">
        <f>E202*$E$6</f>
        <v>0</v>
      </c>
      <c r="G202" s="82">
        <v>0</v>
      </c>
      <c r="H202" s="82">
        <f>G202*$G$6</f>
        <v>0</v>
      </c>
      <c r="I202" s="109">
        <v>0</v>
      </c>
      <c r="J202" s="354">
        <f>I202*$I$6</f>
        <v>0</v>
      </c>
      <c r="K202" s="354">
        <v>0</v>
      </c>
      <c r="L202" s="354"/>
      <c r="M202" s="130"/>
      <c r="N202" s="354"/>
      <c r="O202" s="132"/>
      <c r="P202" s="354">
        <v>0</v>
      </c>
      <c r="Q202" s="76"/>
      <c r="R202" s="354">
        <v>0</v>
      </c>
      <c r="S202" s="76"/>
      <c r="T202" s="79">
        <v>0</v>
      </c>
      <c r="U202" s="79">
        <v>0</v>
      </c>
      <c r="V202" s="79">
        <v>0</v>
      </c>
      <c r="W202" s="79">
        <v>0</v>
      </c>
      <c r="X202" s="79">
        <v>0</v>
      </c>
      <c r="Y202" s="79">
        <f t="shared" si="282"/>
        <v>0</v>
      </c>
      <c r="Z202" s="354">
        <f t="shared" si="248"/>
        <v>0</v>
      </c>
      <c r="AA202" s="354"/>
      <c r="AB202" s="130"/>
      <c r="AC202" s="118">
        <f>SUM(T202:V202)</f>
        <v>0</v>
      </c>
      <c r="AD202" s="76"/>
      <c r="AE202" s="130"/>
      <c r="AF202" s="171">
        <f t="shared" si="283"/>
        <v>0</v>
      </c>
      <c r="AG202" s="172">
        <v>0</v>
      </c>
      <c r="AH202" s="160" t="s">
        <v>386</v>
      </c>
      <c r="AI202" s="230">
        <v>0</v>
      </c>
      <c r="AJ202" s="243" t="s">
        <v>409</v>
      </c>
      <c r="AK202" s="354">
        <v>0</v>
      </c>
      <c r="AL202" s="354">
        <v>0</v>
      </c>
      <c r="AM202" s="96">
        <v>0</v>
      </c>
      <c r="AN202" s="354"/>
      <c r="AO202" s="354">
        <f t="shared" si="291"/>
        <v>0</v>
      </c>
      <c r="AP202" s="96"/>
      <c r="AQ202" s="96"/>
      <c r="AR202" s="96" t="e">
        <f t="shared" si="230"/>
        <v>#DIV/0!</v>
      </c>
      <c r="AS202" s="96"/>
      <c r="AT202" s="96"/>
      <c r="AU202" s="388"/>
      <c r="AV202" s="261"/>
      <c r="AW202" s="294"/>
    </row>
    <row r="203" spans="1:51" s="98" customFormat="1" ht="49.5">
      <c r="A203" s="381" t="s">
        <v>108</v>
      </c>
      <c r="B203" s="71" t="s">
        <v>625</v>
      </c>
      <c r="C203" s="72" t="s">
        <v>56</v>
      </c>
      <c r="D203" s="72" t="s">
        <v>168</v>
      </c>
      <c r="E203" s="109">
        <v>0</v>
      </c>
      <c r="F203" s="95">
        <f>E203*$E$6</f>
        <v>0</v>
      </c>
      <c r="G203" s="82">
        <v>0</v>
      </c>
      <c r="H203" s="82">
        <f>G203*$G$6</f>
        <v>0</v>
      </c>
      <c r="I203" s="109">
        <v>0</v>
      </c>
      <c r="J203" s="354">
        <f>I203*$I$6</f>
        <v>0</v>
      </c>
      <c r="K203" s="354">
        <v>0</v>
      </c>
      <c r="L203" s="354"/>
      <c r="M203" s="130"/>
      <c r="N203" s="354"/>
      <c r="O203" s="132"/>
      <c r="P203" s="354">
        <v>0</v>
      </c>
      <c r="Q203" s="76"/>
      <c r="R203" s="354">
        <v>0</v>
      </c>
      <c r="S203" s="81">
        <v>0</v>
      </c>
      <c r="T203" s="79">
        <v>0</v>
      </c>
      <c r="U203" s="79">
        <v>0</v>
      </c>
      <c r="V203" s="79">
        <v>0</v>
      </c>
      <c r="W203" s="79">
        <v>0</v>
      </c>
      <c r="X203" s="79">
        <v>0</v>
      </c>
      <c r="Y203" s="79">
        <f t="shared" si="282"/>
        <v>0</v>
      </c>
      <c r="Z203" s="354">
        <f t="shared" si="248"/>
        <v>0</v>
      </c>
      <c r="AA203" s="354"/>
      <c r="AB203" s="130"/>
      <c r="AC203" s="118">
        <f>SUM(T203:V203)</f>
        <v>0</v>
      </c>
      <c r="AD203" s="76"/>
      <c r="AE203" s="130"/>
      <c r="AF203" s="171">
        <f t="shared" si="283"/>
        <v>0</v>
      </c>
      <c r="AG203" s="172">
        <v>0</v>
      </c>
      <c r="AH203" s="160" t="s">
        <v>387</v>
      </c>
      <c r="AI203" s="230">
        <v>0</v>
      </c>
      <c r="AJ203" s="243" t="s">
        <v>409</v>
      </c>
      <c r="AK203" s="354">
        <v>0</v>
      </c>
      <c r="AL203" s="354">
        <v>0</v>
      </c>
      <c r="AM203" s="96">
        <v>0</v>
      </c>
      <c r="AN203" s="354"/>
      <c r="AO203" s="354">
        <f t="shared" si="291"/>
        <v>0</v>
      </c>
      <c r="AP203" s="96"/>
      <c r="AQ203" s="96"/>
      <c r="AR203" s="96" t="e">
        <f t="shared" si="230"/>
        <v>#DIV/0!</v>
      </c>
      <c r="AS203" s="96"/>
      <c r="AT203" s="96"/>
      <c r="AU203" s="388"/>
      <c r="AV203" s="260"/>
      <c r="AW203" s="294"/>
      <c r="AX203" s="250"/>
      <c r="AY203" s="250"/>
    </row>
    <row r="204" spans="1:51" s="98" customFormat="1" ht="66">
      <c r="A204" s="379" t="s">
        <v>109</v>
      </c>
      <c r="B204" s="66" t="s">
        <v>626</v>
      </c>
      <c r="C204" s="67" t="s">
        <v>171</v>
      </c>
      <c r="D204" s="67" t="s">
        <v>168</v>
      </c>
      <c r="E204" s="110"/>
      <c r="F204" s="94">
        <f>F205+F212</f>
        <v>602279449.62860394</v>
      </c>
      <c r="G204" s="94"/>
      <c r="H204" s="94">
        <f>H205+H212</f>
        <v>602279449.62860394</v>
      </c>
      <c r="I204" s="94"/>
      <c r="J204" s="353">
        <f>J205+J212</f>
        <v>602279449.62860394</v>
      </c>
      <c r="K204" s="353">
        <f t="shared" ref="K204:AI204" si="298">K205+K212</f>
        <v>645345897.03594005</v>
      </c>
      <c r="L204" s="353">
        <f t="shared" si="298"/>
        <v>667416416.82999992</v>
      </c>
      <c r="M204" s="353">
        <f t="shared" si="298"/>
        <v>7.2980733531130619</v>
      </c>
      <c r="N204" s="353">
        <f t="shared" si="298"/>
        <v>0</v>
      </c>
      <c r="O204" s="353">
        <f t="shared" si="298"/>
        <v>0</v>
      </c>
      <c r="P204" s="353">
        <f t="shared" si="298"/>
        <v>583628904.43000007</v>
      </c>
      <c r="Q204" s="353">
        <f t="shared" si="298"/>
        <v>5.9625633065971106</v>
      </c>
      <c r="R204" s="353">
        <f t="shared" si="298"/>
        <v>579319350.43000007</v>
      </c>
      <c r="S204" s="353">
        <f t="shared" si="298"/>
        <v>5.8676885029261152</v>
      </c>
      <c r="T204" s="353">
        <f t="shared" si="298"/>
        <v>138745663.94</v>
      </c>
      <c r="U204" s="353">
        <f t="shared" si="298"/>
        <v>0</v>
      </c>
      <c r="V204" s="353">
        <f t="shared" si="298"/>
        <v>70415452.689999998</v>
      </c>
      <c r="W204" s="353">
        <f t="shared" si="298"/>
        <v>0</v>
      </c>
      <c r="X204" s="353">
        <f t="shared" si="298"/>
        <v>0</v>
      </c>
      <c r="Y204" s="353">
        <f t="shared" si="298"/>
        <v>209161116.63000003</v>
      </c>
      <c r="Z204" s="353">
        <f t="shared" si="298"/>
        <v>138745663.94</v>
      </c>
      <c r="AA204" s="353">
        <f t="shared" si="298"/>
        <v>72718350</v>
      </c>
      <c r="AB204" s="353">
        <f t="shared" si="298"/>
        <v>0.3355101007205909</v>
      </c>
      <c r="AC204" s="353">
        <f t="shared" si="298"/>
        <v>209161116.63000003</v>
      </c>
      <c r="AD204" s="353">
        <f t="shared" si="298"/>
        <v>2.2596356997603801</v>
      </c>
      <c r="AE204" s="353">
        <f t="shared" si="298"/>
        <v>3.3490873105408137E-3</v>
      </c>
      <c r="AF204" s="353">
        <f t="shared" si="298"/>
        <v>22960098.598604005</v>
      </c>
      <c r="AG204" s="353">
        <f t="shared" si="298"/>
        <v>1.1323114910786383</v>
      </c>
      <c r="AH204" s="353" t="e">
        <f t="shared" si="298"/>
        <v>#VALUE!</v>
      </c>
      <c r="AI204" s="353">
        <f t="shared" si="298"/>
        <v>708564058.59329998</v>
      </c>
      <c r="AJ204" s="242" t="s">
        <v>408</v>
      </c>
      <c r="AK204" s="353">
        <f>AK205+AK212</f>
        <v>30000000</v>
      </c>
      <c r="AL204" s="353">
        <f t="shared" ref="AL204" si="299">AL205+AL212</f>
        <v>35294117.54405801</v>
      </c>
      <c r="AM204" s="311">
        <f t="shared" si="250"/>
        <v>5.4690233107800232E-2</v>
      </c>
      <c r="AN204" s="180"/>
      <c r="AO204" s="353">
        <f t="shared" si="291"/>
        <v>35294117.54405801</v>
      </c>
      <c r="AP204" s="353">
        <f>AP205+AP212</f>
        <v>35294117.54405801</v>
      </c>
      <c r="AQ204" s="353">
        <f>AQ205+AQ212</f>
        <v>35294117.54405801</v>
      </c>
      <c r="AR204" s="311">
        <f t="shared" si="230"/>
        <v>5.4690233107800232E-2</v>
      </c>
      <c r="AS204" s="96"/>
      <c r="AT204" s="96"/>
      <c r="AU204" s="386"/>
      <c r="AV204" s="260"/>
      <c r="AW204" s="294"/>
      <c r="AX204" s="250"/>
      <c r="AY204" s="250"/>
    </row>
    <row r="205" spans="1:51" s="83" customFormat="1" ht="59.25" customHeight="1">
      <c r="A205" s="379" t="s">
        <v>110</v>
      </c>
      <c r="B205" s="66" t="s">
        <v>627</v>
      </c>
      <c r="C205" s="67" t="s">
        <v>171</v>
      </c>
      <c r="D205" s="67" t="s">
        <v>1</v>
      </c>
      <c r="E205" s="110"/>
      <c r="F205" s="94">
        <f>F206+F207+F208+F209+F210+F211</f>
        <v>502200160.02860397</v>
      </c>
      <c r="G205" s="94"/>
      <c r="H205" s="94">
        <f>H206+H207+H208+H209+H210+H211</f>
        <v>502200160.02860397</v>
      </c>
      <c r="I205" s="94"/>
      <c r="J205" s="353">
        <f>J206+J207+J208+J209+J210+J211</f>
        <v>502200160.02860397</v>
      </c>
      <c r="K205" s="353">
        <f>K206+K207+K208+K209+K210+K211</f>
        <v>545266607.43594003</v>
      </c>
      <c r="L205" s="353">
        <f t="shared" ref="L205:AI205" si="300">L206+L207+L208+L209+L210+L211</f>
        <v>567337127.82999992</v>
      </c>
      <c r="M205" s="353">
        <f t="shared" si="300"/>
        <v>6.298073359108308</v>
      </c>
      <c r="N205" s="353">
        <f t="shared" si="300"/>
        <v>0</v>
      </c>
      <c r="O205" s="353">
        <f t="shared" si="300"/>
        <v>0</v>
      </c>
      <c r="P205" s="353">
        <f t="shared" si="300"/>
        <v>483549615.43000001</v>
      </c>
      <c r="Q205" s="353">
        <f t="shared" si="300"/>
        <v>4.9625633125923567</v>
      </c>
      <c r="R205" s="353">
        <f t="shared" si="300"/>
        <v>479240061.43000001</v>
      </c>
      <c r="S205" s="353">
        <f t="shared" si="300"/>
        <v>4.8676885089213613</v>
      </c>
      <c r="T205" s="353">
        <f t="shared" si="300"/>
        <v>138745663.94</v>
      </c>
      <c r="U205" s="353">
        <f t="shared" si="300"/>
        <v>0</v>
      </c>
      <c r="V205" s="353">
        <f t="shared" si="300"/>
        <v>48140616.689999998</v>
      </c>
      <c r="W205" s="353">
        <f t="shared" si="300"/>
        <v>0</v>
      </c>
      <c r="X205" s="353">
        <f t="shared" si="300"/>
        <v>0</v>
      </c>
      <c r="Y205" s="353">
        <f t="shared" si="300"/>
        <v>186886280.63000003</v>
      </c>
      <c r="Z205" s="353">
        <f t="shared" si="300"/>
        <v>138745663.94</v>
      </c>
      <c r="AA205" s="353">
        <f t="shared" si="300"/>
        <v>72718350</v>
      </c>
      <c r="AB205" s="353">
        <f t="shared" si="300"/>
        <v>0.3355101007205909</v>
      </c>
      <c r="AC205" s="353">
        <f t="shared" si="300"/>
        <v>186886280.63000003</v>
      </c>
      <c r="AD205" s="353">
        <f t="shared" si="300"/>
        <v>2.0370638161166337</v>
      </c>
      <c r="AE205" s="353">
        <f t="shared" si="300"/>
        <v>3.3490873105408137E-3</v>
      </c>
      <c r="AF205" s="353">
        <f t="shared" si="300"/>
        <v>22960098.598604005</v>
      </c>
      <c r="AG205" s="353">
        <f t="shared" si="300"/>
        <v>1.1323114910786383</v>
      </c>
      <c r="AH205" s="353" t="e">
        <f t="shared" si="300"/>
        <v>#VALUE!</v>
      </c>
      <c r="AI205" s="353">
        <f t="shared" si="300"/>
        <v>590823717.72205198</v>
      </c>
      <c r="AJ205" s="242" t="s">
        <v>408</v>
      </c>
      <c r="AK205" s="353">
        <f>AK206+AK207+AK208+AK209+AK210+AK211</f>
        <v>30000000</v>
      </c>
      <c r="AL205" s="353">
        <f>AL206+AL207+AL208+AL209+AL210+AL211</f>
        <v>35294117.54405801</v>
      </c>
      <c r="AM205" s="311">
        <f t="shared" si="250"/>
        <v>6.4728184456453244E-2</v>
      </c>
      <c r="AN205" s="182"/>
      <c r="AO205" s="353">
        <f t="shared" si="291"/>
        <v>35294117.54405801</v>
      </c>
      <c r="AP205" s="353">
        <f>AP206+AP207+AP208+AP209+AP210+AP211</f>
        <v>35294117.54405801</v>
      </c>
      <c r="AQ205" s="353">
        <f>AQ206+AQ207+AQ208+AQ209+AQ210+AQ211</f>
        <v>35294117.54405801</v>
      </c>
      <c r="AR205" s="311">
        <f t="shared" si="230"/>
        <v>6.4728184456453244E-2</v>
      </c>
      <c r="AS205" s="96"/>
      <c r="AT205" s="96"/>
      <c r="AU205" s="386"/>
      <c r="AV205" s="258"/>
      <c r="AW205" s="294"/>
      <c r="AX205" s="250"/>
      <c r="AY205" s="250"/>
    </row>
    <row r="206" spans="1:51" s="83" customFormat="1" ht="109.15" customHeight="1">
      <c r="A206" s="383" t="s">
        <v>226</v>
      </c>
      <c r="B206" s="350" t="s">
        <v>628</v>
      </c>
      <c r="C206" s="183" t="s">
        <v>171</v>
      </c>
      <c r="D206" s="183" t="s">
        <v>168</v>
      </c>
      <c r="E206" s="207">
        <v>308392773</v>
      </c>
      <c r="F206" s="207">
        <f t="shared" ref="F206:F211" si="301">E206*$E$6</f>
        <v>216739674.43549201</v>
      </c>
      <c r="G206" s="207">
        <v>308392773</v>
      </c>
      <c r="H206" s="187">
        <f t="shared" ref="H206:H211" si="302">G206*$G$6</f>
        <v>216739674.43549201</v>
      </c>
      <c r="I206" s="207">
        <v>308392773</v>
      </c>
      <c r="J206" s="355">
        <f t="shared" ref="J206:J211" si="303">I206*$I$6</f>
        <v>216739674.43549201</v>
      </c>
      <c r="K206" s="355">
        <v>254987851.532904</v>
      </c>
      <c r="L206" s="355">
        <v>281932131.35000002</v>
      </c>
      <c r="M206" s="184">
        <f t="shared" si="246"/>
        <v>1.3007869098461304</v>
      </c>
      <c r="N206" s="355"/>
      <c r="O206" s="185">
        <f t="shared" ref="O206:O262" si="304">N206/J206</f>
        <v>0</v>
      </c>
      <c r="P206" s="355">
        <v>209213781.34999999</v>
      </c>
      <c r="Q206" s="186">
        <f t="shared" ref="Q206:Q225" si="305">P206/J206</f>
        <v>0.96527680912553948</v>
      </c>
      <c r="R206" s="355">
        <v>209213781.34999999</v>
      </c>
      <c r="S206" s="186">
        <f t="shared" ref="S206:S225" si="306">R206/J206</f>
        <v>0.96527680912553948</v>
      </c>
      <c r="T206" s="187">
        <v>90150181.290000007</v>
      </c>
      <c r="U206" s="187"/>
      <c r="V206" s="187"/>
      <c r="W206" s="187">
        <v>0</v>
      </c>
      <c r="X206" s="187">
        <v>0</v>
      </c>
      <c r="Y206" s="187">
        <f t="shared" si="282"/>
        <v>90150181.290000007</v>
      </c>
      <c r="Z206" s="355">
        <f t="shared" si="248"/>
        <v>90150181.290000007</v>
      </c>
      <c r="AA206" s="355">
        <v>72718350</v>
      </c>
      <c r="AB206" s="201">
        <f>AA206/J206</f>
        <v>0.3355101007205909</v>
      </c>
      <c r="AC206" s="204">
        <f t="shared" ref="AC206:AC211" si="307">SUM(T206:V206)</f>
        <v>90150181.290000007</v>
      </c>
      <c r="AD206" s="186">
        <f t="shared" ref="AD206:AD225" si="308">AC206/J206</f>
        <v>0.41593760590810203</v>
      </c>
      <c r="AE206" s="184">
        <v>9.2911416329978446E-5</v>
      </c>
      <c r="AF206" s="190">
        <f t="shared" si="283"/>
        <v>7525893.0854920149</v>
      </c>
      <c r="AG206" s="191">
        <f t="shared" ref="AG206:AG234" si="309">AF206/J206</f>
        <v>3.4723190874460498E-2</v>
      </c>
      <c r="AH206" s="209" t="s">
        <v>388</v>
      </c>
      <c r="AI206" s="229">
        <v>254987851.532904</v>
      </c>
      <c r="AJ206" s="244" t="s">
        <v>408</v>
      </c>
      <c r="AK206" s="355">
        <v>30000000</v>
      </c>
      <c r="AL206" s="355">
        <v>35294117.54405801</v>
      </c>
      <c r="AM206" s="212">
        <f t="shared" si="250"/>
        <v>0.138414898325082</v>
      </c>
      <c r="AN206" s="191" t="s">
        <v>408</v>
      </c>
      <c r="AO206" s="355">
        <f t="shared" si="291"/>
        <v>35294117.54405801</v>
      </c>
      <c r="AP206" s="355">
        <v>35294117.54405801</v>
      </c>
      <c r="AQ206" s="355">
        <v>35294117.54405801</v>
      </c>
      <c r="AR206" s="212">
        <f t="shared" si="230"/>
        <v>0.138414898325082</v>
      </c>
      <c r="AS206" s="324" t="s">
        <v>433</v>
      </c>
      <c r="AT206" s="274" t="s">
        <v>725</v>
      </c>
      <c r="AU206" s="384"/>
      <c r="AV206" s="261"/>
      <c r="AW206" s="294"/>
    </row>
    <row r="207" spans="1:51" s="83" customFormat="1" ht="101.25" customHeight="1">
      <c r="A207" s="381" t="s">
        <v>111</v>
      </c>
      <c r="B207" s="71" t="s">
        <v>629</v>
      </c>
      <c r="C207" s="72" t="s">
        <v>171</v>
      </c>
      <c r="D207" s="72" t="s">
        <v>168</v>
      </c>
      <c r="E207" s="109">
        <v>130496200</v>
      </c>
      <c r="F207" s="109">
        <f t="shared" si="301"/>
        <v>91713251.344799995</v>
      </c>
      <c r="G207" s="82">
        <v>130496200</v>
      </c>
      <c r="H207" s="82">
        <f t="shared" si="302"/>
        <v>91713251.344799995</v>
      </c>
      <c r="I207" s="109">
        <v>130496200</v>
      </c>
      <c r="J207" s="354">
        <f t="shared" si="303"/>
        <v>91713251.344799995</v>
      </c>
      <c r="K207" s="354">
        <v>96531521.654724002</v>
      </c>
      <c r="L207" s="354">
        <v>91713251</v>
      </c>
      <c r="M207" s="130">
        <f t="shared" si="246"/>
        <v>0.9999999962404561</v>
      </c>
      <c r="N207" s="354"/>
      <c r="O207" s="132">
        <f t="shared" si="304"/>
        <v>0</v>
      </c>
      <c r="P207" s="354">
        <v>91713251</v>
      </c>
      <c r="Q207" s="76">
        <f t="shared" si="305"/>
        <v>0.9999999962404561</v>
      </c>
      <c r="R207" s="354">
        <v>91713251</v>
      </c>
      <c r="S207" s="76">
        <f t="shared" si="306"/>
        <v>0.9999999962404561</v>
      </c>
      <c r="T207" s="79">
        <v>12786363.279999999</v>
      </c>
      <c r="U207" s="79"/>
      <c r="V207" s="79">
        <v>23515440.800000001</v>
      </c>
      <c r="W207" s="79">
        <v>0</v>
      </c>
      <c r="X207" s="79">
        <v>0</v>
      </c>
      <c r="Y207" s="79">
        <f t="shared" si="282"/>
        <v>36301804.079999998</v>
      </c>
      <c r="Z207" s="354">
        <f t="shared" si="248"/>
        <v>12786363.279999999</v>
      </c>
      <c r="AA207" s="354"/>
      <c r="AB207" s="130"/>
      <c r="AC207" s="116">
        <f t="shared" si="307"/>
        <v>36301804.079999998</v>
      </c>
      <c r="AD207" s="76">
        <f t="shared" si="308"/>
        <v>0.3958185272869868</v>
      </c>
      <c r="AE207" s="130">
        <v>0</v>
      </c>
      <c r="AF207" s="171">
        <f t="shared" si="283"/>
        <v>0.34479999542236328</v>
      </c>
      <c r="AG207" s="172">
        <f t="shared" si="309"/>
        <v>3.7595439085031731E-9</v>
      </c>
      <c r="AH207" s="161" t="s">
        <v>389</v>
      </c>
      <c r="AI207" s="233">
        <v>107897942.634564</v>
      </c>
      <c r="AJ207" s="243" t="s">
        <v>409</v>
      </c>
      <c r="AK207" s="354">
        <v>0</v>
      </c>
      <c r="AL207" s="354">
        <v>0</v>
      </c>
      <c r="AM207" s="96">
        <f t="shared" si="250"/>
        <v>0</v>
      </c>
      <c r="AN207" s="354"/>
      <c r="AO207" s="354">
        <f t="shared" si="291"/>
        <v>0</v>
      </c>
      <c r="AP207" s="96"/>
      <c r="AQ207" s="96"/>
      <c r="AR207" s="96">
        <f t="shared" si="230"/>
        <v>0</v>
      </c>
      <c r="AS207" s="96"/>
      <c r="AT207" s="96"/>
      <c r="AU207" s="388"/>
      <c r="AV207" s="261"/>
      <c r="AW207" s="294"/>
    </row>
    <row r="208" spans="1:51" s="83" customFormat="1" ht="56.25" customHeight="1">
      <c r="A208" s="381" t="s">
        <v>177</v>
      </c>
      <c r="B208" s="71" t="s">
        <v>630</v>
      </c>
      <c r="C208" s="72" t="s">
        <v>171</v>
      </c>
      <c r="D208" s="72" t="s">
        <v>168</v>
      </c>
      <c r="E208" s="109">
        <v>166199474</v>
      </c>
      <c r="F208" s="109">
        <f t="shared" si="301"/>
        <v>116805655.12509599</v>
      </c>
      <c r="G208" s="109">
        <v>166199474</v>
      </c>
      <c r="H208" s="82">
        <f t="shared" si="302"/>
        <v>116805655.12509599</v>
      </c>
      <c r="I208" s="109">
        <v>166199474</v>
      </c>
      <c r="J208" s="354">
        <f t="shared" si="303"/>
        <v>116805655.12509599</v>
      </c>
      <c r="K208" s="354">
        <v>116805655.12509599</v>
      </c>
      <c r="L208" s="354">
        <v>116805654.66</v>
      </c>
      <c r="M208" s="130">
        <f t="shared" si="246"/>
        <v>0.99999999601820655</v>
      </c>
      <c r="N208" s="354"/>
      <c r="O208" s="132">
        <f t="shared" si="304"/>
        <v>0</v>
      </c>
      <c r="P208" s="354">
        <v>116805654.66</v>
      </c>
      <c r="Q208" s="76">
        <f t="shared" si="305"/>
        <v>0.99999999601820655</v>
      </c>
      <c r="R208" s="354">
        <v>116805654.66</v>
      </c>
      <c r="S208" s="76">
        <f t="shared" si="306"/>
        <v>0.99999999601820655</v>
      </c>
      <c r="T208" s="79">
        <v>22215686.48</v>
      </c>
      <c r="U208" s="79"/>
      <c r="V208" s="79">
        <v>20546507.050000001</v>
      </c>
      <c r="W208" s="79">
        <v>0</v>
      </c>
      <c r="X208" s="79">
        <v>0</v>
      </c>
      <c r="Y208" s="79">
        <f t="shared" si="282"/>
        <v>42762193.530000001</v>
      </c>
      <c r="Z208" s="354">
        <f t="shared" si="248"/>
        <v>22215686.48</v>
      </c>
      <c r="AA208" s="354"/>
      <c r="AB208" s="130"/>
      <c r="AC208" s="116">
        <f t="shared" si="307"/>
        <v>42762193.530000001</v>
      </c>
      <c r="AD208" s="76">
        <f t="shared" si="308"/>
        <v>0.36609694525665509</v>
      </c>
      <c r="AE208" s="130">
        <v>0</v>
      </c>
      <c r="AF208" s="171">
        <f t="shared" si="283"/>
        <v>0.46509599685668945</v>
      </c>
      <c r="AG208" s="172">
        <f t="shared" si="309"/>
        <v>3.9817934872980511E-9</v>
      </c>
      <c r="AH208" s="162" t="s">
        <v>390</v>
      </c>
      <c r="AI208" s="234">
        <v>137418417.835572</v>
      </c>
      <c r="AJ208" s="243" t="s">
        <v>409</v>
      </c>
      <c r="AK208" s="354">
        <v>0</v>
      </c>
      <c r="AL208" s="354">
        <v>0</v>
      </c>
      <c r="AM208" s="96">
        <f t="shared" si="250"/>
        <v>0</v>
      </c>
      <c r="AN208" s="354"/>
      <c r="AO208" s="354">
        <f t="shared" si="291"/>
        <v>0</v>
      </c>
      <c r="AP208" s="96"/>
      <c r="AQ208" s="96"/>
      <c r="AR208" s="96">
        <f t="shared" si="230"/>
        <v>0</v>
      </c>
      <c r="AS208" s="96"/>
      <c r="AT208" s="96"/>
      <c r="AU208" s="388"/>
      <c r="AV208" s="261"/>
      <c r="AW208" s="294"/>
    </row>
    <row r="209" spans="1:49" s="83" customFormat="1" ht="50.45" customHeight="1">
      <c r="A209" s="381" t="s">
        <v>112</v>
      </c>
      <c r="B209" s="71" t="s">
        <v>631</v>
      </c>
      <c r="C209" s="72" t="s">
        <v>171</v>
      </c>
      <c r="D209" s="72" t="s">
        <v>168</v>
      </c>
      <c r="E209" s="109">
        <v>64631943</v>
      </c>
      <c r="F209" s="109">
        <f t="shared" si="301"/>
        <v>45423588.068172</v>
      </c>
      <c r="G209" s="82">
        <v>64631943</v>
      </c>
      <c r="H209" s="82">
        <f t="shared" si="302"/>
        <v>45423588.068172</v>
      </c>
      <c r="I209" s="109">
        <v>64631943</v>
      </c>
      <c r="J209" s="354">
        <f t="shared" si="303"/>
        <v>45423588.068172</v>
      </c>
      <c r="K209" s="354">
        <v>45423588.068172</v>
      </c>
      <c r="L209" s="354">
        <v>45423588</v>
      </c>
      <c r="M209" s="130">
        <f t="shared" si="246"/>
        <v>0.99999999849919385</v>
      </c>
      <c r="N209" s="354"/>
      <c r="O209" s="132">
        <f t="shared" si="304"/>
        <v>0</v>
      </c>
      <c r="P209" s="354">
        <v>45423588</v>
      </c>
      <c r="Q209" s="76">
        <f t="shared" si="305"/>
        <v>0.99999999849919385</v>
      </c>
      <c r="R209" s="354">
        <v>41114034</v>
      </c>
      <c r="S209" s="76">
        <f t="shared" si="306"/>
        <v>0.9051251948281982</v>
      </c>
      <c r="T209" s="79">
        <v>185968.58</v>
      </c>
      <c r="U209" s="79"/>
      <c r="V209" s="79"/>
      <c r="W209" s="79">
        <v>0</v>
      </c>
      <c r="X209" s="79">
        <v>0</v>
      </c>
      <c r="Y209" s="79">
        <f t="shared" si="282"/>
        <v>185968.58</v>
      </c>
      <c r="Z209" s="354">
        <f t="shared" si="248"/>
        <v>185968.58</v>
      </c>
      <c r="AA209" s="354"/>
      <c r="AB209" s="130"/>
      <c r="AC209" s="116">
        <f t="shared" si="307"/>
        <v>185968.58</v>
      </c>
      <c r="AD209" s="76">
        <f t="shared" si="308"/>
        <v>4.0940970960043318E-3</v>
      </c>
      <c r="AE209" s="130">
        <v>0</v>
      </c>
      <c r="AF209" s="171">
        <f t="shared" si="283"/>
        <v>4309554.0681720003</v>
      </c>
      <c r="AG209" s="172">
        <f t="shared" si="309"/>
        <v>9.4874805171801815E-2</v>
      </c>
      <c r="AH209" s="162" t="s">
        <v>391</v>
      </c>
      <c r="AI209" s="234">
        <v>53439515.37432</v>
      </c>
      <c r="AJ209" s="243" t="s">
        <v>409</v>
      </c>
      <c r="AK209" s="354">
        <v>0</v>
      </c>
      <c r="AL209" s="354">
        <v>0</v>
      </c>
      <c r="AM209" s="96">
        <f t="shared" si="250"/>
        <v>0</v>
      </c>
      <c r="AN209" s="354"/>
      <c r="AO209" s="354">
        <f t="shared" si="291"/>
        <v>0</v>
      </c>
      <c r="AP209" s="96"/>
      <c r="AQ209" s="96"/>
      <c r="AR209" s="96">
        <f t="shared" si="230"/>
        <v>0</v>
      </c>
      <c r="AS209" s="96"/>
      <c r="AT209" s="96"/>
      <c r="AU209" s="388"/>
      <c r="AV209" s="261"/>
      <c r="AW209" s="294"/>
    </row>
    <row r="210" spans="1:49" s="83" customFormat="1" ht="57" customHeight="1">
      <c r="A210" s="381" t="s">
        <v>230</v>
      </c>
      <c r="B210" s="71" t="s">
        <v>632</v>
      </c>
      <c r="C210" s="72" t="s">
        <v>171</v>
      </c>
      <c r="D210" s="72" t="s">
        <v>168</v>
      </c>
      <c r="E210" s="109">
        <v>29096061</v>
      </c>
      <c r="F210" s="109">
        <f t="shared" si="301"/>
        <v>20448828.055043999</v>
      </c>
      <c r="G210" s="109">
        <v>29096061</v>
      </c>
      <c r="H210" s="82">
        <f t="shared" si="302"/>
        <v>20448828.055043999</v>
      </c>
      <c r="I210" s="109">
        <v>29096061</v>
      </c>
      <c r="J210" s="354">
        <f t="shared" si="303"/>
        <v>20448828.055043999</v>
      </c>
      <c r="K210" s="354">
        <v>20448828.055043999</v>
      </c>
      <c r="L210" s="354">
        <v>20393340.420000002</v>
      </c>
      <c r="M210" s="130">
        <f t="shared" si="246"/>
        <v>0.99728651270896129</v>
      </c>
      <c r="N210" s="354"/>
      <c r="O210" s="132">
        <f t="shared" si="304"/>
        <v>0</v>
      </c>
      <c r="P210" s="354">
        <v>20393340.420000002</v>
      </c>
      <c r="Q210" s="76">
        <f t="shared" si="305"/>
        <v>0.99728651270896129</v>
      </c>
      <c r="R210" s="354">
        <v>20393340.420000002</v>
      </c>
      <c r="S210" s="76">
        <f t="shared" si="306"/>
        <v>0.99728651270896129</v>
      </c>
      <c r="T210" s="79">
        <v>13407464.310000001</v>
      </c>
      <c r="U210" s="79"/>
      <c r="V210" s="79">
        <v>4078668.84</v>
      </c>
      <c r="W210" s="79">
        <v>0</v>
      </c>
      <c r="X210" s="79">
        <v>0</v>
      </c>
      <c r="Y210" s="79">
        <f t="shared" si="282"/>
        <v>17486133.149999999</v>
      </c>
      <c r="Z210" s="354">
        <f t="shared" si="248"/>
        <v>13407464.310000001</v>
      </c>
      <c r="AA210" s="354"/>
      <c r="AB210" s="130"/>
      <c r="AC210" s="116">
        <f t="shared" si="307"/>
        <v>17486133.149999999</v>
      </c>
      <c r="AD210" s="76">
        <f t="shared" si="308"/>
        <v>0.85511664056888537</v>
      </c>
      <c r="AE210" s="130">
        <v>3.2561758942108352E-3</v>
      </c>
      <c r="AF210" s="171">
        <f t="shared" si="283"/>
        <v>55487.635043997318</v>
      </c>
      <c r="AG210" s="172">
        <f t="shared" si="309"/>
        <v>2.7134872910386906E-3</v>
      </c>
      <c r="AH210" s="162" t="s">
        <v>392</v>
      </c>
      <c r="AI210" s="234">
        <v>24057445.473444</v>
      </c>
      <c r="AJ210" s="243" t="s">
        <v>409</v>
      </c>
      <c r="AK210" s="354">
        <v>0</v>
      </c>
      <c r="AL210" s="354">
        <v>0</v>
      </c>
      <c r="AM210" s="96">
        <f t="shared" si="250"/>
        <v>0</v>
      </c>
      <c r="AN210" s="354"/>
      <c r="AO210" s="354">
        <f t="shared" si="291"/>
        <v>0</v>
      </c>
      <c r="AP210" s="96"/>
      <c r="AQ210" s="96"/>
      <c r="AR210" s="96">
        <f t="shared" si="230"/>
        <v>0</v>
      </c>
      <c r="AS210" s="96"/>
      <c r="AT210" s="96"/>
      <c r="AU210" s="388"/>
      <c r="AV210" s="261"/>
      <c r="AW210" s="294"/>
    </row>
    <row r="211" spans="1:49" s="104" customFormat="1" ht="72.75" customHeight="1">
      <c r="A211" s="381" t="s">
        <v>154</v>
      </c>
      <c r="B211" s="71" t="s">
        <v>633</v>
      </c>
      <c r="C211" s="72" t="s">
        <v>171</v>
      </c>
      <c r="D211" s="72" t="s">
        <v>687</v>
      </c>
      <c r="E211" s="109">
        <v>15750000</v>
      </c>
      <c r="F211" s="109">
        <f t="shared" si="301"/>
        <v>11069163</v>
      </c>
      <c r="G211" s="82">
        <v>15750000</v>
      </c>
      <c r="H211" s="82">
        <f t="shared" si="302"/>
        <v>11069163</v>
      </c>
      <c r="I211" s="109">
        <v>15750000</v>
      </c>
      <c r="J211" s="354">
        <f t="shared" si="303"/>
        <v>11069163</v>
      </c>
      <c r="K211" s="354">
        <v>11069163</v>
      </c>
      <c r="L211" s="354">
        <v>11069162.4</v>
      </c>
      <c r="M211" s="130">
        <f t="shared" si="246"/>
        <v>0.99999994579535967</v>
      </c>
      <c r="N211" s="354"/>
      <c r="O211" s="132">
        <f t="shared" si="304"/>
        <v>0</v>
      </c>
      <c r="P211" s="354">
        <v>0</v>
      </c>
      <c r="Q211" s="76">
        <f t="shared" si="305"/>
        <v>0</v>
      </c>
      <c r="R211" s="354">
        <v>0</v>
      </c>
      <c r="S211" s="76">
        <f t="shared" si="306"/>
        <v>0</v>
      </c>
      <c r="T211" s="79">
        <v>0</v>
      </c>
      <c r="U211" s="79">
        <v>0</v>
      </c>
      <c r="V211" s="79">
        <v>0</v>
      </c>
      <c r="W211" s="79">
        <v>0</v>
      </c>
      <c r="X211" s="79">
        <v>0</v>
      </c>
      <c r="Y211" s="79">
        <f t="shared" si="282"/>
        <v>0</v>
      </c>
      <c r="Z211" s="354">
        <f t="shared" si="248"/>
        <v>0</v>
      </c>
      <c r="AA211" s="354"/>
      <c r="AB211" s="130"/>
      <c r="AC211" s="116">
        <f t="shared" si="307"/>
        <v>0</v>
      </c>
      <c r="AD211" s="76">
        <f t="shared" si="308"/>
        <v>0</v>
      </c>
      <c r="AE211" s="130"/>
      <c r="AF211" s="171">
        <f t="shared" si="283"/>
        <v>11069163</v>
      </c>
      <c r="AG211" s="172">
        <f t="shared" si="309"/>
        <v>1</v>
      </c>
      <c r="AH211" s="159" t="s">
        <v>375</v>
      </c>
      <c r="AI211" s="214">
        <v>13022544.871247999</v>
      </c>
      <c r="AJ211" s="243" t="s">
        <v>409</v>
      </c>
      <c r="AK211" s="354">
        <f>J211*AM211</f>
        <v>0</v>
      </c>
      <c r="AL211" s="354">
        <v>0</v>
      </c>
      <c r="AM211" s="96">
        <f t="shared" si="250"/>
        <v>0</v>
      </c>
      <c r="AN211" s="354"/>
      <c r="AO211" s="354">
        <f t="shared" si="291"/>
        <v>0</v>
      </c>
      <c r="AP211" s="96"/>
      <c r="AQ211" s="96"/>
      <c r="AR211" s="96">
        <f t="shared" si="230"/>
        <v>0</v>
      </c>
      <c r="AS211" s="96"/>
      <c r="AT211" s="96"/>
      <c r="AU211" s="388"/>
      <c r="AV211" s="260"/>
      <c r="AW211" s="294"/>
    </row>
    <row r="212" spans="1:49" s="83" customFormat="1" ht="62.45" customHeight="1">
      <c r="A212" s="379" t="s">
        <v>113</v>
      </c>
      <c r="B212" s="66" t="s">
        <v>634</v>
      </c>
      <c r="C212" s="67" t="s">
        <v>171</v>
      </c>
      <c r="D212" s="67" t="s">
        <v>168</v>
      </c>
      <c r="E212" s="110"/>
      <c r="F212" s="94">
        <f>F213</f>
        <v>100079289.59999999</v>
      </c>
      <c r="G212" s="94"/>
      <c r="H212" s="94">
        <f>H213</f>
        <v>100079289.59999999</v>
      </c>
      <c r="I212" s="94"/>
      <c r="J212" s="353">
        <f>J213</f>
        <v>100079289.59999999</v>
      </c>
      <c r="K212" s="353">
        <f t="shared" ref="K212:AL212" si="310">K213</f>
        <v>100079289.59999999</v>
      </c>
      <c r="L212" s="353">
        <f t="shared" si="310"/>
        <v>100079289</v>
      </c>
      <c r="M212" s="353">
        <f t="shared" si="310"/>
        <v>0.9999999940047537</v>
      </c>
      <c r="N212" s="353">
        <f t="shared" si="310"/>
        <v>0</v>
      </c>
      <c r="O212" s="353">
        <f t="shared" si="310"/>
        <v>0</v>
      </c>
      <c r="P212" s="353">
        <f t="shared" si="310"/>
        <v>100079289</v>
      </c>
      <c r="Q212" s="353">
        <f t="shared" si="310"/>
        <v>0.9999999940047537</v>
      </c>
      <c r="R212" s="353">
        <f t="shared" si="310"/>
        <v>100079289</v>
      </c>
      <c r="S212" s="353">
        <f t="shared" si="310"/>
        <v>0.9999999940047537</v>
      </c>
      <c r="T212" s="353">
        <f t="shared" si="310"/>
        <v>0</v>
      </c>
      <c r="U212" s="353">
        <f t="shared" si="310"/>
        <v>0</v>
      </c>
      <c r="V212" s="353">
        <f t="shared" si="310"/>
        <v>22274836</v>
      </c>
      <c r="W212" s="353">
        <f t="shared" si="310"/>
        <v>0</v>
      </c>
      <c r="X212" s="353">
        <f t="shared" si="310"/>
        <v>0</v>
      </c>
      <c r="Y212" s="353">
        <f t="shared" si="310"/>
        <v>22274836</v>
      </c>
      <c r="Z212" s="353">
        <f t="shared" si="310"/>
        <v>0</v>
      </c>
      <c r="AA212" s="353">
        <f t="shared" si="310"/>
        <v>0</v>
      </c>
      <c r="AB212" s="353">
        <f t="shared" si="310"/>
        <v>0</v>
      </c>
      <c r="AC212" s="353">
        <f t="shared" si="310"/>
        <v>22274836</v>
      </c>
      <c r="AD212" s="353">
        <f t="shared" si="310"/>
        <v>0.22257188364374642</v>
      </c>
      <c r="AE212" s="353">
        <f t="shared" si="310"/>
        <v>0</v>
      </c>
      <c r="AF212" s="353">
        <f t="shared" si="310"/>
        <v>0</v>
      </c>
      <c r="AG212" s="353">
        <f t="shared" si="310"/>
        <v>0</v>
      </c>
      <c r="AH212" s="353" t="str">
        <f t="shared" si="310"/>
        <v>Sasniedzamie rezultāti:
1) iegādāto trīsvagonu dzīzeļvilcienu skaits - 7;
2) iegādāto jaunu elektrovilcienu skits- 34.</v>
      </c>
      <c r="AI212" s="353">
        <f t="shared" si="310"/>
        <v>117740340.87124799</v>
      </c>
      <c r="AJ212" s="242" t="str">
        <f t="shared" si="310"/>
        <v>Nē</v>
      </c>
      <c r="AK212" s="353">
        <f>AK213</f>
        <v>0</v>
      </c>
      <c r="AL212" s="353">
        <f t="shared" si="310"/>
        <v>0</v>
      </c>
      <c r="AM212" s="96">
        <f t="shared" si="250"/>
        <v>0</v>
      </c>
      <c r="AN212" s="103"/>
      <c r="AO212" s="353">
        <f t="shared" si="291"/>
        <v>0</v>
      </c>
      <c r="AP212" s="353">
        <f>AP213</f>
        <v>0</v>
      </c>
      <c r="AQ212" s="353">
        <f>AQ213</f>
        <v>0</v>
      </c>
      <c r="AR212" s="96">
        <f t="shared" ref="AR212:AR262" si="311">AQ212/K212</f>
        <v>0</v>
      </c>
      <c r="AS212" s="97"/>
      <c r="AT212" s="97"/>
      <c r="AU212" s="386"/>
      <c r="AV212" s="261"/>
      <c r="AW212" s="294"/>
    </row>
    <row r="213" spans="1:49" s="98" customFormat="1" ht="67.150000000000006" customHeight="1">
      <c r="A213" s="381" t="s">
        <v>114</v>
      </c>
      <c r="B213" s="71" t="s">
        <v>635</v>
      </c>
      <c r="C213" s="72" t="s">
        <v>171</v>
      </c>
      <c r="D213" s="72" t="s">
        <v>168</v>
      </c>
      <c r="E213" s="109">
        <v>142400000</v>
      </c>
      <c r="F213" s="109">
        <f>E213*$E$6</f>
        <v>100079289.59999999</v>
      </c>
      <c r="G213" s="82">
        <v>142400000</v>
      </c>
      <c r="H213" s="82">
        <f>G213*$G$6</f>
        <v>100079289.59999999</v>
      </c>
      <c r="I213" s="82">
        <v>142400000</v>
      </c>
      <c r="J213" s="354">
        <f>I213*$I$6</f>
        <v>100079289.59999999</v>
      </c>
      <c r="K213" s="354">
        <v>100079289.59999999</v>
      </c>
      <c r="L213" s="354">
        <v>100079289</v>
      </c>
      <c r="M213" s="130">
        <f t="shared" si="246"/>
        <v>0.9999999940047537</v>
      </c>
      <c r="N213" s="354"/>
      <c r="O213" s="132">
        <f t="shared" si="304"/>
        <v>0</v>
      </c>
      <c r="P213" s="354">
        <v>100079289</v>
      </c>
      <c r="Q213" s="76">
        <f t="shared" si="305"/>
        <v>0.9999999940047537</v>
      </c>
      <c r="R213" s="354">
        <v>100079289</v>
      </c>
      <c r="S213" s="76">
        <f t="shared" si="306"/>
        <v>0.9999999940047537</v>
      </c>
      <c r="T213" s="79">
        <v>0</v>
      </c>
      <c r="U213" s="79">
        <v>0</v>
      </c>
      <c r="V213" s="79">
        <v>22274836</v>
      </c>
      <c r="W213" s="79">
        <v>0</v>
      </c>
      <c r="X213" s="79">
        <v>0</v>
      </c>
      <c r="Y213" s="79">
        <f t="shared" si="282"/>
        <v>22274836</v>
      </c>
      <c r="Z213" s="354">
        <f t="shared" si="248"/>
        <v>0</v>
      </c>
      <c r="AA213" s="354"/>
      <c r="AB213" s="130"/>
      <c r="AC213" s="116">
        <f>SUM(T213:V213)</f>
        <v>22274836</v>
      </c>
      <c r="AD213" s="76">
        <f t="shared" si="308"/>
        <v>0.22257188364374642</v>
      </c>
      <c r="AE213" s="130">
        <v>0</v>
      </c>
      <c r="AF213" s="171">
        <v>0</v>
      </c>
      <c r="AG213" s="172">
        <f t="shared" si="309"/>
        <v>0</v>
      </c>
      <c r="AH213" s="163" t="s">
        <v>393</v>
      </c>
      <c r="AI213" s="231">
        <v>117740340.87124799</v>
      </c>
      <c r="AJ213" s="243" t="s">
        <v>409</v>
      </c>
      <c r="AK213" s="354">
        <v>0</v>
      </c>
      <c r="AL213" s="354">
        <v>0</v>
      </c>
      <c r="AM213" s="96">
        <f t="shared" si="250"/>
        <v>0</v>
      </c>
      <c r="AN213" s="354"/>
      <c r="AO213" s="354">
        <f t="shared" si="291"/>
        <v>0</v>
      </c>
      <c r="AP213" s="96"/>
      <c r="AQ213" s="96"/>
      <c r="AR213" s="96">
        <f t="shared" si="311"/>
        <v>0</v>
      </c>
      <c r="AS213" s="96"/>
      <c r="AT213" s="96"/>
      <c r="AU213" s="388"/>
      <c r="AV213" s="260"/>
      <c r="AW213" s="294"/>
    </row>
    <row r="214" spans="1:49" s="98" customFormat="1" ht="66" customHeight="1">
      <c r="A214" s="379" t="s">
        <v>115</v>
      </c>
      <c r="B214" s="66" t="s">
        <v>636</v>
      </c>
      <c r="C214" s="67" t="s">
        <v>56</v>
      </c>
      <c r="D214" s="67" t="s">
        <v>138</v>
      </c>
      <c r="E214" s="110"/>
      <c r="F214" s="94">
        <f>F215+F222+F228+F232</f>
        <v>226939884.24465597</v>
      </c>
      <c r="G214" s="94"/>
      <c r="H214" s="94">
        <f>H215+H222+H228+H232</f>
        <v>226939884.24465597</v>
      </c>
      <c r="I214" s="94"/>
      <c r="J214" s="353">
        <f>J215+J222+J228+J232</f>
        <v>226939884.24465597</v>
      </c>
      <c r="K214" s="353">
        <f t="shared" ref="K214:AI214" si="312">K215+K222+K228+K232</f>
        <v>239061838.50020397</v>
      </c>
      <c r="L214" s="353">
        <f t="shared" si="312"/>
        <v>215747636.5200001</v>
      </c>
      <c r="M214" s="353">
        <f t="shared" si="312"/>
        <v>16.940469531616664</v>
      </c>
      <c r="N214" s="353">
        <f t="shared" si="312"/>
        <v>51098350.43</v>
      </c>
      <c r="O214" s="353">
        <f t="shared" si="312"/>
        <v>6.4345713633445154</v>
      </c>
      <c r="P214" s="353">
        <f t="shared" si="312"/>
        <v>151817035.51999998</v>
      </c>
      <c r="Q214" s="353">
        <f t="shared" si="312"/>
        <v>9.6371623680094434</v>
      </c>
      <c r="R214" s="353">
        <f t="shared" si="312"/>
        <v>148938634.40000001</v>
      </c>
      <c r="S214" s="353">
        <f t="shared" si="312"/>
        <v>9.5789777662840798</v>
      </c>
      <c r="T214" s="353">
        <f t="shared" si="312"/>
        <v>34635241.399999999</v>
      </c>
      <c r="U214" s="353">
        <f t="shared" si="312"/>
        <v>0</v>
      </c>
      <c r="V214" s="353">
        <f t="shared" si="312"/>
        <v>27450602.509999998</v>
      </c>
      <c r="W214" s="353">
        <f t="shared" si="312"/>
        <v>5950372.3700000113</v>
      </c>
      <c r="X214" s="353">
        <f t="shared" si="312"/>
        <v>309660.64</v>
      </c>
      <c r="Y214" s="353">
        <f t="shared" si="312"/>
        <v>61776183.269999996</v>
      </c>
      <c r="Z214" s="353">
        <f t="shared" si="312"/>
        <v>40585613.770000011</v>
      </c>
      <c r="AA214" s="353">
        <f t="shared" si="312"/>
        <v>5406248.7100000009</v>
      </c>
      <c r="AB214" s="353">
        <f t="shared" si="312"/>
        <v>0.34576573691252677</v>
      </c>
      <c r="AC214" s="353">
        <f t="shared" si="312"/>
        <v>62085843.909999996</v>
      </c>
      <c r="AD214" s="353">
        <f t="shared" si="312"/>
        <v>2.9646061515999658</v>
      </c>
      <c r="AE214" s="353">
        <f t="shared" si="312"/>
        <v>0.14062952186394029</v>
      </c>
      <c r="AF214" s="353">
        <f t="shared" si="312"/>
        <v>78001249.844655991</v>
      </c>
      <c r="AG214" s="353" t="e">
        <f t="shared" si="312"/>
        <v>#DIV/0!</v>
      </c>
      <c r="AH214" s="353" t="e">
        <f t="shared" si="312"/>
        <v>#VALUE!</v>
      </c>
      <c r="AI214" s="353">
        <f t="shared" si="312"/>
        <v>298237513.61780399</v>
      </c>
      <c r="AJ214" s="242" t="s">
        <v>409</v>
      </c>
      <c r="AK214" s="353">
        <f>AK215+AK222+AK228+AK232</f>
        <v>15000000</v>
      </c>
      <c r="AL214" s="353">
        <f t="shared" ref="AL214" si="313">AL215+AL222+AL228+AL232</f>
        <v>15000000</v>
      </c>
      <c r="AM214" s="311">
        <f t="shared" si="250"/>
        <v>6.2745271659019733E-2</v>
      </c>
      <c r="AN214" s="181"/>
      <c r="AO214" s="353">
        <f t="shared" si="291"/>
        <v>15000000</v>
      </c>
      <c r="AP214" s="353">
        <f>AP215+AP222+AP228+AP232</f>
        <v>15000000</v>
      </c>
      <c r="AQ214" s="353">
        <f>AQ215+AQ222+AQ228+AQ232</f>
        <v>15000000</v>
      </c>
      <c r="AR214" s="311">
        <f t="shared" si="311"/>
        <v>6.2745271659019733E-2</v>
      </c>
      <c r="AS214" s="96"/>
      <c r="AT214" s="96"/>
      <c r="AU214" s="386"/>
      <c r="AV214" s="260"/>
      <c r="AW214" s="294"/>
    </row>
    <row r="215" spans="1:49" s="83" customFormat="1" ht="64.5" customHeight="1">
      <c r="A215" s="379" t="s">
        <v>116</v>
      </c>
      <c r="B215" s="66" t="s">
        <v>637</v>
      </c>
      <c r="C215" s="67" t="s">
        <v>56</v>
      </c>
      <c r="D215" s="67" t="s">
        <v>687</v>
      </c>
      <c r="E215" s="110"/>
      <c r="F215" s="94">
        <f>F216+F217+F218+F219</f>
        <v>136883295.841932</v>
      </c>
      <c r="G215" s="94"/>
      <c r="H215" s="94">
        <f>H216+H217+H218+H220+H221</f>
        <v>136883295.841932</v>
      </c>
      <c r="I215" s="94"/>
      <c r="J215" s="353">
        <f>J216+J217+J218+J219</f>
        <v>136883295.841932</v>
      </c>
      <c r="K215" s="353">
        <f t="shared" ref="K215:AI215" si="314">K216+K217+K218+K219</f>
        <v>149005250.09748</v>
      </c>
      <c r="L215" s="353">
        <f t="shared" si="314"/>
        <v>101873446.32000011</v>
      </c>
      <c r="M215" s="353">
        <f t="shared" si="314"/>
        <v>4.5515991782133804</v>
      </c>
      <c r="N215" s="353">
        <f t="shared" si="314"/>
        <v>10131689.59</v>
      </c>
      <c r="O215" s="353">
        <f t="shared" si="314"/>
        <v>0.63320268617465958</v>
      </c>
      <c r="P215" s="353">
        <f t="shared" si="314"/>
        <v>83322161.799999997</v>
      </c>
      <c r="Q215" s="353">
        <f t="shared" si="314"/>
        <v>3.4587261515312395</v>
      </c>
      <c r="R215" s="353">
        <f t="shared" si="314"/>
        <v>83133133.700000003</v>
      </c>
      <c r="S215" s="353">
        <f t="shared" si="314"/>
        <v>3.4568517653868849</v>
      </c>
      <c r="T215" s="353">
        <f t="shared" si="314"/>
        <v>24123584.979999997</v>
      </c>
      <c r="U215" s="353">
        <f t="shared" si="314"/>
        <v>0</v>
      </c>
      <c r="V215" s="353">
        <f t="shared" si="314"/>
        <v>22089262.5</v>
      </c>
      <c r="W215" s="353">
        <f t="shared" si="314"/>
        <v>4502217.0800000103</v>
      </c>
      <c r="X215" s="353">
        <f t="shared" si="314"/>
        <v>238895.04</v>
      </c>
      <c r="Y215" s="353">
        <f t="shared" si="314"/>
        <v>45973952.440000005</v>
      </c>
      <c r="Z215" s="353">
        <f t="shared" si="314"/>
        <v>28625802.06000001</v>
      </c>
      <c r="AA215" s="353">
        <f t="shared" si="314"/>
        <v>2512409.6800000002</v>
      </c>
      <c r="AB215" s="353">
        <f t="shared" si="314"/>
        <v>2.4912835145329857E-2</v>
      </c>
      <c r="AC215" s="353">
        <f t="shared" si="314"/>
        <v>46212847.480000004</v>
      </c>
      <c r="AD215" s="353">
        <f t="shared" si="314"/>
        <v>1.1386279436941</v>
      </c>
      <c r="AE215" s="353">
        <f t="shared" si="314"/>
        <v>3.8010228362715115E-2</v>
      </c>
      <c r="AF215" s="353">
        <f t="shared" si="314"/>
        <v>53750162.141932003</v>
      </c>
      <c r="AG215" s="353">
        <f t="shared" si="314"/>
        <v>1.5431482346131153</v>
      </c>
      <c r="AH215" s="353" t="e">
        <f t="shared" si="314"/>
        <v>#VALUE!</v>
      </c>
      <c r="AI215" s="353">
        <f t="shared" si="314"/>
        <v>165273614.420268</v>
      </c>
      <c r="AJ215" s="242" t="s">
        <v>409</v>
      </c>
      <c r="AK215" s="353">
        <f>AK216+AK217+AK218+AK219</f>
        <v>0</v>
      </c>
      <c r="AL215" s="353">
        <f t="shared" ref="AL215" si="315">AL216+AL217+AL218+AL219</f>
        <v>0</v>
      </c>
      <c r="AM215" s="311">
        <f t="shared" si="250"/>
        <v>0</v>
      </c>
      <c r="AN215" s="76"/>
      <c r="AO215" s="353">
        <f t="shared" si="291"/>
        <v>0</v>
      </c>
      <c r="AP215" s="353">
        <f>AP216+AP217+AP218+AP219</f>
        <v>0</v>
      </c>
      <c r="AQ215" s="353">
        <f>AQ216+AQ217+AQ218+AQ219</f>
        <v>0</v>
      </c>
      <c r="AR215" s="311">
        <f t="shared" si="311"/>
        <v>0</v>
      </c>
      <c r="AS215" s="96"/>
      <c r="AT215" s="96"/>
      <c r="AU215" s="386"/>
      <c r="AV215" s="261"/>
      <c r="AW215" s="294"/>
    </row>
    <row r="216" spans="1:49" s="83" customFormat="1" ht="99" customHeight="1">
      <c r="A216" s="381" t="s">
        <v>308</v>
      </c>
      <c r="B216" s="71" t="s">
        <v>638</v>
      </c>
      <c r="C216" s="72" t="s">
        <v>56</v>
      </c>
      <c r="D216" s="72" t="s">
        <v>687</v>
      </c>
      <c r="E216" s="109">
        <v>143493781</v>
      </c>
      <c r="F216" s="109">
        <f>E216*$E$6</f>
        <v>100848003.261924</v>
      </c>
      <c r="G216" s="82">
        <v>143493781</v>
      </c>
      <c r="H216" s="82">
        <f>G216*$G$6</f>
        <v>100848003.261924</v>
      </c>
      <c r="I216" s="109">
        <v>143493781</v>
      </c>
      <c r="J216" s="354">
        <f>I216*$I$6</f>
        <v>100848003.261924</v>
      </c>
      <c r="K216" s="354">
        <v>102955000.517472</v>
      </c>
      <c r="L216" s="354">
        <v>64328104.350000098</v>
      </c>
      <c r="M216" s="130">
        <f t="shared" si="246"/>
        <v>0.63787186924193384</v>
      </c>
      <c r="N216" s="354">
        <v>4264767.5599999996</v>
      </c>
      <c r="O216" s="132">
        <f t="shared" si="304"/>
        <v>4.2289062966606082E-2</v>
      </c>
      <c r="P216" s="354">
        <v>57613962.289999999</v>
      </c>
      <c r="Q216" s="76">
        <f t="shared" si="305"/>
        <v>0.57129502247420927</v>
      </c>
      <c r="R216" s="354">
        <v>57424934.189999998</v>
      </c>
      <c r="S216" s="76">
        <f t="shared" si="306"/>
        <v>0.5694206363298544</v>
      </c>
      <c r="T216" s="79">
        <v>16424835.27</v>
      </c>
      <c r="U216" s="79"/>
      <c r="V216" s="79">
        <v>21918492.149999999</v>
      </c>
      <c r="W216" s="79">
        <v>4502217.0800000103</v>
      </c>
      <c r="X216" s="79">
        <v>238895.04</v>
      </c>
      <c r="Y216" s="79">
        <f t="shared" si="282"/>
        <v>38104432.380000003</v>
      </c>
      <c r="Z216" s="354">
        <f t="shared" ref="Z216:Z259" si="316">T216+U216+W216</f>
        <v>20927052.350000009</v>
      </c>
      <c r="AA216" s="354">
        <v>2512409.6800000002</v>
      </c>
      <c r="AB216" s="136">
        <f>AA216/J216</f>
        <v>2.4912835145329857E-2</v>
      </c>
      <c r="AC216" s="116">
        <f t="shared" ref="AC216:AC221" si="317">SUM(T216:V216)</f>
        <v>38343327.420000002</v>
      </c>
      <c r="AD216" s="76">
        <f t="shared" si="308"/>
        <v>0.38020908872547649</v>
      </c>
      <c r="AE216" s="130">
        <v>3.766771598576997E-2</v>
      </c>
      <c r="AF216" s="171">
        <f t="shared" ref="AF216:AF247" si="318">J216-R216</f>
        <v>43423069.071924001</v>
      </c>
      <c r="AG216" s="172">
        <f t="shared" si="309"/>
        <v>0.4305793636701456</v>
      </c>
      <c r="AH216" s="159" t="s">
        <v>416</v>
      </c>
      <c r="AI216" s="214">
        <v>118644711.16686</v>
      </c>
      <c r="AJ216" s="243" t="s">
        <v>409</v>
      </c>
      <c r="AK216" s="354">
        <v>0</v>
      </c>
      <c r="AL216" s="354">
        <v>0</v>
      </c>
      <c r="AM216" s="96">
        <f t="shared" si="250"/>
        <v>0</v>
      </c>
      <c r="AN216" s="76"/>
      <c r="AO216" s="354">
        <f t="shared" si="291"/>
        <v>0</v>
      </c>
      <c r="AP216" s="306"/>
      <c r="AQ216" s="306"/>
      <c r="AR216" s="96">
        <f t="shared" si="311"/>
        <v>0</v>
      </c>
      <c r="AS216" s="306"/>
      <c r="AT216" s="306"/>
      <c r="AU216" s="388"/>
      <c r="AV216" s="261"/>
      <c r="AW216" s="294"/>
    </row>
    <row r="217" spans="1:49" s="83" customFormat="1" ht="78" customHeight="1">
      <c r="A217" s="381" t="s">
        <v>117</v>
      </c>
      <c r="B217" s="71" t="s">
        <v>639</v>
      </c>
      <c r="C217" s="72" t="s">
        <v>56</v>
      </c>
      <c r="D217" s="72" t="s">
        <v>687</v>
      </c>
      <c r="E217" s="109">
        <v>3023602</v>
      </c>
      <c r="F217" s="109">
        <f>E217*$E$6</f>
        <v>2124999.5800080001</v>
      </c>
      <c r="G217" s="82">
        <v>3023602</v>
      </c>
      <c r="H217" s="82">
        <f>G217*$G$6</f>
        <v>2124999.5800080001</v>
      </c>
      <c r="I217" s="109">
        <v>3023602</v>
      </c>
      <c r="J217" s="354">
        <f>I217*$I$6</f>
        <v>2124999.5800080001</v>
      </c>
      <c r="K217" s="354">
        <v>2124999.5800080001</v>
      </c>
      <c r="L217" s="354">
        <v>2124999</v>
      </c>
      <c r="M217" s="130">
        <f t="shared" ref="M217:M234" si="319">L217/J217</f>
        <v>0.99999972705500484</v>
      </c>
      <c r="N217" s="354"/>
      <c r="O217" s="132">
        <f t="shared" si="304"/>
        <v>0</v>
      </c>
      <c r="P217" s="354">
        <v>2124999</v>
      </c>
      <c r="Q217" s="76">
        <f t="shared" si="305"/>
        <v>0.99999972705500484</v>
      </c>
      <c r="R217" s="354">
        <v>2124999</v>
      </c>
      <c r="S217" s="76">
        <f t="shared" si="306"/>
        <v>0.99999972705500484</v>
      </c>
      <c r="T217" s="79">
        <v>0</v>
      </c>
      <c r="U217" s="79">
        <v>0</v>
      </c>
      <c r="V217" s="79">
        <v>0</v>
      </c>
      <c r="W217" s="79">
        <v>0</v>
      </c>
      <c r="X217" s="79">
        <v>0</v>
      </c>
      <c r="Y217" s="79">
        <f t="shared" si="282"/>
        <v>0</v>
      </c>
      <c r="Z217" s="354">
        <f t="shared" si="316"/>
        <v>0</v>
      </c>
      <c r="AA217" s="354"/>
      <c r="AB217" s="130"/>
      <c r="AC217" s="116">
        <f t="shared" si="317"/>
        <v>0</v>
      </c>
      <c r="AD217" s="76">
        <f t="shared" si="308"/>
        <v>0</v>
      </c>
      <c r="AE217" s="130"/>
      <c r="AF217" s="171">
        <f t="shared" si="318"/>
        <v>0.58000800013542175</v>
      </c>
      <c r="AG217" s="172">
        <f t="shared" si="309"/>
        <v>2.7294499518594641E-7</v>
      </c>
      <c r="AH217" s="159" t="s">
        <v>371</v>
      </c>
      <c r="AI217" s="214">
        <v>2124999.5800080001</v>
      </c>
      <c r="AJ217" s="243" t="s">
        <v>409</v>
      </c>
      <c r="AK217" s="354">
        <v>0</v>
      </c>
      <c r="AL217" s="354">
        <v>0</v>
      </c>
      <c r="AM217" s="96">
        <f t="shared" ref="AM217:AM262" si="320">AL217/K217</f>
        <v>0</v>
      </c>
      <c r="AN217" s="354"/>
      <c r="AO217" s="354">
        <f t="shared" si="291"/>
        <v>0</v>
      </c>
      <c r="AP217" s="96"/>
      <c r="AQ217" s="96"/>
      <c r="AR217" s="96">
        <f t="shared" si="311"/>
        <v>0</v>
      </c>
      <c r="AS217" s="96"/>
      <c r="AT217" s="96"/>
      <c r="AU217" s="388"/>
      <c r="AV217" s="261"/>
      <c r="AW217" s="294"/>
    </row>
    <row r="218" spans="1:49" s="98" customFormat="1" ht="33.6" customHeight="1">
      <c r="A218" s="381" t="s">
        <v>118</v>
      </c>
      <c r="B218" s="71" t="s">
        <v>640</v>
      </c>
      <c r="C218" s="72" t="s">
        <v>56</v>
      </c>
      <c r="D218" s="72" t="s">
        <v>687</v>
      </c>
      <c r="E218" s="109">
        <v>33250000</v>
      </c>
      <c r="F218" s="109">
        <f>E218*$E$6</f>
        <v>23368233</v>
      </c>
      <c r="G218" s="82">
        <v>33250000</v>
      </c>
      <c r="H218" s="82">
        <f>G218*$G$6</f>
        <v>23368233</v>
      </c>
      <c r="I218" s="109">
        <v>33250000</v>
      </c>
      <c r="J218" s="354">
        <f>I218*$I$6</f>
        <v>23368233</v>
      </c>
      <c r="K218" s="354">
        <v>33383190</v>
      </c>
      <c r="L218" s="354">
        <v>26783844.32</v>
      </c>
      <c r="M218" s="130">
        <f t="shared" si="319"/>
        <v>1.1461647237084636</v>
      </c>
      <c r="N218" s="354">
        <v>4461314.03</v>
      </c>
      <c r="O218" s="132">
        <f t="shared" si="304"/>
        <v>0.19091362320805344</v>
      </c>
      <c r="P218" s="354">
        <v>18160439.149999999</v>
      </c>
      <c r="Q218" s="76">
        <f t="shared" si="305"/>
        <v>0.77714216346610365</v>
      </c>
      <c r="R218" s="354">
        <v>18160439.149999999</v>
      </c>
      <c r="S218" s="76">
        <f t="shared" si="306"/>
        <v>0.77714216346610365</v>
      </c>
      <c r="T218" s="79">
        <v>5421246.8799999999</v>
      </c>
      <c r="U218" s="79">
        <v>0</v>
      </c>
      <c r="V218" s="79">
        <v>0</v>
      </c>
      <c r="W218" s="79">
        <v>0</v>
      </c>
      <c r="X218" s="79">
        <v>0</v>
      </c>
      <c r="Y218" s="79">
        <f t="shared" si="282"/>
        <v>5421246.8799999999</v>
      </c>
      <c r="Z218" s="354">
        <f t="shared" si="316"/>
        <v>5421246.8799999999</v>
      </c>
      <c r="AA218" s="354"/>
      <c r="AB218" s="130"/>
      <c r="AC218" s="116">
        <f t="shared" si="317"/>
        <v>5421246.8799999999</v>
      </c>
      <c r="AD218" s="76">
        <f t="shared" si="308"/>
        <v>0.23199216132430722</v>
      </c>
      <c r="AE218" s="130">
        <v>0</v>
      </c>
      <c r="AF218" s="171">
        <f t="shared" si="318"/>
        <v>5207793.8500000015</v>
      </c>
      <c r="AG218" s="172">
        <f t="shared" si="309"/>
        <v>0.22285783653389632</v>
      </c>
      <c r="AH218" s="159" t="s">
        <v>372</v>
      </c>
      <c r="AI218" s="214">
        <v>33383190</v>
      </c>
      <c r="AJ218" s="243" t="s">
        <v>409</v>
      </c>
      <c r="AK218" s="354">
        <v>0</v>
      </c>
      <c r="AL218" s="354">
        <v>0</v>
      </c>
      <c r="AM218" s="96">
        <f t="shared" si="320"/>
        <v>0</v>
      </c>
      <c r="AN218" s="354"/>
      <c r="AO218" s="354">
        <f t="shared" si="291"/>
        <v>0</v>
      </c>
      <c r="AP218" s="306"/>
      <c r="AQ218" s="306"/>
      <c r="AR218" s="96">
        <f t="shared" si="311"/>
        <v>0</v>
      </c>
      <c r="AS218" s="306"/>
      <c r="AT218" s="306"/>
      <c r="AU218" s="388"/>
      <c r="AV218" s="261"/>
      <c r="AW218" s="294"/>
    </row>
    <row r="219" spans="1:49" s="83" customFormat="1" ht="53.25" customHeight="1">
      <c r="A219" s="387" t="s">
        <v>119</v>
      </c>
      <c r="B219" s="77" t="s">
        <v>641</v>
      </c>
      <c r="C219" s="78" t="s">
        <v>56</v>
      </c>
      <c r="D219" s="78" t="s">
        <v>687</v>
      </c>
      <c r="E219" s="111"/>
      <c r="F219" s="109">
        <f>F220+F221</f>
        <v>10542060</v>
      </c>
      <c r="G219" s="95"/>
      <c r="H219" s="95">
        <f>H220+H221</f>
        <v>10542060</v>
      </c>
      <c r="I219" s="95"/>
      <c r="J219" s="354">
        <f>J220+J221</f>
        <v>10542060</v>
      </c>
      <c r="K219" s="354">
        <f>K220+K221</f>
        <v>10542060</v>
      </c>
      <c r="L219" s="354">
        <f t="shared" ref="L219:AI219" si="321">L220+L221</f>
        <v>8636498.6500000004</v>
      </c>
      <c r="M219" s="354">
        <f t="shared" si="321"/>
        <v>1.7675628582079783</v>
      </c>
      <c r="N219" s="354">
        <f t="shared" si="321"/>
        <v>1405608</v>
      </c>
      <c r="O219" s="354">
        <f t="shared" si="321"/>
        <v>0.4</v>
      </c>
      <c r="P219" s="354">
        <f t="shared" si="321"/>
        <v>5422761.3599999994</v>
      </c>
      <c r="Q219" s="354">
        <f t="shared" si="321"/>
        <v>1.1102892385359218</v>
      </c>
      <c r="R219" s="354">
        <f t="shared" si="321"/>
        <v>5422761.3599999994</v>
      </c>
      <c r="S219" s="354">
        <f t="shared" si="321"/>
        <v>1.1102892385359218</v>
      </c>
      <c r="T219" s="354">
        <f t="shared" si="321"/>
        <v>2277502.83</v>
      </c>
      <c r="U219" s="354">
        <f t="shared" si="321"/>
        <v>0</v>
      </c>
      <c r="V219" s="354">
        <f t="shared" si="321"/>
        <v>170770.35</v>
      </c>
      <c r="W219" s="354">
        <f t="shared" si="321"/>
        <v>0</v>
      </c>
      <c r="X219" s="354">
        <f t="shared" si="321"/>
        <v>0</v>
      </c>
      <c r="Y219" s="354">
        <f t="shared" si="321"/>
        <v>2448273.1800000002</v>
      </c>
      <c r="Z219" s="354">
        <f t="shared" si="321"/>
        <v>2277502.83</v>
      </c>
      <c r="AA219" s="354">
        <f t="shared" si="321"/>
        <v>0</v>
      </c>
      <c r="AB219" s="354">
        <f t="shared" si="321"/>
        <v>0</v>
      </c>
      <c r="AC219" s="354">
        <f t="shared" si="321"/>
        <v>2448273.1800000002</v>
      </c>
      <c r="AD219" s="354">
        <f t="shared" si="321"/>
        <v>0.52642669364431627</v>
      </c>
      <c r="AE219" s="354">
        <f t="shared" si="321"/>
        <v>3.4251237694514752E-4</v>
      </c>
      <c r="AF219" s="354">
        <f t="shared" si="321"/>
        <v>5119298.6400000006</v>
      </c>
      <c r="AG219" s="354">
        <f t="shared" si="321"/>
        <v>0.88971076146407824</v>
      </c>
      <c r="AH219" s="354" t="e">
        <f t="shared" si="321"/>
        <v>#VALUE!</v>
      </c>
      <c r="AI219" s="354">
        <f t="shared" si="321"/>
        <v>11120713.6734</v>
      </c>
      <c r="AJ219" s="243" t="s">
        <v>409</v>
      </c>
      <c r="AK219" s="354">
        <f>AK220+AK221</f>
        <v>0</v>
      </c>
      <c r="AL219" s="354">
        <f>AL220+AL221</f>
        <v>0</v>
      </c>
      <c r="AM219" s="96">
        <f t="shared" si="320"/>
        <v>0</v>
      </c>
      <c r="AN219" s="354"/>
      <c r="AO219" s="354">
        <f t="shared" si="291"/>
        <v>0</v>
      </c>
      <c r="AP219" s="354">
        <f>AP220+AP221</f>
        <v>0</v>
      </c>
      <c r="AQ219" s="354">
        <f>AQ220+AQ221</f>
        <v>0</v>
      </c>
      <c r="AR219" s="96">
        <f t="shared" si="311"/>
        <v>0</v>
      </c>
      <c r="AS219" s="96"/>
      <c r="AT219" s="96"/>
      <c r="AU219" s="388"/>
      <c r="AV219" s="261"/>
      <c r="AW219" s="294"/>
    </row>
    <row r="220" spans="1:49" s="83" customFormat="1" ht="84" customHeight="1">
      <c r="A220" s="381" t="s">
        <v>120</v>
      </c>
      <c r="B220" s="71" t="s">
        <v>642</v>
      </c>
      <c r="C220" s="72" t="s">
        <v>56</v>
      </c>
      <c r="D220" s="72" t="s">
        <v>687</v>
      </c>
      <c r="E220" s="109">
        <v>10000000</v>
      </c>
      <c r="F220" s="109">
        <f>E220*$E$6</f>
        <v>7028040</v>
      </c>
      <c r="G220" s="82">
        <v>10000000</v>
      </c>
      <c r="H220" s="82">
        <f>G220*$G$6</f>
        <v>7028040</v>
      </c>
      <c r="I220" s="109">
        <v>10000000</v>
      </c>
      <c r="J220" s="354">
        <f>I220*$I$6</f>
        <v>7028040</v>
      </c>
      <c r="K220" s="354">
        <v>7028040</v>
      </c>
      <c r="L220" s="354">
        <v>4850494.83</v>
      </c>
      <c r="M220" s="130">
        <f t="shared" si="319"/>
        <v>0.69016323612273123</v>
      </c>
      <c r="N220" s="354"/>
      <c r="O220" s="132">
        <f t="shared" si="304"/>
        <v>0</v>
      </c>
      <c r="P220" s="354">
        <v>3042365.54</v>
      </c>
      <c r="Q220" s="76">
        <f t="shared" si="305"/>
        <v>0.43288961645067475</v>
      </c>
      <c r="R220" s="354">
        <v>3042365.54</v>
      </c>
      <c r="S220" s="76">
        <f t="shared" si="306"/>
        <v>0.43288961645067475</v>
      </c>
      <c r="T220" s="79">
        <v>1196798.5</v>
      </c>
      <c r="U220" s="79"/>
      <c r="V220" s="79"/>
      <c r="W220" s="79">
        <v>0</v>
      </c>
      <c r="X220" s="79">
        <v>0</v>
      </c>
      <c r="Y220" s="79">
        <f t="shared" si="282"/>
        <v>1196798.5</v>
      </c>
      <c r="Z220" s="354">
        <f t="shared" si="316"/>
        <v>1196798.5</v>
      </c>
      <c r="AA220" s="354"/>
      <c r="AB220" s="130"/>
      <c r="AC220" s="116">
        <f t="shared" si="317"/>
        <v>1196798.5</v>
      </c>
      <c r="AD220" s="76">
        <f t="shared" si="308"/>
        <v>0.17028908486576627</v>
      </c>
      <c r="AE220" s="130">
        <v>0</v>
      </c>
      <c r="AF220" s="171">
        <f t="shared" si="318"/>
        <v>3985674.46</v>
      </c>
      <c r="AG220" s="172">
        <f t="shared" si="309"/>
        <v>0.5671103835493253</v>
      </c>
      <c r="AH220" s="159" t="s">
        <v>373</v>
      </c>
      <c r="AI220" s="214">
        <v>7606693.6733999997</v>
      </c>
      <c r="AJ220" s="243" t="s">
        <v>409</v>
      </c>
      <c r="AK220" s="354">
        <v>0</v>
      </c>
      <c r="AL220" s="354">
        <v>0</v>
      </c>
      <c r="AM220" s="96">
        <f t="shared" si="320"/>
        <v>0</v>
      </c>
      <c r="AN220" s="354"/>
      <c r="AO220" s="354">
        <f t="shared" si="291"/>
        <v>0</v>
      </c>
      <c r="AP220" s="306"/>
      <c r="AQ220" s="306"/>
      <c r="AR220" s="96">
        <f t="shared" si="311"/>
        <v>0</v>
      </c>
      <c r="AS220" s="306"/>
      <c r="AT220" s="306"/>
      <c r="AU220" s="388"/>
      <c r="AV220" s="261"/>
      <c r="AW220" s="294"/>
    </row>
    <row r="221" spans="1:49" s="98" customFormat="1" ht="32.25" customHeight="1">
      <c r="A221" s="381" t="s">
        <v>121</v>
      </c>
      <c r="B221" s="71" t="s">
        <v>643</v>
      </c>
      <c r="C221" s="72" t="s">
        <v>56</v>
      </c>
      <c r="D221" s="72" t="s">
        <v>687</v>
      </c>
      <c r="E221" s="109">
        <v>5000000</v>
      </c>
      <c r="F221" s="109">
        <f>E221*$E$6</f>
        <v>3514020</v>
      </c>
      <c r="G221" s="82">
        <v>5000000</v>
      </c>
      <c r="H221" s="82">
        <f>G221*$G$6</f>
        <v>3514020</v>
      </c>
      <c r="I221" s="109">
        <v>5000000</v>
      </c>
      <c r="J221" s="354">
        <f>I221*$I$6</f>
        <v>3514020</v>
      </c>
      <c r="K221" s="354">
        <v>3514020</v>
      </c>
      <c r="L221" s="354">
        <v>3786003.82</v>
      </c>
      <c r="M221" s="130">
        <f t="shared" si="319"/>
        <v>1.0773996220852471</v>
      </c>
      <c r="N221" s="354">
        <v>1405608</v>
      </c>
      <c r="O221" s="132">
        <f t="shared" si="304"/>
        <v>0.4</v>
      </c>
      <c r="P221" s="354">
        <v>2380395.8199999998</v>
      </c>
      <c r="Q221" s="76">
        <f t="shared" si="305"/>
        <v>0.67739962208524707</v>
      </c>
      <c r="R221" s="354">
        <v>2380395.8199999998</v>
      </c>
      <c r="S221" s="76">
        <f t="shared" si="306"/>
        <v>0.67739962208524707</v>
      </c>
      <c r="T221" s="79">
        <v>1080704.33</v>
      </c>
      <c r="U221" s="79"/>
      <c r="V221" s="79">
        <v>170770.35</v>
      </c>
      <c r="W221" s="79">
        <v>0</v>
      </c>
      <c r="X221" s="79">
        <v>0</v>
      </c>
      <c r="Y221" s="79">
        <f t="shared" si="282"/>
        <v>1251474.6800000002</v>
      </c>
      <c r="Z221" s="354">
        <f t="shared" si="316"/>
        <v>1080704.33</v>
      </c>
      <c r="AA221" s="354"/>
      <c r="AB221" s="130"/>
      <c r="AC221" s="116">
        <f t="shared" si="317"/>
        <v>1251474.6800000002</v>
      </c>
      <c r="AD221" s="76">
        <f t="shared" si="308"/>
        <v>0.35613760877855</v>
      </c>
      <c r="AE221" s="130">
        <v>3.4251237694514752E-4</v>
      </c>
      <c r="AF221" s="171">
        <f t="shared" si="318"/>
        <v>1133624.1800000002</v>
      </c>
      <c r="AG221" s="172">
        <f t="shared" si="309"/>
        <v>0.32260037791475293</v>
      </c>
      <c r="AH221" s="159" t="s">
        <v>374</v>
      </c>
      <c r="AI221" s="214">
        <v>3514020</v>
      </c>
      <c r="AJ221" s="243" t="s">
        <v>409</v>
      </c>
      <c r="AK221" s="354">
        <v>0</v>
      </c>
      <c r="AL221" s="354">
        <v>0</v>
      </c>
      <c r="AM221" s="96">
        <f t="shared" si="320"/>
        <v>0</v>
      </c>
      <c r="AN221" s="354"/>
      <c r="AO221" s="354">
        <f t="shared" si="291"/>
        <v>0</v>
      </c>
      <c r="AP221" s="306"/>
      <c r="AQ221" s="306"/>
      <c r="AR221" s="96">
        <f t="shared" si="311"/>
        <v>0</v>
      </c>
      <c r="AS221" s="306"/>
      <c r="AT221" s="306"/>
      <c r="AU221" s="388"/>
      <c r="AV221" s="260"/>
      <c r="AW221" s="294"/>
    </row>
    <row r="222" spans="1:49" s="98" customFormat="1" ht="50.45" customHeight="1">
      <c r="A222" s="379" t="s">
        <v>122</v>
      </c>
      <c r="B222" s="66" t="s">
        <v>644</v>
      </c>
      <c r="C222" s="67" t="s">
        <v>56</v>
      </c>
      <c r="D222" s="67" t="s">
        <v>155</v>
      </c>
      <c r="E222" s="68"/>
      <c r="F222" s="353">
        <f>F223+F227</f>
        <v>12109723.357535999</v>
      </c>
      <c r="G222" s="353"/>
      <c r="H222" s="353">
        <f>H223+H227</f>
        <v>12109723.357535999</v>
      </c>
      <c r="I222" s="353"/>
      <c r="J222" s="353">
        <f>J223+J227</f>
        <v>12109723.357535999</v>
      </c>
      <c r="K222" s="353">
        <f t="shared" ref="K222:AI222" si="322">K223+K227</f>
        <v>12109723.357535999</v>
      </c>
      <c r="L222" s="353">
        <f t="shared" si="322"/>
        <v>20446873.420000002</v>
      </c>
      <c r="M222" s="353">
        <f t="shared" si="322"/>
        <v>3.6889891065891662</v>
      </c>
      <c r="N222" s="353">
        <f t="shared" si="322"/>
        <v>7146487.2300000004</v>
      </c>
      <c r="O222" s="353">
        <f t="shared" si="322"/>
        <v>1.4719065920684615</v>
      </c>
      <c r="P222" s="353">
        <f t="shared" si="322"/>
        <v>11917840.26</v>
      </c>
      <c r="Q222" s="353">
        <f t="shared" si="322"/>
        <v>1.9698134368934155</v>
      </c>
      <c r="R222" s="353">
        <f t="shared" si="322"/>
        <v>11917840.26</v>
      </c>
      <c r="S222" s="353">
        <f t="shared" si="322"/>
        <v>1.9698134368934155</v>
      </c>
      <c r="T222" s="353">
        <f t="shared" si="322"/>
        <v>2810850.12</v>
      </c>
      <c r="U222" s="353">
        <f t="shared" si="322"/>
        <v>0</v>
      </c>
      <c r="V222" s="353">
        <f t="shared" si="322"/>
        <v>1912448.65</v>
      </c>
      <c r="W222" s="353">
        <f t="shared" si="322"/>
        <v>1002679.8500000001</v>
      </c>
      <c r="X222" s="353">
        <f t="shared" si="322"/>
        <v>46545.009999999995</v>
      </c>
      <c r="Y222" s="353">
        <f t="shared" si="322"/>
        <v>4676753.76</v>
      </c>
      <c r="Z222" s="353">
        <f t="shared" si="322"/>
        <v>3813529.97</v>
      </c>
      <c r="AA222" s="353">
        <f t="shared" si="322"/>
        <v>1382545.9300000002</v>
      </c>
      <c r="AB222" s="353">
        <f t="shared" si="322"/>
        <v>0.24726907762728928</v>
      </c>
      <c r="AC222" s="353">
        <f t="shared" si="322"/>
        <v>4723298.7699999996</v>
      </c>
      <c r="AD222" s="353">
        <f t="shared" si="322"/>
        <v>0.74107396565773453</v>
      </c>
      <c r="AE222" s="353">
        <f t="shared" si="322"/>
        <v>7.7565347973294646E-2</v>
      </c>
      <c r="AF222" s="353">
        <f t="shared" si="322"/>
        <v>191883.09753599949</v>
      </c>
      <c r="AG222" s="353" t="e">
        <f t="shared" si="322"/>
        <v>#DIV/0!</v>
      </c>
      <c r="AH222" s="353" t="e">
        <f t="shared" si="322"/>
        <v>#VALUE!</v>
      </c>
      <c r="AI222" s="353">
        <f t="shared" si="322"/>
        <v>14246733.155099999</v>
      </c>
      <c r="AJ222" s="239" t="s">
        <v>409</v>
      </c>
      <c r="AK222" s="353">
        <f>AK223+AK227</f>
        <v>0</v>
      </c>
      <c r="AL222" s="353">
        <f t="shared" ref="AL222" si="323">AL223+AL227</f>
        <v>0</v>
      </c>
      <c r="AM222" s="311">
        <f t="shared" si="320"/>
        <v>0</v>
      </c>
      <c r="AN222" s="354"/>
      <c r="AO222" s="353">
        <f t="shared" si="291"/>
        <v>0</v>
      </c>
      <c r="AP222" s="353">
        <f t="shared" ref="AP222:AQ222" si="324">AP223+AP227</f>
        <v>0</v>
      </c>
      <c r="AQ222" s="353">
        <f t="shared" si="324"/>
        <v>0</v>
      </c>
      <c r="AR222" s="311">
        <f t="shared" si="311"/>
        <v>0</v>
      </c>
      <c r="AS222" s="96"/>
      <c r="AT222" s="96"/>
      <c r="AU222" s="386"/>
      <c r="AV222" s="261"/>
      <c r="AW222" s="294"/>
    </row>
    <row r="223" spans="1:49" s="83" customFormat="1" ht="64.5" customHeight="1">
      <c r="A223" s="387" t="s">
        <v>123</v>
      </c>
      <c r="B223" s="77" t="s">
        <v>645</v>
      </c>
      <c r="C223" s="78" t="s">
        <v>56</v>
      </c>
      <c r="D223" s="78" t="s">
        <v>155</v>
      </c>
      <c r="E223" s="81"/>
      <c r="F223" s="354">
        <f>F224+F225+F226</f>
        <v>12109723.357535999</v>
      </c>
      <c r="G223" s="354"/>
      <c r="H223" s="354">
        <f>H224+H225+H226</f>
        <v>12109723.357535999</v>
      </c>
      <c r="I223" s="354"/>
      <c r="J223" s="354">
        <f>J224+J225+J226</f>
        <v>12109723.357535999</v>
      </c>
      <c r="K223" s="354">
        <f t="shared" ref="K223:AI223" si="325">K224+K225+K226</f>
        <v>12109723.357535999</v>
      </c>
      <c r="L223" s="354">
        <f t="shared" si="325"/>
        <v>20446873.420000002</v>
      </c>
      <c r="M223" s="354">
        <f t="shared" si="325"/>
        <v>3.6889891065891662</v>
      </c>
      <c r="N223" s="354">
        <f t="shared" si="325"/>
        <v>7146487.2300000004</v>
      </c>
      <c r="O223" s="354">
        <f t="shared" si="325"/>
        <v>1.4719065920684615</v>
      </c>
      <c r="P223" s="354">
        <f t="shared" si="325"/>
        <v>11917840.26</v>
      </c>
      <c r="Q223" s="354">
        <f t="shared" si="325"/>
        <v>1.9698134368934155</v>
      </c>
      <c r="R223" s="354">
        <f t="shared" si="325"/>
        <v>11917840.26</v>
      </c>
      <c r="S223" s="354">
        <f t="shared" si="325"/>
        <v>1.9698134368934155</v>
      </c>
      <c r="T223" s="354">
        <f t="shared" si="325"/>
        <v>2810850.12</v>
      </c>
      <c r="U223" s="354">
        <f t="shared" si="325"/>
        <v>0</v>
      </c>
      <c r="V223" s="354">
        <f t="shared" si="325"/>
        <v>1912448.65</v>
      </c>
      <c r="W223" s="354">
        <f t="shared" si="325"/>
        <v>1002679.8500000001</v>
      </c>
      <c r="X223" s="354">
        <f t="shared" si="325"/>
        <v>46545.009999999995</v>
      </c>
      <c r="Y223" s="354">
        <f t="shared" si="325"/>
        <v>4676753.76</v>
      </c>
      <c r="Z223" s="354">
        <f t="shared" si="325"/>
        <v>3813529.97</v>
      </c>
      <c r="AA223" s="354">
        <f t="shared" si="325"/>
        <v>1382545.9300000002</v>
      </c>
      <c r="AB223" s="354">
        <f t="shared" si="325"/>
        <v>0.24726907762728928</v>
      </c>
      <c r="AC223" s="354">
        <f t="shared" si="325"/>
        <v>4723298.7699999996</v>
      </c>
      <c r="AD223" s="354">
        <f t="shared" si="325"/>
        <v>0.74107396565773453</v>
      </c>
      <c r="AE223" s="354">
        <f t="shared" si="325"/>
        <v>7.7565347973294646E-2</v>
      </c>
      <c r="AF223" s="354">
        <f t="shared" si="325"/>
        <v>191883.09753599949</v>
      </c>
      <c r="AG223" s="354" t="e">
        <f t="shared" si="325"/>
        <v>#DIV/0!</v>
      </c>
      <c r="AH223" s="354" t="e">
        <f t="shared" si="325"/>
        <v>#VALUE!</v>
      </c>
      <c r="AI223" s="354">
        <f t="shared" si="325"/>
        <v>14246733.155099999</v>
      </c>
      <c r="AJ223" s="243" t="s">
        <v>409</v>
      </c>
      <c r="AK223" s="354">
        <f>AK224+AK225+AK226</f>
        <v>0</v>
      </c>
      <c r="AL223" s="354">
        <f>AL224+AL225+AL226</f>
        <v>0</v>
      </c>
      <c r="AM223" s="96">
        <v>0</v>
      </c>
      <c r="AN223" s="354"/>
      <c r="AO223" s="354">
        <f t="shared" si="291"/>
        <v>0</v>
      </c>
      <c r="AP223" s="354">
        <f>AP224+AP225+AP226</f>
        <v>0</v>
      </c>
      <c r="AQ223" s="354">
        <f>AQ224+AQ225+AQ226</f>
        <v>0</v>
      </c>
      <c r="AR223" s="96">
        <f t="shared" si="311"/>
        <v>0</v>
      </c>
      <c r="AS223" s="96"/>
      <c r="AT223" s="96"/>
      <c r="AU223" s="388"/>
      <c r="AV223" s="261"/>
      <c r="AW223" s="294"/>
    </row>
    <row r="224" spans="1:49" s="83" customFormat="1" ht="124.9" customHeight="1">
      <c r="A224" s="381" t="s">
        <v>267</v>
      </c>
      <c r="B224" s="71" t="s">
        <v>646</v>
      </c>
      <c r="C224" s="72" t="s">
        <v>56</v>
      </c>
      <c r="D224" s="72" t="s">
        <v>155</v>
      </c>
      <c r="E224" s="112">
        <v>11049900</v>
      </c>
      <c r="F224" s="79">
        <f>E224*$E$6</f>
        <v>7765913.9195999997</v>
      </c>
      <c r="G224" s="79">
        <v>11049900</v>
      </c>
      <c r="H224" s="79">
        <f>G224*$G$6</f>
        <v>7765913.9195999997</v>
      </c>
      <c r="I224" s="112">
        <v>11049900</v>
      </c>
      <c r="J224" s="354">
        <f>I224*$I$6</f>
        <v>7765913.9195999997</v>
      </c>
      <c r="K224" s="354">
        <v>7765913.9195999997</v>
      </c>
      <c r="L224" s="354">
        <v>10036394.58</v>
      </c>
      <c r="M224" s="130">
        <f t="shared" si="319"/>
        <v>1.2923649017882683</v>
      </c>
      <c r="N224" s="354">
        <v>1708370.57</v>
      </c>
      <c r="O224" s="132">
        <f t="shared" si="304"/>
        <v>0.21998319678619274</v>
      </c>
      <c r="P224" s="354">
        <v>7628032.4900000002</v>
      </c>
      <c r="Q224" s="76">
        <f t="shared" si="305"/>
        <v>0.98224530544280086</v>
      </c>
      <c r="R224" s="354">
        <v>7628032.4900000002</v>
      </c>
      <c r="S224" s="76">
        <f t="shared" si="306"/>
        <v>0.98224530544280086</v>
      </c>
      <c r="T224" s="79">
        <v>2418727.6</v>
      </c>
      <c r="U224" s="79"/>
      <c r="V224" s="79">
        <v>994844.9</v>
      </c>
      <c r="W224" s="79">
        <v>738412.68</v>
      </c>
      <c r="X224" s="79">
        <v>29343.64</v>
      </c>
      <c r="Y224" s="79">
        <f t="shared" si="282"/>
        <v>3384228.86</v>
      </c>
      <c r="Z224" s="354">
        <f t="shared" si="316"/>
        <v>3157140.2800000003</v>
      </c>
      <c r="AA224" s="354">
        <v>699991.52</v>
      </c>
      <c r="AB224" s="136">
        <f>AA224/J224</f>
        <v>9.0136399559274868E-2</v>
      </c>
      <c r="AC224" s="118">
        <f t="shared" ref="AC224:AC226" si="326">SUM(T224:V224)</f>
        <v>3413572.5</v>
      </c>
      <c r="AD224" s="76">
        <f t="shared" si="308"/>
        <v>0.43955837462795666</v>
      </c>
      <c r="AE224" s="130">
        <v>5.6990339527638073E-2</v>
      </c>
      <c r="AF224" s="171">
        <f t="shared" si="318"/>
        <v>137881.42959999945</v>
      </c>
      <c r="AG224" s="172">
        <f t="shared" si="309"/>
        <v>1.7754694557199177E-2</v>
      </c>
      <c r="AH224" s="146" t="s">
        <v>427</v>
      </c>
      <c r="AI224" s="215">
        <v>9136369.0691279992</v>
      </c>
      <c r="AJ224" s="243" t="s">
        <v>409</v>
      </c>
      <c r="AK224" s="354">
        <v>0</v>
      </c>
      <c r="AL224" s="354">
        <v>0</v>
      </c>
      <c r="AM224" s="96">
        <v>0</v>
      </c>
      <c r="AN224" s="130"/>
      <c r="AO224" s="354">
        <f t="shared" ref="AO224:AO255" si="327">AL224</f>
        <v>0</v>
      </c>
      <c r="AP224" s="170"/>
      <c r="AQ224" s="170"/>
      <c r="AR224" s="96">
        <f t="shared" si="311"/>
        <v>0</v>
      </c>
      <c r="AS224" s="170"/>
      <c r="AT224" s="170"/>
      <c r="AU224" s="388"/>
      <c r="AV224" s="261"/>
      <c r="AW224" s="294"/>
    </row>
    <row r="225" spans="1:51" s="83" customFormat="1" ht="67.150000000000006" customHeight="1">
      <c r="A225" s="381" t="s">
        <v>225</v>
      </c>
      <c r="B225" s="71" t="s">
        <v>647</v>
      </c>
      <c r="C225" s="72" t="s">
        <v>56</v>
      </c>
      <c r="D225" s="72" t="s">
        <v>155</v>
      </c>
      <c r="E225" s="112">
        <v>6180684</v>
      </c>
      <c r="F225" s="79">
        <f>E225*$E$6</f>
        <v>4343809.4379359996</v>
      </c>
      <c r="G225" s="79">
        <v>6180684</v>
      </c>
      <c r="H225" s="79">
        <f>G225*$G$6</f>
        <v>4343809.4379359996</v>
      </c>
      <c r="I225" s="112">
        <v>6180684</v>
      </c>
      <c r="J225" s="354">
        <f>I225*$I$6</f>
        <v>4343809.4379359996</v>
      </c>
      <c r="K225" s="354">
        <v>4343809.4379359996</v>
      </c>
      <c r="L225" s="354">
        <v>10410478.84</v>
      </c>
      <c r="M225" s="130">
        <f t="shared" si="319"/>
        <v>2.3966242048008977</v>
      </c>
      <c r="N225" s="354">
        <v>5438116.6600000001</v>
      </c>
      <c r="O225" s="132">
        <f t="shared" si="304"/>
        <v>1.2519233952822688</v>
      </c>
      <c r="P225" s="354">
        <v>4289807.7699999996</v>
      </c>
      <c r="Q225" s="76">
        <f t="shared" si="305"/>
        <v>0.98756813145061462</v>
      </c>
      <c r="R225" s="354">
        <v>4289807.7699999996</v>
      </c>
      <c r="S225" s="76">
        <f t="shared" si="306"/>
        <v>0.98756813145061462</v>
      </c>
      <c r="T225" s="79">
        <v>392122.52</v>
      </c>
      <c r="U225" s="79"/>
      <c r="V225" s="79">
        <v>917603.75</v>
      </c>
      <c r="W225" s="79">
        <v>264267.17</v>
      </c>
      <c r="X225" s="79">
        <v>17201.37</v>
      </c>
      <c r="Y225" s="79">
        <f t="shared" si="282"/>
        <v>1292524.8999999999</v>
      </c>
      <c r="Z225" s="354">
        <f t="shared" si="316"/>
        <v>656389.68999999994</v>
      </c>
      <c r="AA225" s="354">
        <v>682554.41</v>
      </c>
      <c r="AB225" s="136">
        <f>AA225/J225</f>
        <v>0.1571326780680144</v>
      </c>
      <c r="AC225" s="118">
        <f t="shared" si="326"/>
        <v>1309726.27</v>
      </c>
      <c r="AD225" s="76">
        <f t="shared" si="308"/>
        <v>0.30151559102977782</v>
      </c>
      <c r="AE225" s="130">
        <v>2.057500844565658E-2</v>
      </c>
      <c r="AF225" s="171">
        <f t="shared" si="318"/>
        <v>54001.667936000042</v>
      </c>
      <c r="AG225" s="172">
        <f t="shared" si="309"/>
        <v>1.2431868549385404E-2</v>
      </c>
      <c r="AH225" s="147" t="s">
        <v>331</v>
      </c>
      <c r="AI225" s="216">
        <v>5110364.0859719999</v>
      </c>
      <c r="AJ225" s="243" t="s">
        <v>409</v>
      </c>
      <c r="AK225" s="354">
        <v>0</v>
      </c>
      <c r="AL225" s="354">
        <v>0</v>
      </c>
      <c r="AM225" s="96">
        <v>0</v>
      </c>
      <c r="AN225" s="130"/>
      <c r="AO225" s="354">
        <f t="shared" si="327"/>
        <v>0</v>
      </c>
      <c r="AP225" s="170"/>
      <c r="AQ225" s="170"/>
      <c r="AR225" s="96">
        <f t="shared" si="311"/>
        <v>0</v>
      </c>
      <c r="AS225" s="170"/>
      <c r="AT225" s="170"/>
      <c r="AU225" s="388"/>
      <c r="AV225" s="261"/>
      <c r="AW225" s="294"/>
    </row>
    <row r="226" spans="1:51" s="83" customFormat="1" ht="69" customHeight="1">
      <c r="A226" s="381" t="s">
        <v>124</v>
      </c>
      <c r="B226" s="71" t="s">
        <v>648</v>
      </c>
      <c r="C226" s="72" t="s">
        <v>56</v>
      </c>
      <c r="D226" s="72" t="s">
        <v>155</v>
      </c>
      <c r="E226" s="109">
        <v>0</v>
      </c>
      <c r="F226" s="82">
        <f>E226*$E$6</f>
        <v>0</v>
      </c>
      <c r="G226" s="82">
        <v>0</v>
      </c>
      <c r="H226" s="82">
        <f>G226*$G$6</f>
        <v>0</v>
      </c>
      <c r="I226" s="109">
        <v>0</v>
      </c>
      <c r="J226" s="354">
        <f>I226*$I$6</f>
        <v>0</v>
      </c>
      <c r="K226" s="354">
        <v>0</v>
      </c>
      <c r="L226" s="354"/>
      <c r="M226" s="130"/>
      <c r="N226" s="354"/>
      <c r="O226" s="132"/>
      <c r="P226" s="354">
        <v>0</v>
      </c>
      <c r="Q226" s="76"/>
      <c r="R226" s="354">
        <v>0</v>
      </c>
      <c r="S226" s="76"/>
      <c r="T226" s="79">
        <v>0</v>
      </c>
      <c r="U226" s="79">
        <v>0</v>
      </c>
      <c r="V226" s="79">
        <v>0</v>
      </c>
      <c r="W226" s="79">
        <v>0</v>
      </c>
      <c r="X226" s="79">
        <v>0</v>
      </c>
      <c r="Y226" s="79">
        <f t="shared" si="282"/>
        <v>0</v>
      </c>
      <c r="Z226" s="354">
        <f t="shared" si="316"/>
        <v>0</v>
      </c>
      <c r="AA226" s="354"/>
      <c r="AB226" s="130"/>
      <c r="AC226" s="116">
        <f t="shared" si="326"/>
        <v>0</v>
      </c>
      <c r="AD226" s="76"/>
      <c r="AE226" s="130"/>
      <c r="AF226" s="171">
        <f t="shared" si="318"/>
        <v>0</v>
      </c>
      <c r="AG226" s="172" t="e">
        <f t="shared" si="309"/>
        <v>#DIV/0!</v>
      </c>
      <c r="AH226" s="96"/>
      <c r="AI226" s="354">
        <v>0</v>
      </c>
      <c r="AJ226" s="243" t="s">
        <v>409</v>
      </c>
      <c r="AK226" s="354">
        <v>0</v>
      </c>
      <c r="AL226" s="354">
        <v>0</v>
      </c>
      <c r="AM226" s="96">
        <v>0</v>
      </c>
      <c r="AN226" s="354"/>
      <c r="AO226" s="354">
        <f t="shared" si="327"/>
        <v>0</v>
      </c>
      <c r="AP226" s="96"/>
      <c r="AQ226" s="96"/>
      <c r="AR226" s="96" t="e">
        <f t="shared" si="311"/>
        <v>#DIV/0!</v>
      </c>
      <c r="AS226" s="96"/>
      <c r="AT226" s="96"/>
      <c r="AU226" s="388"/>
      <c r="AV226" s="261"/>
      <c r="AW226" s="294"/>
    </row>
    <row r="227" spans="1:51" s="98" customFormat="1" ht="60" customHeight="1">
      <c r="A227" s="381" t="s">
        <v>125</v>
      </c>
      <c r="B227" s="71" t="s">
        <v>649</v>
      </c>
      <c r="C227" s="72" t="s">
        <v>56</v>
      </c>
      <c r="D227" s="72" t="s">
        <v>155</v>
      </c>
      <c r="E227" s="109">
        <v>0</v>
      </c>
      <c r="F227" s="82">
        <f>E227*$E$6</f>
        <v>0</v>
      </c>
      <c r="G227" s="82">
        <v>0</v>
      </c>
      <c r="H227" s="82">
        <f>G227*$G$6</f>
        <v>0</v>
      </c>
      <c r="I227" s="109">
        <v>0</v>
      </c>
      <c r="J227" s="354">
        <f>I227*$I$6</f>
        <v>0</v>
      </c>
      <c r="K227" s="354">
        <v>0</v>
      </c>
      <c r="L227" s="354"/>
      <c r="M227" s="130"/>
      <c r="N227" s="354"/>
      <c r="O227" s="132"/>
      <c r="P227" s="354">
        <v>0</v>
      </c>
      <c r="Q227" s="76"/>
      <c r="R227" s="354">
        <v>0</v>
      </c>
      <c r="S227" s="76"/>
      <c r="T227" s="79">
        <v>0</v>
      </c>
      <c r="U227" s="79">
        <v>0</v>
      </c>
      <c r="V227" s="79">
        <v>0</v>
      </c>
      <c r="W227" s="79">
        <v>0</v>
      </c>
      <c r="X227" s="79">
        <v>0</v>
      </c>
      <c r="Y227" s="79">
        <f t="shared" si="282"/>
        <v>0</v>
      </c>
      <c r="Z227" s="354">
        <f t="shared" si="316"/>
        <v>0</v>
      </c>
      <c r="AA227" s="354"/>
      <c r="AB227" s="130"/>
      <c r="AC227" s="118">
        <f t="shared" ref="AC227" si="328">SUM(T227:V227)</f>
        <v>0</v>
      </c>
      <c r="AD227" s="76"/>
      <c r="AE227" s="130"/>
      <c r="AF227" s="171">
        <f t="shared" si="318"/>
        <v>0</v>
      </c>
      <c r="AG227" s="172" t="e">
        <f t="shared" si="309"/>
        <v>#DIV/0!</v>
      </c>
      <c r="AH227" s="96"/>
      <c r="AI227" s="354">
        <v>0</v>
      </c>
      <c r="AJ227" s="243" t="s">
        <v>409</v>
      </c>
      <c r="AK227" s="354">
        <v>0</v>
      </c>
      <c r="AL227" s="354">
        <v>0</v>
      </c>
      <c r="AM227" s="96">
        <v>0</v>
      </c>
      <c r="AN227" s="354"/>
      <c r="AO227" s="354">
        <f t="shared" si="327"/>
        <v>0</v>
      </c>
      <c r="AP227" s="96"/>
      <c r="AQ227" s="96"/>
      <c r="AR227" s="96" t="e">
        <f t="shared" si="311"/>
        <v>#DIV/0!</v>
      </c>
      <c r="AS227" s="96"/>
      <c r="AT227" s="96"/>
      <c r="AU227" s="388"/>
      <c r="AV227" s="260"/>
      <c r="AW227" s="294"/>
    </row>
    <row r="228" spans="1:51" s="83" customFormat="1" ht="57.75" customHeight="1">
      <c r="A228" s="379" t="s">
        <v>126</v>
      </c>
      <c r="B228" s="66" t="s">
        <v>650</v>
      </c>
      <c r="C228" s="67" t="s">
        <v>56</v>
      </c>
      <c r="D228" s="67" t="s">
        <v>170</v>
      </c>
      <c r="E228" s="110"/>
      <c r="F228" s="94">
        <f>F229+F230+F231</f>
        <v>25335213.425843999</v>
      </c>
      <c r="G228" s="94"/>
      <c r="H228" s="94">
        <f>H229+H230+H231</f>
        <v>25335213.425843999</v>
      </c>
      <c r="I228" s="94"/>
      <c r="J228" s="353">
        <f>J229+J230+J231</f>
        <v>25335213.425843999</v>
      </c>
      <c r="K228" s="353">
        <f t="shared" ref="K228:AI228" si="329">K229+K230+K231</f>
        <v>25335213.425843999</v>
      </c>
      <c r="L228" s="353">
        <f t="shared" si="329"/>
        <v>44155939.969999999</v>
      </c>
      <c r="M228" s="353">
        <f t="shared" si="329"/>
        <v>6.5300700502234275</v>
      </c>
      <c r="N228" s="353">
        <f t="shared" si="329"/>
        <v>19893438.100000001</v>
      </c>
      <c r="O228" s="353">
        <f t="shared" si="329"/>
        <v>3.7980899998116637</v>
      </c>
      <c r="P228" s="353">
        <f t="shared" si="329"/>
        <v>24012558.949999996</v>
      </c>
      <c r="Q228" s="353">
        <f t="shared" si="329"/>
        <v>2.6694943067702508</v>
      </c>
      <c r="R228" s="353">
        <f t="shared" si="329"/>
        <v>24012558.949999996</v>
      </c>
      <c r="S228" s="353">
        <f t="shared" si="329"/>
        <v>2.6694943067702508</v>
      </c>
      <c r="T228" s="353">
        <f t="shared" si="329"/>
        <v>3628929.7199999997</v>
      </c>
      <c r="U228" s="353">
        <f t="shared" si="329"/>
        <v>0</v>
      </c>
      <c r="V228" s="353">
        <f t="shared" si="329"/>
        <v>2777828.55</v>
      </c>
      <c r="W228" s="353">
        <f t="shared" si="329"/>
        <v>0</v>
      </c>
      <c r="X228" s="353">
        <f t="shared" si="329"/>
        <v>0</v>
      </c>
      <c r="Y228" s="353">
        <f t="shared" si="329"/>
        <v>6406758.2699999996</v>
      </c>
      <c r="Z228" s="353">
        <f t="shared" si="329"/>
        <v>3628929.7199999997</v>
      </c>
      <c r="AA228" s="353">
        <f t="shared" si="329"/>
        <v>0</v>
      </c>
      <c r="AB228" s="353">
        <f t="shared" si="329"/>
        <v>0</v>
      </c>
      <c r="AC228" s="353">
        <f t="shared" si="329"/>
        <v>6406758.2699999996</v>
      </c>
      <c r="AD228" s="353">
        <f t="shared" si="329"/>
        <v>0.74007251798222617</v>
      </c>
      <c r="AE228" s="353">
        <f t="shared" si="329"/>
        <v>5.9997585834845382E-4</v>
      </c>
      <c r="AF228" s="353">
        <f t="shared" si="329"/>
        <v>1322654.475844</v>
      </c>
      <c r="AG228" s="353">
        <f t="shared" si="329"/>
        <v>0.33050569322974899</v>
      </c>
      <c r="AH228" s="353" t="e">
        <f t="shared" si="329"/>
        <v>#VALUE!</v>
      </c>
      <c r="AI228" s="353">
        <f t="shared" si="329"/>
        <v>31100252.088287998</v>
      </c>
      <c r="AJ228" s="242" t="s">
        <v>409</v>
      </c>
      <c r="AK228" s="353">
        <f>AK229+AK230+AK231</f>
        <v>0</v>
      </c>
      <c r="AL228" s="353">
        <f t="shared" ref="AL228" si="330">AL229+AL230+AL231</f>
        <v>0</v>
      </c>
      <c r="AM228" s="311">
        <f t="shared" si="320"/>
        <v>0</v>
      </c>
      <c r="AN228" s="354"/>
      <c r="AO228" s="353">
        <f t="shared" si="327"/>
        <v>0</v>
      </c>
      <c r="AP228" s="353">
        <f>AP229+AP230+AP231</f>
        <v>0</v>
      </c>
      <c r="AQ228" s="353">
        <f>AQ229+AQ230+AQ231</f>
        <v>0</v>
      </c>
      <c r="AR228" s="311">
        <f t="shared" si="311"/>
        <v>0</v>
      </c>
      <c r="AS228" s="96"/>
      <c r="AT228" s="96"/>
      <c r="AU228" s="386"/>
      <c r="AV228" s="261"/>
      <c r="AW228" s="294"/>
    </row>
    <row r="229" spans="1:51" s="83" customFormat="1" ht="69.75" customHeight="1">
      <c r="A229" s="381" t="s">
        <v>127</v>
      </c>
      <c r="B229" s="71" t="s">
        <v>651</v>
      </c>
      <c r="C229" s="72" t="s">
        <v>56</v>
      </c>
      <c r="D229" s="72" t="s">
        <v>170</v>
      </c>
      <c r="E229" s="109">
        <v>21186764</v>
      </c>
      <c r="F229" s="82">
        <f>E229*$E$6</f>
        <v>14890142.486256</v>
      </c>
      <c r="G229" s="82">
        <v>21186764</v>
      </c>
      <c r="H229" s="82">
        <f>G229*$G$6</f>
        <v>14890142.486256</v>
      </c>
      <c r="I229" s="109">
        <v>21186764</v>
      </c>
      <c r="J229" s="354">
        <f>I229*$I$6</f>
        <v>14890142.486256</v>
      </c>
      <c r="K229" s="354">
        <v>14890142.486256</v>
      </c>
      <c r="L229" s="354">
        <v>14889924.199999999</v>
      </c>
      <c r="M229" s="130">
        <f t="shared" si="319"/>
        <v>0.99998534021711327</v>
      </c>
      <c r="N229" s="354"/>
      <c r="O229" s="132">
        <f t="shared" si="304"/>
        <v>0</v>
      </c>
      <c r="P229" s="354">
        <v>14889924.199999999</v>
      </c>
      <c r="Q229" s="76">
        <f t="shared" ref="Q229:Q248" si="331">P229/J229</f>
        <v>0.99998534021711327</v>
      </c>
      <c r="R229" s="354">
        <v>14889924.199999999</v>
      </c>
      <c r="S229" s="76">
        <f t="shared" ref="S229:S246" si="332">R229/J229</f>
        <v>0.99998534021711327</v>
      </c>
      <c r="T229" s="79">
        <v>1756855.45</v>
      </c>
      <c r="U229" s="79"/>
      <c r="V229" s="79">
        <v>1728628.7</v>
      </c>
      <c r="W229" s="79">
        <v>0</v>
      </c>
      <c r="X229" s="79">
        <v>0</v>
      </c>
      <c r="Y229" s="79">
        <f t="shared" si="282"/>
        <v>3485484.15</v>
      </c>
      <c r="Z229" s="354">
        <f t="shared" si="316"/>
        <v>1756855.45</v>
      </c>
      <c r="AA229" s="354"/>
      <c r="AB229" s="130"/>
      <c r="AC229" s="116">
        <f t="shared" ref="AC229:AC231" si="333">SUM(T229:V229)</f>
        <v>3485484.15</v>
      </c>
      <c r="AD229" s="76">
        <f t="shared" ref="AD229:AD246" si="334">AC229/J229</f>
        <v>0.23407997292283772</v>
      </c>
      <c r="AE229" s="130">
        <v>0</v>
      </c>
      <c r="AF229" s="171">
        <f t="shared" si="318"/>
        <v>218.28625600039959</v>
      </c>
      <c r="AG229" s="172">
        <f t="shared" si="309"/>
        <v>1.4659782886690551E-5</v>
      </c>
      <c r="AH229" s="168" t="s">
        <v>405</v>
      </c>
      <c r="AI229" s="217">
        <v>17517814.896419998</v>
      </c>
      <c r="AJ229" s="243" t="s">
        <v>409</v>
      </c>
      <c r="AK229" s="354">
        <v>0</v>
      </c>
      <c r="AL229" s="354">
        <v>0</v>
      </c>
      <c r="AM229" s="96">
        <f t="shared" si="320"/>
        <v>0</v>
      </c>
      <c r="AN229" s="354"/>
      <c r="AO229" s="354">
        <f t="shared" si="327"/>
        <v>0</v>
      </c>
      <c r="AP229" s="96"/>
      <c r="AQ229" s="96"/>
      <c r="AR229" s="96">
        <f t="shared" si="311"/>
        <v>0</v>
      </c>
      <c r="AS229" s="96"/>
      <c r="AT229" s="96"/>
      <c r="AU229" s="388"/>
      <c r="AV229" s="261"/>
      <c r="AW229" s="294"/>
    </row>
    <row r="230" spans="1:51" s="83" customFormat="1" ht="81" customHeight="1">
      <c r="A230" s="381" t="s">
        <v>240</v>
      </c>
      <c r="B230" s="71" t="s">
        <v>652</v>
      </c>
      <c r="C230" s="72" t="s">
        <v>56</v>
      </c>
      <c r="D230" s="72" t="s">
        <v>170</v>
      </c>
      <c r="E230" s="109">
        <v>9170511</v>
      </c>
      <c r="F230" s="82">
        <f>E230*$E$6</f>
        <v>6445071.8128439998</v>
      </c>
      <c r="G230" s="82">
        <v>9170511</v>
      </c>
      <c r="H230" s="82">
        <f>G230*$G$6</f>
        <v>6445071.8128439998</v>
      </c>
      <c r="I230" s="109">
        <v>9170511</v>
      </c>
      <c r="J230" s="354">
        <f>I230*$I$6</f>
        <v>6445071.8128439998</v>
      </c>
      <c r="K230" s="354">
        <v>6445071.8128439998</v>
      </c>
      <c r="L230" s="354">
        <v>18835608.59</v>
      </c>
      <c r="M230" s="130">
        <f t="shared" si="319"/>
        <v>2.9224823457302116</v>
      </c>
      <c r="N230" s="354">
        <v>12391781.85</v>
      </c>
      <c r="O230" s="132">
        <f t="shared" si="304"/>
        <v>1.9226755278824288</v>
      </c>
      <c r="P230" s="354">
        <v>6443826.7400000002</v>
      </c>
      <c r="Q230" s="76">
        <f t="shared" si="331"/>
        <v>0.9998068178477828</v>
      </c>
      <c r="R230" s="354">
        <v>6443826.7400000002</v>
      </c>
      <c r="S230" s="76">
        <f t="shared" si="332"/>
        <v>0.9998068178477828</v>
      </c>
      <c r="T230" s="79">
        <v>1316043.2</v>
      </c>
      <c r="U230" s="79"/>
      <c r="V230" s="79">
        <v>1049199.8500000001</v>
      </c>
      <c r="W230" s="79">
        <v>0</v>
      </c>
      <c r="X230" s="79">
        <v>0</v>
      </c>
      <c r="Y230" s="79">
        <f t="shared" si="282"/>
        <v>2365243.0499999998</v>
      </c>
      <c r="Z230" s="354">
        <f t="shared" si="316"/>
        <v>1316043.2</v>
      </c>
      <c r="AA230" s="354"/>
      <c r="AB230" s="130"/>
      <c r="AC230" s="116">
        <f t="shared" si="333"/>
        <v>2365243.0499999998</v>
      </c>
      <c r="AD230" s="76">
        <f t="shared" si="334"/>
        <v>0.36698474721204005</v>
      </c>
      <c r="AE230" s="130">
        <v>5.9997585834845382E-4</v>
      </c>
      <c r="AF230" s="171">
        <f t="shared" si="318"/>
        <v>1245.0728439996019</v>
      </c>
      <c r="AG230" s="172">
        <f t="shared" si="309"/>
        <v>1.9318215221719801E-4</v>
      </c>
      <c r="AH230" s="169" t="s">
        <v>406</v>
      </c>
      <c r="AI230" s="216">
        <v>7582438.5017520003</v>
      </c>
      <c r="AJ230" s="243" t="s">
        <v>409</v>
      </c>
      <c r="AK230" s="354">
        <v>0</v>
      </c>
      <c r="AL230" s="354">
        <v>0</v>
      </c>
      <c r="AM230" s="96">
        <f t="shared" si="320"/>
        <v>0</v>
      </c>
      <c r="AN230" s="354"/>
      <c r="AO230" s="354">
        <f t="shared" si="327"/>
        <v>0</v>
      </c>
      <c r="AP230" s="96"/>
      <c r="AQ230" s="96"/>
      <c r="AR230" s="96">
        <f t="shared" si="311"/>
        <v>0</v>
      </c>
      <c r="AS230" s="96"/>
      <c r="AT230" s="96"/>
      <c r="AU230" s="388"/>
      <c r="AV230" s="261"/>
      <c r="AW230" s="294"/>
    </row>
    <row r="231" spans="1:51" s="98" customFormat="1" ht="98.25" customHeight="1">
      <c r="A231" s="381" t="s">
        <v>213</v>
      </c>
      <c r="B231" s="71" t="s">
        <v>653</v>
      </c>
      <c r="C231" s="72" t="s">
        <v>56</v>
      </c>
      <c r="D231" s="72" t="s">
        <v>170</v>
      </c>
      <c r="E231" s="109">
        <v>5691486</v>
      </c>
      <c r="F231" s="82">
        <f>E231*$E$6</f>
        <v>3999999.1267439998</v>
      </c>
      <c r="G231" s="82">
        <v>5691486</v>
      </c>
      <c r="H231" s="82">
        <f>G231*$G$6</f>
        <v>3999999.1267439998</v>
      </c>
      <c r="I231" s="109">
        <v>5691486</v>
      </c>
      <c r="J231" s="354">
        <f>I231*$I$6</f>
        <v>3999999.1267439998</v>
      </c>
      <c r="K231" s="354">
        <v>3999999.1267439998</v>
      </c>
      <c r="L231" s="354">
        <v>10430407.18</v>
      </c>
      <c r="M231" s="130">
        <f t="shared" si="319"/>
        <v>2.6076023642761026</v>
      </c>
      <c r="N231" s="354">
        <v>7501656.25</v>
      </c>
      <c r="O231" s="132">
        <f t="shared" si="304"/>
        <v>1.8754144719292352</v>
      </c>
      <c r="P231" s="354">
        <v>2678808.0099999998</v>
      </c>
      <c r="Q231" s="76">
        <f t="shared" si="331"/>
        <v>0.66970214870535483</v>
      </c>
      <c r="R231" s="354">
        <v>2678808.0099999998</v>
      </c>
      <c r="S231" s="76">
        <f t="shared" si="332"/>
        <v>0.66970214870535483</v>
      </c>
      <c r="T231" s="79">
        <v>556031.06999999995</v>
      </c>
      <c r="U231" s="79"/>
      <c r="V231" s="79"/>
      <c r="W231" s="79">
        <v>0</v>
      </c>
      <c r="X231" s="79">
        <v>0</v>
      </c>
      <c r="Y231" s="79">
        <f t="shared" si="282"/>
        <v>556031.06999999995</v>
      </c>
      <c r="Z231" s="354">
        <f t="shared" si="316"/>
        <v>556031.06999999995</v>
      </c>
      <c r="AA231" s="354"/>
      <c r="AB231" s="130"/>
      <c r="AC231" s="116">
        <f t="shared" si="333"/>
        <v>556031.06999999995</v>
      </c>
      <c r="AD231" s="76">
        <f t="shared" si="334"/>
        <v>0.13900779784734837</v>
      </c>
      <c r="AE231" s="130">
        <v>0</v>
      </c>
      <c r="AF231" s="171">
        <f t="shared" si="318"/>
        <v>1321191.116744</v>
      </c>
      <c r="AG231" s="172">
        <f t="shared" si="309"/>
        <v>0.33029785129464512</v>
      </c>
      <c r="AH231" s="169" t="s">
        <v>407</v>
      </c>
      <c r="AI231" s="216">
        <v>5999998.6901159994</v>
      </c>
      <c r="AJ231" s="243" t="s">
        <v>409</v>
      </c>
      <c r="AK231" s="354">
        <v>0</v>
      </c>
      <c r="AL231" s="354">
        <v>0</v>
      </c>
      <c r="AM231" s="96">
        <f t="shared" si="320"/>
        <v>0</v>
      </c>
      <c r="AN231" s="354"/>
      <c r="AO231" s="354">
        <f t="shared" si="327"/>
        <v>0</v>
      </c>
      <c r="AP231" s="96"/>
      <c r="AQ231" s="96"/>
      <c r="AR231" s="96">
        <f t="shared" si="311"/>
        <v>0</v>
      </c>
      <c r="AS231" s="96"/>
      <c r="AT231" s="96"/>
      <c r="AU231" s="388"/>
      <c r="AV231" s="260"/>
      <c r="AW231" s="294"/>
      <c r="AX231" s="250"/>
      <c r="AY231" s="250"/>
    </row>
    <row r="232" spans="1:51" s="83" customFormat="1" ht="51.75" customHeight="1">
      <c r="A232" s="379" t="s">
        <v>128</v>
      </c>
      <c r="B232" s="66" t="s">
        <v>654</v>
      </c>
      <c r="C232" s="67" t="s">
        <v>56</v>
      </c>
      <c r="D232" s="67" t="s">
        <v>155</v>
      </c>
      <c r="E232" s="68"/>
      <c r="F232" s="353">
        <f>F233+F234</f>
        <v>52611651.619343996</v>
      </c>
      <c r="G232" s="353"/>
      <c r="H232" s="353">
        <f>H233+H234</f>
        <v>52611651.619343996</v>
      </c>
      <c r="I232" s="353"/>
      <c r="J232" s="353">
        <f>J233+J234</f>
        <v>52611651.619343996</v>
      </c>
      <c r="K232" s="353">
        <f t="shared" ref="K232:AI232" si="335">K233+K234</f>
        <v>52611651.619343996</v>
      </c>
      <c r="L232" s="353">
        <f t="shared" si="335"/>
        <v>49271376.810000002</v>
      </c>
      <c r="M232" s="353">
        <f t="shared" si="335"/>
        <v>2.1698111965906897</v>
      </c>
      <c r="N232" s="353">
        <f t="shared" si="335"/>
        <v>13926735.51</v>
      </c>
      <c r="O232" s="353">
        <f t="shared" si="335"/>
        <v>0.5313720852897299</v>
      </c>
      <c r="P232" s="353">
        <f t="shared" si="335"/>
        <v>32564474.510000002</v>
      </c>
      <c r="Q232" s="353">
        <f t="shared" si="335"/>
        <v>1.5391284728145371</v>
      </c>
      <c r="R232" s="353">
        <f t="shared" si="335"/>
        <v>29875101.490000002</v>
      </c>
      <c r="S232" s="353">
        <f t="shared" si="335"/>
        <v>1.4828182572335278</v>
      </c>
      <c r="T232" s="353">
        <f t="shared" si="335"/>
        <v>4071876.58</v>
      </c>
      <c r="U232" s="353">
        <f t="shared" si="335"/>
        <v>0</v>
      </c>
      <c r="V232" s="353">
        <f t="shared" si="335"/>
        <v>671062.80999999994</v>
      </c>
      <c r="W232" s="353">
        <f t="shared" si="335"/>
        <v>445475.44</v>
      </c>
      <c r="X232" s="353">
        <f t="shared" si="335"/>
        <v>24220.59</v>
      </c>
      <c r="Y232" s="353">
        <f t="shared" si="335"/>
        <v>4718718.8</v>
      </c>
      <c r="Z232" s="353">
        <f t="shared" si="335"/>
        <v>4517352.0199999996</v>
      </c>
      <c r="AA232" s="353">
        <f t="shared" si="335"/>
        <v>1511293.1</v>
      </c>
      <c r="AB232" s="353">
        <f t="shared" si="335"/>
        <v>7.3583824139907605E-2</v>
      </c>
      <c r="AC232" s="353">
        <f t="shared" si="335"/>
        <v>4742939.3899999997</v>
      </c>
      <c r="AD232" s="353">
        <f t="shared" si="335"/>
        <v>0.34483172426590508</v>
      </c>
      <c r="AE232" s="353">
        <f t="shared" si="335"/>
        <v>2.4453969669582069E-2</v>
      </c>
      <c r="AF232" s="353">
        <f t="shared" si="335"/>
        <v>22736550.129343994</v>
      </c>
      <c r="AG232" s="353">
        <f t="shared" si="335"/>
        <v>0.517181742766472</v>
      </c>
      <c r="AH232" s="353" t="e">
        <f t="shared" si="335"/>
        <v>#VALUE!</v>
      </c>
      <c r="AI232" s="353">
        <f t="shared" si="335"/>
        <v>87616913.954147995</v>
      </c>
      <c r="AJ232" s="242" t="s">
        <v>408</v>
      </c>
      <c r="AK232" s="353">
        <f>AK233+AK234</f>
        <v>15000000</v>
      </c>
      <c r="AL232" s="353">
        <f t="shared" ref="AL232" si="336">AL233+AL234</f>
        <v>15000000</v>
      </c>
      <c r="AM232" s="311">
        <f t="shared" si="320"/>
        <v>0.28510794735219591</v>
      </c>
      <c r="AN232" s="354"/>
      <c r="AO232" s="353">
        <f t="shared" si="327"/>
        <v>15000000</v>
      </c>
      <c r="AP232" s="353">
        <f t="shared" ref="AP232:AQ232" si="337">AP233+AP234</f>
        <v>15000000</v>
      </c>
      <c r="AQ232" s="353">
        <f t="shared" si="337"/>
        <v>15000000</v>
      </c>
      <c r="AR232" s="311">
        <f t="shared" si="311"/>
        <v>0.28510794735219591</v>
      </c>
      <c r="AS232" s="96"/>
      <c r="AT232" s="96"/>
      <c r="AU232" s="386"/>
      <c r="AV232" s="258"/>
      <c r="AW232" s="294"/>
      <c r="AX232" s="250"/>
      <c r="AY232" s="250"/>
    </row>
    <row r="233" spans="1:51" s="83" customFormat="1" ht="112.5" customHeight="1">
      <c r="A233" s="383" t="s">
        <v>216</v>
      </c>
      <c r="B233" s="350" t="s">
        <v>655</v>
      </c>
      <c r="C233" s="183" t="s">
        <v>56</v>
      </c>
      <c r="D233" s="183" t="s">
        <v>155</v>
      </c>
      <c r="E233" s="207">
        <v>67956285</v>
      </c>
      <c r="F233" s="187">
        <f>E233*$E$6</f>
        <v>47759948.923139997</v>
      </c>
      <c r="G233" s="187">
        <v>67956285</v>
      </c>
      <c r="H233" s="187">
        <f>G233*$G$6</f>
        <v>47759948.923139997</v>
      </c>
      <c r="I233" s="207">
        <v>67956285</v>
      </c>
      <c r="J233" s="355">
        <f>I233*$I$6</f>
        <v>47759948.923139997</v>
      </c>
      <c r="K233" s="355">
        <v>47759948.923139997</v>
      </c>
      <c r="L233" s="355">
        <v>43124953.899999999</v>
      </c>
      <c r="M233" s="184">
        <f t="shared" si="319"/>
        <v>0.90295226172458665</v>
      </c>
      <c r="N233" s="355">
        <v>12631888.74</v>
      </c>
      <c r="O233" s="185">
        <f t="shared" si="304"/>
        <v>0.26448706551861012</v>
      </c>
      <c r="P233" s="355">
        <v>27934847.030000001</v>
      </c>
      <c r="Q233" s="186">
        <f t="shared" si="331"/>
        <v>0.58490110772428805</v>
      </c>
      <c r="R233" s="355">
        <v>25245474.010000002</v>
      </c>
      <c r="S233" s="186">
        <f t="shared" si="332"/>
        <v>0.52859089214327881</v>
      </c>
      <c r="T233" s="187">
        <v>3259689.2199999997</v>
      </c>
      <c r="U233" s="187"/>
      <c r="V233" s="187">
        <v>157349.65</v>
      </c>
      <c r="W233" s="187">
        <v>0</v>
      </c>
      <c r="X233" s="187">
        <v>0</v>
      </c>
      <c r="Y233" s="187">
        <f t="shared" si="282"/>
        <v>3417038.8699999996</v>
      </c>
      <c r="Z233" s="355">
        <f t="shared" si="316"/>
        <v>3259689.2199999997</v>
      </c>
      <c r="AA233" s="355">
        <v>1284803.22</v>
      </c>
      <c r="AB233" s="201">
        <f>AA233/J233</f>
        <v>2.6901268719270021E-2</v>
      </c>
      <c r="AC233" s="204">
        <f>SUM(T233:V233)</f>
        <v>3417038.8699999996</v>
      </c>
      <c r="AD233" s="186">
        <f t="shared" si="334"/>
        <v>7.1546116506511229E-2</v>
      </c>
      <c r="AE233" s="184">
        <v>4.31617013035501E-3</v>
      </c>
      <c r="AF233" s="190">
        <f t="shared" si="318"/>
        <v>22514474.913139995</v>
      </c>
      <c r="AG233" s="191">
        <f t="shared" si="309"/>
        <v>0.47140910785672113</v>
      </c>
      <c r="AH233" s="205" t="s">
        <v>332</v>
      </c>
      <c r="AI233" s="218">
        <v>81147977.025876001</v>
      </c>
      <c r="AJ233" s="244" t="s">
        <v>408</v>
      </c>
      <c r="AK233" s="355">
        <v>15000000</v>
      </c>
      <c r="AL233" s="355">
        <v>15000000</v>
      </c>
      <c r="AM233" s="212">
        <f t="shared" si="320"/>
        <v>0.31407068764121743</v>
      </c>
      <c r="AN233" s="191" t="s">
        <v>408</v>
      </c>
      <c r="AO233" s="355">
        <f t="shared" si="327"/>
        <v>15000000</v>
      </c>
      <c r="AP233" s="355">
        <v>15000000</v>
      </c>
      <c r="AQ233" s="355">
        <v>15000000</v>
      </c>
      <c r="AR233" s="212">
        <f t="shared" si="311"/>
        <v>0.31407068764121743</v>
      </c>
      <c r="AS233" s="324" t="s">
        <v>433</v>
      </c>
      <c r="AT233" s="274" t="s">
        <v>692</v>
      </c>
      <c r="AU233" s="384"/>
      <c r="AV233" s="261"/>
      <c r="AW233" s="294"/>
    </row>
    <row r="234" spans="1:51" s="98" customFormat="1" ht="80.25" customHeight="1">
      <c r="A234" s="381" t="s">
        <v>245</v>
      </c>
      <c r="B234" s="71" t="s">
        <v>656</v>
      </c>
      <c r="C234" s="72" t="s">
        <v>56</v>
      </c>
      <c r="D234" s="72" t="s">
        <v>155</v>
      </c>
      <c r="E234" s="112">
        <v>6903351</v>
      </c>
      <c r="F234" s="79">
        <f>E234*$E$6</f>
        <v>4851702.6962040002</v>
      </c>
      <c r="G234" s="79">
        <v>6903351</v>
      </c>
      <c r="H234" s="79">
        <f>G234*$G$6</f>
        <v>4851702.6962040002</v>
      </c>
      <c r="I234" s="112">
        <v>6903351</v>
      </c>
      <c r="J234" s="354">
        <f>I234*$I$6</f>
        <v>4851702.6962040002</v>
      </c>
      <c r="K234" s="354">
        <v>4851702.6962040002</v>
      </c>
      <c r="L234" s="354">
        <v>6146422.9100000001</v>
      </c>
      <c r="M234" s="130">
        <f t="shared" si="319"/>
        <v>1.266858934866103</v>
      </c>
      <c r="N234" s="354">
        <v>1294846.77</v>
      </c>
      <c r="O234" s="132">
        <f t="shared" si="304"/>
        <v>0.26688501977111984</v>
      </c>
      <c r="P234" s="354">
        <v>4629627.4800000004</v>
      </c>
      <c r="Q234" s="76">
        <f t="shared" si="331"/>
        <v>0.95422736509024908</v>
      </c>
      <c r="R234" s="354">
        <v>4629627.4800000004</v>
      </c>
      <c r="S234" s="76">
        <f t="shared" si="332"/>
        <v>0.95422736509024908</v>
      </c>
      <c r="T234" s="79">
        <v>812187.3600000001</v>
      </c>
      <c r="U234" s="79"/>
      <c r="V234" s="79">
        <v>513713.16</v>
      </c>
      <c r="W234" s="79">
        <v>445475.44</v>
      </c>
      <c r="X234" s="79">
        <v>24220.59</v>
      </c>
      <c r="Y234" s="79">
        <f t="shared" si="282"/>
        <v>1301679.93</v>
      </c>
      <c r="Z234" s="354">
        <f t="shared" si="316"/>
        <v>1257662.8</v>
      </c>
      <c r="AA234" s="354">
        <v>226489.88</v>
      </c>
      <c r="AB234" s="136">
        <f>AA234/J234</f>
        <v>4.6682555420637581E-2</v>
      </c>
      <c r="AC234" s="118">
        <f t="shared" ref="AC234" si="338">SUM(T234:V234)</f>
        <v>1325900.52</v>
      </c>
      <c r="AD234" s="76">
        <f t="shared" si="334"/>
        <v>0.27328560775939387</v>
      </c>
      <c r="AE234" s="130">
        <v>2.013779953922706E-2</v>
      </c>
      <c r="AF234" s="171">
        <f t="shared" si="318"/>
        <v>222075.21620399971</v>
      </c>
      <c r="AG234" s="172">
        <f t="shared" si="309"/>
        <v>4.5772634909750885E-2</v>
      </c>
      <c r="AH234" s="147" t="s">
        <v>333</v>
      </c>
      <c r="AI234" s="216">
        <v>6468936.9282719996</v>
      </c>
      <c r="AJ234" s="243" t="s">
        <v>409</v>
      </c>
      <c r="AK234" s="354">
        <v>0</v>
      </c>
      <c r="AL234" s="354">
        <v>0</v>
      </c>
      <c r="AM234" s="96">
        <f t="shared" si="320"/>
        <v>0</v>
      </c>
      <c r="AN234" s="354"/>
      <c r="AO234" s="354">
        <f t="shared" si="327"/>
        <v>0</v>
      </c>
      <c r="AP234" s="96"/>
      <c r="AQ234" s="96"/>
      <c r="AR234" s="96">
        <f t="shared" si="311"/>
        <v>0</v>
      </c>
      <c r="AS234" s="96"/>
      <c r="AT234" s="96"/>
      <c r="AU234" s="388"/>
      <c r="AV234" s="260"/>
      <c r="AW234" s="294"/>
      <c r="AX234" s="250"/>
      <c r="AY234" s="250"/>
    </row>
    <row r="235" spans="1:51" s="98" customFormat="1" ht="71.25" customHeight="1">
      <c r="A235" s="379" t="s">
        <v>129</v>
      </c>
      <c r="B235" s="66" t="s">
        <v>657</v>
      </c>
      <c r="C235" s="67" t="s">
        <v>171</v>
      </c>
      <c r="D235" s="67" t="s">
        <v>138</v>
      </c>
      <c r="E235" s="68"/>
      <c r="F235" s="353">
        <f>F236+F244</f>
        <v>471307462.12600803</v>
      </c>
      <c r="G235" s="353"/>
      <c r="H235" s="353">
        <f>H236+H244</f>
        <v>471307462.12600803</v>
      </c>
      <c r="I235" s="353"/>
      <c r="J235" s="353">
        <f>J236+J244</f>
        <v>471307462.12600803</v>
      </c>
      <c r="K235" s="353">
        <f t="shared" ref="K235:AI235" si="339">K236+K244</f>
        <v>485857473.480012</v>
      </c>
      <c r="L235" s="353">
        <f t="shared" si="339"/>
        <v>489971131.74000001</v>
      </c>
      <c r="M235" s="353">
        <f t="shared" si="339"/>
        <v>9.9603400282292576</v>
      </c>
      <c r="N235" s="353">
        <f t="shared" si="339"/>
        <v>89520305.730000004</v>
      </c>
      <c r="O235" s="353">
        <f t="shared" si="339"/>
        <v>3.8171440077539822</v>
      </c>
      <c r="P235" s="353">
        <f t="shared" si="339"/>
        <v>371496528.88000005</v>
      </c>
      <c r="Q235" s="353">
        <f t="shared" si="339"/>
        <v>5.6326919406110401</v>
      </c>
      <c r="R235" s="353">
        <f t="shared" si="339"/>
        <v>368211118.12</v>
      </c>
      <c r="S235" s="353">
        <f t="shared" si="339"/>
        <v>5.1743862193606667</v>
      </c>
      <c r="T235" s="353">
        <f t="shared" si="339"/>
        <v>110833245.48</v>
      </c>
      <c r="U235" s="353">
        <f t="shared" si="339"/>
        <v>9695423.129999999</v>
      </c>
      <c r="V235" s="353">
        <f t="shared" si="339"/>
        <v>124794763.42</v>
      </c>
      <c r="W235" s="353">
        <f t="shared" si="339"/>
        <v>36417596.810000002</v>
      </c>
      <c r="X235" s="353">
        <f t="shared" ca="1" si="339"/>
        <v>485857473.480012</v>
      </c>
      <c r="Y235" s="353">
        <f t="shared" ca="1" si="339"/>
        <v>485857473.480012</v>
      </c>
      <c r="Z235" s="353">
        <f t="shared" si="339"/>
        <v>156946265.42000002</v>
      </c>
      <c r="AA235" s="353">
        <f t="shared" si="339"/>
        <v>2588250</v>
      </c>
      <c r="AB235" s="353">
        <f t="shared" si="339"/>
        <v>0.36105372194808227</v>
      </c>
      <c r="AC235" s="353">
        <f t="shared" si="339"/>
        <v>245323432.03000003</v>
      </c>
      <c r="AD235" s="353">
        <f t="shared" si="339"/>
        <v>2.4610757946543527</v>
      </c>
      <c r="AE235" s="353">
        <f t="shared" si="339"/>
        <v>1.1109431370256388E-2</v>
      </c>
      <c r="AF235" s="353">
        <f t="shared" si="339"/>
        <v>103096343.32413599</v>
      </c>
      <c r="AG235" s="353" t="e">
        <f t="shared" si="339"/>
        <v>#DIV/0!</v>
      </c>
      <c r="AH235" s="353" t="e">
        <f t="shared" si="339"/>
        <v>#VALUE!</v>
      </c>
      <c r="AI235" s="353">
        <f t="shared" si="339"/>
        <v>633170942.92514396</v>
      </c>
      <c r="AJ235" s="242" t="s">
        <v>408</v>
      </c>
      <c r="AK235" s="353">
        <f>AK236+AK244</f>
        <v>9116965.4504700266</v>
      </c>
      <c r="AL235" s="353">
        <f t="shared" ref="AL235" si="340">AL236+AL244</f>
        <v>9130000</v>
      </c>
      <c r="AM235" s="311">
        <f t="shared" si="320"/>
        <v>1.87915191148657E-2</v>
      </c>
      <c r="AN235" s="177"/>
      <c r="AO235" s="353">
        <f t="shared" si="327"/>
        <v>9130000</v>
      </c>
      <c r="AP235" s="353">
        <f t="shared" ref="AP235:AQ235" si="341">AP236+AP244</f>
        <v>11912839</v>
      </c>
      <c r="AQ235" s="353">
        <f t="shared" si="341"/>
        <v>11912839</v>
      </c>
      <c r="AR235" s="311">
        <f t="shared" si="311"/>
        <v>2.4519205014328322E-2</v>
      </c>
      <c r="AS235" s="96"/>
      <c r="AT235" s="96"/>
      <c r="AU235" s="386">
        <f t="shared" ref="AU235" si="342">AU236+AU244</f>
        <v>368394.82352941157</v>
      </c>
      <c r="AV235" s="260"/>
      <c r="AW235" s="294"/>
      <c r="AX235" s="250"/>
      <c r="AY235" s="250"/>
    </row>
    <row r="236" spans="1:51" s="83" customFormat="1" ht="61.5" customHeight="1">
      <c r="A236" s="379" t="s">
        <v>130</v>
      </c>
      <c r="B236" s="66" t="s">
        <v>658</v>
      </c>
      <c r="C236" s="67" t="s">
        <v>171</v>
      </c>
      <c r="D236" s="67" t="s">
        <v>687</v>
      </c>
      <c r="E236" s="68"/>
      <c r="F236" s="353">
        <f>F237+F238+F242+F243</f>
        <v>394611362.60073602</v>
      </c>
      <c r="G236" s="353"/>
      <c r="H236" s="353">
        <f>H237+H238+H242+H243</f>
        <v>394611362.60073602</v>
      </c>
      <c r="I236" s="353"/>
      <c r="J236" s="353">
        <f>J237+J238+J242+J243</f>
        <v>394611362.60073602</v>
      </c>
      <c r="K236" s="353">
        <f t="shared" ref="K236:AI236" si="343">K237+K238+K242+K243</f>
        <v>409161373.95473999</v>
      </c>
      <c r="L236" s="353">
        <f t="shared" si="343"/>
        <v>362077183.57999998</v>
      </c>
      <c r="M236" s="353">
        <f t="shared" si="343"/>
        <v>4.9161310169384835</v>
      </c>
      <c r="N236" s="353">
        <f t="shared" si="343"/>
        <v>9465132.1400000006</v>
      </c>
      <c r="O236" s="353">
        <f t="shared" si="343"/>
        <v>0.42956111114888101</v>
      </c>
      <c r="P236" s="353">
        <f t="shared" si="343"/>
        <v>324242143.95000005</v>
      </c>
      <c r="Q236" s="353">
        <f t="shared" si="343"/>
        <v>4.0209921183923809</v>
      </c>
      <c r="R236" s="353">
        <f t="shared" si="343"/>
        <v>320956733.19</v>
      </c>
      <c r="S236" s="353">
        <f t="shared" si="343"/>
        <v>3.562686397142008</v>
      </c>
      <c r="T236" s="353">
        <f t="shared" si="343"/>
        <v>105478260.31</v>
      </c>
      <c r="U236" s="353">
        <f t="shared" si="343"/>
        <v>669010.04</v>
      </c>
      <c r="V236" s="353">
        <f t="shared" si="343"/>
        <v>124794763.42</v>
      </c>
      <c r="W236" s="353">
        <f t="shared" si="343"/>
        <v>36417596.810000002</v>
      </c>
      <c r="X236" s="353">
        <f t="shared" si="343"/>
        <v>3057697.6</v>
      </c>
      <c r="Y236" s="353">
        <f t="shared" si="343"/>
        <v>227884336.17000005</v>
      </c>
      <c r="Z236" s="353">
        <f t="shared" si="343"/>
        <v>142564867.16000003</v>
      </c>
      <c r="AA236" s="353">
        <f t="shared" si="343"/>
        <v>2588250</v>
      </c>
      <c r="AB236" s="353">
        <f t="shared" si="343"/>
        <v>0.36105372194808227</v>
      </c>
      <c r="AC236" s="353">
        <f t="shared" si="343"/>
        <v>230942033.77000004</v>
      </c>
      <c r="AD236" s="353">
        <f t="shared" si="343"/>
        <v>1.994681069920812</v>
      </c>
      <c r="AE236" s="353">
        <f t="shared" si="343"/>
        <v>4.5087733107458698E-3</v>
      </c>
      <c r="AF236" s="353">
        <f t="shared" si="343"/>
        <v>73654629.410735995</v>
      </c>
      <c r="AG236" s="353">
        <f t="shared" si="343"/>
        <v>2.437313602857992</v>
      </c>
      <c r="AH236" s="353" t="e">
        <f t="shared" si="343"/>
        <v>#VALUE!</v>
      </c>
      <c r="AI236" s="353">
        <f t="shared" si="343"/>
        <v>479778743.87459999</v>
      </c>
      <c r="AJ236" s="242" t="s">
        <v>408</v>
      </c>
      <c r="AK236" s="353">
        <f>AK237+AK238+AK242+AK243</f>
        <v>9116965.4504700266</v>
      </c>
      <c r="AL236" s="353">
        <f t="shared" ref="AL236" si="344">AL237+AL238+AL242+AL243</f>
        <v>9130000</v>
      </c>
      <c r="AM236" s="311">
        <f t="shared" si="320"/>
        <v>2.2313934259615448E-2</v>
      </c>
      <c r="AN236" s="130"/>
      <c r="AO236" s="353">
        <f t="shared" si="327"/>
        <v>9130000</v>
      </c>
      <c r="AP236" s="353">
        <f t="shared" ref="AP236:AQ236" si="345">AP237+AP238+AP242+AP243</f>
        <v>11912839</v>
      </c>
      <c r="AQ236" s="353">
        <f t="shared" si="345"/>
        <v>11912839</v>
      </c>
      <c r="AR236" s="311">
        <f t="shared" si="311"/>
        <v>2.911525808229825E-2</v>
      </c>
      <c r="AS236" s="96"/>
      <c r="AT236" s="96"/>
      <c r="AU236" s="386">
        <f t="shared" ref="AU236" si="346">AU237+AU238+AU242+AU243</f>
        <v>368394.82352941157</v>
      </c>
      <c r="AV236" s="258"/>
      <c r="AW236" s="294"/>
      <c r="AX236" s="250"/>
      <c r="AY236" s="250"/>
    </row>
    <row r="237" spans="1:51" s="98" customFormat="1" ht="102.75" customHeight="1">
      <c r="A237" s="383" t="s">
        <v>231</v>
      </c>
      <c r="B237" s="350" t="s">
        <v>659</v>
      </c>
      <c r="C237" s="183" t="s">
        <v>171</v>
      </c>
      <c r="D237" s="183" t="s">
        <v>687</v>
      </c>
      <c r="E237" s="207">
        <v>429510102</v>
      </c>
      <c r="F237" s="187">
        <f>E237*$E$6</f>
        <v>301861417.726008</v>
      </c>
      <c r="G237" s="187">
        <v>429510102</v>
      </c>
      <c r="H237" s="187">
        <f>G237*$G$6</f>
        <v>301861417.726008</v>
      </c>
      <c r="I237" s="207">
        <v>429510102</v>
      </c>
      <c r="J237" s="355">
        <f>I237*$I$6</f>
        <v>301861417.726008</v>
      </c>
      <c r="K237" s="355">
        <v>315612565.12648797</v>
      </c>
      <c r="L237" s="355">
        <v>299193290.56</v>
      </c>
      <c r="M237" s="184">
        <f t="shared" ref="M237:M256" si="347">L237/J237</f>
        <v>0.99116108581842755</v>
      </c>
      <c r="N237" s="355"/>
      <c r="O237" s="185">
        <f t="shared" si="304"/>
        <v>0</v>
      </c>
      <c r="P237" s="355">
        <v>273903619.04000002</v>
      </c>
      <c r="Q237" s="186">
        <f t="shared" si="331"/>
        <v>0.90738200695994686</v>
      </c>
      <c r="R237" s="355">
        <v>273903619.04000002</v>
      </c>
      <c r="S237" s="186">
        <f t="shared" si="332"/>
        <v>0.90738200695994686</v>
      </c>
      <c r="T237" s="187">
        <v>92624992.180000007</v>
      </c>
      <c r="U237" s="187"/>
      <c r="V237" s="187">
        <v>112393052.86</v>
      </c>
      <c r="W237" s="187">
        <v>30226557.25</v>
      </c>
      <c r="X237" s="187">
        <v>3003068.92</v>
      </c>
      <c r="Y237" s="187">
        <f t="shared" si="282"/>
        <v>202014976.12000003</v>
      </c>
      <c r="Z237" s="355">
        <f t="shared" si="316"/>
        <v>122851549.43000001</v>
      </c>
      <c r="AA237" s="355"/>
      <c r="AB237" s="184"/>
      <c r="AC237" s="204">
        <f>SUM(T237:V237)</f>
        <v>205018045.04000002</v>
      </c>
      <c r="AD237" s="186">
        <f t="shared" si="334"/>
        <v>0.67917936178942129</v>
      </c>
      <c r="AE237" s="184">
        <v>2.177598475642693E-3</v>
      </c>
      <c r="AF237" s="190">
        <f t="shared" si="318"/>
        <v>27957798.686007977</v>
      </c>
      <c r="AG237" s="191">
        <f t="shared" ref="AG237:AG262" si="348">AF237/J237</f>
        <v>9.2617993040053123E-2</v>
      </c>
      <c r="AH237" s="210" t="s">
        <v>418</v>
      </c>
      <c r="AI237" s="219">
        <v>335718511.27442396</v>
      </c>
      <c r="AJ237" s="244" t="s">
        <v>408</v>
      </c>
      <c r="AK237" s="355">
        <v>9000000</v>
      </c>
      <c r="AL237" s="355">
        <v>9000000</v>
      </c>
      <c r="AM237" s="212">
        <f t="shared" si="320"/>
        <v>2.8515974946666245E-2</v>
      </c>
      <c r="AN237" s="184" t="s">
        <v>409</v>
      </c>
      <c r="AO237" s="355">
        <f t="shared" si="327"/>
        <v>9000000</v>
      </c>
      <c r="AP237" s="355">
        <v>11000000</v>
      </c>
      <c r="AQ237" s="355">
        <v>11000000</v>
      </c>
      <c r="AR237" s="212">
        <f t="shared" si="311"/>
        <v>3.4852858268147636E-2</v>
      </c>
      <c r="AS237" s="194" t="s">
        <v>433</v>
      </c>
      <c r="AT237" s="194" t="s">
        <v>701</v>
      </c>
      <c r="AU237" s="397"/>
      <c r="AV237" s="261"/>
      <c r="AW237" s="294"/>
    </row>
    <row r="238" spans="1:51" s="83" customFormat="1" ht="50.45" customHeight="1">
      <c r="A238" s="387" t="s">
        <v>131</v>
      </c>
      <c r="B238" s="77" t="s">
        <v>660</v>
      </c>
      <c r="C238" s="78" t="s">
        <v>171</v>
      </c>
      <c r="D238" s="78" t="s">
        <v>687</v>
      </c>
      <c r="E238" s="81"/>
      <c r="F238" s="354">
        <f>F239+F240+F241</f>
        <v>81013118.074727997</v>
      </c>
      <c r="G238" s="354"/>
      <c r="H238" s="354">
        <f>H239+H240+H241</f>
        <v>81013118.074727997</v>
      </c>
      <c r="I238" s="354"/>
      <c r="J238" s="354">
        <f>J239+J240+J241</f>
        <v>81013118.074727997</v>
      </c>
      <c r="K238" s="354">
        <f t="shared" ref="K238:AI238" si="349">K239+K240+K241</f>
        <v>81013118.074727997</v>
      </c>
      <c r="L238" s="354">
        <f t="shared" si="349"/>
        <v>51668208.210000001</v>
      </c>
      <c r="M238" s="354">
        <f t="shared" si="349"/>
        <v>2.0074866946317136</v>
      </c>
      <c r="N238" s="354">
        <f t="shared" si="349"/>
        <v>9010332.1400000006</v>
      </c>
      <c r="O238" s="354">
        <f t="shared" si="349"/>
        <v>0.36611776806301688</v>
      </c>
      <c r="P238" s="354">
        <f t="shared" si="349"/>
        <v>40761498.339999996</v>
      </c>
      <c r="Q238" s="354">
        <f t="shared" si="349"/>
        <v>1.5740795895530135</v>
      </c>
      <c r="R238" s="354">
        <f t="shared" si="349"/>
        <v>40761498.339999996</v>
      </c>
      <c r="S238" s="354">
        <f t="shared" si="349"/>
        <v>1.5740795895530135</v>
      </c>
      <c r="T238" s="354">
        <f t="shared" si="349"/>
        <v>10414364.24</v>
      </c>
      <c r="U238" s="354">
        <f t="shared" si="349"/>
        <v>669010.04</v>
      </c>
      <c r="V238" s="354">
        <f t="shared" si="349"/>
        <v>12401710.559999999</v>
      </c>
      <c r="W238" s="354">
        <f t="shared" si="349"/>
        <v>6191039.5600000005</v>
      </c>
      <c r="X238" s="354">
        <f t="shared" si="349"/>
        <v>54628.68</v>
      </c>
      <c r="Y238" s="354">
        <f t="shared" si="349"/>
        <v>23430456.159999996</v>
      </c>
      <c r="Z238" s="354">
        <f t="shared" si="349"/>
        <v>17274413.84</v>
      </c>
      <c r="AA238" s="354">
        <f t="shared" si="349"/>
        <v>0</v>
      </c>
      <c r="AB238" s="354">
        <f t="shared" si="349"/>
        <v>0</v>
      </c>
      <c r="AC238" s="354">
        <f t="shared" si="349"/>
        <v>23485084.84</v>
      </c>
      <c r="AD238" s="354">
        <f t="shared" si="349"/>
        <v>0.94971673756706743</v>
      </c>
      <c r="AE238" s="354">
        <f t="shared" si="349"/>
        <v>2.3311748351031768E-3</v>
      </c>
      <c r="AF238" s="354">
        <f t="shared" si="349"/>
        <v>40251619.734728001</v>
      </c>
      <c r="AG238" s="354">
        <f t="shared" si="349"/>
        <v>1.4259204104469865</v>
      </c>
      <c r="AH238" s="354" t="e">
        <f t="shared" si="349"/>
        <v>#VALUE!</v>
      </c>
      <c r="AI238" s="354">
        <f t="shared" si="349"/>
        <v>131524541.846652</v>
      </c>
      <c r="AJ238" s="243" t="s">
        <v>409</v>
      </c>
      <c r="AK238" s="354">
        <f>AK239+AK240+AK241</f>
        <v>0</v>
      </c>
      <c r="AL238" s="354">
        <f t="shared" ref="AL238" si="350">AL239+AL240+AL241</f>
        <v>0</v>
      </c>
      <c r="AM238" s="96">
        <f t="shared" si="320"/>
        <v>0</v>
      </c>
      <c r="AN238" s="354"/>
      <c r="AO238" s="354">
        <f t="shared" si="327"/>
        <v>0</v>
      </c>
      <c r="AP238" s="354">
        <f t="shared" ref="AP238:AQ238" si="351">AP239+AP240+AP241</f>
        <v>782839</v>
      </c>
      <c r="AQ238" s="354">
        <f t="shared" si="351"/>
        <v>782839</v>
      </c>
      <c r="AR238" s="96">
        <f t="shared" si="311"/>
        <v>9.6631140561445235E-3</v>
      </c>
      <c r="AS238" s="96"/>
      <c r="AT238" s="96"/>
      <c r="AU238" s="388">
        <f>AU239+AU240+AU241</f>
        <v>368394.82352941157</v>
      </c>
      <c r="AV238" s="261"/>
      <c r="AW238" s="294"/>
    </row>
    <row r="239" spans="1:51" s="83" customFormat="1" ht="155.25" customHeight="1">
      <c r="A239" s="383" t="s">
        <v>248</v>
      </c>
      <c r="B239" s="350" t="s">
        <v>661</v>
      </c>
      <c r="C239" s="183" t="s">
        <v>171</v>
      </c>
      <c r="D239" s="183" t="s">
        <v>687</v>
      </c>
      <c r="E239" s="207">
        <v>19600000</v>
      </c>
      <c r="F239" s="187">
        <f>E239*$E$6</f>
        <v>13774958.4</v>
      </c>
      <c r="G239" s="207">
        <v>19600000</v>
      </c>
      <c r="H239" s="187">
        <f>G239*$G$6</f>
        <v>13774958.4</v>
      </c>
      <c r="I239" s="207">
        <v>19600000</v>
      </c>
      <c r="J239" s="355">
        <f>I239*$I$6</f>
        <v>13774958.4</v>
      </c>
      <c r="K239" s="355">
        <v>13774958.4</v>
      </c>
      <c r="L239" s="355">
        <v>8260809.4500000002</v>
      </c>
      <c r="M239" s="184">
        <f t="shared" si="347"/>
        <v>0.59969759690889524</v>
      </c>
      <c r="N239" s="355">
        <v>2314246.02</v>
      </c>
      <c r="O239" s="185">
        <f t="shared" si="304"/>
        <v>0.16800384820036915</v>
      </c>
      <c r="P239" s="355">
        <v>5946563.4299999997</v>
      </c>
      <c r="Q239" s="186">
        <f t="shared" si="331"/>
        <v>0.431693748708526</v>
      </c>
      <c r="R239" s="355">
        <v>5946563.4299999997</v>
      </c>
      <c r="S239" s="186">
        <f t="shared" si="332"/>
        <v>0.431693748708526</v>
      </c>
      <c r="T239" s="187">
        <v>1683635.98</v>
      </c>
      <c r="U239" s="187"/>
      <c r="V239" s="187">
        <v>1997639.71</v>
      </c>
      <c r="W239" s="187">
        <v>1219313.1000000001</v>
      </c>
      <c r="X239" s="187">
        <v>54596.92</v>
      </c>
      <c r="Y239" s="187">
        <f t="shared" si="282"/>
        <v>3626678.77</v>
      </c>
      <c r="Z239" s="355">
        <f t="shared" si="316"/>
        <v>2902949.08</v>
      </c>
      <c r="AA239" s="355"/>
      <c r="AB239" s="184"/>
      <c r="AC239" s="204">
        <f>SUM(T239:V239)</f>
        <v>3681275.69</v>
      </c>
      <c r="AD239" s="186">
        <f t="shared" si="334"/>
        <v>0.26724405135045631</v>
      </c>
      <c r="AE239" s="184">
        <v>2.3294845980371625E-3</v>
      </c>
      <c r="AF239" s="190">
        <f t="shared" si="318"/>
        <v>7828394.9700000007</v>
      </c>
      <c r="AG239" s="191">
        <f t="shared" si="348"/>
        <v>0.56830625129147394</v>
      </c>
      <c r="AH239" s="210" t="s">
        <v>376</v>
      </c>
      <c r="AI239" s="219">
        <v>20257290.772512</v>
      </c>
      <c r="AJ239" s="244" t="s">
        <v>408</v>
      </c>
      <c r="AK239" s="355">
        <v>0</v>
      </c>
      <c r="AL239" s="355">
        <v>0</v>
      </c>
      <c r="AM239" s="212">
        <f t="shared" si="320"/>
        <v>0</v>
      </c>
      <c r="AN239" s="355"/>
      <c r="AO239" s="355">
        <f t="shared" si="327"/>
        <v>0</v>
      </c>
      <c r="AP239" s="355">
        <v>782839</v>
      </c>
      <c r="AQ239" s="355">
        <v>782839</v>
      </c>
      <c r="AR239" s="212">
        <f t="shared" si="311"/>
        <v>5.6830589049183623E-2</v>
      </c>
      <c r="AS239" s="194" t="s">
        <v>433</v>
      </c>
      <c r="AT239" s="194" t="s">
        <v>727</v>
      </c>
      <c r="AU239" s="384">
        <f>(AP239/0.68)-AP239</f>
        <v>368394.82352941157</v>
      </c>
      <c r="AV239" s="261"/>
      <c r="AW239" s="294"/>
    </row>
    <row r="240" spans="1:51" s="83" customFormat="1" ht="58.5" customHeight="1">
      <c r="A240" s="381" t="s">
        <v>185</v>
      </c>
      <c r="B240" s="71" t="s">
        <v>662</v>
      </c>
      <c r="C240" s="72" t="s">
        <v>171</v>
      </c>
      <c r="D240" s="72" t="s">
        <v>687</v>
      </c>
      <c r="E240" s="112">
        <v>40100000</v>
      </c>
      <c r="F240" s="79">
        <f>E240*$E$6</f>
        <v>28182440.399999999</v>
      </c>
      <c r="G240" s="112">
        <v>40100000</v>
      </c>
      <c r="H240" s="79">
        <f>G240*$G$6</f>
        <v>28182440.399999999</v>
      </c>
      <c r="I240" s="112">
        <v>40100000</v>
      </c>
      <c r="J240" s="354">
        <f>I240*$I$6</f>
        <v>28182440.399999999</v>
      </c>
      <c r="K240" s="354">
        <v>28182440.399999999</v>
      </c>
      <c r="L240" s="354">
        <v>30000756.449999999</v>
      </c>
      <c r="M240" s="130">
        <f t="shared" si="347"/>
        <v>1.0645194675901808</v>
      </c>
      <c r="N240" s="354">
        <v>2699191.98</v>
      </c>
      <c r="O240" s="132">
        <f t="shared" si="304"/>
        <v>9.5775665332374846E-2</v>
      </c>
      <c r="P240" s="354">
        <v>25405186.739999998</v>
      </c>
      <c r="Q240" s="76">
        <f t="shared" si="331"/>
        <v>0.90145446524212292</v>
      </c>
      <c r="R240" s="354">
        <v>25405186.739999998</v>
      </c>
      <c r="S240" s="76">
        <f t="shared" si="332"/>
        <v>0.90145446524212292</v>
      </c>
      <c r="T240" s="79">
        <v>7352128.3500000006</v>
      </c>
      <c r="U240" s="79"/>
      <c r="V240" s="79">
        <v>10404070.85</v>
      </c>
      <c r="W240" s="79">
        <v>4971726.46</v>
      </c>
      <c r="X240" s="79">
        <v>31.76</v>
      </c>
      <c r="Y240" s="79">
        <f t="shared" si="282"/>
        <v>17756167.439999998</v>
      </c>
      <c r="Z240" s="354">
        <f t="shared" si="316"/>
        <v>12323854.810000001</v>
      </c>
      <c r="AA240" s="354"/>
      <c r="AB240" s="130"/>
      <c r="AC240" s="118">
        <f>SUM(T240:V240)</f>
        <v>17756199.199999999</v>
      </c>
      <c r="AD240" s="76">
        <f t="shared" si="334"/>
        <v>0.63004477071474618</v>
      </c>
      <c r="AE240" s="130">
        <v>1.6902370660144632E-6</v>
      </c>
      <c r="AF240" s="171">
        <f t="shared" si="318"/>
        <v>2777253.66</v>
      </c>
      <c r="AG240" s="172">
        <f t="shared" si="348"/>
        <v>9.8545534757877112E-2</v>
      </c>
      <c r="AH240" s="159" t="s">
        <v>377</v>
      </c>
      <c r="AI240" s="214">
        <v>33155812.524683997</v>
      </c>
      <c r="AJ240" s="243" t="s">
        <v>409</v>
      </c>
      <c r="AK240" s="354">
        <v>0</v>
      </c>
      <c r="AL240" s="354">
        <v>0</v>
      </c>
      <c r="AM240" s="96">
        <f t="shared" si="320"/>
        <v>0</v>
      </c>
      <c r="AN240" s="354"/>
      <c r="AO240" s="354">
        <f t="shared" si="327"/>
        <v>0</v>
      </c>
      <c r="AP240" s="306"/>
      <c r="AQ240" s="306"/>
      <c r="AR240" s="96">
        <f t="shared" si="311"/>
        <v>0</v>
      </c>
      <c r="AS240" s="306"/>
      <c r="AT240" s="306"/>
      <c r="AU240" s="388"/>
      <c r="AV240" s="261"/>
      <c r="AW240" s="294"/>
    </row>
    <row r="241" spans="1:51" s="83" customFormat="1" ht="64.5" customHeight="1">
      <c r="A241" s="381" t="s">
        <v>309</v>
      </c>
      <c r="B241" s="71" t="s">
        <v>663</v>
      </c>
      <c r="C241" s="72" t="s">
        <v>171</v>
      </c>
      <c r="D241" s="72" t="s">
        <v>687</v>
      </c>
      <c r="E241" s="112">
        <v>55571282</v>
      </c>
      <c r="F241" s="79">
        <f>E241*$E$6</f>
        <v>39055719.274728</v>
      </c>
      <c r="G241" s="112">
        <v>55571282</v>
      </c>
      <c r="H241" s="79">
        <f>G241*$G$6</f>
        <v>39055719.274728</v>
      </c>
      <c r="I241" s="112">
        <v>55571282</v>
      </c>
      <c r="J241" s="354">
        <f>I241*$I$6</f>
        <v>39055719.274728</v>
      </c>
      <c r="K241" s="354">
        <v>39055719.274728</v>
      </c>
      <c r="L241" s="354">
        <v>13406642.310000001</v>
      </c>
      <c r="M241" s="130">
        <f t="shared" si="347"/>
        <v>0.34326963013263745</v>
      </c>
      <c r="N241" s="354">
        <v>3996894.14</v>
      </c>
      <c r="O241" s="132">
        <f t="shared" si="304"/>
        <v>0.10233825453027291</v>
      </c>
      <c r="P241" s="354">
        <v>9409748.1699999999</v>
      </c>
      <c r="Q241" s="76">
        <f t="shared" si="331"/>
        <v>0.24093137560236452</v>
      </c>
      <c r="R241" s="354">
        <v>9409748.1699999999</v>
      </c>
      <c r="S241" s="76">
        <f t="shared" si="332"/>
        <v>0.24093137560236452</v>
      </c>
      <c r="T241" s="79">
        <v>1378599.91</v>
      </c>
      <c r="U241" s="79">
        <v>669010.04</v>
      </c>
      <c r="V241" s="79"/>
      <c r="W241" s="79">
        <v>0</v>
      </c>
      <c r="X241" s="79">
        <v>0</v>
      </c>
      <c r="Y241" s="79">
        <f t="shared" si="282"/>
        <v>2047609.95</v>
      </c>
      <c r="Z241" s="354">
        <f t="shared" si="316"/>
        <v>2047609.95</v>
      </c>
      <c r="AA241" s="354"/>
      <c r="AB241" s="130"/>
      <c r="AC241" s="118">
        <f>SUM(T241:V241)</f>
        <v>2047609.95</v>
      </c>
      <c r="AD241" s="76">
        <f t="shared" si="334"/>
        <v>5.2427915501865006E-2</v>
      </c>
      <c r="AE241" s="130">
        <v>0</v>
      </c>
      <c r="AF241" s="171">
        <f t="shared" si="318"/>
        <v>29645971.104727998</v>
      </c>
      <c r="AG241" s="172">
        <f t="shared" si="348"/>
        <v>0.75906862439763545</v>
      </c>
      <c r="AH241" s="159" t="s">
        <v>378</v>
      </c>
      <c r="AI241" s="214">
        <v>78111438.549456</v>
      </c>
      <c r="AJ241" s="243" t="s">
        <v>409</v>
      </c>
      <c r="AK241" s="354">
        <v>0</v>
      </c>
      <c r="AL241" s="354">
        <v>0</v>
      </c>
      <c r="AM241" s="96">
        <f t="shared" si="320"/>
        <v>0</v>
      </c>
      <c r="AN241" s="354"/>
      <c r="AO241" s="354">
        <f t="shared" si="327"/>
        <v>0</v>
      </c>
      <c r="AP241" s="306"/>
      <c r="AQ241" s="306"/>
      <c r="AR241" s="96">
        <f t="shared" si="311"/>
        <v>0</v>
      </c>
      <c r="AS241" s="306"/>
      <c r="AT241" s="306"/>
      <c r="AU241" s="388"/>
      <c r="AV241" s="261"/>
      <c r="AW241" s="294"/>
    </row>
    <row r="242" spans="1:51" s="83" customFormat="1" ht="60" customHeight="1">
      <c r="A242" s="381" t="s">
        <v>235</v>
      </c>
      <c r="B242" s="71" t="s">
        <v>664</v>
      </c>
      <c r="C242" s="72" t="s">
        <v>171</v>
      </c>
      <c r="D242" s="72" t="s">
        <v>687</v>
      </c>
      <c r="E242" s="112">
        <v>6500000</v>
      </c>
      <c r="F242" s="79">
        <f>E242*$E$6</f>
        <v>4568226</v>
      </c>
      <c r="G242" s="112">
        <v>6500000</v>
      </c>
      <c r="H242" s="79">
        <f>G242*$G$6</f>
        <v>4568226</v>
      </c>
      <c r="I242" s="112">
        <v>6500000</v>
      </c>
      <c r="J242" s="354">
        <f>I242*$I$6</f>
        <v>4568226</v>
      </c>
      <c r="K242" s="354">
        <v>4568226</v>
      </c>
      <c r="L242" s="354">
        <v>4444571.8499999996</v>
      </c>
      <c r="M242" s="130">
        <f t="shared" si="347"/>
        <v>0.97293169164572846</v>
      </c>
      <c r="N242" s="354"/>
      <c r="O242" s="132">
        <f t="shared" si="304"/>
        <v>0</v>
      </c>
      <c r="P242" s="354">
        <v>2563552.85</v>
      </c>
      <c r="Q242" s="76">
        <f t="shared" si="331"/>
        <v>0.56117032082037976</v>
      </c>
      <c r="R242" s="354">
        <v>2563552.85</v>
      </c>
      <c r="S242" s="76">
        <f t="shared" si="332"/>
        <v>0.56117032082037976</v>
      </c>
      <c r="T242" s="79">
        <v>321947.71000000002</v>
      </c>
      <c r="U242" s="79">
        <v>0</v>
      </c>
      <c r="V242" s="79">
        <v>0</v>
      </c>
      <c r="W242" s="79">
        <v>0</v>
      </c>
      <c r="X242" s="79">
        <v>0</v>
      </c>
      <c r="Y242" s="79">
        <f t="shared" si="282"/>
        <v>321947.71000000002</v>
      </c>
      <c r="Z242" s="354">
        <f t="shared" si="316"/>
        <v>321947.71000000002</v>
      </c>
      <c r="AA242" s="354"/>
      <c r="AB242" s="130"/>
      <c r="AC242" s="118">
        <f>SUM(T242:V242)</f>
        <v>321947.71000000002</v>
      </c>
      <c r="AD242" s="76">
        <f t="shared" si="334"/>
        <v>7.047543400873775E-2</v>
      </c>
      <c r="AE242" s="130">
        <v>0</v>
      </c>
      <c r="AF242" s="171">
        <f t="shared" si="318"/>
        <v>2004673.15</v>
      </c>
      <c r="AG242" s="172">
        <f t="shared" si="348"/>
        <v>0.43882967917962024</v>
      </c>
      <c r="AH242" s="159" t="s">
        <v>379</v>
      </c>
      <c r="AI242" s="214">
        <v>4568226</v>
      </c>
      <c r="AJ242" s="243" t="s">
        <v>409</v>
      </c>
      <c r="AK242" s="354">
        <v>0</v>
      </c>
      <c r="AL242" s="354">
        <v>0</v>
      </c>
      <c r="AM242" s="96">
        <f t="shared" si="320"/>
        <v>0</v>
      </c>
      <c r="AN242" s="354"/>
      <c r="AO242" s="354">
        <f t="shared" si="327"/>
        <v>0</v>
      </c>
      <c r="AP242" s="96"/>
      <c r="AQ242" s="96"/>
      <c r="AR242" s="96">
        <f t="shared" si="311"/>
        <v>0</v>
      </c>
      <c r="AS242" s="96"/>
      <c r="AT242" s="96"/>
      <c r="AU242" s="388"/>
      <c r="AV242" s="261"/>
      <c r="AW242" s="294"/>
    </row>
    <row r="243" spans="1:51" s="98" customFormat="1" ht="75.75" customHeight="1">
      <c r="A243" s="383" t="s">
        <v>310</v>
      </c>
      <c r="B243" s="350" t="s">
        <v>665</v>
      </c>
      <c r="C243" s="183" t="s">
        <v>171</v>
      </c>
      <c r="D243" s="183" t="s">
        <v>687</v>
      </c>
      <c r="E243" s="207">
        <v>10200000</v>
      </c>
      <c r="F243" s="187">
        <f>E243*$E$6</f>
        <v>7168600.7999999998</v>
      </c>
      <c r="G243" s="207">
        <v>10200000</v>
      </c>
      <c r="H243" s="187">
        <f>G243*$G$6</f>
        <v>7168600.7999999998</v>
      </c>
      <c r="I243" s="207">
        <v>10200000</v>
      </c>
      <c r="J243" s="355">
        <f>I243*$I$6</f>
        <v>7168600.7999999998</v>
      </c>
      <c r="K243" s="355">
        <v>7967464.7535239998</v>
      </c>
      <c r="L243" s="355">
        <v>6771112.96</v>
      </c>
      <c r="M243" s="184">
        <f t="shared" si="347"/>
        <v>0.94455154484261417</v>
      </c>
      <c r="N243" s="355">
        <v>454800</v>
      </c>
      <c r="O243" s="185">
        <f t="shared" si="304"/>
        <v>6.3443343085864121E-2</v>
      </c>
      <c r="P243" s="355">
        <v>7013473.7199999997</v>
      </c>
      <c r="Q243" s="186">
        <f t="shared" si="331"/>
        <v>0.97836020105904065</v>
      </c>
      <c r="R243" s="355">
        <v>3728062.96</v>
      </c>
      <c r="S243" s="186">
        <f t="shared" si="332"/>
        <v>0.52005447980866781</v>
      </c>
      <c r="T243" s="187">
        <v>2116956.1799999997</v>
      </c>
      <c r="U243" s="187">
        <v>0</v>
      </c>
      <c r="V243" s="187">
        <v>0</v>
      </c>
      <c r="W243" s="187">
        <v>0</v>
      </c>
      <c r="X243" s="187">
        <v>0</v>
      </c>
      <c r="Y243" s="187">
        <f t="shared" si="282"/>
        <v>2116956.1799999997</v>
      </c>
      <c r="Z243" s="355">
        <f t="shared" si="316"/>
        <v>2116956.1799999997</v>
      </c>
      <c r="AA243" s="355">
        <v>2588250</v>
      </c>
      <c r="AB243" s="201">
        <f>AA243/J243</f>
        <v>0.36105372194808227</v>
      </c>
      <c r="AC243" s="204">
        <f>SUM(T243:V243)</f>
        <v>2116956.1799999997</v>
      </c>
      <c r="AD243" s="186">
        <f t="shared" si="334"/>
        <v>0.29530953655558556</v>
      </c>
      <c r="AE243" s="184">
        <v>0</v>
      </c>
      <c r="AF243" s="190">
        <f t="shared" si="318"/>
        <v>3440537.84</v>
      </c>
      <c r="AG243" s="191">
        <f t="shared" si="348"/>
        <v>0.47994552019133219</v>
      </c>
      <c r="AH243" s="210" t="s">
        <v>380</v>
      </c>
      <c r="AI243" s="219">
        <v>7967464.7535239998</v>
      </c>
      <c r="AJ243" s="244" t="s">
        <v>408</v>
      </c>
      <c r="AK243" s="355">
        <v>116965.45047002734</v>
      </c>
      <c r="AL243" s="355">
        <v>130000</v>
      </c>
      <c r="AM243" s="212">
        <f t="shared" si="320"/>
        <v>1.6316357087428741E-2</v>
      </c>
      <c r="AN243" s="355"/>
      <c r="AO243" s="355">
        <f t="shared" si="327"/>
        <v>130000</v>
      </c>
      <c r="AP243" s="355">
        <v>130000</v>
      </c>
      <c r="AQ243" s="355">
        <v>130000</v>
      </c>
      <c r="AR243" s="212">
        <f t="shared" si="311"/>
        <v>1.6316357087428741E-2</v>
      </c>
      <c r="AS243" s="314" t="s">
        <v>433</v>
      </c>
      <c r="AT243" s="314" t="s">
        <v>705</v>
      </c>
      <c r="AU243" s="384"/>
      <c r="AV243" s="260"/>
      <c r="AW243" s="294"/>
      <c r="AX243" s="250"/>
      <c r="AY243" s="250"/>
    </row>
    <row r="244" spans="1:51" s="99" customFormat="1">
      <c r="A244" s="379" t="s">
        <v>132</v>
      </c>
      <c r="B244" s="66" t="s">
        <v>666</v>
      </c>
      <c r="C244" s="67" t="s">
        <v>171</v>
      </c>
      <c r="D244" s="67" t="s">
        <v>138</v>
      </c>
      <c r="E244" s="68"/>
      <c r="F244" s="353">
        <f>F245+F248+F249+F250</f>
        <v>76696099.525272012</v>
      </c>
      <c r="G244" s="353"/>
      <c r="H244" s="353">
        <f>H245+H248+H249+H250</f>
        <v>76696099.525272012</v>
      </c>
      <c r="I244" s="353"/>
      <c r="J244" s="353">
        <f>J245+J248+J249+J250</f>
        <v>76696099.525272012</v>
      </c>
      <c r="K244" s="353">
        <f t="shared" ref="K244:AI244" si="352">K245+K248+K249+K250</f>
        <v>76696099.525272012</v>
      </c>
      <c r="L244" s="353">
        <f t="shared" si="352"/>
        <v>127893948.16</v>
      </c>
      <c r="M244" s="353">
        <f t="shared" si="352"/>
        <v>5.0442090112907749</v>
      </c>
      <c r="N244" s="353">
        <f t="shared" si="352"/>
        <v>80055173.590000004</v>
      </c>
      <c r="O244" s="353">
        <f t="shared" si="352"/>
        <v>3.3875828966051014</v>
      </c>
      <c r="P244" s="353">
        <f t="shared" si="352"/>
        <v>47254384.93</v>
      </c>
      <c r="Q244" s="353">
        <f t="shared" si="352"/>
        <v>1.6116998222186589</v>
      </c>
      <c r="R244" s="353">
        <f t="shared" si="352"/>
        <v>47254384.93</v>
      </c>
      <c r="S244" s="353">
        <f t="shared" si="352"/>
        <v>1.6116998222186589</v>
      </c>
      <c r="T244" s="353">
        <f t="shared" si="352"/>
        <v>5354985.17</v>
      </c>
      <c r="U244" s="353">
        <f t="shared" si="352"/>
        <v>9026413.0899999999</v>
      </c>
      <c r="V244" s="353">
        <f t="shared" si="352"/>
        <v>0</v>
      </c>
      <c r="W244" s="353">
        <f t="shared" si="352"/>
        <v>0</v>
      </c>
      <c r="X244" s="353">
        <f t="shared" ca="1" si="352"/>
        <v>76696099.525272012</v>
      </c>
      <c r="Y244" s="353">
        <f t="shared" ca="1" si="352"/>
        <v>76696099.525272012</v>
      </c>
      <c r="Z244" s="353">
        <f t="shared" si="352"/>
        <v>14381398.260000002</v>
      </c>
      <c r="AA244" s="353">
        <f t="shared" si="352"/>
        <v>0</v>
      </c>
      <c r="AB244" s="353">
        <f t="shared" si="352"/>
        <v>0</v>
      </c>
      <c r="AC244" s="353">
        <f t="shared" si="352"/>
        <v>14381398.260000002</v>
      </c>
      <c r="AD244" s="353">
        <f t="shared" si="352"/>
        <v>0.46639472473354071</v>
      </c>
      <c r="AE244" s="353">
        <f t="shared" si="352"/>
        <v>6.6006580595105177E-3</v>
      </c>
      <c r="AF244" s="353">
        <f t="shared" si="352"/>
        <v>29441713.913400002</v>
      </c>
      <c r="AG244" s="353" t="e">
        <f t="shared" si="352"/>
        <v>#DIV/0!</v>
      </c>
      <c r="AH244" s="353" t="e">
        <f t="shared" si="352"/>
        <v>#VALUE!</v>
      </c>
      <c r="AI244" s="353">
        <f t="shared" si="352"/>
        <v>153392199.05054402</v>
      </c>
      <c r="AJ244" s="239" t="s">
        <v>408</v>
      </c>
      <c r="AK244" s="353">
        <f>AK245+AK248+AK249+AK250</f>
        <v>0</v>
      </c>
      <c r="AL244" s="353">
        <f t="shared" ref="AL244" si="353">AL245+AL248+AL249+AL250</f>
        <v>0</v>
      </c>
      <c r="AM244" s="311">
        <f t="shared" si="320"/>
        <v>0</v>
      </c>
      <c r="AN244" s="354"/>
      <c r="AO244" s="353">
        <f t="shared" si="327"/>
        <v>0</v>
      </c>
      <c r="AP244" s="353">
        <f>AP245+AP248+AP249+AP250</f>
        <v>0</v>
      </c>
      <c r="AQ244" s="353">
        <f>AQ245+AQ248+AQ249+AQ250</f>
        <v>0</v>
      </c>
      <c r="AR244" s="311">
        <f t="shared" si="311"/>
        <v>0</v>
      </c>
      <c r="AS244" s="96"/>
      <c r="AT244" s="96"/>
      <c r="AU244" s="386"/>
      <c r="AV244" s="262"/>
      <c r="AW244" s="294"/>
      <c r="AX244" s="250"/>
      <c r="AY244" s="250"/>
    </row>
    <row r="245" spans="1:51" s="100" customFormat="1" ht="71.25" customHeight="1">
      <c r="A245" s="381" t="s">
        <v>219</v>
      </c>
      <c r="B245" s="71" t="s">
        <v>667</v>
      </c>
      <c r="C245" s="72" t="s">
        <v>171</v>
      </c>
      <c r="D245" s="72" t="s">
        <v>155</v>
      </c>
      <c r="E245" s="81"/>
      <c r="F245" s="81">
        <f>F246+F247</f>
        <v>55330599.293400005</v>
      </c>
      <c r="G245" s="81"/>
      <c r="H245" s="81">
        <f t="shared" ref="H245" si="354">H246+H247</f>
        <v>55330599.293400005</v>
      </c>
      <c r="I245" s="81"/>
      <c r="J245" s="81">
        <f>J246+J247</f>
        <v>55330599.293400005</v>
      </c>
      <c r="K245" s="81">
        <f t="shared" ref="K245:AI245" si="355">K246+K247</f>
        <v>55330599.293400005</v>
      </c>
      <c r="L245" s="81">
        <f t="shared" si="355"/>
        <v>41978340.109999999</v>
      </c>
      <c r="M245" s="81">
        <f t="shared" si="355"/>
        <v>1.0229781897518844</v>
      </c>
      <c r="N245" s="81">
        <f t="shared" si="355"/>
        <v>15505065.09</v>
      </c>
      <c r="O245" s="81">
        <f t="shared" si="355"/>
        <v>0.36635204315158221</v>
      </c>
      <c r="P245" s="81">
        <f t="shared" si="355"/>
        <v>25888885.379999999</v>
      </c>
      <c r="Q245" s="81">
        <f t="shared" si="355"/>
        <v>0.61169985413328731</v>
      </c>
      <c r="R245" s="81">
        <f t="shared" si="355"/>
        <v>25888885.379999999</v>
      </c>
      <c r="S245" s="81">
        <f t="shared" si="355"/>
        <v>0.61169985413328731</v>
      </c>
      <c r="T245" s="81">
        <f t="shared" si="355"/>
        <v>3257468.9400000004</v>
      </c>
      <c r="U245" s="81">
        <f t="shared" si="355"/>
        <v>5661828.2800000003</v>
      </c>
      <c r="V245" s="81">
        <f t="shared" si="355"/>
        <v>0</v>
      </c>
      <c r="W245" s="81">
        <f t="shared" si="355"/>
        <v>0</v>
      </c>
      <c r="X245" s="81">
        <f t="shared" ca="1" si="355"/>
        <v>55330599.293400005</v>
      </c>
      <c r="Y245" s="81">
        <f t="shared" ca="1" si="355"/>
        <v>55330599.293400005</v>
      </c>
      <c r="Z245" s="81">
        <f t="shared" si="355"/>
        <v>8919297.2200000007</v>
      </c>
      <c r="AA245" s="81">
        <f t="shared" si="355"/>
        <v>0</v>
      </c>
      <c r="AB245" s="81">
        <f t="shared" si="355"/>
        <v>0</v>
      </c>
      <c r="AC245" s="81">
        <f t="shared" si="355"/>
        <v>8919297.2200000007</v>
      </c>
      <c r="AD245" s="81">
        <f t="shared" si="355"/>
        <v>0.210744214297473</v>
      </c>
      <c r="AE245" s="81">
        <f t="shared" si="355"/>
        <v>6.6006580595105177E-3</v>
      </c>
      <c r="AF245" s="81">
        <f t="shared" si="355"/>
        <v>29441713.913400002</v>
      </c>
      <c r="AG245" s="81">
        <f t="shared" si="355"/>
        <v>1.3883001458667126</v>
      </c>
      <c r="AH245" s="81" t="e">
        <f t="shared" si="355"/>
        <v>#VALUE!</v>
      </c>
      <c r="AI245" s="81">
        <f t="shared" si="355"/>
        <v>110661198.58680001</v>
      </c>
      <c r="AJ245" s="243" t="s">
        <v>409</v>
      </c>
      <c r="AK245" s="81">
        <f>AK246+AK247</f>
        <v>0</v>
      </c>
      <c r="AL245" s="81">
        <f t="shared" ref="AL245" si="356">AL246+AL247</f>
        <v>0</v>
      </c>
      <c r="AM245" s="96">
        <f t="shared" si="320"/>
        <v>0</v>
      </c>
      <c r="AN245" s="354"/>
      <c r="AO245" s="81">
        <f t="shared" si="327"/>
        <v>0</v>
      </c>
      <c r="AP245" s="81">
        <f>AP246+AP247</f>
        <v>0</v>
      </c>
      <c r="AQ245" s="81">
        <f>AQ246+AQ247</f>
        <v>0</v>
      </c>
      <c r="AR245" s="96">
        <f t="shared" si="311"/>
        <v>0</v>
      </c>
      <c r="AS245" s="96"/>
      <c r="AT245" s="96"/>
      <c r="AU245" s="389"/>
      <c r="AV245" s="258"/>
      <c r="AW245" s="294"/>
      <c r="AX245" s="250"/>
      <c r="AY245" s="250"/>
    </row>
    <row r="246" spans="1:51" s="100" customFormat="1" ht="67.150000000000006" customHeight="1">
      <c r="A246" s="381" t="s">
        <v>227</v>
      </c>
      <c r="B246" s="71" t="s">
        <v>668</v>
      </c>
      <c r="C246" s="72" t="s">
        <v>171</v>
      </c>
      <c r="D246" s="72" t="s">
        <v>155</v>
      </c>
      <c r="E246" s="112">
        <v>60220000</v>
      </c>
      <c r="F246" s="79">
        <f>E246*$E$6</f>
        <v>42322856.880000003</v>
      </c>
      <c r="G246" s="112">
        <v>60220000</v>
      </c>
      <c r="H246" s="79">
        <f>G246*$G$6</f>
        <v>42322856.880000003</v>
      </c>
      <c r="I246" s="112">
        <v>60220000</v>
      </c>
      <c r="J246" s="354">
        <f>I246*$I$6</f>
        <v>42322856.880000003</v>
      </c>
      <c r="K246" s="354">
        <v>42322856.880000003</v>
      </c>
      <c r="L246" s="354">
        <v>41393950.469999999</v>
      </c>
      <c r="M246" s="130">
        <f t="shared" si="347"/>
        <v>0.97805189728486963</v>
      </c>
      <c r="N246" s="354">
        <v>15505065.09</v>
      </c>
      <c r="O246" s="137">
        <f t="shared" si="304"/>
        <v>0.36635204315158221</v>
      </c>
      <c r="P246" s="354">
        <v>25888885.379999999</v>
      </c>
      <c r="Q246" s="76">
        <f t="shared" si="331"/>
        <v>0.61169985413328731</v>
      </c>
      <c r="R246" s="354">
        <v>25888885.379999999</v>
      </c>
      <c r="S246" s="76">
        <f t="shared" si="332"/>
        <v>0.61169985413328731</v>
      </c>
      <c r="T246" s="79">
        <v>3257468.9400000004</v>
      </c>
      <c r="U246" s="79">
        <v>5661828.2800000003</v>
      </c>
      <c r="V246" s="79">
        <v>0</v>
      </c>
      <c r="W246" s="79">
        <v>0</v>
      </c>
      <c r="X246" s="79">
        <f t="shared" ref="X246" ca="1" si="357">X245</f>
        <v>0</v>
      </c>
      <c r="Y246" s="79">
        <f t="shared" ca="1" si="282"/>
        <v>8919297.2200000007</v>
      </c>
      <c r="Z246" s="354">
        <f t="shared" si="316"/>
        <v>8919297.2200000007</v>
      </c>
      <c r="AA246" s="354"/>
      <c r="AB246" s="130"/>
      <c r="AC246" s="118">
        <f>SUM(T246:V246)</f>
        <v>8919297.2200000007</v>
      </c>
      <c r="AD246" s="76">
        <f t="shared" si="334"/>
        <v>0.210744214297473</v>
      </c>
      <c r="AE246" s="130">
        <v>6.6006580595105177E-3</v>
      </c>
      <c r="AF246" s="174">
        <f t="shared" si="318"/>
        <v>16433971.500000004</v>
      </c>
      <c r="AG246" s="182">
        <f t="shared" si="348"/>
        <v>0.38830014586671263</v>
      </c>
      <c r="AH246" s="148" t="s">
        <v>417</v>
      </c>
      <c r="AI246" s="215">
        <v>84645713.760000005</v>
      </c>
      <c r="AJ246" s="243" t="s">
        <v>409</v>
      </c>
      <c r="AK246" s="354">
        <v>0</v>
      </c>
      <c r="AL246" s="354">
        <v>0</v>
      </c>
      <c r="AM246" s="96">
        <f t="shared" si="320"/>
        <v>0</v>
      </c>
      <c r="AN246" s="130" t="s">
        <v>408</v>
      </c>
      <c r="AO246" s="354">
        <f t="shared" si="327"/>
        <v>0</v>
      </c>
      <c r="AP246" s="307"/>
      <c r="AQ246" s="307"/>
      <c r="AR246" s="96">
        <f t="shared" si="311"/>
        <v>0</v>
      </c>
      <c r="AS246" s="307"/>
      <c r="AT246" s="307"/>
      <c r="AU246" s="388"/>
      <c r="AV246" s="261"/>
      <c r="AW246" s="294"/>
    </row>
    <row r="247" spans="1:51" s="100" customFormat="1" ht="67.150000000000006" customHeight="1">
      <c r="A247" s="381" t="s">
        <v>210</v>
      </c>
      <c r="B247" s="71" t="s">
        <v>669</v>
      </c>
      <c r="C247" s="72" t="s">
        <v>171</v>
      </c>
      <c r="D247" s="72" t="s">
        <v>155</v>
      </c>
      <c r="E247" s="112">
        <v>18508350</v>
      </c>
      <c r="F247" s="79">
        <f>E247*$E$6</f>
        <v>13007742.4134</v>
      </c>
      <c r="G247" s="112">
        <v>18508350</v>
      </c>
      <c r="H247" s="79">
        <f>G247*$G$6</f>
        <v>13007742.4134</v>
      </c>
      <c r="I247" s="112">
        <v>18508350</v>
      </c>
      <c r="J247" s="354">
        <f>I247*$I$6</f>
        <v>13007742.4134</v>
      </c>
      <c r="K247" s="354">
        <v>13007742.4134</v>
      </c>
      <c r="L247" s="354">
        <v>584389.64</v>
      </c>
      <c r="M247" s="130">
        <f t="shared" si="347"/>
        <v>4.4926292467014697E-2</v>
      </c>
      <c r="N247" s="354"/>
      <c r="O247" s="132">
        <f t="shared" si="304"/>
        <v>0</v>
      </c>
      <c r="P247" s="354">
        <v>0</v>
      </c>
      <c r="Q247" s="76">
        <f t="shared" si="331"/>
        <v>0</v>
      </c>
      <c r="R247" s="354">
        <v>0</v>
      </c>
      <c r="S247" s="76">
        <v>0</v>
      </c>
      <c r="T247" s="79">
        <v>0</v>
      </c>
      <c r="U247" s="79">
        <v>0</v>
      </c>
      <c r="V247" s="79">
        <v>0</v>
      </c>
      <c r="W247" s="79">
        <v>0</v>
      </c>
      <c r="X247" s="79">
        <v>0</v>
      </c>
      <c r="Y247" s="79">
        <v>0</v>
      </c>
      <c r="Z247" s="354">
        <f t="shared" si="316"/>
        <v>0</v>
      </c>
      <c r="AA247" s="354"/>
      <c r="AB247" s="130"/>
      <c r="AC247" s="118">
        <f>SUM(T247:V247)</f>
        <v>0</v>
      </c>
      <c r="AD247" s="76">
        <v>0</v>
      </c>
      <c r="AE247" s="130"/>
      <c r="AF247" s="171">
        <f t="shared" si="318"/>
        <v>13007742.4134</v>
      </c>
      <c r="AG247" s="172">
        <f t="shared" si="348"/>
        <v>1</v>
      </c>
      <c r="AH247" s="148" t="s">
        <v>334</v>
      </c>
      <c r="AI247" s="215">
        <v>26015484.8268</v>
      </c>
      <c r="AJ247" s="243" t="s">
        <v>409</v>
      </c>
      <c r="AK247" s="354">
        <v>0</v>
      </c>
      <c r="AL247" s="354">
        <v>0</v>
      </c>
      <c r="AM247" s="96">
        <f t="shared" si="320"/>
        <v>0</v>
      </c>
      <c r="AN247" s="354"/>
      <c r="AO247" s="354">
        <f t="shared" si="327"/>
        <v>0</v>
      </c>
      <c r="AP247" s="96"/>
      <c r="AQ247" s="96"/>
      <c r="AR247" s="96">
        <f t="shared" si="311"/>
        <v>0</v>
      </c>
      <c r="AS247" s="96"/>
      <c r="AT247" s="96"/>
      <c r="AU247" s="388"/>
      <c r="AV247" s="261"/>
      <c r="AW247" s="294"/>
    </row>
    <row r="248" spans="1:51" s="83" customFormat="1" ht="33.6" customHeight="1">
      <c r="A248" s="381" t="s">
        <v>175</v>
      </c>
      <c r="B248" s="71" t="s">
        <v>670</v>
      </c>
      <c r="C248" s="72" t="s">
        <v>171</v>
      </c>
      <c r="D248" s="72" t="s">
        <v>155</v>
      </c>
      <c r="E248" s="112">
        <v>30400368</v>
      </c>
      <c r="F248" s="79">
        <f>E248*$E$6</f>
        <v>21365500.231872</v>
      </c>
      <c r="G248" s="112">
        <v>30400368</v>
      </c>
      <c r="H248" s="79">
        <f>G248*$G$6</f>
        <v>21365500.231872</v>
      </c>
      <c r="I248" s="112">
        <v>30400368</v>
      </c>
      <c r="J248" s="354">
        <f>I248*$I$6</f>
        <v>21365500.231872</v>
      </c>
      <c r="K248" s="354">
        <v>21365500.231872</v>
      </c>
      <c r="L248" s="354">
        <v>85915608.049999997</v>
      </c>
      <c r="M248" s="130">
        <f t="shared" si="347"/>
        <v>4.0212308215388903</v>
      </c>
      <c r="N248" s="354">
        <v>64550108.5</v>
      </c>
      <c r="O248" s="132">
        <f t="shared" si="304"/>
        <v>3.021230853453519</v>
      </c>
      <c r="P248" s="354">
        <v>21365499.550000001</v>
      </c>
      <c r="Q248" s="76">
        <f t="shared" si="331"/>
        <v>0.99999996808537162</v>
      </c>
      <c r="R248" s="354">
        <v>21365499.550000001</v>
      </c>
      <c r="S248" s="76">
        <f>R248/J248</f>
        <v>0.99999996808537162</v>
      </c>
      <c r="T248" s="79">
        <v>2097516.23</v>
      </c>
      <c r="U248" s="79">
        <v>3364584.81</v>
      </c>
      <c r="V248" s="79">
        <v>0</v>
      </c>
      <c r="W248" s="79">
        <v>0</v>
      </c>
      <c r="X248" s="79">
        <v>0</v>
      </c>
      <c r="Y248" s="79">
        <f t="shared" si="282"/>
        <v>5462101.04</v>
      </c>
      <c r="Z248" s="354">
        <f t="shared" si="316"/>
        <v>5462101.04</v>
      </c>
      <c r="AA248" s="354"/>
      <c r="AB248" s="130"/>
      <c r="AC248" s="118">
        <f t="shared" ref="AC248:AC250" si="358">SUM(T248:V248)</f>
        <v>5462101.04</v>
      </c>
      <c r="AD248" s="76">
        <f>AC248/J248</f>
        <v>0.25565051043606773</v>
      </c>
      <c r="AE248" s="130">
        <v>0</v>
      </c>
      <c r="AF248" s="171">
        <v>0</v>
      </c>
      <c r="AG248" s="172">
        <f t="shared" si="348"/>
        <v>0</v>
      </c>
      <c r="AH248" s="96"/>
      <c r="AI248" s="354">
        <v>42731000.463744</v>
      </c>
      <c r="AJ248" s="243" t="s">
        <v>409</v>
      </c>
      <c r="AK248" s="354">
        <v>0</v>
      </c>
      <c r="AL248" s="354">
        <v>0</v>
      </c>
      <c r="AM248" s="96">
        <f t="shared" si="320"/>
        <v>0</v>
      </c>
      <c r="AN248" s="354"/>
      <c r="AO248" s="354">
        <f t="shared" si="327"/>
        <v>0</v>
      </c>
      <c r="AP248" s="96"/>
      <c r="AQ248" s="96"/>
      <c r="AR248" s="96">
        <f t="shared" si="311"/>
        <v>0</v>
      </c>
      <c r="AS248" s="96"/>
      <c r="AT248" s="96"/>
      <c r="AU248" s="388"/>
      <c r="AV248" s="261"/>
      <c r="AW248" s="294"/>
    </row>
    <row r="249" spans="1:51" s="83" customFormat="1" ht="50.45" customHeight="1">
      <c r="A249" s="381" t="s">
        <v>133</v>
      </c>
      <c r="B249" s="71" t="s">
        <v>671</v>
      </c>
      <c r="C249" s="72" t="s">
        <v>171</v>
      </c>
      <c r="D249" s="72" t="s">
        <v>155</v>
      </c>
      <c r="E249" s="112">
        <v>0</v>
      </c>
      <c r="F249" s="79">
        <f>E249*$E$6</f>
        <v>0</v>
      </c>
      <c r="G249" s="112">
        <v>0</v>
      </c>
      <c r="H249" s="79">
        <f>G249*$G$6</f>
        <v>0</v>
      </c>
      <c r="I249" s="112">
        <v>0</v>
      </c>
      <c r="J249" s="354">
        <f>I249*$I$6</f>
        <v>0</v>
      </c>
      <c r="K249" s="354">
        <v>0</v>
      </c>
      <c r="L249" s="354"/>
      <c r="M249" s="130"/>
      <c r="N249" s="354"/>
      <c r="O249" s="132"/>
      <c r="P249" s="354">
        <v>0</v>
      </c>
      <c r="Q249" s="76"/>
      <c r="R249" s="354">
        <v>0</v>
      </c>
      <c r="S249" s="76"/>
      <c r="T249" s="79">
        <v>0</v>
      </c>
      <c r="U249" s="79">
        <v>0</v>
      </c>
      <c r="V249" s="79">
        <v>0</v>
      </c>
      <c r="W249" s="79">
        <v>0</v>
      </c>
      <c r="X249" s="79">
        <v>0</v>
      </c>
      <c r="Y249" s="79">
        <f t="shared" ref="Y249:Y262" si="359">AC249-X249</f>
        <v>0</v>
      </c>
      <c r="Z249" s="354">
        <f t="shared" si="316"/>
        <v>0</v>
      </c>
      <c r="AA249" s="354"/>
      <c r="AB249" s="130"/>
      <c r="AC249" s="118">
        <f t="shared" si="358"/>
        <v>0</v>
      </c>
      <c r="AD249" s="76"/>
      <c r="AE249" s="130"/>
      <c r="AF249" s="171">
        <f t="shared" ref="AF249:AF262" si="360">J249-R249</f>
        <v>0</v>
      </c>
      <c r="AG249" s="172" t="e">
        <f t="shared" si="348"/>
        <v>#DIV/0!</v>
      </c>
      <c r="AH249" s="96"/>
      <c r="AI249" s="354">
        <v>0</v>
      </c>
      <c r="AJ249" s="243" t="s">
        <v>409</v>
      </c>
      <c r="AK249" s="354">
        <v>0</v>
      </c>
      <c r="AL249" s="354">
        <v>0</v>
      </c>
      <c r="AM249" s="96">
        <v>0</v>
      </c>
      <c r="AN249" s="354"/>
      <c r="AO249" s="354">
        <f t="shared" si="327"/>
        <v>0</v>
      </c>
      <c r="AP249" s="96"/>
      <c r="AQ249" s="96"/>
      <c r="AR249" s="96" t="e">
        <f t="shared" si="311"/>
        <v>#DIV/0!</v>
      </c>
      <c r="AS249" s="96"/>
      <c r="AT249" s="96"/>
      <c r="AU249" s="388"/>
      <c r="AV249" s="261"/>
      <c r="AW249" s="294"/>
    </row>
    <row r="250" spans="1:51" s="98" customFormat="1" ht="49.5">
      <c r="A250" s="381" t="s">
        <v>134</v>
      </c>
      <c r="B250" s="71" t="s">
        <v>672</v>
      </c>
      <c r="C250" s="72" t="s">
        <v>171</v>
      </c>
      <c r="D250" s="72" t="s">
        <v>155</v>
      </c>
      <c r="E250" s="112">
        <v>0</v>
      </c>
      <c r="F250" s="79">
        <f>E250*$E$6</f>
        <v>0</v>
      </c>
      <c r="G250" s="112">
        <v>0</v>
      </c>
      <c r="H250" s="79">
        <f>G250*$G$6</f>
        <v>0</v>
      </c>
      <c r="I250" s="112">
        <v>0</v>
      </c>
      <c r="J250" s="354">
        <f>I250*$I$6</f>
        <v>0</v>
      </c>
      <c r="K250" s="354">
        <v>0</v>
      </c>
      <c r="L250" s="354"/>
      <c r="M250" s="130"/>
      <c r="N250" s="354"/>
      <c r="O250" s="132"/>
      <c r="P250" s="354">
        <v>0</v>
      </c>
      <c r="Q250" s="76"/>
      <c r="R250" s="354">
        <v>0</v>
      </c>
      <c r="S250" s="76"/>
      <c r="T250" s="79">
        <v>0</v>
      </c>
      <c r="U250" s="79">
        <v>0</v>
      </c>
      <c r="V250" s="79">
        <v>0</v>
      </c>
      <c r="W250" s="79">
        <v>0</v>
      </c>
      <c r="X250" s="79">
        <v>0</v>
      </c>
      <c r="Y250" s="79">
        <f t="shared" si="359"/>
        <v>0</v>
      </c>
      <c r="Z250" s="354">
        <f t="shared" si="316"/>
        <v>0</v>
      </c>
      <c r="AA250" s="354"/>
      <c r="AB250" s="130"/>
      <c r="AC250" s="118">
        <f t="shared" si="358"/>
        <v>0</v>
      </c>
      <c r="AD250" s="76"/>
      <c r="AE250" s="130"/>
      <c r="AF250" s="171">
        <f t="shared" si="360"/>
        <v>0</v>
      </c>
      <c r="AG250" s="172" t="e">
        <f t="shared" si="348"/>
        <v>#DIV/0!</v>
      </c>
      <c r="AH250" s="96"/>
      <c r="AI250" s="354">
        <v>0</v>
      </c>
      <c r="AJ250" s="243" t="s">
        <v>409</v>
      </c>
      <c r="AK250" s="354">
        <v>0</v>
      </c>
      <c r="AL250" s="354">
        <v>0</v>
      </c>
      <c r="AM250" s="96">
        <v>0</v>
      </c>
      <c r="AN250" s="354"/>
      <c r="AO250" s="354">
        <f t="shared" si="327"/>
        <v>0</v>
      </c>
      <c r="AP250" s="96"/>
      <c r="AQ250" s="96"/>
      <c r="AR250" s="96" t="e">
        <f t="shared" si="311"/>
        <v>#DIV/0!</v>
      </c>
      <c r="AS250" s="96"/>
      <c r="AT250" s="96"/>
      <c r="AU250" s="388"/>
      <c r="AV250" s="260"/>
      <c r="AW250" s="294"/>
      <c r="AX250" s="250"/>
      <c r="AY250" s="250"/>
    </row>
    <row r="251" spans="1:51" s="98" customFormat="1" ht="33">
      <c r="A251" s="379" t="s">
        <v>135</v>
      </c>
      <c r="B251" s="66" t="s">
        <v>673</v>
      </c>
      <c r="C251" s="67" t="s">
        <v>56</v>
      </c>
      <c r="D251" s="67" t="s">
        <v>138</v>
      </c>
      <c r="E251" s="68"/>
      <c r="F251" s="353">
        <f>F252+F255</f>
        <v>192923990.024028</v>
      </c>
      <c r="G251" s="353"/>
      <c r="H251" s="353">
        <f>H252+H255</f>
        <v>192923990.024028</v>
      </c>
      <c r="I251" s="353"/>
      <c r="J251" s="353">
        <f>J252+J255</f>
        <v>192923990.024028</v>
      </c>
      <c r="K251" s="353">
        <f t="shared" ref="K251:AI251" si="361">K252+K255</f>
        <v>192923990.024028</v>
      </c>
      <c r="L251" s="353">
        <f t="shared" si="361"/>
        <v>204502907.59</v>
      </c>
      <c r="M251" s="353">
        <f t="shared" si="361"/>
        <v>2.3363075194026268</v>
      </c>
      <c r="N251" s="353">
        <f t="shared" si="361"/>
        <v>26036302.670000002</v>
      </c>
      <c r="O251" s="353">
        <f t="shared" si="361"/>
        <v>0.14640772719045778</v>
      </c>
      <c r="P251" s="353">
        <f t="shared" si="361"/>
        <v>172657389.09999999</v>
      </c>
      <c r="Q251" s="353">
        <f t="shared" si="361"/>
        <v>2.042319747908671</v>
      </c>
      <c r="R251" s="353">
        <f t="shared" si="361"/>
        <v>171720463.09999999</v>
      </c>
      <c r="S251" s="353">
        <f t="shared" si="361"/>
        <v>1.9261009006222403</v>
      </c>
      <c r="T251" s="353">
        <f t="shared" si="361"/>
        <v>41769597.300000004</v>
      </c>
      <c r="U251" s="353">
        <f t="shared" si="361"/>
        <v>0</v>
      </c>
      <c r="V251" s="353">
        <f t="shared" si="361"/>
        <v>84329586.600000009</v>
      </c>
      <c r="W251" s="353">
        <f t="shared" si="361"/>
        <v>38209985.539999999</v>
      </c>
      <c r="X251" s="353">
        <f t="shared" si="361"/>
        <v>3297070.11</v>
      </c>
      <c r="Y251" s="353">
        <f t="shared" si="361"/>
        <v>122802113.79000002</v>
      </c>
      <c r="Z251" s="353">
        <f t="shared" si="361"/>
        <v>79979582.840000004</v>
      </c>
      <c r="AA251" s="353">
        <f t="shared" si="361"/>
        <v>4791603</v>
      </c>
      <c r="AB251" s="353">
        <f t="shared" si="361"/>
        <v>2.6944213766469438E-2</v>
      </c>
      <c r="AC251" s="353">
        <f t="shared" si="361"/>
        <v>126099183.90000002</v>
      </c>
      <c r="AD251" s="353">
        <f t="shared" si="361"/>
        <v>0.84256168869372061</v>
      </c>
      <c r="AE251" s="353">
        <f t="shared" si="361"/>
        <v>1.3733913686308758E-2</v>
      </c>
      <c r="AF251" s="353">
        <f t="shared" si="361"/>
        <v>21203526.924027998</v>
      </c>
      <c r="AG251" s="353">
        <f t="shared" si="361"/>
        <v>1.0738990993777595</v>
      </c>
      <c r="AH251" s="353" t="e">
        <f t="shared" si="361"/>
        <v>#VALUE!</v>
      </c>
      <c r="AI251" s="353">
        <f t="shared" si="361"/>
        <v>226969401.309852</v>
      </c>
      <c r="AJ251" s="242" t="s">
        <v>408</v>
      </c>
      <c r="AK251" s="353">
        <f>AK252+AK255</f>
        <v>28976000</v>
      </c>
      <c r="AL251" s="353">
        <f t="shared" ref="AL251" si="362">AL252+AL255</f>
        <v>28976000</v>
      </c>
      <c r="AM251" s="311">
        <f t="shared" si="320"/>
        <v>0.15019386648799427</v>
      </c>
      <c r="AN251" s="179"/>
      <c r="AO251" s="353">
        <f t="shared" si="327"/>
        <v>28976000</v>
      </c>
      <c r="AP251" s="353">
        <f>AP252+AP255</f>
        <v>62307756</v>
      </c>
      <c r="AQ251" s="353">
        <f>AQ252+AQ255</f>
        <v>28976000</v>
      </c>
      <c r="AR251" s="311">
        <f t="shared" si="311"/>
        <v>0.15019386648799427</v>
      </c>
      <c r="AS251" s="96"/>
      <c r="AT251" s="96"/>
      <c r="AU251" s="386">
        <f t="shared" ref="AU251" si="363">AU252+AU255</f>
        <v>5113411.7647058833</v>
      </c>
      <c r="AV251" s="260"/>
      <c r="AW251" s="294"/>
      <c r="AX251" s="250"/>
      <c r="AY251" s="250"/>
    </row>
    <row r="252" spans="1:51" s="83" customFormat="1" ht="58.5" customHeight="1">
      <c r="A252" s="379" t="s">
        <v>136</v>
      </c>
      <c r="B252" s="66" t="s">
        <v>674</v>
      </c>
      <c r="C252" s="67" t="s">
        <v>56</v>
      </c>
      <c r="D252" s="67" t="s">
        <v>138</v>
      </c>
      <c r="E252" s="68"/>
      <c r="F252" s="353">
        <f>F253+F254</f>
        <v>184862251.14194399</v>
      </c>
      <c r="G252" s="353"/>
      <c r="H252" s="353">
        <f>H253+H254</f>
        <v>184862251.14194399</v>
      </c>
      <c r="I252" s="353"/>
      <c r="J252" s="353">
        <f>J253+J254</f>
        <v>184862251.14194399</v>
      </c>
      <c r="K252" s="353">
        <f t="shared" ref="K252:AI252" si="364">K253+K254</f>
        <v>184862251.14194399</v>
      </c>
      <c r="L252" s="353">
        <f t="shared" si="364"/>
        <v>202595587.59</v>
      </c>
      <c r="M252" s="353">
        <f t="shared" si="364"/>
        <v>2.0997183631551164</v>
      </c>
      <c r="N252" s="353">
        <f t="shared" si="364"/>
        <v>26036302.670000002</v>
      </c>
      <c r="O252" s="353">
        <f t="shared" si="364"/>
        <v>0.14640772719045778</v>
      </c>
      <c r="P252" s="353">
        <f t="shared" si="364"/>
        <v>171720463.09999999</v>
      </c>
      <c r="Q252" s="353">
        <f t="shared" si="364"/>
        <v>1.9261009006222403</v>
      </c>
      <c r="R252" s="353">
        <f t="shared" si="364"/>
        <v>171720463.09999999</v>
      </c>
      <c r="S252" s="353">
        <f t="shared" si="364"/>
        <v>1.9261009006222403</v>
      </c>
      <c r="T252" s="353">
        <f t="shared" si="364"/>
        <v>41769597.300000004</v>
      </c>
      <c r="U252" s="353">
        <f t="shared" si="364"/>
        <v>0</v>
      </c>
      <c r="V252" s="353">
        <f t="shared" si="364"/>
        <v>84329586.600000009</v>
      </c>
      <c r="W252" s="353">
        <f t="shared" si="364"/>
        <v>38209985.539999999</v>
      </c>
      <c r="X252" s="353">
        <f t="shared" si="364"/>
        <v>3297070.11</v>
      </c>
      <c r="Y252" s="353">
        <f t="shared" si="364"/>
        <v>122802113.79000002</v>
      </c>
      <c r="Z252" s="353">
        <f t="shared" si="364"/>
        <v>79979582.840000004</v>
      </c>
      <c r="AA252" s="353">
        <f t="shared" si="364"/>
        <v>4791603</v>
      </c>
      <c r="AB252" s="353">
        <f t="shared" si="364"/>
        <v>2.6944213766469438E-2</v>
      </c>
      <c r="AC252" s="353">
        <f t="shared" si="364"/>
        <v>126099183.90000002</v>
      </c>
      <c r="AD252" s="353">
        <f t="shared" si="364"/>
        <v>0.84256168869372061</v>
      </c>
      <c r="AE252" s="353">
        <f t="shared" si="364"/>
        <v>1.3733913686308758E-2</v>
      </c>
      <c r="AF252" s="353">
        <f t="shared" si="364"/>
        <v>13141788.041943997</v>
      </c>
      <c r="AG252" s="353">
        <f t="shared" si="364"/>
        <v>7.3899099377759569E-2</v>
      </c>
      <c r="AH252" s="353" t="e">
        <f t="shared" si="364"/>
        <v>#VALUE!</v>
      </c>
      <c r="AI252" s="353">
        <f t="shared" si="364"/>
        <v>217485001.59151199</v>
      </c>
      <c r="AJ252" s="242" t="s">
        <v>408</v>
      </c>
      <c r="AK252" s="353">
        <f>AK253+AK254</f>
        <v>11100000</v>
      </c>
      <c r="AL252" s="353">
        <f t="shared" ref="AL252" si="365">AL253+AL254</f>
        <v>11100000</v>
      </c>
      <c r="AM252" s="311">
        <f t="shared" si="320"/>
        <v>6.0044708594817524E-2</v>
      </c>
      <c r="AN252" s="354"/>
      <c r="AO252" s="353">
        <f t="shared" si="327"/>
        <v>11100000</v>
      </c>
      <c r="AP252" s="353">
        <f>AP253+AP254</f>
        <v>44431756</v>
      </c>
      <c r="AQ252" s="353">
        <f>AQ253+AQ254</f>
        <v>11100000</v>
      </c>
      <c r="AR252" s="311">
        <f t="shared" si="311"/>
        <v>6.0044708594817524E-2</v>
      </c>
      <c r="AS252" s="96"/>
      <c r="AT252" s="96"/>
      <c r="AU252" s="386">
        <f t="shared" ref="AU252" si="366">AU253+AU254</f>
        <v>1958823.5294117648</v>
      </c>
      <c r="AV252" s="258"/>
      <c r="AW252" s="294"/>
      <c r="AX252" s="250"/>
      <c r="AY252" s="250"/>
    </row>
    <row r="253" spans="1:51" s="83" customFormat="1" ht="243" customHeight="1">
      <c r="A253" s="383" t="s">
        <v>311</v>
      </c>
      <c r="B253" s="350" t="s">
        <v>675</v>
      </c>
      <c r="C253" s="183" t="s">
        <v>56</v>
      </c>
      <c r="D253" s="183" t="s">
        <v>687</v>
      </c>
      <c r="E253" s="207">
        <v>253035286</v>
      </c>
      <c r="F253" s="187">
        <f>E253*$E$6</f>
        <v>177834211.14194399</v>
      </c>
      <c r="G253" s="207">
        <v>253035286</v>
      </c>
      <c r="H253" s="187">
        <f>G253*$G$6</f>
        <v>177834211.14194399</v>
      </c>
      <c r="I253" s="207">
        <v>253035286</v>
      </c>
      <c r="J253" s="355">
        <f>I253*$I$6</f>
        <v>177834211.14194399</v>
      </c>
      <c r="K253" s="355">
        <v>177834211.14194399</v>
      </c>
      <c r="L253" s="355">
        <v>195567547.59</v>
      </c>
      <c r="M253" s="184">
        <f t="shared" si="347"/>
        <v>1.0997183631551164</v>
      </c>
      <c r="N253" s="355">
        <v>26036302.670000002</v>
      </c>
      <c r="O253" s="185">
        <f t="shared" si="304"/>
        <v>0.14640772719045778</v>
      </c>
      <c r="P253" s="355">
        <v>164692423.09999999</v>
      </c>
      <c r="Q253" s="186">
        <f>P253/J253</f>
        <v>0.92610090062224037</v>
      </c>
      <c r="R253" s="355">
        <v>164692423.09999999</v>
      </c>
      <c r="S253" s="186">
        <f>R253/J253</f>
        <v>0.92610090062224037</v>
      </c>
      <c r="T253" s="187">
        <v>41769597.300000004</v>
      </c>
      <c r="U253" s="187"/>
      <c r="V253" s="187">
        <v>83352892.650000006</v>
      </c>
      <c r="W253" s="187">
        <v>38195601.93</v>
      </c>
      <c r="X253" s="187">
        <v>3297070.11</v>
      </c>
      <c r="Y253" s="187">
        <f t="shared" si="359"/>
        <v>121825419.84000002</v>
      </c>
      <c r="Z253" s="355">
        <f t="shared" si="316"/>
        <v>79965199.230000004</v>
      </c>
      <c r="AA253" s="355">
        <v>4791603</v>
      </c>
      <c r="AB253" s="201">
        <f>AA253/J253</f>
        <v>2.6944213766469438E-2</v>
      </c>
      <c r="AC253" s="204">
        <f t="shared" ref="AC253:AC254" si="367">SUM(T253:V253)</f>
        <v>125122489.95000002</v>
      </c>
      <c r="AD253" s="186">
        <f>AC253/J253</f>
        <v>0.70359065978665691</v>
      </c>
      <c r="AE253" s="184">
        <v>1.3733913686308758E-2</v>
      </c>
      <c r="AF253" s="190">
        <f t="shared" si="360"/>
        <v>13141788.041943997</v>
      </c>
      <c r="AG253" s="191">
        <f t="shared" si="348"/>
        <v>7.3899099377759569E-2</v>
      </c>
      <c r="AH253" s="463" t="s">
        <v>381</v>
      </c>
      <c r="AI253" s="355">
        <v>209216719.85869199</v>
      </c>
      <c r="AJ253" s="244" t="s">
        <v>408</v>
      </c>
      <c r="AK253" s="355">
        <v>11100000</v>
      </c>
      <c r="AL253" s="355">
        <v>11100000</v>
      </c>
      <c r="AM253" s="212">
        <f t="shared" si="320"/>
        <v>6.241768627488771E-2</v>
      </c>
      <c r="AN253" s="191" t="s">
        <v>408</v>
      </c>
      <c r="AO253" s="355">
        <f t="shared" si="327"/>
        <v>11100000</v>
      </c>
      <c r="AP253" s="355">
        <v>44431756</v>
      </c>
      <c r="AQ253" s="355">
        <v>11100000</v>
      </c>
      <c r="AR253" s="212">
        <f t="shared" si="311"/>
        <v>6.241768627488771E-2</v>
      </c>
      <c r="AS253" s="324" t="s">
        <v>432</v>
      </c>
      <c r="AT253" s="274" t="s">
        <v>726</v>
      </c>
      <c r="AU253" s="384">
        <f>AO253/0.85-AO253</f>
        <v>1958823.5294117648</v>
      </c>
      <c r="AV253" s="261"/>
      <c r="AW253" s="294"/>
    </row>
    <row r="254" spans="1:51" s="98" customFormat="1" ht="49.5" customHeight="1">
      <c r="A254" s="381" t="s">
        <v>137</v>
      </c>
      <c r="B254" s="71" t="s">
        <v>676</v>
      </c>
      <c r="C254" s="72" t="s">
        <v>56</v>
      </c>
      <c r="D254" s="72" t="s">
        <v>687</v>
      </c>
      <c r="E254" s="112">
        <v>10000000</v>
      </c>
      <c r="F254" s="79">
        <f>E254*$E$6</f>
        <v>7028040</v>
      </c>
      <c r="G254" s="112">
        <v>10000000</v>
      </c>
      <c r="H254" s="79">
        <f>G254*$G$6</f>
        <v>7028040</v>
      </c>
      <c r="I254" s="112">
        <v>10000000</v>
      </c>
      <c r="J254" s="354">
        <f>I254*$I$6</f>
        <v>7028040</v>
      </c>
      <c r="K254" s="354">
        <v>7028040</v>
      </c>
      <c r="L254" s="354">
        <v>7028040</v>
      </c>
      <c r="M254" s="130">
        <f t="shared" si="347"/>
        <v>1</v>
      </c>
      <c r="N254" s="354"/>
      <c r="O254" s="132">
        <f t="shared" si="304"/>
        <v>0</v>
      </c>
      <c r="P254" s="354">
        <v>7028040</v>
      </c>
      <c r="Q254" s="76">
        <f>P254/J254</f>
        <v>1</v>
      </c>
      <c r="R254" s="354">
        <v>7028040</v>
      </c>
      <c r="S254" s="76">
        <f>R254/J254</f>
        <v>1</v>
      </c>
      <c r="T254" s="79">
        <v>0</v>
      </c>
      <c r="U254" s="79"/>
      <c r="V254" s="79">
        <v>976693.95</v>
      </c>
      <c r="W254" s="79">
        <v>14383.61</v>
      </c>
      <c r="X254" s="79">
        <v>0</v>
      </c>
      <c r="Y254" s="79">
        <f>AC254-X254</f>
        <v>976693.95</v>
      </c>
      <c r="Z254" s="354">
        <f t="shared" si="316"/>
        <v>14383.61</v>
      </c>
      <c r="AA254" s="354"/>
      <c r="AB254" s="130"/>
      <c r="AC254" s="118">
        <f t="shared" si="367"/>
        <v>976693.95</v>
      </c>
      <c r="AD254" s="76">
        <f>AC254/J254</f>
        <v>0.1389710289070637</v>
      </c>
      <c r="AE254" s="130">
        <v>0</v>
      </c>
      <c r="AF254" s="171">
        <f t="shared" si="360"/>
        <v>0</v>
      </c>
      <c r="AG254" s="172">
        <f t="shared" si="348"/>
        <v>0</v>
      </c>
      <c r="AH254" s="463"/>
      <c r="AI254" s="354">
        <v>8268281.7328200005</v>
      </c>
      <c r="AJ254" s="243" t="s">
        <v>409</v>
      </c>
      <c r="AK254" s="354">
        <v>0</v>
      </c>
      <c r="AL254" s="354">
        <v>0</v>
      </c>
      <c r="AM254" s="96">
        <f t="shared" si="320"/>
        <v>0</v>
      </c>
      <c r="AN254" s="354"/>
      <c r="AO254" s="354">
        <f t="shared" si="327"/>
        <v>0</v>
      </c>
      <c r="AP254" s="96"/>
      <c r="AQ254" s="96"/>
      <c r="AR254" s="96">
        <f t="shared" si="311"/>
        <v>0</v>
      </c>
      <c r="AS254" s="96"/>
      <c r="AT254" s="96"/>
      <c r="AU254" s="388"/>
      <c r="AV254" s="260"/>
      <c r="AW254" s="294"/>
    </row>
    <row r="255" spans="1:51" s="83" customFormat="1" ht="69" customHeight="1">
      <c r="A255" s="379" t="s">
        <v>139</v>
      </c>
      <c r="B255" s="66" t="s">
        <v>677</v>
      </c>
      <c r="C255" s="67" t="s">
        <v>56</v>
      </c>
      <c r="D255" s="67" t="s">
        <v>141</v>
      </c>
      <c r="E255" s="68"/>
      <c r="F255" s="353">
        <f>F256</f>
        <v>8061738.8820839999</v>
      </c>
      <c r="G255" s="353"/>
      <c r="H255" s="353">
        <f>H256</f>
        <v>8061738.8820839999</v>
      </c>
      <c r="I255" s="353"/>
      <c r="J255" s="353">
        <f>J256</f>
        <v>8061738.8820839999</v>
      </c>
      <c r="K255" s="353">
        <f>K256</f>
        <v>8061738.8820839999</v>
      </c>
      <c r="L255" s="353">
        <f t="shared" ref="L255:N255" si="368">L256</f>
        <v>1907320</v>
      </c>
      <c r="M255" s="129">
        <f t="shared" si="347"/>
        <v>0.23658915624751023</v>
      </c>
      <c r="N255" s="353">
        <f t="shared" si="368"/>
        <v>0</v>
      </c>
      <c r="O255" s="126">
        <f t="shared" si="304"/>
        <v>0</v>
      </c>
      <c r="P255" s="68">
        <f t="shared" ref="P255:AE255" si="369">P256</f>
        <v>936926</v>
      </c>
      <c r="Q255" s="69">
        <f t="shared" si="369"/>
        <v>0.11621884728643059</v>
      </c>
      <c r="R255" s="68">
        <f t="shared" si="369"/>
        <v>0</v>
      </c>
      <c r="S255" s="69">
        <f t="shared" si="369"/>
        <v>0</v>
      </c>
      <c r="T255" s="68">
        <f t="shared" si="369"/>
        <v>0</v>
      </c>
      <c r="U255" s="68">
        <f t="shared" si="369"/>
        <v>0</v>
      </c>
      <c r="V255" s="68">
        <f t="shared" si="369"/>
        <v>0</v>
      </c>
      <c r="W255" s="68">
        <f t="shared" si="369"/>
        <v>0</v>
      </c>
      <c r="X255" s="68">
        <f t="shared" si="369"/>
        <v>0</v>
      </c>
      <c r="Y255" s="68">
        <f t="shared" si="359"/>
        <v>0</v>
      </c>
      <c r="Z255" s="354">
        <f t="shared" si="316"/>
        <v>0</v>
      </c>
      <c r="AA255" s="68">
        <f t="shared" si="369"/>
        <v>0</v>
      </c>
      <c r="AB255" s="133">
        <f>AA255/J255</f>
        <v>0</v>
      </c>
      <c r="AC255" s="68">
        <f t="shared" si="369"/>
        <v>0</v>
      </c>
      <c r="AD255" s="69">
        <f t="shared" si="369"/>
        <v>0</v>
      </c>
      <c r="AE255" s="138">
        <f t="shared" si="369"/>
        <v>0</v>
      </c>
      <c r="AF255" s="58">
        <f t="shared" si="360"/>
        <v>8061738.8820839999</v>
      </c>
      <c r="AG255" s="59">
        <f t="shared" si="348"/>
        <v>1</v>
      </c>
      <c r="AH255" s="463"/>
      <c r="AI255" s="353">
        <f>AI256</f>
        <v>9484399.7183400001</v>
      </c>
      <c r="AJ255" s="242" t="str">
        <f>AJ256</f>
        <v>Jā</v>
      </c>
      <c r="AK255" s="353">
        <f>AK256</f>
        <v>17876000</v>
      </c>
      <c r="AL255" s="353">
        <f>AL256</f>
        <v>17876000</v>
      </c>
      <c r="AM255" s="311">
        <f t="shared" si="320"/>
        <v>2.2173876208924002</v>
      </c>
      <c r="AN255" s="353"/>
      <c r="AO255" s="353">
        <f t="shared" si="327"/>
        <v>17876000</v>
      </c>
      <c r="AP255" s="353">
        <f>AP256</f>
        <v>17876000</v>
      </c>
      <c r="AQ255" s="353">
        <f>AQ256</f>
        <v>17876000</v>
      </c>
      <c r="AR255" s="311">
        <f t="shared" si="311"/>
        <v>2.2173876208924002</v>
      </c>
      <c r="AS255" s="327"/>
      <c r="AT255" s="327"/>
      <c r="AU255" s="403">
        <f>AU256</f>
        <v>3154588.2352941185</v>
      </c>
      <c r="AV255" s="261"/>
      <c r="AW255" s="294"/>
    </row>
    <row r="256" spans="1:51" s="98" customFormat="1" ht="152.25" customHeight="1">
      <c r="A256" s="383" t="s">
        <v>140</v>
      </c>
      <c r="B256" s="350" t="s">
        <v>678</v>
      </c>
      <c r="C256" s="183" t="s">
        <v>56</v>
      </c>
      <c r="D256" s="183" t="s">
        <v>687</v>
      </c>
      <c r="E256" s="187">
        <v>11470821</v>
      </c>
      <c r="F256" s="187">
        <f>E256*$E$6</f>
        <v>8061738.8820839999</v>
      </c>
      <c r="G256" s="187">
        <v>11470821</v>
      </c>
      <c r="H256" s="187">
        <f>G256*$G$6</f>
        <v>8061738.8820839999</v>
      </c>
      <c r="I256" s="207">
        <v>11470821</v>
      </c>
      <c r="J256" s="355">
        <f>I256*$I$6</f>
        <v>8061738.8820839999</v>
      </c>
      <c r="K256" s="355">
        <v>8061738.8820839999</v>
      </c>
      <c r="L256" s="354">
        <v>1907320</v>
      </c>
      <c r="M256" s="130">
        <f t="shared" si="347"/>
        <v>0.23658915624751023</v>
      </c>
      <c r="N256" s="354"/>
      <c r="O256" s="132">
        <f t="shared" si="304"/>
        <v>0</v>
      </c>
      <c r="P256" s="354">
        <v>936926</v>
      </c>
      <c r="Q256" s="76">
        <f t="shared" ref="Q256:Q262" si="370">P256/J256</f>
        <v>0.11621884728643059</v>
      </c>
      <c r="R256" s="354">
        <v>0</v>
      </c>
      <c r="S256" s="76">
        <f t="shared" ref="S256:S262" si="371">R256/J256</f>
        <v>0</v>
      </c>
      <c r="T256" s="79">
        <v>0</v>
      </c>
      <c r="U256" s="79">
        <v>0</v>
      </c>
      <c r="V256" s="79">
        <v>0</v>
      </c>
      <c r="W256" s="79">
        <v>0</v>
      </c>
      <c r="X256" s="79">
        <v>0</v>
      </c>
      <c r="Y256" s="79">
        <f t="shared" si="359"/>
        <v>0</v>
      </c>
      <c r="Z256" s="354">
        <f t="shared" si="316"/>
        <v>0</v>
      </c>
      <c r="AA256" s="354"/>
      <c r="AB256" s="130"/>
      <c r="AC256" s="118">
        <f t="shared" ref="AC256" si="372">SUM(T256:V256)</f>
        <v>0</v>
      </c>
      <c r="AD256" s="76">
        <f t="shared" ref="AD256:AD262" si="373">AC256/J256</f>
        <v>0</v>
      </c>
      <c r="AE256" s="130"/>
      <c r="AF256" s="171">
        <f t="shared" si="360"/>
        <v>8061738.8820839999</v>
      </c>
      <c r="AG256" s="172">
        <f t="shared" si="348"/>
        <v>1</v>
      </c>
      <c r="AH256" s="463"/>
      <c r="AI256" s="354">
        <v>9484399.7183400001</v>
      </c>
      <c r="AJ256" s="244" t="s">
        <v>408</v>
      </c>
      <c r="AK256" s="355">
        <v>17876000</v>
      </c>
      <c r="AL256" s="355">
        <v>17876000</v>
      </c>
      <c r="AM256" s="212">
        <f t="shared" si="320"/>
        <v>2.2173876208924002</v>
      </c>
      <c r="AN256" s="355"/>
      <c r="AO256" s="355">
        <f t="shared" ref="AO256:AO262" si="374">AL256</f>
        <v>17876000</v>
      </c>
      <c r="AP256" s="355">
        <v>17876000</v>
      </c>
      <c r="AQ256" s="355">
        <v>17876000</v>
      </c>
      <c r="AR256" s="212">
        <f t="shared" si="311"/>
        <v>2.2173876208924002</v>
      </c>
      <c r="AS256" s="324" t="s">
        <v>433</v>
      </c>
      <c r="AT256" s="274" t="s">
        <v>703</v>
      </c>
      <c r="AU256" s="384">
        <f>AL256/0.85-AL256</f>
        <v>3154588.2352941185</v>
      </c>
      <c r="AV256" s="260"/>
      <c r="AW256" s="294"/>
    </row>
    <row r="257" spans="1:51" s="98" customFormat="1" ht="64.5" customHeight="1">
      <c r="A257" s="379" t="s">
        <v>312</v>
      </c>
      <c r="B257" s="66" t="s">
        <v>679</v>
      </c>
      <c r="C257" s="67" t="s">
        <v>56</v>
      </c>
      <c r="D257" s="67"/>
      <c r="E257" s="68"/>
      <c r="F257" s="353">
        <f t="shared" ref="F257:U258" si="375">F258</f>
        <v>40488570.066179998</v>
      </c>
      <c r="G257" s="353"/>
      <c r="H257" s="353">
        <f t="shared" si="375"/>
        <v>40488570.066179998</v>
      </c>
      <c r="I257" s="353"/>
      <c r="J257" s="353">
        <f t="shared" si="375"/>
        <v>40488570.066179998</v>
      </c>
      <c r="K257" s="353">
        <f t="shared" si="375"/>
        <v>40488570.066179998</v>
      </c>
      <c r="L257" s="353">
        <f t="shared" si="375"/>
        <v>36111185.659999996</v>
      </c>
      <c r="M257" s="353">
        <f t="shared" si="375"/>
        <v>0.89188592239674036</v>
      </c>
      <c r="N257" s="353">
        <f t="shared" si="375"/>
        <v>0</v>
      </c>
      <c r="O257" s="353">
        <f t="shared" si="375"/>
        <v>0</v>
      </c>
      <c r="P257" s="353">
        <f t="shared" si="375"/>
        <v>36217551.560000002</v>
      </c>
      <c r="Q257" s="353">
        <f t="shared" si="375"/>
        <v>0.89451298232565724</v>
      </c>
      <c r="R257" s="353">
        <f t="shared" si="375"/>
        <v>36217551.560000002</v>
      </c>
      <c r="S257" s="353">
        <f t="shared" si="375"/>
        <v>0.89451298232565724</v>
      </c>
      <c r="T257" s="353">
        <f t="shared" si="375"/>
        <v>13545222.73</v>
      </c>
      <c r="U257" s="353">
        <f t="shared" si="375"/>
        <v>0</v>
      </c>
      <c r="V257" s="353">
        <f t="shared" ref="V257:AI258" si="376">V258</f>
        <v>0</v>
      </c>
      <c r="W257" s="353">
        <f t="shared" si="376"/>
        <v>0</v>
      </c>
      <c r="X257" s="353">
        <f t="shared" si="376"/>
        <v>0</v>
      </c>
      <c r="Y257" s="353">
        <f t="shared" si="376"/>
        <v>13545222.73</v>
      </c>
      <c r="Z257" s="353">
        <f t="shared" si="376"/>
        <v>13545222.73</v>
      </c>
      <c r="AA257" s="353">
        <f t="shared" si="376"/>
        <v>0</v>
      </c>
      <c r="AB257" s="353">
        <f t="shared" si="376"/>
        <v>0</v>
      </c>
      <c r="AC257" s="353">
        <f t="shared" si="376"/>
        <v>13545222.73</v>
      </c>
      <c r="AD257" s="353">
        <f t="shared" si="376"/>
        <v>0.33454435925644832</v>
      </c>
      <c r="AE257" s="353">
        <f t="shared" si="376"/>
        <v>6.9184915777492821E-3</v>
      </c>
      <c r="AF257" s="353">
        <f t="shared" si="376"/>
        <v>4271018.5061799958</v>
      </c>
      <c r="AG257" s="353">
        <f t="shared" si="376"/>
        <v>0.10548701767434279</v>
      </c>
      <c r="AH257" s="353"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7" s="353">
        <f t="shared" si="376"/>
        <v>40488570.066179998</v>
      </c>
      <c r="AJ257" s="239" t="s">
        <v>409</v>
      </c>
      <c r="AK257" s="353">
        <f>J257*AM257</f>
        <v>0</v>
      </c>
      <c r="AL257" s="353">
        <v>0</v>
      </c>
      <c r="AM257" s="311">
        <f t="shared" si="320"/>
        <v>0</v>
      </c>
      <c r="AN257" s="353"/>
      <c r="AO257" s="353">
        <f t="shared" si="374"/>
        <v>0</v>
      </c>
      <c r="AP257" s="97"/>
      <c r="AQ257" s="97"/>
      <c r="AR257" s="311">
        <f t="shared" si="311"/>
        <v>0</v>
      </c>
      <c r="AS257" s="97"/>
      <c r="AT257" s="97"/>
      <c r="AU257" s="386"/>
      <c r="AV257" s="260"/>
      <c r="AW257" s="294"/>
    </row>
    <row r="258" spans="1:51" s="83" customFormat="1" ht="57.75" customHeight="1">
      <c r="A258" s="379" t="s">
        <v>204</v>
      </c>
      <c r="B258" s="66" t="s">
        <v>680</v>
      </c>
      <c r="C258" s="67" t="s">
        <v>56</v>
      </c>
      <c r="D258" s="67" t="s">
        <v>138</v>
      </c>
      <c r="E258" s="68"/>
      <c r="F258" s="353">
        <f t="shared" si="375"/>
        <v>40488570.066179998</v>
      </c>
      <c r="G258" s="353"/>
      <c r="H258" s="353">
        <f t="shared" si="375"/>
        <v>40488570.066179998</v>
      </c>
      <c r="I258" s="353"/>
      <c r="J258" s="353">
        <f t="shared" si="375"/>
        <v>40488570.066179998</v>
      </c>
      <c r="K258" s="353">
        <f t="shared" si="375"/>
        <v>40488570.066179998</v>
      </c>
      <c r="L258" s="353">
        <f t="shared" si="375"/>
        <v>36111185.659999996</v>
      </c>
      <c r="M258" s="353">
        <f t="shared" si="375"/>
        <v>0.89188592239674036</v>
      </c>
      <c r="N258" s="353">
        <f t="shared" si="375"/>
        <v>0</v>
      </c>
      <c r="O258" s="353">
        <f t="shared" si="375"/>
        <v>0</v>
      </c>
      <c r="P258" s="353">
        <f t="shared" si="375"/>
        <v>36217551.560000002</v>
      </c>
      <c r="Q258" s="353">
        <f t="shared" si="375"/>
        <v>0.89451298232565724</v>
      </c>
      <c r="R258" s="353">
        <f t="shared" si="375"/>
        <v>36217551.560000002</v>
      </c>
      <c r="S258" s="353">
        <f t="shared" si="375"/>
        <v>0.89451298232565724</v>
      </c>
      <c r="T258" s="353">
        <f t="shared" si="375"/>
        <v>13545222.73</v>
      </c>
      <c r="U258" s="353">
        <f t="shared" si="375"/>
        <v>0</v>
      </c>
      <c r="V258" s="353">
        <f t="shared" si="376"/>
        <v>0</v>
      </c>
      <c r="W258" s="353">
        <f t="shared" si="376"/>
        <v>0</v>
      </c>
      <c r="X258" s="353">
        <f t="shared" si="376"/>
        <v>0</v>
      </c>
      <c r="Y258" s="353">
        <f t="shared" si="376"/>
        <v>13545222.73</v>
      </c>
      <c r="Z258" s="353">
        <f t="shared" si="376"/>
        <v>13545222.73</v>
      </c>
      <c r="AA258" s="353">
        <f t="shared" si="376"/>
        <v>0</v>
      </c>
      <c r="AB258" s="353">
        <f t="shared" si="376"/>
        <v>0</v>
      </c>
      <c r="AC258" s="353">
        <f t="shared" si="376"/>
        <v>13545222.73</v>
      </c>
      <c r="AD258" s="353">
        <f t="shared" si="376"/>
        <v>0.33454435925644832</v>
      </c>
      <c r="AE258" s="353">
        <f t="shared" si="376"/>
        <v>6.9184915777492821E-3</v>
      </c>
      <c r="AF258" s="353">
        <f t="shared" si="376"/>
        <v>4271018.5061799958</v>
      </c>
      <c r="AG258" s="353">
        <f t="shared" si="376"/>
        <v>0.10548701767434279</v>
      </c>
      <c r="AH258" s="353"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8" s="353">
        <f t="shared" si="376"/>
        <v>40488570.066179998</v>
      </c>
      <c r="AJ258" s="239" t="s">
        <v>409</v>
      </c>
      <c r="AK258" s="353">
        <f>J258*AM258</f>
        <v>0</v>
      </c>
      <c r="AL258" s="353">
        <v>0</v>
      </c>
      <c r="AM258" s="311">
        <f t="shared" si="320"/>
        <v>0</v>
      </c>
      <c r="AN258" s="353"/>
      <c r="AO258" s="353">
        <f t="shared" si="374"/>
        <v>0</v>
      </c>
      <c r="AP258" s="97"/>
      <c r="AQ258" s="97"/>
      <c r="AR258" s="311">
        <f t="shared" si="311"/>
        <v>0</v>
      </c>
      <c r="AS258" s="97"/>
      <c r="AT258" s="97"/>
      <c r="AU258" s="386"/>
      <c r="AV258" s="261"/>
      <c r="AW258" s="294"/>
    </row>
    <row r="259" spans="1:51" s="98" customFormat="1" ht="57.75" customHeight="1">
      <c r="A259" s="381" t="s">
        <v>313</v>
      </c>
      <c r="B259" s="71" t="s">
        <v>531</v>
      </c>
      <c r="C259" s="72" t="s">
        <v>56</v>
      </c>
      <c r="D259" s="72" t="s">
        <v>157</v>
      </c>
      <c r="E259" s="112">
        <v>57610045</v>
      </c>
      <c r="F259" s="79">
        <f>E259*$E$6</f>
        <v>40488570.066179998</v>
      </c>
      <c r="G259" s="112">
        <v>57610045</v>
      </c>
      <c r="H259" s="79">
        <f>G259*$G$6</f>
        <v>40488570.066179998</v>
      </c>
      <c r="I259" s="112">
        <v>57610045</v>
      </c>
      <c r="J259" s="354">
        <f>I259*$I$6</f>
        <v>40488570.066179998</v>
      </c>
      <c r="K259" s="354">
        <v>40488570.066179998</v>
      </c>
      <c r="L259" s="354">
        <v>36111185.659999996</v>
      </c>
      <c r="M259" s="130">
        <f t="shared" ref="M259" si="377">L259/J259</f>
        <v>0.89188592239674036</v>
      </c>
      <c r="N259" s="354"/>
      <c r="O259" s="132">
        <f t="shared" si="304"/>
        <v>0</v>
      </c>
      <c r="P259" s="354">
        <v>36217551.560000002</v>
      </c>
      <c r="Q259" s="76">
        <f t="shared" si="370"/>
        <v>0.89451298232565724</v>
      </c>
      <c r="R259" s="79">
        <v>36217551.560000002</v>
      </c>
      <c r="S259" s="76">
        <f t="shared" si="371"/>
        <v>0.89451298232565724</v>
      </c>
      <c r="T259" s="119">
        <v>13545222.73</v>
      </c>
      <c r="U259" s="119"/>
      <c r="V259" s="79">
        <v>0</v>
      </c>
      <c r="W259" s="79">
        <v>0</v>
      </c>
      <c r="X259" s="79">
        <v>0</v>
      </c>
      <c r="Y259" s="79">
        <f t="shared" si="359"/>
        <v>13545222.73</v>
      </c>
      <c r="Z259" s="354">
        <f t="shared" si="316"/>
        <v>13545222.73</v>
      </c>
      <c r="AA259" s="354"/>
      <c r="AB259" s="130"/>
      <c r="AC259" s="118">
        <f t="shared" ref="AC259" si="378">SUM(T259:V259)</f>
        <v>13545222.73</v>
      </c>
      <c r="AD259" s="76">
        <f t="shared" si="373"/>
        <v>0.33454435925644832</v>
      </c>
      <c r="AE259" s="142">
        <v>6.9184915777492821E-3</v>
      </c>
      <c r="AF259" s="171">
        <f t="shared" si="360"/>
        <v>4271018.5061799958</v>
      </c>
      <c r="AG259" s="172">
        <f t="shared" si="348"/>
        <v>0.10548701767434279</v>
      </c>
      <c r="AH259" s="167" t="s">
        <v>404</v>
      </c>
      <c r="AI259" s="232">
        <v>40488570.066179998</v>
      </c>
      <c r="AJ259" s="243" t="s">
        <v>409</v>
      </c>
      <c r="AK259" s="354">
        <v>0</v>
      </c>
      <c r="AL259" s="354">
        <v>0</v>
      </c>
      <c r="AM259" s="96">
        <f t="shared" si="320"/>
        <v>0</v>
      </c>
      <c r="AN259" s="354"/>
      <c r="AO259" s="354">
        <f t="shared" si="374"/>
        <v>0</v>
      </c>
      <c r="AP259" s="96"/>
      <c r="AQ259" s="96"/>
      <c r="AR259" s="96">
        <f t="shared" si="311"/>
        <v>0</v>
      </c>
      <c r="AS259" s="96"/>
      <c r="AT259" s="96"/>
      <c r="AU259" s="388">
        <f>AM259</f>
        <v>0</v>
      </c>
      <c r="AV259" s="260"/>
      <c r="AW259" s="294"/>
    </row>
    <row r="260" spans="1:51" s="98" customFormat="1" ht="47.25" customHeight="1">
      <c r="A260" s="379" t="s">
        <v>314</v>
      </c>
      <c r="B260" s="66" t="s">
        <v>681</v>
      </c>
      <c r="C260" s="67" t="s">
        <v>171</v>
      </c>
      <c r="D260" s="67"/>
      <c r="E260" s="68"/>
      <c r="F260" s="353">
        <f t="shared" ref="F260:U261" si="379">F261</f>
        <v>8574208.7999999989</v>
      </c>
      <c r="G260" s="353"/>
      <c r="H260" s="353">
        <f t="shared" si="379"/>
        <v>8574208.7999999989</v>
      </c>
      <c r="I260" s="353"/>
      <c r="J260" s="353">
        <f t="shared" si="379"/>
        <v>8574208.7999999989</v>
      </c>
      <c r="K260" s="353">
        <f t="shared" si="379"/>
        <v>8574208.7999999989</v>
      </c>
      <c r="L260" s="353">
        <f t="shared" si="379"/>
        <v>6435489.7199999997</v>
      </c>
      <c r="M260" s="353">
        <f t="shared" si="379"/>
        <v>0.75056368116437755</v>
      </c>
      <c r="N260" s="353">
        <f t="shared" si="379"/>
        <v>0</v>
      </c>
      <c r="O260" s="353">
        <f t="shared" si="379"/>
        <v>0</v>
      </c>
      <c r="P260" s="353">
        <f t="shared" si="379"/>
        <v>6463376.5300000003</v>
      </c>
      <c r="Q260" s="353">
        <f t="shared" si="379"/>
        <v>0.75381608738056405</v>
      </c>
      <c r="R260" s="353">
        <f t="shared" si="379"/>
        <v>6463376.5300000003</v>
      </c>
      <c r="S260" s="353">
        <f t="shared" si="379"/>
        <v>0.75381608738056405</v>
      </c>
      <c r="T260" s="353">
        <f t="shared" si="379"/>
        <v>2024522.08</v>
      </c>
      <c r="U260" s="353">
        <f t="shared" si="379"/>
        <v>0</v>
      </c>
      <c r="V260" s="353">
        <f t="shared" ref="V260:AI260" si="380">V261</f>
        <v>0</v>
      </c>
      <c r="W260" s="353">
        <f t="shared" si="380"/>
        <v>0</v>
      </c>
      <c r="X260" s="353">
        <f t="shared" si="380"/>
        <v>0</v>
      </c>
      <c r="Y260" s="353">
        <f t="shared" si="380"/>
        <v>2024522.08</v>
      </c>
      <c r="Z260" s="353">
        <f t="shared" si="380"/>
        <v>2024522.08</v>
      </c>
      <c r="AA260" s="353">
        <f t="shared" si="380"/>
        <v>2.6944213766469438E-2</v>
      </c>
      <c r="AB260" s="353">
        <f t="shared" si="380"/>
        <v>0</v>
      </c>
      <c r="AC260" s="353">
        <f t="shared" si="380"/>
        <v>2024522.08</v>
      </c>
      <c r="AD260" s="353">
        <f t="shared" si="380"/>
        <v>0.23611765554391448</v>
      </c>
      <c r="AE260" s="353">
        <f t="shared" si="380"/>
        <v>3.2697314024489896E-3</v>
      </c>
      <c r="AF260" s="353">
        <f t="shared" si="380"/>
        <v>2110832.2699999986</v>
      </c>
      <c r="AG260" s="353">
        <f t="shared" si="380"/>
        <v>0.24618391261943595</v>
      </c>
      <c r="AH260" s="353" t="str">
        <f t="shared" si="380"/>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0" s="353">
        <f t="shared" si="380"/>
        <v>8574208.7999999989</v>
      </c>
      <c r="AJ260" s="239" t="s">
        <v>409</v>
      </c>
      <c r="AK260" s="353">
        <f>J260*AM260</f>
        <v>0</v>
      </c>
      <c r="AL260" s="353">
        <v>0</v>
      </c>
      <c r="AM260" s="96">
        <f t="shared" si="320"/>
        <v>0</v>
      </c>
      <c r="AN260" s="353"/>
      <c r="AO260" s="353">
        <f t="shared" si="374"/>
        <v>0</v>
      </c>
      <c r="AP260" s="97"/>
      <c r="AQ260" s="97"/>
      <c r="AR260" s="96">
        <f t="shared" si="311"/>
        <v>0</v>
      </c>
      <c r="AS260" s="97"/>
      <c r="AT260" s="97"/>
      <c r="AU260" s="386">
        <f>AM260</f>
        <v>0</v>
      </c>
      <c r="AV260" s="260"/>
      <c r="AW260" s="294"/>
    </row>
    <row r="261" spans="1:51" s="83" customFormat="1" ht="41.25" customHeight="1">
      <c r="A261" s="379" t="s">
        <v>203</v>
      </c>
      <c r="B261" s="66" t="s">
        <v>682</v>
      </c>
      <c r="C261" s="67" t="s">
        <v>171</v>
      </c>
      <c r="D261" s="67" t="s">
        <v>138</v>
      </c>
      <c r="E261" s="68"/>
      <c r="F261" s="353">
        <f t="shared" si="379"/>
        <v>8574208.7999999989</v>
      </c>
      <c r="G261" s="353"/>
      <c r="H261" s="353">
        <f t="shared" si="379"/>
        <v>8574208.7999999989</v>
      </c>
      <c r="I261" s="353"/>
      <c r="J261" s="353">
        <f t="shared" si="379"/>
        <v>8574208.7999999989</v>
      </c>
      <c r="K261" s="353">
        <f t="shared" si="379"/>
        <v>8574208.7999999989</v>
      </c>
      <c r="L261" s="353">
        <f t="shared" si="379"/>
        <v>6435489.7199999997</v>
      </c>
      <c r="M261" s="353">
        <f t="shared" si="379"/>
        <v>0.75056368116437755</v>
      </c>
      <c r="N261" s="353">
        <f t="shared" si="379"/>
        <v>0</v>
      </c>
      <c r="O261" s="353">
        <f t="shared" si="379"/>
        <v>0</v>
      </c>
      <c r="P261" s="353">
        <f t="shared" si="379"/>
        <v>6463376.5300000003</v>
      </c>
      <c r="Q261" s="353">
        <f t="shared" si="379"/>
        <v>0.75381608738056405</v>
      </c>
      <c r="R261" s="353">
        <f t="shared" si="379"/>
        <v>6463376.5300000003</v>
      </c>
      <c r="S261" s="353">
        <f t="shared" si="379"/>
        <v>0.75381608738056405</v>
      </c>
      <c r="T261" s="353">
        <f t="shared" si="379"/>
        <v>2024522.08</v>
      </c>
      <c r="U261" s="353">
        <f t="shared" si="379"/>
        <v>0</v>
      </c>
      <c r="V261" s="353">
        <f t="shared" ref="V261:AI261" si="381">V262</f>
        <v>0</v>
      </c>
      <c r="W261" s="353">
        <f t="shared" si="381"/>
        <v>0</v>
      </c>
      <c r="X261" s="353">
        <f t="shared" si="381"/>
        <v>0</v>
      </c>
      <c r="Y261" s="353">
        <f t="shared" si="381"/>
        <v>2024522.08</v>
      </c>
      <c r="Z261" s="353">
        <f t="shared" si="381"/>
        <v>2024522.08</v>
      </c>
      <c r="AA261" s="353">
        <f t="shared" si="381"/>
        <v>2.6944213766469438E-2</v>
      </c>
      <c r="AB261" s="353">
        <f t="shared" si="381"/>
        <v>0</v>
      </c>
      <c r="AC261" s="353">
        <f t="shared" si="381"/>
        <v>2024522.08</v>
      </c>
      <c r="AD261" s="353">
        <f t="shared" si="381"/>
        <v>0.23611765554391448</v>
      </c>
      <c r="AE261" s="353">
        <f t="shared" si="381"/>
        <v>3.2697314024489896E-3</v>
      </c>
      <c r="AF261" s="353">
        <f t="shared" si="381"/>
        <v>2110832.2699999986</v>
      </c>
      <c r="AG261" s="353">
        <f t="shared" si="381"/>
        <v>0.24618391261943595</v>
      </c>
      <c r="AH261" s="353" t="str">
        <f t="shared" si="381"/>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1" s="353">
        <f t="shared" si="381"/>
        <v>8574208.7999999989</v>
      </c>
      <c r="AJ261" s="239" t="s">
        <v>409</v>
      </c>
      <c r="AK261" s="353">
        <f>J261*AM261</f>
        <v>0</v>
      </c>
      <c r="AL261" s="353">
        <v>0</v>
      </c>
      <c r="AM261" s="96">
        <f t="shared" si="320"/>
        <v>0</v>
      </c>
      <c r="AN261" s="353"/>
      <c r="AO261" s="353">
        <f t="shared" si="374"/>
        <v>0</v>
      </c>
      <c r="AP261" s="97"/>
      <c r="AQ261" s="97"/>
      <c r="AR261" s="96">
        <f t="shared" si="311"/>
        <v>0</v>
      </c>
      <c r="AS261" s="97"/>
      <c r="AT261" s="97"/>
      <c r="AU261" s="386">
        <f>AM261</f>
        <v>0</v>
      </c>
      <c r="AV261" s="261"/>
      <c r="AW261" s="294"/>
    </row>
    <row r="262" spans="1:51" s="83" customFormat="1" ht="57" customHeight="1" thickBot="1">
      <c r="A262" s="405" t="s">
        <v>315</v>
      </c>
      <c r="B262" s="406" t="s">
        <v>531</v>
      </c>
      <c r="C262" s="407" t="s">
        <v>171</v>
      </c>
      <c r="D262" s="407" t="s">
        <v>157</v>
      </c>
      <c r="E262" s="408">
        <v>12200000</v>
      </c>
      <c r="F262" s="409">
        <f>E262*$E$6</f>
        <v>8574208.7999999989</v>
      </c>
      <c r="G262" s="408">
        <v>12200000</v>
      </c>
      <c r="H262" s="409">
        <f>G262*$G$6</f>
        <v>8574208.7999999989</v>
      </c>
      <c r="I262" s="408">
        <v>12200000</v>
      </c>
      <c r="J262" s="410">
        <f>I262*$I$6</f>
        <v>8574208.7999999989</v>
      </c>
      <c r="K262" s="410">
        <v>8574208.7999999989</v>
      </c>
      <c r="L262" s="410">
        <v>6435489.7199999997</v>
      </c>
      <c r="M262" s="411">
        <f t="shared" ref="M262" si="382">L262/J262</f>
        <v>0.75056368116437755</v>
      </c>
      <c r="N262" s="410"/>
      <c r="O262" s="412">
        <f t="shared" si="304"/>
        <v>0</v>
      </c>
      <c r="P262" s="410">
        <v>6463376.5300000003</v>
      </c>
      <c r="Q262" s="413">
        <f t="shared" si="370"/>
        <v>0.75381608738056405</v>
      </c>
      <c r="R262" s="409">
        <v>6463376.5300000003</v>
      </c>
      <c r="S262" s="413">
        <f t="shared" si="371"/>
        <v>0.75381608738056405</v>
      </c>
      <c r="T262" s="414">
        <v>2024522.08</v>
      </c>
      <c r="U262" s="414"/>
      <c r="V262" s="409">
        <v>0</v>
      </c>
      <c r="W262" s="409">
        <v>0</v>
      </c>
      <c r="X262" s="409">
        <v>0</v>
      </c>
      <c r="Y262" s="409">
        <f t="shared" si="359"/>
        <v>2024522.08</v>
      </c>
      <c r="Z262" s="410">
        <f>T262+U262+W262</f>
        <v>2024522.08</v>
      </c>
      <c r="AA262" s="410">
        <v>2.6944213766469438E-2</v>
      </c>
      <c r="AB262" s="411"/>
      <c r="AC262" s="415">
        <f>SUM(T262:V262)</f>
        <v>2024522.08</v>
      </c>
      <c r="AD262" s="413">
        <f t="shared" si="373"/>
        <v>0.23611765554391448</v>
      </c>
      <c r="AE262" s="416">
        <v>3.2697314024489896E-3</v>
      </c>
      <c r="AF262" s="417">
        <f t="shared" si="360"/>
        <v>2110832.2699999986</v>
      </c>
      <c r="AG262" s="418">
        <f t="shared" si="348"/>
        <v>0.24618391261943595</v>
      </c>
      <c r="AH262" s="419" t="s">
        <v>404</v>
      </c>
      <c r="AI262" s="420">
        <v>8574208.7999999989</v>
      </c>
      <c r="AJ262" s="421" t="s">
        <v>409</v>
      </c>
      <c r="AK262" s="410">
        <v>0</v>
      </c>
      <c r="AL262" s="410">
        <v>0</v>
      </c>
      <c r="AM262" s="422">
        <f t="shared" si="320"/>
        <v>0</v>
      </c>
      <c r="AN262" s="410"/>
      <c r="AO262" s="410">
        <f t="shared" si="374"/>
        <v>0</v>
      </c>
      <c r="AP262" s="422"/>
      <c r="AQ262" s="422"/>
      <c r="AR262" s="422">
        <f t="shared" si="311"/>
        <v>0</v>
      </c>
      <c r="AS262" s="422"/>
      <c r="AT262" s="422"/>
      <c r="AU262" s="423">
        <f>AM262</f>
        <v>0</v>
      </c>
      <c r="AV262" s="261"/>
    </row>
    <row r="263" spans="1:51">
      <c r="A263" s="279"/>
      <c r="B263" s="279"/>
      <c r="C263" s="280"/>
      <c r="D263" s="280"/>
      <c r="E263" s="281"/>
      <c r="F263" s="282"/>
      <c r="G263" s="281"/>
      <c r="H263" s="282"/>
      <c r="I263" s="281"/>
      <c r="J263" s="261"/>
      <c r="K263" s="261"/>
      <c r="L263" s="261"/>
      <c r="M263" s="283"/>
      <c r="N263" s="261"/>
      <c r="O263" s="284"/>
      <c r="P263" s="261"/>
      <c r="Q263" s="285"/>
      <c r="R263" s="282"/>
      <c r="S263" s="285"/>
      <c r="T263" s="286"/>
      <c r="U263" s="286"/>
      <c r="V263" s="282"/>
      <c r="W263" s="282"/>
      <c r="X263" s="282"/>
      <c r="Y263" s="282"/>
      <c r="Z263" s="261"/>
      <c r="AA263" s="261"/>
      <c r="AB263" s="283"/>
      <c r="AC263" s="287"/>
      <c r="AD263" s="285"/>
      <c r="AE263" s="288"/>
      <c r="AF263" s="289"/>
      <c r="AG263" s="290"/>
      <c r="AH263" s="291"/>
      <c r="AI263" s="292"/>
      <c r="AJ263" s="293"/>
      <c r="AK263" s="261"/>
      <c r="AL263" s="261"/>
      <c r="AM263" s="294"/>
      <c r="AN263" s="261"/>
      <c r="AO263" s="261"/>
      <c r="AP263" s="294"/>
      <c r="AQ263" s="294"/>
      <c r="AR263" s="294"/>
      <c r="AS263" s="294"/>
      <c r="AT263" s="294"/>
      <c r="AU263" s="261"/>
      <c r="AX263" s="250"/>
      <c r="AY263" s="250"/>
    </row>
    <row r="264" spans="1:51">
      <c r="AX264" s="250"/>
      <c r="AY264" s="250"/>
    </row>
    <row r="265" spans="1:51">
      <c r="AU265" s="46"/>
      <c r="AX265" s="250"/>
      <c r="AY265" s="250"/>
    </row>
    <row r="266" spans="1:51">
      <c r="AJ266" s="236" t="s">
        <v>155</v>
      </c>
      <c r="AK266" s="356">
        <f t="shared" ref="AK266" si="383">AK58+AK60+AK62+AK63+AK72+AK115+AK128+AK138+AK222+AK232+AK245</f>
        <v>44056323.799999997</v>
      </c>
      <c r="AL266" s="356">
        <f t="shared" ref="AL266" si="384">AL58+AL60+AL62+AL63+AL72+AL115+AL128+AL138+AL222+AL232+AL245</f>
        <v>44056323.799999997</v>
      </c>
      <c r="AM266" s="356"/>
      <c r="AN266" s="356">
        <f t="shared" ref="AN266:AQ266" si="385">AN58+AN60+AN62+AN63+AN72+AN115+AN128+AN138+AN222+AN232+AN245</f>
        <v>0</v>
      </c>
      <c r="AO266" s="356">
        <f t="shared" si="385"/>
        <v>38056323.799999997</v>
      </c>
      <c r="AP266" s="356">
        <f t="shared" si="385"/>
        <v>51586882</v>
      </c>
      <c r="AQ266" s="356">
        <f t="shared" si="385"/>
        <v>44056324</v>
      </c>
      <c r="AR266" s="424"/>
      <c r="AX266" s="250"/>
      <c r="AY266" s="250"/>
    </row>
    <row r="267" spans="1:51">
      <c r="AJ267" s="236" t="s">
        <v>5</v>
      </c>
      <c r="AK267" s="356">
        <f t="shared" ref="AK267" si="386">AK19+AK20+AK21+AK22+AK30+AK42+AK44+AK45+AK46+AK49+AK52+AK109+AK156+AK159+AK162</f>
        <v>55829032.996689186</v>
      </c>
      <c r="AL267" s="356">
        <f t="shared" ref="AL267" si="387">AL19+AL20+AL21+AL22+AL30+AL42+AL44+AL45+AL46+AL49+AL52+AL109+AL156+AL159+AL162</f>
        <v>61958711.557135999</v>
      </c>
      <c r="AM267" s="356"/>
      <c r="AN267" s="356" t="e">
        <f t="shared" ref="AN267:AQ267" si="388">AN19+AN20+AN21+AN22+AN30+AN42+AN44+AN45+AN46+AN49+AN52+AN109+AN156+AN159+AN162</f>
        <v>#VALUE!</v>
      </c>
      <c r="AO267" s="356">
        <f t="shared" si="388"/>
        <v>64548172.557135999</v>
      </c>
      <c r="AP267" s="356">
        <f t="shared" si="388"/>
        <v>61958711.557135999</v>
      </c>
      <c r="AQ267" s="356">
        <f t="shared" si="388"/>
        <v>61958711.557135999</v>
      </c>
      <c r="AR267" s="424"/>
      <c r="AX267" s="250"/>
      <c r="AY267" s="250"/>
    </row>
    <row r="268" spans="1:51">
      <c r="AJ268" s="236" t="s">
        <v>156</v>
      </c>
      <c r="AK268" s="356">
        <f t="shared" ref="AK268" si="389">AK43+AK59+AK61+AK64+AK67+AK68+AK69+AK70+AK71+AK79+AK82+AK169+AK175</f>
        <v>21120107.983213246</v>
      </c>
      <c r="AL268" s="356">
        <f t="shared" ref="AL268" si="390">AL43+AL59+AL61+AL64+AL67+AL68+AL69+AL70+AL71+AL79+AL82+AL169+AL175</f>
        <v>24583883.713770002</v>
      </c>
      <c r="AM268" s="356"/>
      <c r="AN268" s="356" t="e">
        <f t="shared" ref="AN268:AQ268" si="391">AN43+AN59+AN61+AN64+AN67+AN68+AN69+AN70+AN71+AN79+AN82+AN169+AN175</f>
        <v>#VALUE!</v>
      </c>
      <c r="AO268" s="356">
        <f t="shared" si="391"/>
        <v>24583883.713770002</v>
      </c>
      <c r="AP268" s="356">
        <f t="shared" si="391"/>
        <v>24583883.713770002</v>
      </c>
      <c r="AQ268" s="356">
        <f t="shared" si="391"/>
        <v>24583883.713770002</v>
      </c>
      <c r="AR268" s="424"/>
      <c r="AX268" s="250"/>
      <c r="AY268" s="250"/>
    </row>
    <row r="269" spans="1:51">
      <c r="AJ269" s="236" t="s">
        <v>168</v>
      </c>
      <c r="AK269" s="356">
        <f t="shared" ref="AK269" si="392">AK187+AK200+AK201+AK204</f>
        <v>53635455</v>
      </c>
      <c r="AL269" s="356">
        <f t="shared" ref="AL269" si="393">AL187+AL200+AL201+AL204</f>
        <v>58929572.54405801</v>
      </c>
      <c r="AM269" s="356"/>
      <c r="AN269" s="356">
        <f t="shared" ref="AN269:AQ269" si="394">AN187+AN200+AN201+AN204</f>
        <v>0</v>
      </c>
      <c r="AO269" s="356">
        <f t="shared" si="394"/>
        <v>58929572.54405801</v>
      </c>
      <c r="AP269" s="356">
        <f t="shared" si="394"/>
        <v>58929572.54405801</v>
      </c>
      <c r="AQ269" s="356">
        <f t="shared" si="394"/>
        <v>58929572.54405801</v>
      </c>
      <c r="AR269" s="424"/>
      <c r="AX269" s="250"/>
      <c r="AY269" s="250"/>
    </row>
    <row r="270" spans="1:51">
      <c r="AJ270" s="236" t="s">
        <v>687</v>
      </c>
      <c r="AK270" s="356">
        <f t="shared" ref="AK270" si="395">AK101+AK176+AK177+AK197+AK199+AK211+AK215+AK236+AK253+AK254+AK256</f>
        <v>51813644.45047003</v>
      </c>
      <c r="AL270" s="356">
        <f t="shared" ref="AL270" si="396">AL101+AL176+AL177+AL197+AL199+AL211+AL215+AL236+AL253+AL254+AL256</f>
        <v>51826679</v>
      </c>
      <c r="AM270" s="356"/>
      <c r="AN270" s="356" t="e">
        <f t="shared" ref="AN270:AQ270" si="397">AN101+AN176+AN177+AN197+AN199+AN211+AN215+AN236+AN253+AN254+AN256</f>
        <v>#VALUE!</v>
      </c>
      <c r="AO270" s="356">
        <f t="shared" si="397"/>
        <v>51826679</v>
      </c>
      <c r="AP270" s="356">
        <f t="shared" si="397"/>
        <v>88881346</v>
      </c>
      <c r="AQ270" s="356">
        <f t="shared" si="397"/>
        <v>54609518</v>
      </c>
      <c r="AR270" s="424"/>
      <c r="AX270" s="250"/>
      <c r="AY270" s="250"/>
    </row>
    <row r="271" spans="1:51">
      <c r="AJ271" s="236" t="s">
        <v>730</v>
      </c>
      <c r="AK271" s="356">
        <f t="shared" ref="AK271" si="398">AK73+AK178</f>
        <v>0</v>
      </c>
      <c r="AL271" s="356">
        <f t="shared" ref="AL271" si="399">AL73+AL178</f>
        <v>0</v>
      </c>
      <c r="AM271" s="356"/>
      <c r="AN271" s="356">
        <f t="shared" ref="AN271:AQ271" si="400">AN73+AN178</f>
        <v>0</v>
      </c>
      <c r="AO271" s="356">
        <f t="shared" si="400"/>
        <v>0</v>
      </c>
      <c r="AP271" s="356">
        <f t="shared" si="400"/>
        <v>12100000</v>
      </c>
      <c r="AQ271" s="356">
        <f t="shared" si="400"/>
        <v>12100000</v>
      </c>
      <c r="AR271" s="424"/>
      <c r="AX271" s="250"/>
      <c r="AY271" s="250"/>
    </row>
    <row r="272" spans="1:51">
      <c r="AJ272" s="236"/>
      <c r="AK272" s="357">
        <f>SUM(AK266:AK271)</f>
        <v>226454564.23037246</v>
      </c>
      <c r="AL272" s="357">
        <f t="shared" ref="AL272:AQ272" si="401">SUM(AL266:AL271)</f>
        <v>241355170.61496401</v>
      </c>
      <c r="AM272" s="357"/>
      <c r="AN272" s="357" t="e">
        <f t="shared" si="401"/>
        <v>#VALUE!</v>
      </c>
      <c r="AO272" s="357">
        <f t="shared" si="401"/>
        <v>237944631.61496401</v>
      </c>
      <c r="AP272" s="357">
        <f t="shared" si="401"/>
        <v>298040395.814964</v>
      </c>
      <c r="AQ272" s="357">
        <f t="shared" si="401"/>
        <v>256238009.814964</v>
      </c>
      <c r="AR272" s="425"/>
      <c r="AX272" s="250"/>
      <c r="AY272" s="250"/>
    </row>
    <row r="273" spans="50:51">
      <c r="AX273" s="250"/>
      <c r="AY273" s="250"/>
    </row>
    <row r="274" spans="50:51">
      <c r="AX274" s="250"/>
      <c r="AY274" s="250"/>
    </row>
    <row r="275" spans="50:51">
      <c r="AX275" s="250"/>
      <c r="AY275" s="250"/>
    </row>
    <row r="276" spans="50:51">
      <c r="AX276" s="250"/>
      <c r="AY276" s="250"/>
    </row>
    <row r="277" spans="50:51">
      <c r="AX277" s="250"/>
      <c r="AY277" s="250"/>
    </row>
    <row r="278" spans="50:51">
      <c r="AX278" s="250"/>
      <c r="AY278" s="250"/>
    </row>
    <row r="279" spans="50:51">
      <c r="AX279" s="250"/>
      <c r="AY279" s="250"/>
    </row>
    <row r="280" spans="50:51">
      <c r="AX280" s="250"/>
      <c r="AY280" s="250"/>
    </row>
    <row r="281" spans="50:51">
      <c r="AX281" s="250"/>
      <c r="AY281" s="250"/>
    </row>
    <row r="282" spans="50:51">
      <c r="AX282" s="250"/>
      <c r="AY282" s="250"/>
    </row>
    <row r="283" spans="50:51">
      <c r="AX283" s="250"/>
      <c r="AY283" s="250"/>
    </row>
    <row r="284" spans="50:51">
      <c r="AX284" s="250"/>
      <c r="AY284" s="250"/>
    </row>
    <row r="285" spans="50:51">
      <c r="AX285" s="250"/>
      <c r="AY285" s="250"/>
    </row>
    <row r="286" spans="50:51">
      <c r="AX286" s="250"/>
      <c r="AY286" s="250"/>
    </row>
    <row r="287" spans="50:51">
      <c r="AX287" s="250"/>
      <c r="AY287" s="250"/>
    </row>
    <row r="288" spans="50:51">
      <c r="AX288" s="250"/>
      <c r="AY288" s="250"/>
    </row>
    <row r="289" spans="50:51">
      <c r="AX289" s="250"/>
      <c r="AY289" s="250"/>
    </row>
    <row r="290" spans="50:51">
      <c r="AX290" s="250"/>
      <c r="AY290" s="250"/>
    </row>
    <row r="291" spans="50:51">
      <c r="AX291" s="250"/>
      <c r="AY291" s="250"/>
    </row>
    <row r="292" spans="50:51">
      <c r="AX292" s="250"/>
      <c r="AY292" s="250"/>
    </row>
    <row r="293" spans="50:51">
      <c r="AX293" s="250"/>
      <c r="AY293" s="250"/>
    </row>
    <row r="294" spans="50:51">
      <c r="AX294" s="250"/>
      <c r="AY294" s="250"/>
    </row>
    <row r="295" spans="50:51">
      <c r="AX295" s="250"/>
      <c r="AY295" s="250"/>
    </row>
    <row r="296" spans="50:51">
      <c r="AX296" s="250"/>
      <c r="AY296" s="250"/>
    </row>
    <row r="297" spans="50:51">
      <c r="AX297" s="250"/>
      <c r="AY297" s="250"/>
    </row>
    <row r="298" spans="50:51">
      <c r="AX298" s="250"/>
      <c r="AY298" s="250"/>
    </row>
    <row r="299" spans="50:51">
      <c r="AX299" s="250"/>
      <c r="AY299" s="250"/>
    </row>
    <row r="300" spans="50:51">
      <c r="AX300" s="250"/>
      <c r="AY300" s="250"/>
    </row>
    <row r="301" spans="50:51">
      <c r="AX301" s="250"/>
      <c r="AY301" s="250"/>
    </row>
    <row r="302" spans="50:51">
      <c r="AX302" s="250"/>
      <c r="AY302" s="250"/>
    </row>
    <row r="303" spans="50:51">
      <c r="AX303" s="250"/>
      <c r="AY303" s="250"/>
    </row>
    <row r="304" spans="50:51">
      <c r="AX304" s="250"/>
      <c r="AY304" s="250"/>
    </row>
    <row r="305" spans="50:51">
      <c r="AX305" s="250"/>
      <c r="AY305" s="250"/>
    </row>
  </sheetData>
  <mergeCells count="1">
    <mergeCell ref="AH253:AH256"/>
  </mergeCells>
  <dataValidations xWindow="1193" yWindow="795" count="1">
    <dataValidation type="list" allowBlank="1" showInputMessage="1" showErrorMessage="1" errorTitle="Ko tu dari???" prompt="Vai AI piekrīt VI gala piedāvājumam?" sqref="AS184:AS262 AS114:AS182 AS111 AS17:AS109">
      <formula1>$AU$1:$AU$2</formula1>
    </dataValidation>
  </dataValidations>
  <pageMargins left="0.23622047244094491" right="0.27559055118110237" top="0.27559055118110237" bottom="0.31496062992125984" header="0.31496062992125984" footer="0.31496062992125984"/>
  <pageSetup paperSize="9" scale="61" fitToHeight="0" orientation="landscape" r:id="rId1"/>
  <headerFooter>
    <oddFooter>Page &amp;P of &amp;N</oddFooter>
  </headerFooter>
  <rowBreaks count="6" manualBreakCount="6">
    <brk id="42" max="42" man="1"/>
    <brk id="106" max="42" man="1"/>
    <brk id="126" max="42" man="1"/>
    <brk id="187" max="42" man="1"/>
    <brk id="232" max="42" man="1"/>
    <brk id="260" max="42" man="1"/>
  </rowBreaks>
  <ignoredErrors>
    <ignoredError sqref="AL15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70C0"/>
    <pageSetUpPr fitToPage="1"/>
  </sheetPr>
  <dimension ref="A1:X215"/>
  <sheetViews>
    <sheetView tabSelected="1" view="pageBreakPreview" zoomScale="55" zoomScaleNormal="54" zoomScaleSheetLayoutView="55" zoomScalePageLayoutView="55" workbookViewId="0">
      <selection activeCell="N192" sqref="N192"/>
    </sheetView>
  </sheetViews>
  <sheetFormatPr defaultColWidth="9.140625" defaultRowHeight="17.25" outlineLevelCol="1"/>
  <cols>
    <col min="1" max="1" width="13" style="42" customWidth="1"/>
    <col min="2" max="2" width="31.140625" style="43" customWidth="1"/>
    <col min="3" max="3" width="14.28515625" style="42" customWidth="1"/>
    <col min="4" max="4" width="13.28515625" style="42" customWidth="1"/>
    <col min="5" max="5" width="16.28515625" style="42" hidden="1" customWidth="1" outlineLevel="1"/>
    <col min="6" max="6" width="14" style="42" hidden="1" customWidth="1" outlineLevel="1"/>
    <col min="7" max="7" width="14.28515625" style="42" hidden="1" customWidth="1" outlineLevel="1"/>
    <col min="8" max="8" width="16.28515625" style="42" hidden="1" customWidth="1" outlineLevel="1"/>
    <col min="9" max="10" width="14.7109375" style="42" hidden="1" customWidth="1" outlineLevel="1"/>
    <col min="11" max="11" width="19.28515625" style="42" customWidth="1" collapsed="1"/>
    <col min="12" max="13" width="19.28515625" style="42" hidden="1" customWidth="1" outlineLevel="1"/>
    <col min="14" max="14" width="14" style="248" customWidth="1" collapsed="1"/>
    <col min="15" max="15" width="16" style="248" customWidth="1"/>
    <col min="16" max="16" width="14.85546875" style="42" customWidth="1"/>
    <col min="17" max="17" width="14.5703125" style="248" customWidth="1"/>
    <col min="18" max="18" width="15.85546875" style="248" customWidth="1"/>
    <col min="19" max="19" width="16.28515625" style="248" customWidth="1"/>
    <col min="20" max="20" width="17" style="42" customWidth="1"/>
    <col min="21" max="21" width="16.28515625" style="42" customWidth="1"/>
    <col min="22" max="22" width="24.140625" style="42" customWidth="1"/>
    <col min="23" max="23" width="14.7109375" style="42" bestFit="1" customWidth="1"/>
    <col min="24" max="24" width="11.85546875" style="42" bestFit="1" customWidth="1"/>
    <col min="25" max="16384" width="9.140625" style="42"/>
  </cols>
  <sheetData>
    <row r="1" spans="1:24" ht="17.25" customHeight="1">
      <c r="A1" s="303"/>
      <c r="B1" s="303"/>
      <c r="C1" s="303"/>
      <c r="D1" s="303"/>
      <c r="E1" s="303"/>
      <c r="F1" s="303"/>
      <c r="G1" s="303"/>
      <c r="H1" s="303"/>
      <c r="I1" s="303"/>
      <c r="J1" s="303"/>
      <c r="K1" s="303"/>
      <c r="L1" s="303"/>
      <c r="M1" s="303"/>
      <c r="P1" s="299"/>
      <c r="R1" s="455"/>
      <c r="T1" s="299"/>
      <c r="U1" s="467"/>
      <c r="V1" s="467"/>
    </row>
    <row r="2" spans="1:24" ht="20.25">
      <c r="A2" s="303"/>
      <c r="B2" s="303"/>
      <c r="C2" s="303"/>
      <c r="D2" s="303"/>
      <c r="E2" s="303"/>
      <c r="F2" s="303"/>
      <c r="G2" s="303"/>
      <c r="H2" s="303"/>
      <c r="I2" s="303"/>
      <c r="J2" s="303"/>
      <c r="K2" s="303"/>
      <c r="L2" s="303"/>
      <c r="M2" s="303"/>
      <c r="P2" s="299"/>
      <c r="T2" s="299"/>
      <c r="U2" s="299"/>
      <c r="V2" s="299"/>
    </row>
    <row r="3" spans="1:24" ht="17.25" customHeight="1">
      <c r="A3" s="303"/>
      <c r="B3" s="303"/>
      <c r="C3" s="303"/>
      <c r="D3" s="303"/>
      <c r="E3" s="303"/>
      <c r="F3" s="303"/>
      <c r="G3" s="303"/>
      <c r="H3" s="303"/>
      <c r="I3" s="303"/>
      <c r="J3" s="303"/>
      <c r="K3" s="303"/>
      <c r="L3" s="303"/>
      <c r="M3" s="303"/>
      <c r="P3" s="299"/>
      <c r="T3" s="299"/>
      <c r="U3" s="299"/>
      <c r="V3" s="299"/>
    </row>
    <row r="4" spans="1:24" ht="17.25" customHeight="1">
      <c r="A4" s="303"/>
      <c r="B4" s="303"/>
      <c r="C4" s="303"/>
      <c r="D4" s="303"/>
      <c r="E4" s="303"/>
      <c r="F4" s="303"/>
      <c r="G4" s="303"/>
      <c r="H4" s="303"/>
      <c r="I4" s="303"/>
      <c r="J4" s="303"/>
      <c r="K4" s="303"/>
      <c r="L4" s="303"/>
      <c r="M4" s="303"/>
      <c r="P4" s="452"/>
      <c r="T4" s="452"/>
      <c r="U4" s="452"/>
      <c r="V4" s="452"/>
    </row>
    <row r="5" spans="1:24" ht="17.25" customHeight="1">
      <c r="A5" s="303"/>
      <c r="B5" s="303"/>
      <c r="C5" s="303"/>
      <c r="D5" s="303"/>
      <c r="E5" s="303"/>
      <c r="F5" s="303"/>
      <c r="G5" s="303"/>
      <c r="H5" s="303"/>
      <c r="I5" s="303"/>
      <c r="J5" s="303"/>
      <c r="K5" s="303"/>
      <c r="L5" s="303"/>
      <c r="M5" s="303"/>
      <c r="P5" s="452"/>
      <c r="T5" s="452"/>
      <c r="U5" s="452"/>
      <c r="V5" s="452"/>
    </row>
    <row r="6" spans="1:24" ht="17.25" customHeight="1">
      <c r="A6" s="303"/>
      <c r="B6" s="303"/>
      <c r="C6" s="303"/>
      <c r="D6" s="303"/>
      <c r="E6" s="303"/>
      <c r="F6" s="303"/>
      <c r="G6" s="303"/>
      <c r="H6" s="303"/>
      <c r="I6" s="303"/>
      <c r="J6" s="303"/>
      <c r="K6" s="303"/>
      <c r="L6" s="303"/>
      <c r="M6" s="303"/>
      <c r="P6" s="452"/>
      <c r="T6" s="452"/>
      <c r="U6" s="452"/>
      <c r="V6" s="452"/>
    </row>
    <row r="7" spans="1:24" s="430" customFormat="1" ht="17.25" customHeight="1">
      <c r="A7" s="468" t="s">
        <v>758</v>
      </c>
      <c r="B7" s="468"/>
      <c r="C7" s="468"/>
      <c r="D7" s="468"/>
      <c r="E7" s="468"/>
      <c r="F7" s="468"/>
      <c r="G7" s="468"/>
      <c r="H7" s="468"/>
      <c r="I7" s="468"/>
      <c r="J7" s="468"/>
      <c r="K7" s="468"/>
      <c r="L7" s="468"/>
      <c r="M7" s="468"/>
      <c r="N7" s="468"/>
      <c r="O7" s="468"/>
      <c r="P7" s="468"/>
      <c r="Q7" s="468"/>
      <c r="R7" s="468"/>
      <c r="S7" s="468"/>
      <c r="T7" s="468"/>
      <c r="U7" s="468"/>
      <c r="V7" s="468"/>
    </row>
    <row r="8" spans="1:24" ht="17.25" customHeight="1">
      <c r="A8" s="305"/>
      <c r="B8" s="305"/>
      <c r="C8" s="305"/>
      <c r="D8" s="305"/>
      <c r="E8" s="305"/>
      <c r="F8" s="305"/>
      <c r="G8" s="305"/>
      <c r="H8" s="305"/>
      <c r="I8" s="305"/>
      <c r="J8" s="305"/>
      <c r="K8" s="305"/>
      <c r="L8" s="305"/>
      <c r="M8" s="305"/>
      <c r="P8" s="297"/>
      <c r="T8" s="297"/>
      <c r="U8" s="297"/>
      <c r="V8" s="297"/>
    </row>
    <row r="9" spans="1:24" ht="25.15" customHeight="1">
      <c r="A9" s="319"/>
      <c r="B9" s="319"/>
      <c r="C9" s="319"/>
      <c r="D9" s="319"/>
      <c r="E9" s="319"/>
      <c r="F9" s="319"/>
      <c r="G9" s="319"/>
      <c r="H9" s="319"/>
      <c r="I9" s="319"/>
      <c r="J9" s="319"/>
      <c r="K9" s="319"/>
      <c r="L9" s="319"/>
      <c r="M9" s="319"/>
      <c r="N9" s="469">
        <v>2012</v>
      </c>
      <c r="O9" s="469"/>
      <c r="P9" s="470">
        <v>2013</v>
      </c>
      <c r="Q9" s="471"/>
      <c r="R9" s="471"/>
      <c r="S9" s="471"/>
      <c r="T9" s="453">
        <v>2014</v>
      </c>
      <c r="U9" s="453">
        <v>2015</v>
      </c>
      <c r="V9" s="453" t="s">
        <v>729</v>
      </c>
    </row>
    <row r="10" spans="1:24" ht="47.25" customHeight="1" thickBot="1">
      <c r="D10" s="46"/>
      <c r="E10" s="46"/>
      <c r="F10" s="46"/>
      <c r="G10" s="46"/>
      <c r="H10" s="46"/>
      <c r="I10" s="46"/>
      <c r="J10" s="46"/>
      <c r="K10" s="45"/>
      <c r="L10" s="45"/>
      <c r="M10" s="45"/>
      <c r="N10" s="473" t="s">
        <v>756</v>
      </c>
      <c r="O10" s="473"/>
      <c r="P10" s="474" t="s">
        <v>756</v>
      </c>
      <c r="Q10" s="475"/>
      <c r="R10" s="475"/>
      <c r="S10" s="476"/>
      <c r="T10" s="472" t="s">
        <v>756</v>
      </c>
      <c r="U10" s="472" t="s">
        <v>756</v>
      </c>
      <c r="V10" s="472" t="s">
        <v>756</v>
      </c>
    </row>
    <row r="11" spans="1:24" s="52" customFormat="1" ht="74.25" customHeight="1" thickTop="1">
      <c r="A11" s="50" t="s">
        <v>271</v>
      </c>
      <c r="B11" s="51" t="s">
        <v>272</v>
      </c>
      <c r="C11" s="2" t="s">
        <v>273</v>
      </c>
      <c r="D11" s="2" t="s">
        <v>683</v>
      </c>
      <c r="E11" s="442" t="s">
        <v>752</v>
      </c>
      <c r="F11" s="369" t="s">
        <v>749</v>
      </c>
      <c r="G11" s="369" t="s">
        <v>753</v>
      </c>
      <c r="H11" s="369" t="s">
        <v>750</v>
      </c>
      <c r="I11" s="369" t="s">
        <v>751</v>
      </c>
      <c r="J11" s="369" t="s">
        <v>761</v>
      </c>
      <c r="K11" s="2" t="s">
        <v>754</v>
      </c>
      <c r="L11" s="427" t="s">
        <v>747</v>
      </c>
      <c r="M11" s="427" t="s">
        <v>748</v>
      </c>
      <c r="N11" s="3" t="s">
        <v>709</v>
      </c>
      <c r="O11" s="3" t="s">
        <v>710</v>
      </c>
      <c r="P11" s="3" t="s">
        <v>707</v>
      </c>
      <c r="Q11" s="3" t="s">
        <v>708</v>
      </c>
      <c r="R11" s="3" t="s">
        <v>709</v>
      </c>
      <c r="S11" s="3" t="s">
        <v>710</v>
      </c>
      <c r="T11" s="472"/>
      <c r="U11" s="472"/>
      <c r="V11" s="472"/>
    </row>
    <row r="12" spans="1:24" s="52" customFormat="1" ht="35.25" customHeight="1">
      <c r="A12" s="53"/>
      <c r="B12" s="54" t="s">
        <v>439</v>
      </c>
      <c r="C12" s="55"/>
      <c r="D12" s="55"/>
      <c r="E12" s="57">
        <f t="shared" ref="E12:J12" si="0">SUM(E15,E14,E16)</f>
        <v>256238010.270906</v>
      </c>
      <c r="F12" s="57">
        <f t="shared" si="0"/>
        <v>10722430</v>
      </c>
      <c r="G12" s="57">
        <f t="shared" si="0"/>
        <v>2500000</v>
      </c>
      <c r="H12" s="57">
        <f t="shared" si="0"/>
        <v>3885631</v>
      </c>
      <c r="I12" s="57">
        <f t="shared" si="0"/>
        <v>13714291</v>
      </c>
      <c r="J12" s="444">
        <f t="shared" si="0"/>
        <v>0</v>
      </c>
      <c r="K12" s="57">
        <f>SUM(K15,K14,K16)</f>
        <v>298574716.06090599</v>
      </c>
      <c r="L12" s="57">
        <f t="shared" ref="L12:M12" si="1">SUM(L15,L14,L16)</f>
        <v>7163639</v>
      </c>
      <c r="M12" s="57">
        <f t="shared" si="1"/>
        <v>5852445</v>
      </c>
      <c r="N12" s="57">
        <f t="shared" ref="N12:U12" si="2">SUM(N15,N14,N16)</f>
        <v>18387348</v>
      </c>
      <c r="O12" s="57">
        <f t="shared" si="2"/>
        <v>83787953.101111114</v>
      </c>
      <c r="P12" s="57">
        <f t="shared" si="2"/>
        <v>21691931</v>
      </c>
      <c r="Q12" s="57">
        <f t="shared" si="2"/>
        <v>68419549</v>
      </c>
      <c r="R12" s="57">
        <f t="shared" si="2"/>
        <v>100415488.7</v>
      </c>
      <c r="S12" s="57">
        <f t="shared" si="2"/>
        <v>150891241.40000001</v>
      </c>
      <c r="T12" s="57">
        <f t="shared" si="2"/>
        <v>56729608.288888887</v>
      </c>
      <c r="U12" s="57">
        <f t="shared" si="2"/>
        <v>0</v>
      </c>
      <c r="V12" s="456">
        <f>SUM(V14:V16)</f>
        <v>298572441.78999996</v>
      </c>
      <c r="W12" s="47"/>
      <c r="X12" s="47"/>
    </row>
    <row r="13" spans="1:24" s="52" customFormat="1" ht="15" customHeight="1">
      <c r="A13" s="5"/>
      <c r="B13" s="5"/>
      <c r="C13" s="3"/>
      <c r="D13" s="3"/>
      <c r="E13" s="3"/>
      <c r="F13" s="3"/>
      <c r="G13" s="3"/>
      <c r="H13" s="3"/>
      <c r="I13" s="3"/>
      <c r="J13" s="3"/>
      <c r="K13" s="4"/>
      <c r="L13" s="4"/>
      <c r="M13" s="4"/>
      <c r="N13" s="4"/>
      <c r="O13" s="4"/>
      <c r="P13" s="4"/>
      <c r="Q13" s="4"/>
      <c r="R13" s="4"/>
      <c r="S13" s="4"/>
      <c r="T13" s="4"/>
      <c r="U13" s="4"/>
      <c r="V13" s="4"/>
    </row>
    <row r="14" spans="1:24" s="52" customFormat="1" ht="19.5" customHeight="1">
      <c r="A14" s="53"/>
      <c r="B14" s="54" t="s">
        <v>440</v>
      </c>
      <c r="C14" s="55"/>
      <c r="D14" s="55"/>
      <c r="E14" s="57">
        <f t="shared" ref="E14:K14" si="3">SUM(E22:E45)+SUM(E76:E77)+SUM(E98:E102)+SUM(E137:E151)+SUM(E159:E161)+SUM(E168:E169)+SUM(E174:E181)</f>
        <v>36847029.270906001</v>
      </c>
      <c r="F14" s="57">
        <f t="shared" si="3"/>
        <v>4322430</v>
      </c>
      <c r="G14" s="57">
        <f t="shared" si="3"/>
        <v>0</v>
      </c>
      <c r="H14" s="57">
        <f t="shared" si="3"/>
        <v>0</v>
      </c>
      <c r="I14" s="57">
        <f t="shared" si="3"/>
        <v>0</v>
      </c>
      <c r="J14" s="444">
        <f t="shared" ref="J14" si="4">SUM(J22:J45)+SUM(J76:J77)+SUM(J98:J102)+SUM(J137:J151)+SUM(J159:J161)+SUM(J168:J169)+SUM(J174:J181)</f>
        <v>-300000</v>
      </c>
      <c r="K14" s="57">
        <f t="shared" si="3"/>
        <v>40869459.270906001</v>
      </c>
      <c r="L14" s="444">
        <f t="shared" ref="L14:U14" si="5">SUM(L22:L45)+SUM(L76:L77)+SUM(L98:L102)+SUM(L137:L151)+SUM(L159:L161)+SUM(L168:L169)+SUM(L174:L181)</f>
        <v>7163639</v>
      </c>
      <c r="M14" s="444">
        <f t="shared" si="5"/>
        <v>5852445</v>
      </c>
      <c r="N14" s="444">
        <f t="shared" si="5"/>
        <v>16115229</v>
      </c>
      <c r="O14" s="444">
        <f t="shared" si="5"/>
        <v>22915229</v>
      </c>
      <c r="P14" s="444">
        <f t="shared" si="5"/>
        <v>1194461</v>
      </c>
      <c r="Q14" s="444">
        <f t="shared" si="5"/>
        <v>3125171</v>
      </c>
      <c r="R14" s="444">
        <f t="shared" si="5"/>
        <v>10188317</v>
      </c>
      <c r="S14" s="444">
        <f t="shared" si="5"/>
        <v>10788317</v>
      </c>
      <c r="T14" s="444">
        <f t="shared" si="5"/>
        <v>0</v>
      </c>
      <c r="U14" s="444">
        <f t="shared" si="5"/>
        <v>0</v>
      </c>
      <c r="V14" s="444">
        <f>SUM(V22:V45)+SUM(V76:V77)+SUM(V98:V102)+SUM(V137:V151)+SUM(V159:V161)+SUM(V168:V169)+SUM(V174:V181)</f>
        <v>40867185</v>
      </c>
      <c r="W14" s="47"/>
      <c r="X14" s="47"/>
    </row>
    <row r="15" spans="1:24" s="52" customFormat="1">
      <c r="A15" s="53"/>
      <c r="B15" s="54" t="s">
        <v>441</v>
      </c>
      <c r="C15" s="55"/>
      <c r="D15" s="55"/>
      <c r="E15" s="57">
        <f t="shared" ref="E15:V15" si="6">SUM(E46:E58)+SUM(E60:E68)+SUM(E78:E89)+SUM(E103:E130)+SUM(E152:E157)+SUM(E162:E166)+SUM(E170:E171)+SUM(E183:E183)+E182</f>
        <v>172434024</v>
      </c>
      <c r="F15" s="444">
        <f t="shared" si="6"/>
        <v>6400000</v>
      </c>
      <c r="G15" s="444">
        <f t="shared" si="6"/>
        <v>2500000</v>
      </c>
      <c r="H15" s="444">
        <f t="shared" si="6"/>
        <v>3885631</v>
      </c>
      <c r="I15" s="444">
        <f t="shared" si="6"/>
        <v>13714291</v>
      </c>
      <c r="J15" s="444">
        <f t="shared" si="6"/>
        <v>300000</v>
      </c>
      <c r="K15" s="444">
        <f t="shared" si="6"/>
        <v>210748299.78999999</v>
      </c>
      <c r="L15" s="444">
        <f t="shared" si="6"/>
        <v>0</v>
      </c>
      <c r="M15" s="444">
        <f t="shared" si="6"/>
        <v>0</v>
      </c>
      <c r="N15" s="444">
        <f t="shared" si="6"/>
        <v>2272119</v>
      </c>
      <c r="O15" s="444">
        <f t="shared" si="6"/>
        <v>32515732.10111111</v>
      </c>
      <c r="P15" s="444">
        <f t="shared" si="6"/>
        <v>20497470</v>
      </c>
      <c r="Q15" s="444">
        <f t="shared" si="6"/>
        <v>65294378</v>
      </c>
      <c r="R15" s="444">
        <f t="shared" si="6"/>
        <v>83175194</v>
      </c>
      <c r="S15" s="444">
        <f t="shared" si="6"/>
        <v>121502959.40000001</v>
      </c>
      <c r="T15" s="444">
        <f t="shared" si="6"/>
        <v>56729608.288888887</v>
      </c>
      <c r="U15" s="444">
        <f t="shared" si="6"/>
        <v>0</v>
      </c>
      <c r="V15" s="444">
        <f t="shared" si="6"/>
        <v>210748299.78999999</v>
      </c>
    </row>
    <row r="16" spans="1:24" s="52" customFormat="1">
      <c r="A16" s="53"/>
      <c r="B16" s="54" t="s">
        <v>442</v>
      </c>
      <c r="C16" s="55"/>
      <c r="D16" s="55"/>
      <c r="E16" s="57">
        <f t="shared" ref="E16:V16" si="7">SUM(E69:E74)+SUM(E90:E96)+SUM(E131:E135)+SUM(E172)</f>
        <v>46956957</v>
      </c>
      <c r="F16" s="57">
        <f t="shared" si="7"/>
        <v>0</v>
      </c>
      <c r="G16" s="57">
        <f t="shared" si="7"/>
        <v>0</v>
      </c>
      <c r="H16" s="57">
        <f t="shared" si="7"/>
        <v>0</v>
      </c>
      <c r="I16" s="57">
        <f t="shared" si="7"/>
        <v>0</v>
      </c>
      <c r="J16" s="444">
        <f t="shared" ref="J16" si="8">SUM(J69:J74)+SUM(J90:J96)+SUM(J131:J135)+SUM(J172)</f>
        <v>0</v>
      </c>
      <c r="K16" s="57">
        <f t="shared" si="7"/>
        <v>46956957</v>
      </c>
      <c r="L16" s="57">
        <f t="shared" si="7"/>
        <v>0</v>
      </c>
      <c r="M16" s="57">
        <f t="shared" si="7"/>
        <v>0</v>
      </c>
      <c r="N16" s="57">
        <f t="shared" si="7"/>
        <v>0</v>
      </c>
      <c r="O16" s="57">
        <f t="shared" si="7"/>
        <v>28356992</v>
      </c>
      <c r="P16" s="57">
        <f t="shared" si="7"/>
        <v>0</v>
      </c>
      <c r="Q16" s="57">
        <f t="shared" si="7"/>
        <v>0</v>
      </c>
      <c r="R16" s="57">
        <f t="shared" si="7"/>
        <v>7051977.7000000002</v>
      </c>
      <c r="S16" s="57">
        <f t="shared" si="7"/>
        <v>18599965</v>
      </c>
      <c r="T16" s="57">
        <f t="shared" si="7"/>
        <v>0</v>
      </c>
      <c r="U16" s="57">
        <f t="shared" si="7"/>
        <v>0</v>
      </c>
      <c r="V16" s="57">
        <f t="shared" si="7"/>
        <v>46956957</v>
      </c>
    </row>
    <row r="17" spans="1:22" s="52" customFormat="1">
      <c r="A17" s="5"/>
      <c r="B17" s="5"/>
      <c r="C17" s="3"/>
      <c r="D17" s="3"/>
      <c r="E17" s="3"/>
      <c r="F17" s="3"/>
      <c r="G17" s="3"/>
      <c r="H17" s="3"/>
      <c r="I17" s="3"/>
      <c r="J17" s="3"/>
      <c r="K17" s="4"/>
      <c r="L17" s="4"/>
      <c r="M17" s="4"/>
      <c r="N17" s="4"/>
      <c r="O17" s="4"/>
      <c r="P17" s="4"/>
      <c r="Q17" s="4"/>
      <c r="R17" s="4"/>
      <c r="S17" s="4"/>
      <c r="T17" s="4"/>
      <c r="U17" s="4"/>
      <c r="V17" s="4"/>
    </row>
    <row r="18" spans="1:22" s="52" customFormat="1">
      <c r="A18" s="53"/>
      <c r="B18" s="54" t="s">
        <v>443</v>
      </c>
      <c r="C18" s="55"/>
      <c r="D18" s="60"/>
      <c r="E18" s="57">
        <f t="shared" ref="E18:M18" si="9">E14</f>
        <v>36847029.270906001</v>
      </c>
      <c r="F18" s="57">
        <f t="shared" si="9"/>
        <v>4322430</v>
      </c>
      <c r="G18" s="57">
        <f t="shared" si="9"/>
        <v>0</v>
      </c>
      <c r="H18" s="57">
        <f t="shared" si="9"/>
        <v>0</v>
      </c>
      <c r="I18" s="57">
        <f t="shared" si="9"/>
        <v>0</v>
      </c>
      <c r="J18" s="444">
        <f t="shared" ref="J18" si="10">J14</f>
        <v>-300000</v>
      </c>
      <c r="K18" s="57">
        <f>K14</f>
        <v>40869459.270906001</v>
      </c>
      <c r="L18" s="57">
        <f t="shared" si="9"/>
        <v>7163639</v>
      </c>
      <c r="M18" s="57">
        <f t="shared" si="9"/>
        <v>5852445</v>
      </c>
      <c r="N18" s="57">
        <f t="shared" ref="N18:V18" si="11">N14</f>
        <v>16115229</v>
      </c>
      <c r="O18" s="57">
        <f t="shared" si="11"/>
        <v>22915229</v>
      </c>
      <c r="P18" s="57">
        <f t="shared" si="11"/>
        <v>1194461</v>
      </c>
      <c r="Q18" s="57">
        <f t="shared" si="11"/>
        <v>3125171</v>
      </c>
      <c r="R18" s="57">
        <f t="shared" si="11"/>
        <v>10188317</v>
      </c>
      <c r="S18" s="57">
        <f t="shared" si="11"/>
        <v>10788317</v>
      </c>
      <c r="T18" s="57">
        <f t="shared" si="11"/>
        <v>0</v>
      </c>
      <c r="U18" s="57">
        <f t="shared" si="11"/>
        <v>0</v>
      </c>
      <c r="V18" s="57">
        <f t="shared" si="11"/>
        <v>40867185</v>
      </c>
    </row>
    <row r="19" spans="1:22" s="52" customFormat="1">
      <c r="A19" s="53"/>
      <c r="B19" s="54" t="s">
        <v>444</v>
      </c>
      <c r="C19" s="55"/>
      <c r="D19" s="60"/>
      <c r="E19" s="57">
        <f t="shared" ref="E19:J19" si="12">SUM(E46:E49)+SUM(E103:E124)+SUM(E170)</f>
        <v>49056324</v>
      </c>
      <c r="F19" s="57">
        <f t="shared" si="12"/>
        <v>-2500000</v>
      </c>
      <c r="G19" s="57">
        <f t="shared" si="12"/>
        <v>0</v>
      </c>
      <c r="H19" s="57">
        <f t="shared" si="12"/>
        <v>0</v>
      </c>
      <c r="I19" s="57">
        <f t="shared" si="12"/>
        <v>0</v>
      </c>
      <c r="J19" s="444">
        <f t="shared" si="12"/>
        <v>-5000000</v>
      </c>
      <c r="K19" s="57">
        <f>SUM(K46:K49)+SUM(K111+K123)+SUM(K170)</f>
        <v>41070677.789999999</v>
      </c>
      <c r="L19" s="57">
        <f t="shared" ref="L19:V19" si="13">SUM(L46:L49)+SUM(L103:L124)+SUM(L170)</f>
        <v>0</v>
      </c>
      <c r="M19" s="57">
        <f t="shared" si="13"/>
        <v>0</v>
      </c>
      <c r="N19" s="57">
        <f t="shared" si="13"/>
        <v>0</v>
      </c>
      <c r="O19" s="57">
        <f t="shared" si="13"/>
        <v>5815740.9899999984</v>
      </c>
      <c r="P19" s="57">
        <f t="shared" si="13"/>
        <v>0</v>
      </c>
      <c r="Q19" s="57">
        <f t="shared" si="13"/>
        <v>6000000</v>
      </c>
      <c r="R19" s="57">
        <f t="shared" si="13"/>
        <v>6000000</v>
      </c>
      <c r="S19" s="57">
        <f t="shared" si="13"/>
        <v>28127468.399999999</v>
      </c>
      <c r="T19" s="57">
        <f t="shared" si="13"/>
        <v>7127468.4000000004</v>
      </c>
      <c r="U19" s="57">
        <f t="shared" si="13"/>
        <v>0</v>
      </c>
      <c r="V19" s="57">
        <f t="shared" si="13"/>
        <v>41070677.789999999</v>
      </c>
    </row>
    <row r="20" spans="1:22" s="52" customFormat="1">
      <c r="A20" s="53"/>
      <c r="B20" s="54" t="s">
        <v>445</v>
      </c>
      <c r="C20" s="55"/>
      <c r="D20" s="60"/>
      <c r="E20" s="57">
        <f t="shared" ref="E20:M20" si="14">E12-E19-E18</f>
        <v>170334657</v>
      </c>
      <c r="F20" s="57">
        <f t="shared" si="14"/>
        <v>8900000</v>
      </c>
      <c r="G20" s="57">
        <f t="shared" si="14"/>
        <v>2500000</v>
      </c>
      <c r="H20" s="57">
        <f t="shared" si="14"/>
        <v>3885631</v>
      </c>
      <c r="I20" s="57">
        <f t="shared" si="14"/>
        <v>13714291</v>
      </c>
      <c r="J20" s="444">
        <f t="shared" ref="J20" si="15">J12-J19-J18</f>
        <v>5300000</v>
      </c>
      <c r="K20" s="57">
        <f t="shared" si="14"/>
        <v>216634579</v>
      </c>
      <c r="L20" s="57">
        <f t="shared" si="14"/>
        <v>0</v>
      </c>
      <c r="M20" s="57">
        <f t="shared" si="14"/>
        <v>0</v>
      </c>
      <c r="N20" s="57">
        <f t="shared" ref="N20:V20" si="16">SUM(N50:N58)+SUM(N60:N74)+SUM(N78:N96)+SUM(N125:N135)+SUM(N152:N157)+SUM(N162:N166)+SUM(N171:N172)+SUM(N183:N183)+SUM(N184:N185)</f>
        <v>2272119</v>
      </c>
      <c r="O20" s="444">
        <f t="shared" si="16"/>
        <v>55056983.111111112</v>
      </c>
      <c r="P20" s="444">
        <f t="shared" si="16"/>
        <v>20497470</v>
      </c>
      <c r="Q20" s="444">
        <f t="shared" si="16"/>
        <v>59294378</v>
      </c>
      <c r="R20" s="444">
        <f t="shared" si="16"/>
        <v>84227171.700000003</v>
      </c>
      <c r="S20" s="444">
        <f t="shared" si="16"/>
        <v>111975456</v>
      </c>
      <c r="T20" s="444">
        <f t="shared" si="16"/>
        <v>49602139.888888888</v>
      </c>
      <c r="U20" s="444">
        <f t="shared" si="16"/>
        <v>0</v>
      </c>
      <c r="V20" s="444">
        <f t="shared" si="16"/>
        <v>216634579</v>
      </c>
    </row>
    <row r="21" spans="1:22" s="440" customFormat="1" ht="22.9" customHeight="1">
      <c r="A21" s="464" t="s">
        <v>739</v>
      </c>
      <c r="B21" s="465"/>
      <c r="C21" s="465"/>
      <c r="D21" s="466"/>
      <c r="E21" s="439">
        <f t="shared" ref="E21:J21" si="17">SUM(E22:E58)</f>
        <v>61958711.557135999</v>
      </c>
      <c r="F21" s="439">
        <f t="shared" si="17"/>
        <v>0</v>
      </c>
      <c r="G21" s="439">
        <f t="shared" si="17"/>
        <v>0</v>
      </c>
      <c r="H21" s="439">
        <f t="shared" si="17"/>
        <v>0</v>
      </c>
      <c r="I21" s="439">
        <f t="shared" si="17"/>
        <v>13714291</v>
      </c>
      <c r="J21" s="439">
        <f t="shared" si="17"/>
        <v>-6400000</v>
      </c>
      <c r="K21" s="439">
        <f>SUM(K22:K58)</f>
        <v>69273002.557135999</v>
      </c>
      <c r="L21" s="439">
        <f t="shared" ref="L21:M21" si="18">SUM(L22:L58)</f>
        <v>0</v>
      </c>
      <c r="M21" s="439">
        <f t="shared" si="18"/>
        <v>0</v>
      </c>
      <c r="N21" s="439">
        <f t="shared" ref="N21:U21" si="19">SUM(N22:N58)</f>
        <v>0</v>
      </c>
      <c r="O21" s="439">
        <f t="shared" si="19"/>
        <v>4300000</v>
      </c>
      <c r="P21" s="439">
        <f t="shared" si="19"/>
        <v>0</v>
      </c>
      <c r="Q21" s="439">
        <f t="shared" si="19"/>
        <v>0</v>
      </c>
      <c r="R21" s="439">
        <f t="shared" si="19"/>
        <v>6463146</v>
      </c>
      <c r="S21" s="439">
        <f t="shared" si="19"/>
        <v>21463146</v>
      </c>
      <c r="T21" s="439">
        <f t="shared" si="19"/>
        <v>43509857</v>
      </c>
      <c r="U21" s="439">
        <f t="shared" si="19"/>
        <v>0</v>
      </c>
      <c r="V21" s="439">
        <f>SUM(V22:V58)</f>
        <v>69273003</v>
      </c>
    </row>
    <row r="22" spans="1:22" ht="66" hidden="1" customHeight="1">
      <c r="A22" s="70" t="s">
        <v>4</v>
      </c>
      <c r="B22" s="71" t="s">
        <v>446</v>
      </c>
      <c r="C22" s="72" t="s">
        <v>0</v>
      </c>
      <c r="D22" s="72" t="s">
        <v>5</v>
      </c>
      <c r="E22" s="72"/>
      <c r="F22" s="72"/>
      <c r="G22" s="72"/>
      <c r="H22" s="72"/>
      <c r="I22" s="72"/>
      <c r="J22" s="447"/>
      <c r="K22" s="80">
        <f>'pielikums Nr.1'!AQ19</f>
        <v>0</v>
      </c>
      <c r="L22" s="80"/>
      <c r="M22" s="80"/>
      <c r="N22" s="80">
        <v>0</v>
      </c>
      <c r="O22" s="80">
        <v>0</v>
      </c>
      <c r="P22" s="80">
        <v>0</v>
      </c>
      <c r="Q22" s="80">
        <v>0</v>
      </c>
      <c r="R22" s="80">
        <v>0</v>
      </c>
      <c r="S22" s="80">
        <v>0</v>
      </c>
      <c r="T22" s="80">
        <v>0</v>
      </c>
      <c r="U22" s="80">
        <v>0</v>
      </c>
      <c r="V22" s="80">
        <f t="shared" ref="V22:V53" si="20">O22+S22+T22+U22</f>
        <v>0</v>
      </c>
    </row>
    <row r="23" spans="1:22" s="83" customFormat="1" ht="33">
      <c r="A23" s="70" t="s">
        <v>236</v>
      </c>
      <c r="B23" s="71" t="s">
        <v>447</v>
      </c>
      <c r="C23" s="72" t="s">
        <v>0</v>
      </c>
      <c r="D23" s="72" t="s">
        <v>5</v>
      </c>
      <c r="E23" s="79">
        <v>4463145.5571360001</v>
      </c>
      <c r="F23" s="79"/>
      <c r="G23" s="79"/>
      <c r="H23" s="79"/>
      <c r="I23" s="79"/>
      <c r="J23" s="79"/>
      <c r="K23" s="79">
        <v>4463145.5571360001</v>
      </c>
      <c r="L23" s="79"/>
      <c r="M23" s="79"/>
      <c r="N23" s="448">
        <v>0</v>
      </c>
      <c r="O23" s="448">
        <v>0</v>
      </c>
      <c r="P23" s="448">
        <v>0</v>
      </c>
      <c r="Q23" s="448">
        <v>0</v>
      </c>
      <c r="R23" s="448">
        <v>4463146</v>
      </c>
      <c r="S23" s="448">
        <f>R23</f>
        <v>4463146</v>
      </c>
      <c r="T23" s="448">
        <v>0</v>
      </c>
      <c r="U23" s="448">
        <v>0</v>
      </c>
      <c r="V23" s="448">
        <f t="shared" si="20"/>
        <v>4463146</v>
      </c>
    </row>
    <row r="24" spans="1:22" ht="49.5" hidden="1" customHeight="1">
      <c r="A24" s="70" t="s">
        <v>6</v>
      </c>
      <c r="B24" s="71" t="s">
        <v>448</v>
      </c>
      <c r="C24" s="72" t="s">
        <v>0</v>
      </c>
      <c r="D24" s="72" t="s">
        <v>5</v>
      </c>
      <c r="E24" s="72"/>
      <c r="F24" s="72"/>
      <c r="G24" s="72"/>
      <c r="H24" s="72"/>
      <c r="I24" s="72"/>
      <c r="J24" s="447"/>
      <c r="K24" s="80">
        <f>'pielikums Nr.1'!AQ21</f>
        <v>0</v>
      </c>
      <c r="L24" s="80"/>
      <c r="M24" s="80"/>
      <c r="N24" s="80">
        <v>0</v>
      </c>
      <c r="O24" s="80">
        <v>0</v>
      </c>
      <c r="P24" s="80">
        <v>0</v>
      </c>
      <c r="Q24" s="80">
        <v>0</v>
      </c>
      <c r="R24" s="80">
        <v>0</v>
      </c>
      <c r="S24" s="80">
        <v>0</v>
      </c>
      <c r="T24" s="80">
        <v>0</v>
      </c>
      <c r="U24" s="80">
        <v>0</v>
      </c>
      <c r="V24" s="80">
        <f t="shared" si="20"/>
        <v>0</v>
      </c>
    </row>
    <row r="25" spans="1:22" ht="49.5" hidden="1" customHeight="1">
      <c r="A25" s="70" t="s">
        <v>186</v>
      </c>
      <c r="B25" s="71" t="s">
        <v>451</v>
      </c>
      <c r="C25" s="72" t="s">
        <v>0</v>
      </c>
      <c r="D25" s="72" t="s">
        <v>5</v>
      </c>
      <c r="E25" s="72"/>
      <c r="F25" s="72"/>
      <c r="G25" s="72"/>
      <c r="H25" s="72"/>
      <c r="I25" s="72"/>
      <c r="J25" s="447"/>
      <c r="K25" s="73">
        <f>'pielikums Nr.1'!AQ24</f>
        <v>0</v>
      </c>
      <c r="L25" s="354"/>
      <c r="M25" s="354"/>
      <c r="N25" s="448">
        <v>0</v>
      </c>
      <c r="O25" s="448">
        <v>0</v>
      </c>
      <c r="P25" s="448">
        <v>0</v>
      </c>
      <c r="Q25" s="448">
        <v>0</v>
      </c>
      <c r="R25" s="448">
        <v>0</v>
      </c>
      <c r="S25" s="448">
        <v>0</v>
      </c>
      <c r="T25" s="448">
        <v>0</v>
      </c>
      <c r="U25" s="448">
        <v>0</v>
      </c>
      <c r="V25" s="448">
        <f t="shared" si="20"/>
        <v>0</v>
      </c>
    </row>
    <row r="26" spans="1:22" ht="49.5" hidden="1" customHeight="1">
      <c r="A26" s="70" t="s">
        <v>207</v>
      </c>
      <c r="B26" s="71" t="s">
        <v>452</v>
      </c>
      <c r="C26" s="72" t="s">
        <v>0</v>
      </c>
      <c r="D26" s="72" t="s">
        <v>5</v>
      </c>
      <c r="E26" s="72"/>
      <c r="F26" s="72"/>
      <c r="G26" s="72"/>
      <c r="H26" s="72"/>
      <c r="I26" s="72"/>
      <c r="J26" s="447"/>
      <c r="K26" s="73">
        <f>'pielikums Nr.1'!AQ25</f>
        <v>0</v>
      </c>
      <c r="L26" s="354"/>
      <c r="M26" s="354"/>
      <c r="N26" s="448">
        <v>0</v>
      </c>
      <c r="O26" s="448">
        <v>0</v>
      </c>
      <c r="P26" s="448">
        <v>0</v>
      </c>
      <c r="Q26" s="448">
        <v>0</v>
      </c>
      <c r="R26" s="448">
        <v>0</v>
      </c>
      <c r="S26" s="448">
        <v>0</v>
      </c>
      <c r="T26" s="448">
        <v>0</v>
      </c>
      <c r="U26" s="448">
        <v>0</v>
      </c>
      <c r="V26" s="448">
        <f t="shared" si="20"/>
        <v>0</v>
      </c>
    </row>
    <row r="27" spans="1:22" ht="82.5" hidden="1" customHeight="1">
      <c r="A27" s="70" t="s">
        <v>10</v>
      </c>
      <c r="B27" s="71" t="s">
        <v>435</v>
      </c>
      <c r="C27" s="72" t="s">
        <v>0</v>
      </c>
      <c r="D27" s="72" t="s">
        <v>5</v>
      </c>
      <c r="E27" s="72"/>
      <c r="F27" s="72"/>
      <c r="G27" s="72"/>
      <c r="H27" s="72"/>
      <c r="I27" s="72"/>
      <c r="J27" s="447"/>
      <c r="K27" s="73">
        <f>'pielikums Nr.1'!AQ27</f>
        <v>0</v>
      </c>
      <c r="L27" s="354"/>
      <c r="M27" s="354"/>
      <c r="N27" s="448">
        <v>0</v>
      </c>
      <c r="O27" s="448">
        <v>0</v>
      </c>
      <c r="P27" s="448">
        <v>0</v>
      </c>
      <c r="Q27" s="448">
        <v>0</v>
      </c>
      <c r="R27" s="448">
        <v>0</v>
      </c>
      <c r="S27" s="448">
        <v>0</v>
      </c>
      <c r="T27" s="448">
        <v>0</v>
      </c>
      <c r="U27" s="448">
        <v>0</v>
      </c>
      <c r="V27" s="448">
        <f t="shared" si="20"/>
        <v>0</v>
      </c>
    </row>
    <row r="28" spans="1:22" ht="49.5" hidden="1" customHeight="1">
      <c r="A28" s="70" t="s">
        <v>11</v>
      </c>
      <c r="B28" s="71" t="s">
        <v>454</v>
      </c>
      <c r="C28" s="72" t="s">
        <v>0</v>
      </c>
      <c r="D28" s="72" t="s">
        <v>5</v>
      </c>
      <c r="E28" s="72"/>
      <c r="F28" s="72"/>
      <c r="G28" s="72"/>
      <c r="H28" s="72"/>
      <c r="I28" s="72"/>
      <c r="J28" s="447"/>
      <c r="K28" s="73">
        <f>'pielikums Nr.1'!AQ28</f>
        <v>0</v>
      </c>
      <c r="L28" s="354"/>
      <c r="M28" s="354"/>
      <c r="N28" s="448">
        <v>0</v>
      </c>
      <c r="O28" s="448">
        <v>0</v>
      </c>
      <c r="P28" s="448">
        <v>0</v>
      </c>
      <c r="Q28" s="448">
        <v>0</v>
      </c>
      <c r="R28" s="448">
        <v>0</v>
      </c>
      <c r="S28" s="448">
        <v>0</v>
      </c>
      <c r="T28" s="448">
        <v>0</v>
      </c>
      <c r="U28" s="448">
        <v>0</v>
      </c>
      <c r="V28" s="448">
        <f t="shared" si="20"/>
        <v>0</v>
      </c>
    </row>
    <row r="29" spans="1:22" ht="66" hidden="1" customHeight="1">
      <c r="A29" s="70" t="s">
        <v>250</v>
      </c>
      <c r="B29" s="71" t="s">
        <v>458</v>
      </c>
      <c r="C29" s="72" t="s">
        <v>0</v>
      </c>
      <c r="D29" s="72" t="s">
        <v>5</v>
      </c>
      <c r="E29" s="72"/>
      <c r="F29" s="72"/>
      <c r="G29" s="72"/>
      <c r="H29" s="72"/>
      <c r="I29" s="72"/>
      <c r="J29" s="447"/>
      <c r="K29" s="73">
        <f>'pielikums Nr.1'!AQ32</f>
        <v>0</v>
      </c>
      <c r="L29" s="354"/>
      <c r="M29" s="354"/>
      <c r="N29" s="448">
        <v>0</v>
      </c>
      <c r="O29" s="448">
        <v>0</v>
      </c>
      <c r="P29" s="448">
        <v>0</v>
      </c>
      <c r="Q29" s="448">
        <v>0</v>
      </c>
      <c r="R29" s="448">
        <v>0</v>
      </c>
      <c r="S29" s="448">
        <v>0</v>
      </c>
      <c r="T29" s="448">
        <v>0</v>
      </c>
      <c r="U29" s="448">
        <v>0</v>
      </c>
      <c r="V29" s="448">
        <f t="shared" si="20"/>
        <v>0</v>
      </c>
    </row>
    <row r="30" spans="1:22" ht="66" hidden="1" customHeight="1">
      <c r="A30" s="70" t="s">
        <v>684</v>
      </c>
      <c r="B30" s="71" t="s">
        <v>459</v>
      </c>
      <c r="C30" s="72" t="s">
        <v>0</v>
      </c>
      <c r="D30" s="72" t="s">
        <v>5</v>
      </c>
      <c r="E30" s="72"/>
      <c r="F30" s="72"/>
      <c r="G30" s="72"/>
      <c r="H30" s="72"/>
      <c r="I30" s="72"/>
      <c r="J30" s="447"/>
      <c r="K30" s="73">
        <f>'pielikums Nr.1'!AQ33</f>
        <v>0</v>
      </c>
      <c r="L30" s="354"/>
      <c r="M30" s="354"/>
      <c r="N30" s="448">
        <v>0</v>
      </c>
      <c r="O30" s="448">
        <v>0</v>
      </c>
      <c r="P30" s="448">
        <v>0</v>
      </c>
      <c r="Q30" s="448">
        <v>0</v>
      </c>
      <c r="R30" s="448">
        <v>0</v>
      </c>
      <c r="S30" s="448">
        <v>0</v>
      </c>
      <c r="T30" s="448">
        <v>0</v>
      </c>
      <c r="U30" s="448">
        <v>0</v>
      </c>
      <c r="V30" s="448">
        <f t="shared" si="20"/>
        <v>0</v>
      </c>
    </row>
    <row r="31" spans="1:22" s="83" customFormat="1" ht="82.5">
      <c r="A31" s="70" t="s">
        <v>261</v>
      </c>
      <c r="B31" s="71" t="s">
        <v>460</v>
      </c>
      <c r="C31" s="72" t="s">
        <v>0</v>
      </c>
      <c r="D31" s="72" t="s">
        <v>5</v>
      </c>
      <c r="E31" s="79">
        <v>4300000</v>
      </c>
      <c r="F31" s="79"/>
      <c r="G31" s="79"/>
      <c r="H31" s="79"/>
      <c r="I31" s="79"/>
      <c r="J31" s="79"/>
      <c r="K31" s="448">
        <v>509500</v>
      </c>
      <c r="L31" s="354"/>
      <c r="M31" s="354"/>
      <c r="N31" s="448">
        <v>0</v>
      </c>
      <c r="O31" s="448">
        <v>509500</v>
      </c>
      <c r="P31" s="448">
        <v>0</v>
      </c>
      <c r="Q31" s="448">
        <v>0</v>
      </c>
      <c r="R31" s="448">
        <v>0</v>
      </c>
      <c r="S31" s="448">
        <v>0</v>
      </c>
      <c r="T31" s="448">
        <v>0</v>
      </c>
      <c r="U31" s="448">
        <v>0</v>
      </c>
      <c r="V31" s="448">
        <f t="shared" si="20"/>
        <v>509500</v>
      </c>
    </row>
    <row r="32" spans="1:22" ht="49.5" hidden="1" customHeight="1">
      <c r="A32" s="70" t="s">
        <v>290</v>
      </c>
      <c r="B32" s="71" t="s">
        <v>461</v>
      </c>
      <c r="C32" s="72" t="s">
        <v>0</v>
      </c>
      <c r="D32" s="72" t="s">
        <v>5</v>
      </c>
      <c r="E32" s="72"/>
      <c r="F32" s="72"/>
      <c r="G32" s="72"/>
      <c r="H32" s="72"/>
      <c r="I32" s="72"/>
      <c r="J32" s="447"/>
      <c r="K32" s="73">
        <f>'pielikums Nr.1'!AQ35</f>
        <v>0</v>
      </c>
      <c r="L32" s="354"/>
      <c r="M32" s="354"/>
      <c r="N32" s="448">
        <v>0</v>
      </c>
      <c r="O32" s="448">
        <v>0</v>
      </c>
      <c r="P32" s="448">
        <v>0</v>
      </c>
      <c r="Q32" s="448">
        <v>0</v>
      </c>
      <c r="R32" s="448">
        <v>0</v>
      </c>
      <c r="S32" s="448">
        <v>0</v>
      </c>
      <c r="T32" s="448">
        <v>0</v>
      </c>
      <c r="U32" s="448">
        <v>0</v>
      </c>
      <c r="V32" s="448">
        <f t="shared" si="20"/>
        <v>0</v>
      </c>
    </row>
    <row r="33" spans="1:22" ht="99" hidden="1" customHeight="1">
      <c r="A33" s="70" t="s">
        <v>291</v>
      </c>
      <c r="B33" s="71" t="s">
        <v>463</v>
      </c>
      <c r="C33" s="72" t="s">
        <v>0</v>
      </c>
      <c r="D33" s="72" t="s">
        <v>5</v>
      </c>
      <c r="E33" s="72"/>
      <c r="F33" s="72"/>
      <c r="G33" s="72"/>
      <c r="H33" s="72"/>
      <c r="I33" s="72"/>
      <c r="J33" s="447"/>
      <c r="K33" s="73">
        <f>'pielikums Nr.1'!AQ37</f>
        <v>0</v>
      </c>
      <c r="L33" s="354"/>
      <c r="M33" s="354"/>
      <c r="N33" s="448">
        <v>0</v>
      </c>
      <c r="O33" s="448">
        <v>0</v>
      </c>
      <c r="P33" s="448">
        <v>0</v>
      </c>
      <c r="Q33" s="448">
        <v>0</v>
      </c>
      <c r="R33" s="448">
        <v>0</v>
      </c>
      <c r="S33" s="448">
        <v>0</v>
      </c>
      <c r="T33" s="448">
        <v>0</v>
      </c>
      <c r="U33" s="448">
        <v>0</v>
      </c>
      <c r="V33" s="448">
        <f t="shared" si="20"/>
        <v>0</v>
      </c>
    </row>
    <row r="34" spans="1:22" ht="82.5" hidden="1" customHeight="1">
      <c r="A34" s="70" t="s">
        <v>228</v>
      </c>
      <c r="B34" s="71" t="s">
        <v>464</v>
      </c>
      <c r="C34" s="72" t="s">
        <v>0</v>
      </c>
      <c r="D34" s="72" t="s">
        <v>5</v>
      </c>
      <c r="E34" s="72"/>
      <c r="F34" s="72"/>
      <c r="G34" s="72"/>
      <c r="H34" s="72"/>
      <c r="I34" s="72"/>
      <c r="J34" s="447"/>
      <c r="K34" s="73">
        <f>'pielikums Nr.1'!AQ38</f>
        <v>0</v>
      </c>
      <c r="L34" s="354"/>
      <c r="M34" s="354"/>
      <c r="N34" s="448">
        <v>0</v>
      </c>
      <c r="O34" s="448">
        <v>0</v>
      </c>
      <c r="P34" s="448">
        <v>0</v>
      </c>
      <c r="Q34" s="448">
        <v>0</v>
      </c>
      <c r="R34" s="448">
        <v>0</v>
      </c>
      <c r="S34" s="448">
        <v>0</v>
      </c>
      <c r="T34" s="448">
        <v>0</v>
      </c>
      <c r="U34" s="448">
        <v>0</v>
      </c>
      <c r="V34" s="448">
        <f t="shared" si="20"/>
        <v>0</v>
      </c>
    </row>
    <row r="35" spans="1:22" ht="66" hidden="1" customHeight="1">
      <c r="A35" s="70" t="s">
        <v>260</v>
      </c>
      <c r="B35" s="71" t="s">
        <v>465</v>
      </c>
      <c r="C35" s="72" t="s">
        <v>0</v>
      </c>
      <c r="D35" s="72" t="s">
        <v>5</v>
      </c>
      <c r="E35" s="72"/>
      <c r="F35" s="72"/>
      <c r="G35" s="72"/>
      <c r="H35" s="72"/>
      <c r="I35" s="72"/>
      <c r="J35" s="447"/>
      <c r="K35" s="73">
        <f>'pielikums Nr.1'!AQ39</f>
        <v>0</v>
      </c>
      <c r="L35" s="354"/>
      <c r="M35" s="354"/>
      <c r="N35" s="448">
        <v>0</v>
      </c>
      <c r="O35" s="448">
        <v>0</v>
      </c>
      <c r="P35" s="448">
        <v>0</v>
      </c>
      <c r="Q35" s="448">
        <v>0</v>
      </c>
      <c r="R35" s="448">
        <v>0</v>
      </c>
      <c r="S35" s="448">
        <v>0</v>
      </c>
      <c r="T35" s="448">
        <v>0</v>
      </c>
      <c r="U35" s="448">
        <v>0</v>
      </c>
      <c r="V35" s="448">
        <f t="shared" si="20"/>
        <v>0</v>
      </c>
    </row>
    <row r="36" spans="1:22" ht="99" hidden="1" customHeight="1">
      <c r="A36" s="70" t="s">
        <v>18</v>
      </c>
      <c r="B36" s="71" t="s">
        <v>468</v>
      </c>
      <c r="C36" s="72" t="s">
        <v>0</v>
      </c>
      <c r="D36" s="72" t="s">
        <v>5</v>
      </c>
      <c r="E36" s="72"/>
      <c r="F36" s="72"/>
      <c r="G36" s="72"/>
      <c r="H36" s="72"/>
      <c r="I36" s="72"/>
      <c r="J36" s="447"/>
      <c r="K36" s="73">
        <f>'pielikums Nr.1'!AQ42</f>
        <v>0</v>
      </c>
      <c r="L36" s="354"/>
      <c r="M36" s="354"/>
      <c r="N36" s="448">
        <v>0</v>
      </c>
      <c r="O36" s="448">
        <v>0</v>
      </c>
      <c r="P36" s="448">
        <v>0</v>
      </c>
      <c r="Q36" s="448">
        <v>0</v>
      </c>
      <c r="R36" s="448">
        <v>0</v>
      </c>
      <c r="S36" s="448">
        <v>0</v>
      </c>
      <c r="T36" s="448">
        <v>0</v>
      </c>
      <c r="U36" s="448">
        <v>0</v>
      </c>
      <c r="V36" s="448">
        <f t="shared" si="20"/>
        <v>0</v>
      </c>
    </row>
    <row r="37" spans="1:22" ht="49.5" hidden="1" customHeight="1">
      <c r="A37" s="70" t="s">
        <v>20</v>
      </c>
      <c r="B37" s="71" t="s">
        <v>470</v>
      </c>
      <c r="C37" s="72" t="s">
        <v>0</v>
      </c>
      <c r="D37" s="72" t="s">
        <v>5</v>
      </c>
      <c r="E37" s="72"/>
      <c r="F37" s="72"/>
      <c r="G37" s="72"/>
      <c r="H37" s="72"/>
      <c r="I37" s="72"/>
      <c r="J37" s="447"/>
      <c r="K37" s="73">
        <f>'pielikums Nr.1'!AQ44</f>
        <v>0</v>
      </c>
      <c r="L37" s="354"/>
      <c r="M37" s="354"/>
      <c r="N37" s="448">
        <v>0</v>
      </c>
      <c r="O37" s="448">
        <v>0</v>
      </c>
      <c r="P37" s="448">
        <v>0</v>
      </c>
      <c r="Q37" s="448">
        <v>0</v>
      </c>
      <c r="R37" s="448">
        <v>0</v>
      </c>
      <c r="S37" s="448">
        <v>0</v>
      </c>
      <c r="T37" s="448">
        <v>0</v>
      </c>
      <c r="U37" s="448">
        <v>0</v>
      </c>
      <c r="V37" s="448">
        <f t="shared" si="20"/>
        <v>0</v>
      </c>
    </row>
    <row r="38" spans="1:22" ht="66" hidden="1" customHeight="1">
      <c r="A38" s="70" t="s">
        <v>21</v>
      </c>
      <c r="B38" s="71" t="s">
        <v>471</v>
      </c>
      <c r="C38" s="72" t="s">
        <v>0</v>
      </c>
      <c r="D38" s="72" t="s">
        <v>5</v>
      </c>
      <c r="E38" s="72"/>
      <c r="F38" s="72"/>
      <c r="G38" s="72"/>
      <c r="H38" s="72"/>
      <c r="I38" s="72"/>
      <c r="J38" s="447"/>
      <c r="K38" s="73">
        <f>'pielikums Nr.1'!AQ45</f>
        <v>0</v>
      </c>
      <c r="L38" s="354"/>
      <c r="M38" s="354"/>
      <c r="N38" s="448">
        <v>0</v>
      </c>
      <c r="O38" s="448">
        <v>0</v>
      </c>
      <c r="P38" s="448">
        <v>0</v>
      </c>
      <c r="Q38" s="448">
        <v>0</v>
      </c>
      <c r="R38" s="448">
        <v>0</v>
      </c>
      <c r="S38" s="448">
        <v>0</v>
      </c>
      <c r="T38" s="448">
        <v>0</v>
      </c>
      <c r="U38" s="448">
        <v>0</v>
      </c>
      <c r="V38" s="448">
        <f t="shared" si="20"/>
        <v>0</v>
      </c>
    </row>
    <row r="39" spans="1:22" ht="49.5">
      <c r="A39" s="70" t="s">
        <v>290</v>
      </c>
      <c r="B39" s="71" t="s">
        <v>461</v>
      </c>
      <c r="C39" s="72" t="s">
        <v>0</v>
      </c>
      <c r="D39" s="72" t="s">
        <v>5</v>
      </c>
      <c r="E39" s="72"/>
      <c r="F39" s="72"/>
      <c r="G39" s="72"/>
      <c r="H39" s="72"/>
      <c r="I39" s="72"/>
      <c r="J39" s="447"/>
      <c r="K39" s="448">
        <v>3790500</v>
      </c>
      <c r="L39" s="354"/>
      <c r="M39" s="354"/>
      <c r="N39" s="448">
        <v>0</v>
      </c>
      <c r="O39" s="448">
        <v>3790500</v>
      </c>
      <c r="P39" s="448">
        <v>0</v>
      </c>
      <c r="Q39" s="448">
        <v>0</v>
      </c>
      <c r="R39" s="448">
        <v>0</v>
      </c>
      <c r="S39" s="448">
        <v>0</v>
      </c>
      <c r="T39" s="448">
        <v>0</v>
      </c>
      <c r="U39" s="448">
        <v>0</v>
      </c>
      <c r="V39" s="448">
        <f t="shared" si="20"/>
        <v>3790500</v>
      </c>
    </row>
    <row r="40" spans="1:22" s="83" customFormat="1" ht="66">
      <c r="A40" s="70" t="s">
        <v>23</v>
      </c>
      <c r="B40" s="71" t="s">
        <v>473</v>
      </c>
      <c r="C40" s="72" t="s">
        <v>0</v>
      </c>
      <c r="D40" s="72" t="s">
        <v>5</v>
      </c>
      <c r="E40" s="79">
        <v>2000000</v>
      </c>
      <c r="F40" s="79"/>
      <c r="G40" s="79"/>
      <c r="H40" s="79"/>
      <c r="I40" s="79"/>
      <c r="J40" s="79"/>
      <c r="K40" s="354">
        <v>2000000</v>
      </c>
      <c r="L40" s="354"/>
      <c r="M40" s="354"/>
      <c r="N40" s="448">
        <v>0</v>
      </c>
      <c r="O40" s="448">
        <v>0</v>
      </c>
      <c r="P40" s="448">
        <v>0</v>
      </c>
      <c r="Q40" s="448">
        <v>0</v>
      </c>
      <c r="R40" s="448">
        <v>2000000</v>
      </c>
      <c r="S40" s="448">
        <f>R40</f>
        <v>2000000</v>
      </c>
      <c r="T40" s="448">
        <v>0</v>
      </c>
      <c r="U40" s="448">
        <v>0</v>
      </c>
      <c r="V40" s="448">
        <f t="shared" si="20"/>
        <v>2000000</v>
      </c>
    </row>
    <row r="41" spans="1:22" s="83" customFormat="1" ht="99" hidden="1" customHeight="1">
      <c r="A41" s="70" t="s">
        <v>24</v>
      </c>
      <c r="B41" s="71" t="s">
        <v>474</v>
      </c>
      <c r="C41" s="72" t="s">
        <v>0</v>
      </c>
      <c r="D41" s="72" t="s">
        <v>5</v>
      </c>
      <c r="E41" s="72"/>
      <c r="F41" s="72"/>
      <c r="G41" s="72"/>
      <c r="H41" s="72"/>
      <c r="I41" s="72"/>
      <c r="J41" s="447"/>
      <c r="K41" s="79">
        <f>'pielikums Nr.1'!AQ48</f>
        <v>0</v>
      </c>
      <c r="L41" s="79"/>
      <c r="M41" s="79"/>
      <c r="N41" s="79">
        <v>0</v>
      </c>
      <c r="O41" s="79">
        <v>0</v>
      </c>
      <c r="P41" s="79">
        <v>0</v>
      </c>
      <c r="Q41" s="79">
        <v>0</v>
      </c>
      <c r="R41" s="79">
        <v>0</v>
      </c>
      <c r="S41" s="79">
        <v>0</v>
      </c>
      <c r="T41" s="79">
        <v>0</v>
      </c>
      <c r="U41" s="79">
        <v>0</v>
      </c>
      <c r="V41" s="79">
        <f t="shared" si="20"/>
        <v>0</v>
      </c>
    </row>
    <row r="42" spans="1:22" ht="82.5" hidden="1" customHeight="1">
      <c r="A42" s="70" t="s">
        <v>26</v>
      </c>
      <c r="B42" s="71" t="s">
        <v>475</v>
      </c>
      <c r="C42" s="72" t="s">
        <v>0</v>
      </c>
      <c r="D42" s="72" t="s">
        <v>5</v>
      </c>
      <c r="E42" s="72"/>
      <c r="F42" s="72"/>
      <c r="G42" s="72"/>
      <c r="H42" s="72"/>
      <c r="I42" s="72"/>
      <c r="J42" s="447"/>
      <c r="K42" s="73">
        <f>'pielikums Nr.1'!AQ50</f>
        <v>0</v>
      </c>
      <c r="L42" s="354"/>
      <c r="M42" s="354"/>
      <c r="N42" s="448">
        <v>0</v>
      </c>
      <c r="O42" s="448">
        <v>0</v>
      </c>
      <c r="P42" s="448">
        <v>0</v>
      </c>
      <c r="Q42" s="448">
        <v>0</v>
      </c>
      <c r="R42" s="448">
        <v>0</v>
      </c>
      <c r="S42" s="448">
        <v>0</v>
      </c>
      <c r="T42" s="448">
        <v>0</v>
      </c>
      <c r="U42" s="448">
        <v>0</v>
      </c>
      <c r="V42" s="448">
        <f t="shared" si="20"/>
        <v>0</v>
      </c>
    </row>
    <row r="43" spans="1:22" ht="33" hidden="1" customHeight="1">
      <c r="A43" s="70" t="s">
        <v>27</v>
      </c>
      <c r="B43" s="71" t="s">
        <v>476</v>
      </c>
      <c r="C43" s="72" t="s">
        <v>0</v>
      </c>
      <c r="D43" s="72" t="s">
        <v>5</v>
      </c>
      <c r="E43" s="72"/>
      <c r="F43" s="72"/>
      <c r="G43" s="72"/>
      <c r="H43" s="72"/>
      <c r="I43" s="72"/>
      <c r="J43" s="447"/>
      <c r="K43" s="73">
        <f>'pielikums Nr.1'!AQ51</f>
        <v>0</v>
      </c>
      <c r="L43" s="354"/>
      <c r="M43" s="354"/>
      <c r="N43" s="448">
        <v>0</v>
      </c>
      <c r="O43" s="448">
        <v>0</v>
      </c>
      <c r="P43" s="448">
        <v>0</v>
      </c>
      <c r="Q43" s="448">
        <v>0</v>
      </c>
      <c r="R43" s="448">
        <v>0</v>
      </c>
      <c r="S43" s="448">
        <v>0</v>
      </c>
      <c r="T43" s="448">
        <v>0</v>
      </c>
      <c r="U43" s="448">
        <v>0</v>
      </c>
      <c r="V43" s="448">
        <f t="shared" si="20"/>
        <v>0</v>
      </c>
    </row>
    <row r="44" spans="1:22" ht="132" hidden="1" customHeight="1">
      <c r="A44" s="70" t="s">
        <v>29</v>
      </c>
      <c r="B44" s="71" t="s">
        <v>478</v>
      </c>
      <c r="C44" s="72" t="s">
        <v>0</v>
      </c>
      <c r="D44" s="72" t="s">
        <v>5</v>
      </c>
      <c r="E44" s="72"/>
      <c r="F44" s="72"/>
      <c r="G44" s="72"/>
      <c r="H44" s="72"/>
      <c r="I44" s="72"/>
      <c r="J44" s="447"/>
      <c r="K44" s="73">
        <f>'pielikums Nr.1'!AQ53</f>
        <v>0</v>
      </c>
      <c r="L44" s="354"/>
      <c r="M44" s="354"/>
      <c r="N44" s="448">
        <v>0</v>
      </c>
      <c r="O44" s="448">
        <v>0</v>
      </c>
      <c r="P44" s="448">
        <v>0</v>
      </c>
      <c r="Q44" s="448">
        <v>0</v>
      </c>
      <c r="R44" s="448">
        <v>0</v>
      </c>
      <c r="S44" s="448">
        <v>0</v>
      </c>
      <c r="T44" s="448">
        <v>0</v>
      </c>
      <c r="U44" s="448">
        <v>0</v>
      </c>
      <c r="V44" s="448">
        <f t="shared" si="20"/>
        <v>0</v>
      </c>
    </row>
    <row r="45" spans="1:22" ht="115.5" hidden="1" customHeight="1">
      <c r="A45" s="70" t="s">
        <v>246</v>
      </c>
      <c r="B45" s="71" t="s">
        <v>479</v>
      </c>
      <c r="C45" s="72" t="s">
        <v>0</v>
      </c>
      <c r="D45" s="72" t="s">
        <v>5</v>
      </c>
      <c r="E45" s="72"/>
      <c r="F45" s="72"/>
      <c r="G45" s="72"/>
      <c r="H45" s="72"/>
      <c r="I45" s="72"/>
      <c r="J45" s="447"/>
      <c r="K45" s="73">
        <f>'pielikums Nr.1'!AQ54</f>
        <v>0</v>
      </c>
      <c r="L45" s="354"/>
      <c r="M45" s="354"/>
      <c r="N45" s="448">
        <v>0</v>
      </c>
      <c r="O45" s="448">
        <v>0</v>
      </c>
      <c r="P45" s="448">
        <v>0</v>
      </c>
      <c r="Q45" s="448">
        <v>0</v>
      </c>
      <c r="R45" s="448">
        <v>0</v>
      </c>
      <c r="S45" s="448">
        <v>0</v>
      </c>
      <c r="T45" s="448">
        <v>0</v>
      </c>
      <c r="U45" s="448">
        <v>0</v>
      </c>
      <c r="V45" s="448">
        <f t="shared" si="20"/>
        <v>0</v>
      </c>
    </row>
    <row r="46" spans="1:22" s="83" customFormat="1" ht="33">
      <c r="A46" s="70" t="s">
        <v>242</v>
      </c>
      <c r="B46" s="71" t="s">
        <v>535</v>
      </c>
      <c r="C46" s="72" t="s">
        <v>56</v>
      </c>
      <c r="D46" s="72" t="s">
        <v>5</v>
      </c>
      <c r="E46" s="79">
        <v>15000000</v>
      </c>
      <c r="F46" s="79"/>
      <c r="G46" s="79"/>
      <c r="H46" s="79"/>
      <c r="I46" s="79"/>
      <c r="J46" s="79"/>
      <c r="K46" s="354">
        <v>15000000</v>
      </c>
      <c r="L46" s="354"/>
      <c r="M46" s="354"/>
      <c r="N46" s="448">
        <v>0</v>
      </c>
      <c r="O46" s="448">
        <v>0</v>
      </c>
      <c r="P46" s="448">
        <v>0</v>
      </c>
      <c r="Q46" s="448">
        <v>0</v>
      </c>
      <c r="R46" s="448">
        <v>0</v>
      </c>
      <c r="S46" s="448">
        <v>15000000</v>
      </c>
      <c r="T46" s="448">
        <v>0</v>
      </c>
      <c r="U46" s="448">
        <v>0</v>
      </c>
      <c r="V46" s="448">
        <f t="shared" si="20"/>
        <v>15000000</v>
      </c>
    </row>
    <row r="47" spans="1:22" ht="82.5" hidden="1" customHeight="1">
      <c r="A47" s="70" t="s">
        <v>223</v>
      </c>
      <c r="B47" s="71" t="s">
        <v>536</v>
      </c>
      <c r="C47" s="72" t="s">
        <v>56</v>
      </c>
      <c r="D47" s="72" t="s">
        <v>5</v>
      </c>
      <c r="E47" s="72"/>
      <c r="F47" s="72"/>
      <c r="G47" s="72"/>
      <c r="H47" s="72"/>
      <c r="I47" s="72"/>
      <c r="J47" s="447"/>
      <c r="K47" s="73">
        <f>'pielikums Nr.1'!AQ111</f>
        <v>0</v>
      </c>
      <c r="L47" s="354"/>
      <c r="M47" s="354"/>
      <c r="N47" s="448">
        <v>0</v>
      </c>
      <c r="O47" s="448">
        <v>0</v>
      </c>
      <c r="P47" s="448">
        <v>0</v>
      </c>
      <c r="Q47" s="448">
        <v>0</v>
      </c>
      <c r="R47" s="448">
        <v>0</v>
      </c>
      <c r="S47" s="448">
        <v>0</v>
      </c>
      <c r="T47" s="448">
        <v>0</v>
      </c>
      <c r="U47" s="448">
        <v>0</v>
      </c>
      <c r="V47" s="448">
        <f t="shared" si="20"/>
        <v>0</v>
      </c>
    </row>
    <row r="48" spans="1:22" s="83" customFormat="1" ht="33">
      <c r="A48" s="71" t="s">
        <v>763</v>
      </c>
      <c r="B48" s="71" t="s">
        <v>538</v>
      </c>
      <c r="C48" s="72" t="s">
        <v>56</v>
      </c>
      <c r="D48" s="72" t="s">
        <v>5</v>
      </c>
      <c r="E48" s="79">
        <v>5000000</v>
      </c>
      <c r="F48" s="79"/>
      <c r="G48" s="79"/>
      <c r="H48" s="79"/>
      <c r="I48" s="79"/>
      <c r="J48" s="79">
        <v>-5000000</v>
      </c>
      <c r="K48" s="354">
        <v>0</v>
      </c>
      <c r="L48" s="354"/>
      <c r="M48" s="354"/>
      <c r="N48" s="448">
        <v>0</v>
      </c>
      <c r="O48" s="448">
        <v>0</v>
      </c>
      <c r="P48" s="448">
        <v>0</v>
      </c>
      <c r="Q48" s="448">
        <v>0</v>
      </c>
      <c r="R48" s="448">
        <v>0</v>
      </c>
      <c r="S48" s="448">
        <v>0</v>
      </c>
      <c r="T48" s="448">
        <v>0</v>
      </c>
      <c r="U48" s="448">
        <v>0</v>
      </c>
      <c r="V48" s="448">
        <f t="shared" si="20"/>
        <v>0</v>
      </c>
    </row>
    <row r="49" spans="1:22" ht="82.5" hidden="1" customHeight="1">
      <c r="A49" s="70" t="s">
        <v>60</v>
      </c>
      <c r="B49" s="71" t="s">
        <v>539</v>
      </c>
      <c r="C49" s="72" t="s">
        <v>56</v>
      </c>
      <c r="D49" s="72" t="s">
        <v>5</v>
      </c>
      <c r="E49" s="72"/>
      <c r="F49" s="72"/>
      <c r="G49" s="72"/>
      <c r="H49" s="72"/>
      <c r="I49" s="72"/>
      <c r="J49" s="447"/>
      <c r="K49" s="73">
        <f>'pielikums Nr.1'!AQ114</f>
        <v>0</v>
      </c>
      <c r="L49" s="354"/>
      <c r="M49" s="354"/>
      <c r="N49" s="448">
        <v>0</v>
      </c>
      <c r="O49" s="448">
        <v>0</v>
      </c>
      <c r="P49" s="448">
        <v>0</v>
      </c>
      <c r="Q49" s="448">
        <v>0</v>
      </c>
      <c r="R49" s="448">
        <v>0</v>
      </c>
      <c r="S49" s="448">
        <v>0</v>
      </c>
      <c r="T49" s="448">
        <v>0</v>
      </c>
      <c r="U49" s="448">
        <v>0</v>
      </c>
      <c r="V49" s="448">
        <f t="shared" si="20"/>
        <v>0</v>
      </c>
    </row>
    <row r="50" spans="1:22" s="83" customFormat="1" ht="82.5">
      <c r="A50" s="70" t="s">
        <v>764</v>
      </c>
      <c r="B50" s="71" t="s">
        <v>579</v>
      </c>
      <c r="C50" s="72" t="s">
        <v>56</v>
      </c>
      <c r="D50" s="72" t="s">
        <v>5</v>
      </c>
      <c r="E50" s="79">
        <v>31195566</v>
      </c>
      <c r="F50" s="79"/>
      <c r="G50" s="79"/>
      <c r="H50" s="79"/>
      <c r="I50" s="79">
        <v>13714291</v>
      </c>
      <c r="J50" s="79">
        <v>-1400000</v>
      </c>
      <c r="K50" s="354">
        <v>43509857</v>
      </c>
      <c r="L50" s="354"/>
      <c r="M50" s="354"/>
      <c r="N50" s="448">
        <v>0</v>
      </c>
      <c r="O50" s="448">
        <v>0</v>
      </c>
      <c r="P50" s="448">
        <v>0</v>
      </c>
      <c r="Q50" s="448">
        <v>0</v>
      </c>
      <c r="R50" s="448">
        <v>0</v>
      </c>
      <c r="S50" s="448">
        <v>0</v>
      </c>
      <c r="T50" s="448">
        <v>43509857</v>
      </c>
      <c r="U50" s="448">
        <v>0</v>
      </c>
      <c r="V50" s="448">
        <f t="shared" si="20"/>
        <v>43509857</v>
      </c>
    </row>
    <row r="51" spans="1:22" s="83" customFormat="1" ht="82.5" hidden="1" customHeight="1">
      <c r="A51" s="70" t="s">
        <v>82</v>
      </c>
      <c r="B51" s="71" t="s">
        <v>580</v>
      </c>
      <c r="C51" s="72" t="s">
        <v>56</v>
      </c>
      <c r="D51" s="72" t="s">
        <v>5</v>
      </c>
      <c r="E51" s="72"/>
      <c r="F51" s="72"/>
      <c r="G51" s="72"/>
      <c r="H51" s="72"/>
      <c r="I51" s="72"/>
      <c r="J51" s="447"/>
      <c r="K51" s="73">
        <v>0</v>
      </c>
      <c r="L51" s="354"/>
      <c r="M51" s="354"/>
      <c r="N51" s="448">
        <v>0</v>
      </c>
      <c r="O51" s="448">
        <v>0</v>
      </c>
      <c r="P51" s="448">
        <v>0</v>
      </c>
      <c r="Q51" s="448">
        <v>0</v>
      </c>
      <c r="R51" s="448">
        <v>0</v>
      </c>
      <c r="S51" s="448">
        <v>0</v>
      </c>
      <c r="T51" s="448">
        <v>0</v>
      </c>
      <c r="U51" s="448">
        <v>0</v>
      </c>
      <c r="V51" s="448">
        <f t="shared" si="20"/>
        <v>0</v>
      </c>
    </row>
    <row r="52" spans="1:22" s="83" customFormat="1" ht="165" hidden="1" customHeight="1">
      <c r="A52" s="70" t="s">
        <v>84</v>
      </c>
      <c r="B52" s="71" t="s">
        <v>582</v>
      </c>
      <c r="C52" s="72" t="s">
        <v>56</v>
      </c>
      <c r="D52" s="72" t="s">
        <v>5</v>
      </c>
      <c r="E52" s="72"/>
      <c r="F52" s="72"/>
      <c r="G52" s="72"/>
      <c r="H52" s="72"/>
      <c r="I52" s="72"/>
      <c r="J52" s="447"/>
      <c r="K52" s="73">
        <f>'pielikums Nr.1'!AQ159</f>
        <v>0</v>
      </c>
      <c r="L52" s="354"/>
      <c r="M52" s="354"/>
      <c r="N52" s="448">
        <v>0</v>
      </c>
      <c r="O52" s="448">
        <v>0</v>
      </c>
      <c r="P52" s="448">
        <v>0</v>
      </c>
      <c r="Q52" s="448">
        <v>0</v>
      </c>
      <c r="R52" s="448">
        <v>0</v>
      </c>
      <c r="S52" s="448">
        <v>0</v>
      </c>
      <c r="T52" s="448">
        <v>0</v>
      </c>
      <c r="U52" s="448">
        <v>0</v>
      </c>
      <c r="V52" s="448">
        <f t="shared" si="20"/>
        <v>0</v>
      </c>
    </row>
    <row r="53" spans="1:22" s="83" customFormat="1" ht="49.5" hidden="1" customHeight="1">
      <c r="A53" s="70" t="s">
        <v>85</v>
      </c>
      <c r="B53" s="71" t="s">
        <v>583</v>
      </c>
      <c r="C53" s="72" t="s">
        <v>56</v>
      </c>
      <c r="D53" s="72" t="s">
        <v>5</v>
      </c>
      <c r="E53" s="72"/>
      <c r="F53" s="72"/>
      <c r="G53" s="72"/>
      <c r="H53" s="72"/>
      <c r="I53" s="72"/>
      <c r="J53" s="447"/>
      <c r="K53" s="73">
        <f>'pielikums Nr.1'!AQ160</f>
        <v>0</v>
      </c>
      <c r="L53" s="354"/>
      <c r="M53" s="354"/>
      <c r="N53" s="448">
        <v>0</v>
      </c>
      <c r="O53" s="448">
        <v>0</v>
      </c>
      <c r="P53" s="448">
        <v>0</v>
      </c>
      <c r="Q53" s="448">
        <v>0</v>
      </c>
      <c r="R53" s="448">
        <v>0</v>
      </c>
      <c r="S53" s="448">
        <v>0</v>
      </c>
      <c r="T53" s="448">
        <v>0</v>
      </c>
      <c r="U53" s="448">
        <v>0</v>
      </c>
      <c r="V53" s="448">
        <f t="shared" si="20"/>
        <v>0</v>
      </c>
    </row>
    <row r="54" spans="1:22" s="83" customFormat="1" ht="66" hidden="1" customHeight="1">
      <c r="A54" s="70" t="s">
        <v>266</v>
      </c>
      <c r="B54" s="71" t="s">
        <v>585</v>
      </c>
      <c r="C54" s="72" t="s">
        <v>56</v>
      </c>
      <c r="D54" s="72" t="s">
        <v>5</v>
      </c>
      <c r="E54" s="72"/>
      <c r="F54" s="72"/>
      <c r="G54" s="72"/>
      <c r="H54" s="72"/>
      <c r="I54" s="72"/>
      <c r="J54" s="447"/>
      <c r="K54" s="73">
        <f>'pielikums Nr.1'!AQ162</f>
        <v>0</v>
      </c>
      <c r="L54" s="354"/>
      <c r="M54" s="354"/>
      <c r="N54" s="448">
        <v>0</v>
      </c>
      <c r="O54" s="448">
        <v>0</v>
      </c>
      <c r="P54" s="448">
        <v>0</v>
      </c>
      <c r="Q54" s="448">
        <v>0</v>
      </c>
      <c r="R54" s="448">
        <v>0</v>
      </c>
      <c r="S54" s="448">
        <v>0</v>
      </c>
      <c r="T54" s="448">
        <v>0</v>
      </c>
      <c r="U54" s="448">
        <v>0</v>
      </c>
      <c r="V54" s="448">
        <f t="shared" ref="V54:V85" si="21">O54+S54+T54+U54</f>
        <v>0</v>
      </c>
    </row>
    <row r="55" spans="1:22" s="83" customFormat="1" ht="49.5" hidden="1" customHeight="1">
      <c r="A55" s="70" t="s">
        <v>87</v>
      </c>
      <c r="B55" s="71" t="s">
        <v>586</v>
      </c>
      <c r="C55" s="72" t="s">
        <v>56</v>
      </c>
      <c r="D55" s="72" t="s">
        <v>5</v>
      </c>
      <c r="E55" s="72"/>
      <c r="F55" s="72"/>
      <c r="G55" s="72"/>
      <c r="H55" s="72"/>
      <c r="I55" s="72"/>
      <c r="J55" s="447"/>
      <c r="K55" s="73">
        <f>'pielikums Nr.1'!AQ163</f>
        <v>0</v>
      </c>
      <c r="L55" s="354"/>
      <c r="M55" s="354"/>
      <c r="N55" s="448">
        <v>0</v>
      </c>
      <c r="O55" s="448">
        <v>0</v>
      </c>
      <c r="P55" s="448">
        <v>0</v>
      </c>
      <c r="Q55" s="448">
        <v>0</v>
      </c>
      <c r="R55" s="448">
        <v>0</v>
      </c>
      <c r="S55" s="448">
        <v>0</v>
      </c>
      <c r="T55" s="448">
        <v>0</v>
      </c>
      <c r="U55" s="448">
        <v>0</v>
      </c>
      <c r="V55" s="448">
        <f t="shared" si="21"/>
        <v>0</v>
      </c>
    </row>
    <row r="56" spans="1:22" s="83" customFormat="1" ht="66" hidden="1" customHeight="1">
      <c r="A56" s="70" t="s">
        <v>264</v>
      </c>
      <c r="B56" s="71" t="s">
        <v>588</v>
      </c>
      <c r="C56" s="72" t="s">
        <v>56</v>
      </c>
      <c r="D56" s="72" t="s">
        <v>5</v>
      </c>
      <c r="E56" s="72"/>
      <c r="F56" s="72"/>
      <c r="G56" s="72"/>
      <c r="H56" s="72"/>
      <c r="I56" s="72"/>
      <c r="J56" s="447"/>
      <c r="K56" s="73">
        <f>'pielikums Nr.1'!AQ165</f>
        <v>0</v>
      </c>
      <c r="L56" s="354"/>
      <c r="M56" s="354"/>
      <c r="N56" s="448">
        <v>0</v>
      </c>
      <c r="O56" s="448">
        <v>0</v>
      </c>
      <c r="P56" s="448">
        <v>0</v>
      </c>
      <c r="Q56" s="448">
        <v>0</v>
      </c>
      <c r="R56" s="448">
        <v>0</v>
      </c>
      <c r="S56" s="448">
        <v>0</v>
      </c>
      <c r="T56" s="448">
        <v>0</v>
      </c>
      <c r="U56" s="448">
        <v>0</v>
      </c>
      <c r="V56" s="448">
        <f t="shared" si="21"/>
        <v>0</v>
      </c>
    </row>
    <row r="57" spans="1:22" s="83" customFormat="1" ht="99" hidden="1" customHeight="1">
      <c r="A57" s="70" t="s">
        <v>247</v>
      </c>
      <c r="B57" s="71" t="s">
        <v>589</v>
      </c>
      <c r="C57" s="72" t="s">
        <v>56</v>
      </c>
      <c r="D57" s="72" t="s">
        <v>5</v>
      </c>
      <c r="E57" s="72"/>
      <c r="F57" s="72"/>
      <c r="G57" s="72"/>
      <c r="H57" s="72"/>
      <c r="I57" s="72"/>
      <c r="J57" s="447"/>
      <c r="K57" s="73">
        <f>'pielikums Nr.1'!AQ166</f>
        <v>0</v>
      </c>
      <c r="L57" s="354"/>
      <c r="M57" s="354"/>
      <c r="N57" s="448">
        <v>0</v>
      </c>
      <c r="O57" s="448">
        <v>0</v>
      </c>
      <c r="P57" s="448">
        <v>0</v>
      </c>
      <c r="Q57" s="448">
        <v>0</v>
      </c>
      <c r="R57" s="448">
        <v>0</v>
      </c>
      <c r="S57" s="448">
        <v>0</v>
      </c>
      <c r="T57" s="448">
        <v>0</v>
      </c>
      <c r="U57" s="448">
        <v>0</v>
      </c>
      <c r="V57" s="448">
        <f t="shared" si="21"/>
        <v>0</v>
      </c>
    </row>
    <row r="58" spans="1:22" s="83" customFormat="1" ht="33" hidden="1" customHeight="1">
      <c r="A58" s="70" t="s">
        <v>254</v>
      </c>
      <c r="B58" s="71" t="s">
        <v>620</v>
      </c>
      <c r="C58" s="72" t="s">
        <v>56</v>
      </c>
      <c r="D58" s="72" t="s">
        <v>5</v>
      </c>
      <c r="E58" s="72"/>
      <c r="F58" s="72"/>
      <c r="G58" s="72"/>
      <c r="H58" s="72"/>
      <c r="I58" s="72"/>
      <c r="J58" s="447"/>
      <c r="K58" s="73">
        <f>'pielikums Nr.1'!AQ198</f>
        <v>0</v>
      </c>
      <c r="L58" s="354"/>
      <c r="M58" s="354"/>
      <c r="N58" s="448">
        <v>0</v>
      </c>
      <c r="O58" s="448">
        <v>0</v>
      </c>
      <c r="P58" s="448">
        <v>0</v>
      </c>
      <c r="Q58" s="448">
        <v>0</v>
      </c>
      <c r="R58" s="448">
        <v>0</v>
      </c>
      <c r="S58" s="448">
        <v>0</v>
      </c>
      <c r="T58" s="448">
        <v>0</v>
      </c>
      <c r="U58" s="448">
        <v>0</v>
      </c>
      <c r="V58" s="448">
        <f t="shared" si="21"/>
        <v>0</v>
      </c>
    </row>
    <row r="59" spans="1:22" s="440" customFormat="1" ht="22.9" customHeight="1">
      <c r="A59" s="464" t="s">
        <v>741</v>
      </c>
      <c r="B59" s="465"/>
      <c r="C59" s="465"/>
      <c r="D59" s="466"/>
      <c r="E59" s="443">
        <f t="shared" ref="E59:J59" si="22">SUM(E60:E74)</f>
        <v>58929573</v>
      </c>
      <c r="F59" s="443">
        <f t="shared" si="22"/>
        <v>0</v>
      </c>
      <c r="G59" s="443">
        <f t="shared" si="22"/>
        <v>0</v>
      </c>
      <c r="H59" s="443">
        <f t="shared" si="22"/>
        <v>0</v>
      </c>
      <c r="I59" s="443">
        <f t="shared" si="22"/>
        <v>0</v>
      </c>
      <c r="J59" s="443">
        <f t="shared" si="22"/>
        <v>-1906612</v>
      </c>
      <c r="K59" s="439">
        <f>SUM(K60:K74)</f>
        <v>57022961</v>
      </c>
      <c r="L59" s="439">
        <f t="shared" ref="L59:M59" si="23">SUM(L60:L74)</f>
        <v>0</v>
      </c>
      <c r="M59" s="439">
        <f t="shared" si="23"/>
        <v>0</v>
      </c>
      <c r="N59" s="439">
        <f t="shared" ref="N59:U59" si="24">SUM(N60:N74)</f>
        <v>2272119</v>
      </c>
      <c r="O59" s="439">
        <f t="shared" si="24"/>
        <v>50335835</v>
      </c>
      <c r="P59" s="439">
        <f t="shared" si="24"/>
        <v>0</v>
      </c>
      <c r="Q59" s="439">
        <f t="shared" si="24"/>
        <v>0</v>
      </c>
      <c r="R59" s="439">
        <f t="shared" si="24"/>
        <v>6687126</v>
      </c>
      <c r="S59" s="439">
        <f t="shared" si="24"/>
        <v>6687126</v>
      </c>
      <c r="T59" s="439">
        <f t="shared" si="24"/>
        <v>0</v>
      </c>
      <c r="U59" s="439">
        <f t="shared" si="24"/>
        <v>0</v>
      </c>
      <c r="V59" s="439">
        <f t="shared" si="21"/>
        <v>57022961</v>
      </c>
    </row>
    <row r="60" spans="1:22" s="83" customFormat="1" ht="49.5" hidden="1" customHeight="1">
      <c r="A60" s="70" t="s">
        <v>229</v>
      </c>
      <c r="B60" s="71" t="s">
        <v>610</v>
      </c>
      <c r="C60" s="72" t="s">
        <v>56</v>
      </c>
      <c r="D60" s="72" t="s">
        <v>168</v>
      </c>
      <c r="E60" s="72"/>
      <c r="F60" s="72"/>
      <c r="G60" s="72"/>
      <c r="H60" s="72"/>
      <c r="I60" s="72"/>
      <c r="J60" s="447"/>
      <c r="K60" s="73">
        <f>'pielikums Nr.1'!AQ188</f>
        <v>0</v>
      </c>
      <c r="L60" s="354"/>
      <c r="M60" s="354"/>
      <c r="N60" s="448">
        <v>0</v>
      </c>
      <c r="O60" s="448">
        <v>0</v>
      </c>
      <c r="P60" s="448">
        <v>0</v>
      </c>
      <c r="Q60" s="448">
        <v>0</v>
      </c>
      <c r="R60" s="448">
        <v>0</v>
      </c>
      <c r="S60" s="448">
        <v>0</v>
      </c>
      <c r="T60" s="448">
        <v>0</v>
      </c>
      <c r="U60" s="448">
        <v>0</v>
      </c>
      <c r="V60" s="448">
        <f t="shared" si="21"/>
        <v>0</v>
      </c>
    </row>
    <row r="61" spans="1:22" s="83" customFormat="1" ht="49.5">
      <c r="A61" s="70" t="s">
        <v>304</v>
      </c>
      <c r="B61" s="71" t="s">
        <v>611</v>
      </c>
      <c r="C61" s="72" t="s">
        <v>56</v>
      </c>
      <c r="D61" s="72" t="s">
        <v>168</v>
      </c>
      <c r="E61" s="86">
        <v>23885455</v>
      </c>
      <c r="F61" s="79"/>
      <c r="G61" s="79"/>
      <c r="H61" s="79"/>
      <c r="I61" s="79"/>
      <c r="J61" s="79">
        <v>-1906612</v>
      </c>
      <c r="K61" s="448">
        <v>21978843</v>
      </c>
      <c r="L61" s="354"/>
      <c r="M61" s="354"/>
      <c r="N61" s="448">
        <v>2272119</v>
      </c>
      <c r="O61" s="448">
        <v>21978843</v>
      </c>
      <c r="P61" s="448">
        <v>0</v>
      </c>
      <c r="Q61" s="448">
        <v>0</v>
      </c>
      <c r="R61" s="448">
        <v>0</v>
      </c>
      <c r="S61" s="448">
        <v>0</v>
      </c>
      <c r="T61" s="448">
        <v>0</v>
      </c>
      <c r="U61" s="448">
        <v>0</v>
      </c>
      <c r="V61" s="448">
        <f t="shared" si="21"/>
        <v>21978843</v>
      </c>
    </row>
    <row r="62" spans="1:22" s="83" customFormat="1" ht="66" hidden="1" customHeight="1">
      <c r="A62" s="70" t="s">
        <v>306</v>
      </c>
      <c r="B62" s="71" t="s">
        <v>613</v>
      </c>
      <c r="C62" s="72" t="s">
        <v>56</v>
      </c>
      <c r="D62" s="72" t="s">
        <v>168</v>
      </c>
      <c r="E62" s="72"/>
      <c r="F62" s="72"/>
      <c r="G62" s="72"/>
      <c r="H62" s="72"/>
      <c r="I62" s="72"/>
      <c r="J62" s="447"/>
      <c r="K62" s="73">
        <f>'pielikums Nr.1'!AQ190</f>
        <v>0</v>
      </c>
      <c r="L62" s="354"/>
      <c r="M62" s="354"/>
      <c r="N62" s="448">
        <v>0</v>
      </c>
      <c r="O62" s="448">
        <v>0</v>
      </c>
      <c r="P62" s="448">
        <v>0</v>
      </c>
      <c r="Q62" s="448">
        <v>0</v>
      </c>
      <c r="R62" s="448">
        <v>0</v>
      </c>
      <c r="S62" s="448">
        <v>0</v>
      </c>
      <c r="T62" s="448">
        <v>0</v>
      </c>
      <c r="U62" s="448">
        <v>0</v>
      </c>
      <c r="V62" s="448">
        <f t="shared" si="21"/>
        <v>0</v>
      </c>
    </row>
    <row r="63" spans="1:22" s="83" customFormat="1" ht="33" hidden="1" customHeight="1">
      <c r="A63" s="70" t="s">
        <v>100</v>
      </c>
      <c r="B63" s="71" t="s">
        <v>614</v>
      </c>
      <c r="C63" s="72" t="s">
        <v>56</v>
      </c>
      <c r="D63" s="72" t="s">
        <v>168</v>
      </c>
      <c r="E63" s="72"/>
      <c r="F63" s="72"/>
      <c r="G63" s="72"/>
      <c r="H63" s="72"/>
      <c r="I63" s="72"/>
      <c r="J63" s="447"/>
      <c r="K63" s="73">
        <f>'pielikums Nr.1'!AQ191</f>
        <v>0</v>
      </c>
      <c r="L63" s="354"/>
      <c r="M63" s="354"/>
      <c r="N63" s="448">
        <v>0</v>
      </c>
      <c r="O63" s="448">
        <v>0</v>
      </c>
      <c r="P63" s="448">
        <v>0</v>
      </c>
      <c r="Q63" s="448">
        <v>0</v>
      </c>
      <c r="R63" s="448">
        <v>0</v>
      </c>
      <c r="S63" s="448">
        <v>0</v>
      </c>
      <c r="T63" s="448">
        <v>0</v>
      </c>
      <c r="U63" s="448">
        <v>0</v>
      </c>
      <c r="V63" s="448">
        <f t="shared" si="21"/>
        <v>0</v>
      </c>
    </row>
    <row r="64" spans="1:22" s="83" customFormat="1" ht="33" hidden="1" customHeight="1">
      <c r="A64" s="70" t="s">
        <v>307</v>
      </c>
      <c r="B64" s="71" t="s">
        <v>615</v>
      </c>
      <c r="C64" s="72" t="s">
        <v>56</v>
      </c>
      <c r="D64" s="72" t="s">
        <v>168</v>
      </c>
      <c r="E64" s="72"/>
      <c r="F64" s="72"/>
      <c r="G64" s="72"/>
      <c r="H64" s="72"/>
      <c r="I64" s="72"/>
      <c r="J64" s="447"/>
      <c r="K64" s="73">
        <f>'pielikums Nr.1'!AQ192</f>
        <v>0</v>
      </c>
      <c r="L64" s="354"/>
      <c r="M64" s="354"/>
      <c r="N64" s="448">
        <v>0</v>
      </c>
      <c r="O64" s="448">
        <v>0</v>
      </c>
      <c r="P64" s="448">
        <v>0</v>
      </c>
      <c r="Q64" s="448">
        <v>0</v>
      </c>
      <c r="R64" s="448">
        <v>0</v>
      </c>
      <c r="S64" s="448">
        <v>0</v>
      </c>
      <c r="T64" s="448">
        <v>0</v>
      </c>
      <c r="U64" s="448">
        <v>0</v>
      </c>
      <c r="V64" s="448">
        <f t="shared" si="21"/>
        <v>0</v>
      </c>
    </row>
    <row r="65" spans="1:22" s="83" customFormat="1" ht="33" hidden="1" customHeight="1">
      <c r="A65" s="70" t="s">
        <v>101</v>
      </c>
      <c r="B65" s="71" t="s">
        <v>616</v>
      </c>
      <c r="C65" s="72" t="s">
        <v>56</v>
      </c>
      <c r="D65" s="72" t="s">
        <v>168</v>
      </c>
      <c r="E65" s="72"/>
      <c r="F65" s="72"/>
      <c r="G65" s="72"/>
      <c r="H65" s="72"/>
      <c r="I65" s="72"/>
      <c r="J65" s="447"/>
      <c r="K65" s="73">
        <f>'pielikums Nr.1'!AQ193</f>
        <v>0</v>
      </c>
      <c r="L65" s="354"/>
      <c r="M65" s="354"/>
      <c r="N65" s="448">
        <v>0</v>
      </c>
      <c r="O65" s="448">
        <v>0</v>
      </c>
      <c r="P65" s="448">
        <v>0</v>
      </c>
      <c r="Q65" s="448">
        <v>0</v>
      </c>
      <c r="R65" s="448">
        <v>0</v>
      </c>
      <c r="S65" s="448">
        <v>0</v>
      </c>
      <c r="T65" s="448">
        <v>0</v>
      </c>
      <c r="U65" s="448">
        <v>0</v>
      </c>
      <c r="V65" s="448">
        <f t="shared" si="21"/>
        <v>0</v>
      </c>
    </row>
    <row r="66" spans="1:22" s="83" customFormat="1" ht="99" hidden="1" customHeight="1">
      <c r="A66" s="70" t="s">
        <v>105</v>
      </c>
      <c r="B66" s="71" t="s">
        <v>622</v>
      </c>
      <c r="C66" s="72" t="s">
        <v>56</v>
      </c>
      <c r="D66" s="72" t="s">
        <v>168</v>
      </c>
      <c r="E66" s="72"/>
      <c r="F66" s="72"/>
      <c r="G66" s="72"/>
      <c r="H66" s="72"/>
      <c r="I66" s="72"/>
      <c r="J66" s="447"/>
      <c r="K66" s="73">
        <f>'pielikums Nr.1'!AQ199</f>
        <v>0</v>
      </c>
      <c r="L66" s="354"/>
      <c r="M66" s="354"/>
      <c r="N66" s="448">
        <v>0</v>
      </c>
      <c r="O66" s="448">
        <v>0</v>
      </c>
      <c r="P66" s="448">
        <v>0</v>
      </c>
      <c r="Q66" s="448">
        <v>0</v>
      </c>
      <c r="R66" s="448">
        <v>0</v>
      </c>
      <c r="S66" s="448">
        <v>0</v>
      </c>
      <c r="T66" s="448">
        <v>0</v>
      </c>
      <c r="U66" s="448">
        <v>0</v>
      </c>
      <c r="V66" s="448">
        <f t="shared" si="21"/>
        <v>0</v>
      </c>
    </row>
    <row r="67" spans="1:22" s="83" customFormat="1" ht="66" hidden="1" customHeight="1">
      <c r="A67" s="70" t="s">
        <v>107</v>
      </c>
      <c r="B67" s="71" t="s">
        <v>624</v>
      </c>
      <c r="C67" s="72" t="s">
        <v>56</v>
      </c>
      <c r="D67" s="72" t="s">
        <v>168</v>
      </c>
      <c r="E67" s="72"/>
      <c r="F67" s="72"/>
      <c r="G67" s="72"/>
      <c r="H67" s="72"/>
      <c r="I67" s="72"/>
      <c r="J67" s="447"/>
      <c r="K67" s="73">
        <f>'pielikums Nr.1'!AQ201</f>
        <v>0</v>
      </c>
      <c r="L67" s="354"/>
      <c r="M67" s="354"/>
      <c r="N67" s="448">
        <v>0</v>
      </c>
      <c r="O67" s="448">
        <v>0</v>
      </c>
      <c r="P67" s="448">
        <v>0</v>
      </c>
      <c r="Q67" s="448">
        <v>0</v>
      </c>
      <c r="R67" s="448">
        <v>0</v>
      </c>
      <c r="S67" s="448">
        <v>0</v>
      </c>
      <c r="T67" s="448">
        <v>0</v>
      </c>
      <c r="U67" s="448">
        <v>0</v>
      </c>
      <c r="V67" s="448">
        <f t="shared" si="21"/>
        <v>0</v>
      </c>
    </row>
    <row r="68" spans="1:22" s="83" customFormat="1" ht="49.5" hidden="1" customHeight="1">
      <c r="A68" s="70" t="s">
        <v>108</v>
      </c>
      <c r="B68" s="71" t="s">
        <v>625</v>
      </c>
      <c r="C68" s="72" t="s">
        <v>56</v>
      </c>
      <c r="D68" s="72" t="s">
        <v>168</v>
      </c>
      <c r="E68" s="72"/>
      <c r="F68" s="72"/>
      <c r="G68" s="72"/>
      <c r="H68" s="72"/>
      <c r="I68" s="72"/>
      <c r="J68" s="447"/>
      <c r="K68" s="73">
        <f>'pielikums Nr.1'!AQ202</f>
        <v>0</v>
      </c>
      <c r="L68" s="354"/>
      <c r="M68" s="354"/>
      <c r="N68" s="448">
        <v>0</v>
      </c>
      <c r="O68" s="448">
        <v>0</v>
      </c>
      <c r="P68" s="448">
        <v>0</v>
      </c>
      <c r="Q68" s="448">
        <v>0</v>
      </c>
      <c r="R68" s="448">
        <v>0</v>
      </c>
      <c r="S68" s="448">
        <v>0</v>
      </c>
      <c r="T68" s="448">
        <v>0</v>
      </c>
      <c r="U68" s="448">
        <v>0</v>
      </c>
      <c r="V68" s="448">
        <f t="shared" si="21"/>
        <v>0</v>
      </c>
    </row>
    <row r="69" spans="1:22" s="83" customFormat="1" ht="33">
      <c r="A69" s="70" t="s">
        <v>226</v>
      </c>
      <c r="B69" s="71" t="s">
        <v>628</v>
      </c>
      <c r="C69" s="72" t="s">
        <v>171</v>
      </c>
      <c r="D69" s="72" t="s">
        <v>168</v>
      </c>
      <c r="E69" s="86">
        <v>35044118</v>
      </c>
      <c r="F69" s="79"/>
      <c r="G69" s="79"/>
      <c r="H69" s="79"/>
      <c r="I69" s="79"/>
      <c r="J69" s="79"/>
      <c r="K69" s="448">
        <v>35044118</v>
      </c>
      <c r="L69" s="354"/>
      <c r="M69" s="354"/>
      <c r="N69" s="448">
        <v>0</v>
      </c>
      <c r="O69" s="448">
        <v>28356992</v>
      </c>
      <c r="P69" s="448">
        <v>0</v>
      </c>
      <c r="Q69" s="448">
        <v>0</v>
      </c>
      <c r="R69" s="448">
        <v>6687126</v>
      </c>
      <c r="S69" s="448">
        <v>6687126</v>
      </c>
      <c r="T69" s="448">
        <v>0</v>
      </c>
      <c r="U69" s="448">
        <v>0</v>
      </c>
      <c r="V69" s="448">
        <f t="shared" si="21"/>
        <v>35044118</v>
      </c>
    </row>
    <row r="70" spans="1:22" s="83" customFormat="1" ht="99" hidden="1" customHeight="1">
      <c r="A70" s="70" t="s">
        <v>111</v>
      </c>
      <c r="B70" s="71" t="s">
        <v>629</v>
      </c>
      <c r="C70" s="72" t="s">
        <v>171</v>
      </c>
      <c r="D70" s="72" t="s">
        <v>168</v>
      </c>
      <c r="E70" s="72"/>
      <c r="F70" s="72"/>
      <c r="G70" s="72"/>
      <c r="H70" s="72"/>
      <c r="I70" s="72"/>
      <c r="J70" s="447"/>
      <c r="K70" s="73">
        <f>'pielikums Nr.1'!AQ207</f>
        <v>0</v>
      </c>
      <c r="L70" s="354"/>
      <c r="M70" s="354"/>
      <c r="N70" s="448">
        <v>0</v>
      </c>
      <c r="O70" s="448">
        <v>0</v>
      </c>
      <c r="P70" s="448">
        <v>0</v>
      </c>
      <c r="Q70" s="448">
        <v>0</v>
      </c>
      <c r="R70" s="448">
        <v>0</v>
      </c>
      <c r="S70" s="448">
        <v>0</v>
      </c>
      <c r="T70" s="448">
        <v>0</v>
      </c>
      <c r="U70" s="448">
        <v>0</v>
      </c>
      <c r="V70" s="448">
        <f t="shared" si="21"/>
        <v>0</v>
      </c>
    </row>
    <row r="71" spans="1:22" s="83" customFormat="1" ht="49.5" hidden="1" customHeight="1">
      <c r="A71" s="70" t="s">
        <v>177</v>
      </c>
      <c r="B71" s="71" t="s">
        <v>630</v>
      </c>
      <c r="C71" s="72" t="s">
        <v>171</v>
      </c>
      <c r="D71" s="72" t="s">
        <v>168</v>
      </c>
      <c r="E71" s="72"/>
      <c r="F71" s="72"/>
      <c r="G71" s="72"/>
      <c r="H71" s="72"/>
      <c r="I71" s="72"/>
      <c r="J71" s="447"/>
      <c r="K71" s="448">
        <v>0</v>
      </c>
      <c r="L71" s="354"/>
      <c r="M71" s="354"/>
      <c r="N71" s="448">
        <v>0</v>
      </c>
      <c r="O71" s="448">
        <v>0</v>
      </c>
      <c r="P71" s="448">
        <v>0</v>
      </c>
      <c r="Q71" s="448">
        <v>0</v>
      </c>
      <c r="R71" s="448">
        <v>0</v>
      </c>
      <c r="S71" s="448">
        <v>0</v>
      </c>
      <c r="T71" s="448">
        <v>0</v>
      </c>
      <c r="U71" s="448">
        <v>0</v>
      </c>
      <c r="V71" s="448">
        <f t="shared" si="21"/>
        <v>0</v>
      </c>
    </row>
    <row r="72" spans="1:22" s="83" customFormat="1" ht="33" hidden="1" customHeight="1">
      <c r="A72" s="70" t="s">
        <v>112</v>
      </c>
      <c r="B72" s="71" t="s">
        <v>631</v>
      </c>
      <c r="C72" s="72" t="s">
        <v>171</v>
      </c>
      <c r="D72" s="72" t="s">
        <v>168</v>
      </c>
      <c r="E72" s="72"/>
      <c r="F72" s="72"/>
      <c r="G72" s="72"/>
      <c r="H72" s="72"/>
      <c r="I72" s="72"/>
      <c r="J72" s="447"/>
      <c r="K72" s="73">
        <f>'pielikums Nr.1'!AQ208</f>
        <v>0</v>
      </c>
      <c r="L72" s="354"/>
      <c r="M72" s="354"/>
      <c r="N72" s="448">
        <v>0</v>
      </c>
      <c r="O72" s="448">
        <v>0</v>
      </c>
      <c r="P72" s="448">
        <v>0</v>
      </c>
      <c r="Q72" s="448">
        <v>0</v>
      </c>
      <c r="R72" s="448">
        <v>0</v>
      </c>
      <c r="S72" s="448">
        <v>0</v>
      </c>
      <c r="T72" s="448">
        <v>0</v>
      </c>
      <c r="U72" s="448">
        <v>0</v>
      </c>
      <c r="V72" s="448">
        <f t="shared" si="21"/>
        <v>0</v>
      </c>
    </row>
    <row r="73" spans="1:22" s="83" customFormat="1" ht="49.5" hidden="1" customHeight="1">
      <c r="A73" s="70" t="s">
        <v>230</v>
      </c>
      <c r="B73" s="71" t="s">
        <v>632</v>
      </c>
      <c r="C73" s="72" t="s">
        <v>171</v>
      </c>
      <c r="D73" s="72" t="s">
        <v>168</v>
      </c>
      <c r="E73" s="72"/>
      <c r="F73" s="72"/>
      <c r="G73" s="72"/>
      <c r="H73" s="72"/>
      <c r="I73" s="72"/>
      <c r="J73" s="447"/>
      <c r="K73" s="73">
        <f>'pielikums Nr.1'!AQ209</f>
        <v>0</v>
      </c>
      <c r="L73" s="354"/>
      <c r="M73" s="354"/>
      <c r="N73" s="448">
        <v>0</v>
      </c>
      <c r="O73" s="448">
        <v>0</v>
      </c>
      <c r="P73" s="448">
        <v>0</v>
      </c>
      <c r="Q73" s="448">
        <v>0</v>
      </c>
      <c r="R73" s="448">
        <v>0</v>
      </c>
      <c r="S73" s="448">
        <v>0</v>
      </c>
      <c r="T73" s="448">
        <v>0</v>
      </c>
      <c r="U73" s="448">
        <v>0</v>
      </c>
      <c r="V73" s="448">
        <f t="shared" si="21"/>
        <v>0</v>
      </c>
    </row>
    <row r="74" spans="1:22" s="83" customFormat="1" ht="49.5" hidden="1" customHeight="1">
      <c r="A74" s="70" t="s">
        <v>114</v>
      </c>
      <c r="B74" s="71" t="s">
        <v>635</v>
      </c>
      <c r="C74" s="72" t="s">
        <v>171</v>
      </c>
      <c r="D74" s="72" t="s">
        <v>168</v>
      </c>
      <c r="E74" s="72"/>
      <c r="F74" s="72"/>
      <c r="G74" s="72"/>
      <c r="H74" s="72"/>
      <c r="I74" s="72"/>
      <c r="J74" s="447"/>
      <c r="K74" s="73">
        <f>'pielikums Nr.1'!AQ212</f>
        <v>0</v>
      </c>
      <c r="L74" s="354"/>
      <c r="M74" s="354"/>
      <c r="N74" s="448">
        <v>0</v>
      </c>
      <c r="O74" s="448">
        <v>0</v>
      </c>
      <c r="P74" s="448">
        <v>0</v>
      </c>
      <c r="Q74" s="448">
        <v>0</v>
      </c>
      <c r="R74" s="448">
        <v>0</v>
      </c>
      <c r="S74" s="448">
        <v>0</v>
      </c>
      <c r="T74" s="448">
        <v>0</v>
      </c>
      <c r="U74" s="448">
        <v>0</v>
      </c>
      <c r="V74" s="448">
        <f t="shared" si="21"/>
        <v>0</v>
      </c>
    </row>
    <row r="75" spans="1:22" s="440" customFormat="1" ht="22.9" customHeight="1">
      <c r="A75" s="464" t="s">
        <v>740</v>
      </c>
      <c r="B75" s="465"/>
      <c r="C75" s="465"/>
      <c r="D75" s="466"/>
      <c r="E75" s="443">
        <f t="shared" ref="E75:I75" si="25">SUM(E76:E96)</f>
        <v>54609518</v>
      </c>
      <c r="F75" s="443">
        <f>SUM(F76:F96)</f>
        <v>8900000</v>
      </c>
      <c r="G75" s="443">
        <f t="shared" si="25"/>
        <v>2500000</v>
      </c>
      <c r="H75" s="443">
        <f>SUM(H76:H96)</f>
        <v>3885631</v>
      </c>
      <c r="I75" s="443">
        <f t="shared" si="25"/>
        <v>0</v>
      </c>
      <c r="J75" s="443">
        <f>SUM(J76:J96)</f>
        <v>8606612</v>
      </c>
      <c r="K75" s="439">
        <f>SUM(K76:K96)</f>
        <v>78501761</v>
      </c>
      <c r="L75" s="439">
        <f t="shared" ref="L75:M75" si="26">SUM(L76:L96)</f>
        <v>0</v>
      </c>
      <c r="M75" s="439">
        <f t="shared" si="26"/>
        <v>0</v>
      </c>
      <c r="N75" s="439">
        <f t="shared" ref="N75:U75" si="27">SUM(N76:N96)</f>
        <v>0</v>
      </c>
      <c r="O75" s="439">
        <f t="shared" si="27"/>
        <v>4721148.111111111</v>
      </c>
      <c r="P75" s="439">
        <f t="shared" si="27"/>
        <v>5497470</v>
      </c>
      <c r="Q75" s="439">
        <f t="shared" si="27"/>
        <v>29194378</v>
      </c>
      <c r="R75" s="439">
        <f t="shared" si="27"/>
        <v>42940045.700000003</v>
      </c>
      <c r="S75" s="439">
        <f t="shared" si="27"/>
        <v>67688330</v>
      </c>
      <c r="T75" s="439">
        <f t="shared" si="27"/>
        <v>6092282.888888889</v>
      </c>
      <c r="U75" s="439">
        <f t="shared" si="27"/>
        <v>0</v>
      </c>
      <c r="V75" s="439">
        <f t="shared" si="21"/>
        <v>78501761</v>
      </c>
    </row>
    <row r="76" spans="1:22" ht="66" hidden="1" customHeight="1">
      <c r="A76" s="70" t="s">
        <v>270</v>
      </c>
      <c r="B76" s="71" t="s">
        <v>527</v>
      </c>
      <c r="C76" s="72" t="s">
        <v>0</v>
      </c>
      <c r="D76" s="72" t="s">
        <v>687</v>
      </c>
      <c r="E76" s="72"/>
      <c r="F76" s="72"/>
      <c r="G76" s="72"/>
      <c r="H76" s="72"/>
      <c r="I76" s="72"/>
      <c r="J76" s="447"/>
      <c r="K76" s="73">
        <f>'pielikums Nr.1'!AQ102</f>
        <v>0</v>
      </c>
      <c r="L76" s="354"/>
      <c r="M76" s="354"/>
      <c r="N76" s="354">
        <v>0</v>
      </c>
      <c r="O76" s="354">
        <v>0</v>
      </c>
      <c r="P76" s="354">
        <v>0</v>
      </c>
      <c r="Q76" s="354">
        <v>0</v>
      </c>
      <c r="R76" s="354">
        <v>0</v>
      </c>
      <c r="S76" s="354">
        <v>0</v>
      </c>
      <c r="T76" s="354">
        <v>0</v>
      </c>
      <c r="U76" s="354">
        <v>0</v>
      </c>
      <c r="V76" s="354">
        <f t="shared" si="21"/>
        <v>0</v>
      </c>
    </row>
    <row r="77" spans="1:22" ht="66" hidden="1" customHeight="1">
      <c r="A77" s="70" t="s">
        <v>269</v>
      </c>
      <c r="B77" s="71" t="s">
        <v>528</v>
      </c>
      <c r="C77" s="72" t="s">
        <v>0</v>
      </c>
      <c r="D77" s="72" t="s">
        <v>687</v>
      </c>
      <c r="E77" s="72"/>
      <c r="F77" s="72"/>
      <c r="G77" s="72"/>
      <c r="H77" s="72"/>
      <c r="I77" s="72"/>
      <c r="J77" s="447"/>
      <c r="K77" s="73">
        <f>'pielikums Nr.1'!AQ103</f>
        <v>0</v>
      </c>
      <c r="L77" s="354"/>
      <c r="M77" s="354"/>
      <c r="N77" s="354">
        <v>0</v>
      </c>
      <c r="O77" s="354">
        <v>0</v>
      </c>
      <c r="P77" s="354">
        <v>0</v>
      </c>
      <c r="Q77" s="354">
        <v>0</v>
      </c>
      <c r="R77" s="354">
        <v>0</v>
      </c>
      <c r="S77" s="354">
        <v>0</v>
      </c>
      <c r="T77" s="354">
        <v>0</v>
      </c>
      <c r="U77" s="354">
        <v>0</v>
      </c>
      <c r="V77" s="354">
        <f t="shared" si="21"/>
        <v>0</v>
      </c>
    </row>
    <row r="78" spans="1:22" s="83" customFormat="1" ht="82.5">
      <c r="A78" s="70" t="s">
        <v>262</v>
      </c>
      <c r="B78" s="71" t="s">
        <v>598</v>
      </c>
      <c r="C78" s="72" t="s">
        <v>56</v>
      </c>
      <c r="D78" s="72" t="s">
        <v>687</v>
      </c>
      <c r="E78" s="79">
        <v>11220679</v>
      </c>
      <c r="F78" s="79"/>
      <c r="G78" s="79"/>
      <c r="H78" s="79"/>
      <c r="I78" s="79"/>
      <c r="J78" s="86">
        <v>88</v>
      </c>
      <c r="K78" s="448">
        <f>SUBTOTAL(9,E78:J78)</f>
        <v>11220767</v>
      </c>
      <c r="L78" s="354"/>
      <c r="M78" s="354"/>
      <c r="N78" s="448">
        <v>0</v>
      </c>
      <c r="O78" s="448">
        <v>1133333</v>
      </c>
      <c r="P78" s="448">
        <v>1101200</v>
      </c>
      <c r="Q78" s="448">
        <f>P78+3901200</f>
        <v>5002400</v>
      </c>
      <c r="R78" s="448">
        <f>Q78+1901150</f>
        <v>6903550</v>
      </c>
      <c r="S78" s="448">
        <f>R78+917129</f>
        <v>7820679</v>
      </c>
      <c r="T78" s="448">
        <f>2266667+88</f>
        <v>2266755</v>
      </c>
      <c r="U78" s="448">
        <v>0</v>
      </c>
      <c r="V78" s="448">
        <f t="shared" si="21"/>
        <v>11220767</v>
      </c>
    </row>
    <row r="79" spans="1:22" s="83" customFormat="1" ht="66" hidden="1" customHeight="1">
      <c r="A79" s="70" t="s">
        <v>241</v>
      </c>
      <c r="B79" s="71" t="s">
        <v>599</v>
      </c>
      <c r="C79" s="72" t="s">
        <v>56</v>
      </c>
      <c r="D79" s="72" t="s">
        <v>687</v>
      </c>
      <c r="E79" s="72"/>
      <c r="F79" s="72"/>
      <c r="G79" s="72"/>
      <c r="H79" s="72"/>
      <c r="I79" s="72"/>
      <c r="J79" s="447"/>
      <c r="K79" s="73">
        <f>'pielikums Nr.1'!AQ177</f>
        <v>0</v>
      </c>
      <c r="L79" s="354"/>
      <c r="M79" s="354"/>
      <c r="N79" s="448">
        <v>0</v>
      </c>
      <c r="O79" s="448">
        <v>0</v>
      </c>
      <c r="P79" s="448">
        <v>0</v>
      </c>
      <c r="Q79" s="448">
        <v>0</v>
      </c>
      <c r="R79" s="448">
        <v>0</v>
      </c>
      <c r="S79" s="448">
        <v>0</v>
      </c>
      <c r="T79" s="448">
        <v>0</v>
      </c>
      <c r="U79" s="448">
        <v>0</v>
      </c>
      <c r="V79" s="448">
        <f t="shared" si="21"/>
        <v>0</v>
      </c>
    </row>
    <row r="80" spans="1:22" s="83" customFormat="1" ht="49.5">
      <c r="A80" s="70" t="s">
        <v>765</v>
      </c>
      <c r="B80" s="71" t="s">
        <v>619</v>
      </c>
      <c r="C80" s="72" t="s">
        <v>56</v>
      </c>
      <c r="D80" s="72" t="s">
        <v>687</v>
      </c>
      <c r="E80" s="79">
        <v>2500000</v>
      </c>
      <c r="F80" s="79"/>
      <c r="G80" s="79"/>
      <c r="H80" s="79"/>
      <c r="I80" s="79"/>
      <c r="J80" s="451">
        <v>9306612</v>
      </c>
      <c r="K80" s="95">
        <v>11806612</v>
      </c>
      <c r="L80" s="354"/>
      <c r="M80" s="354"/>
      <c r="N80" s="448">
        <v>0</v>
      </c>
      <c r="O80" s="448">
        <v>2199024</v>
      </c>
      <c r="P80" s="448">
        <v>123935</v>
      </c>
      <c r="Q80" s="448">
        <v>6767562</v>
      </c>
      <c r="R80" s="448">
        <v>6767562</v>
      </c>
      <c r="S80" s="448">
        <v>8547812</v>
      </c>
      <c r="T80" s="448">
        <v>1059776</v>
      </c>
      <c r="U80" s="448">
        <v>0</v>
      </c>
      <c r="V80" s="448">
        <f t="shared" si="21"/>
        <v>11806612</v>
      </c>
    </row>
    <row r="81" spans="1:22" s="83" customFormat="1" ht="33" hidden="1" customHeight="1">
      <c r="A81" s="70" t="s">
        <v>104</v>
      </c>
      <c r="B81" s="71" t="s">
        <v>621</v>
      </c>
      <c r="C81" s="72" t="s">
        <v>56</v>
      </c>
      <c r="D81" s="72" t="s">
        <v>687</v>
      </c>
      <c r="E81" s="72"/>
      <c r="F81" s="72"/>
      <c r="G81" s="72"/>
      <c r="H81" s="72"/>
      <c r="I81" s="72"/>
      <c r="J81" s="447"/>
      <c r="K81" s="73">
        <f>'pielikums Nr.1'!AQ198</f>
        <v>0</v>
      </c>
      <c r="L81" s="354"/>
      <c r="M81" s="354"/>
      <c r="N81" s="448">
        <v>0</v>
      </c>
      <c r="O81" s="448">
        <v>0</v>
      </c>
      <c r="P81" s="448">
        <v>0</v>
      </c>
      <c r="Q81" s="448">
        <v>0</v>
      </c>
      <c r="R81" s="448">
        <v>0</v>
      </c>
      <c r="S81" s="448">
        <v>0</v>
      </c>
      <c r="T81" s="448">
        <v>0</v>
      </c>
      <c r="U81" s="448">
        <v>0</v>
      </c>
      <c r="V81" s="448">
        <f t="shared" si="21"/>
        <v>0</v>
      </c>
    </row>
    <row r="82" spans="1:22" s="83" customFormat="1" ht="82.5" hidden="1" customHeight="1">
      <c r="A82" s="70" t="s">
        <v>308</v>
      </c>
      <c r="B82" s="71" t="s">
        <v>638</v>
      </c>
      <c r="C82" s="72" t="s">
        <v>56</v>
      </c>
      <c r="D82" s="72" t="s">
        <v>687</v>
      </c>
      <c r="E82" s="72"/>
      <c r="F82" s="72"/>
      <c r="G82" s="72"/>
      <c r="H82" s="72"/>
      <c r="I82" s="72"/>
      <c r="J82" s="447"/>
      <c r="K82" s="73">
        <f>'pielikums Nr.1'!AQ215</f>
        <v>0</v>
      </c>
      <c r="L82" s="354"/>
      <c r="M82" s="354"/>
      <c r="N82" s="448">
        <v>0</v>
      </c>
      <c r="O82" s="448">
        <v>0</v>
      </c>
      <c r="P82" s="448">
        <v>0</v>
      </c>
      <c r="Q82" s="448">
        <v>0</v>
      </c>
      <c r="R82" s="448">
        <v>0</v>
      </c>
      <c r="S82" s="448">
        <v>0</v>
      </c>
      <c r="T82" s="448">
        <v>0</v>
      </c>
      <c r="U82" s="448">
        <v>0</v>
      </c>
      <c r="V82" s="448">
        <f t="shared" si="21"/>
        <v>0</v>
      </c>
    </row>
    <row r="83" spans="1:22" s="83" customFormat="1" ht="66" hidden="1" customHeight="1">
      <c r="A83" s="70" t="s">
        <v>117</v>
      </c>
      <c r="B83" s="71" t="s">
        <v>639</v>
      </c>
      <c r="C83" s="72" t="s">
        <v>56</v>
      </c>
      <c r="D83" s="72" t="s">
        <v>687</v>
      </c>
      <c r="E83" s="72"/>
      <c r="F83" s="72"/>
      <c r="G83" s="72"/>
      <c r="H83" s="72"/>
      <c r="I83" s="72"/>
      <c r="J83" s="447"/>
      <c r="K83" s="73">
        <f>'pielikums Nr.1'!AQ216</f>
        <v>0</v>
      </c>
      <c r="L83" s="354"/>
      <c r="M83" s="354"/>
      <c r="N83" s="448">
        <v>0</v>
      </c>
      <c r="O83" s="448">
        <v>0</v>
      </c>
      <c r="P83" s="448">
        <v>0</v>
      </c>
      <c r="Q83" s="448">
        <v>0</v>
      </c>
      <c r="R83" s="448">
        <v>0</v>
      </c>
      <c r="S83" s="448">
        <v>0</v>
      </c>
      <c r="T83" s="448">
        <v>0</v>
      </c>
      <c r="U83" s="448">
        <v>0</v>
      </c>
      <c r="V83" s="448">
        <f t="shared" si="21"/>
        <v>0</v>
      </c>
    </row>
    <row r="84" spans="1:22" s="83" customFormat="1" ht="33" hidden="1" customHeight="1">
      <c r="A84" s="70" t="s">
        <v>118</v>
      </c>
      <c r="B84" s="71" t="s">
        <v>640</v>
      </c>
      <c r="C84" s="72" t="s">
        <v>56</v>
      </c>
      <c r="D84" s="72" t="s">
        <v>687</v>
      </c>
      <c r="E84" s="72"/>
      <c r="F84" s="72"/>
      <c r="G84" s="72"/>
      <c r="H84" s="72"/>
      <c r="I84" s="72"/>
      <c r="J84" s="447"/>
      <c r="K84" s="73">
        <f>'pielikums Nr.1'!AQ217</f>
        <v>0</v>
      </c>
      <c r="L84" s="354"/>
      <c r="M84" s="354"/>
      <c r="N84" s="448">
        <v>0</v>
      </c>
      <c r="O84" s="448">
        <v>0</v>
      </c>
      <c r="P84" s="448">
        <v>0</v>
      </c>
      <c r="Q84" s="448">
        <v>0</v>
      </c>
      <c r="R84" s="448">
        <v>0</v>
      </c>
      <c r="S84" s="448">
        <v>0</v>
      </c>
      <c r="T84" s="448">
        <v>0</v>
      </c>
      <c r="U84" s="448">
        <v>0</v>
      </c>
      <c r="V84" s="448">
        <f t="shared" si="21"/>
        <v>0</v>
      </c>
    </row>
    <row r="85" spans="1:22" s="83" customFormat="1" ht="66" hidden="1" customHeight="1">
      <c r="A85" s="70" t="s">
        <v>120</v>
      </c>
      <c r="B85" s="71" t="s">
        <v>642</v>
      </c>
      <c r="C85" s="72" t="s">
        <v>56</v>
      </c>
      <c r="D85" s="72" t="s">
        <v>687</v>
      </c>
      <c r="E85" s="72"/>
      <c r="F85" s="72"/>
      <c r="G85" s="72"/>
      <c r="H85" s="72"/>
      <c r="I85" s="72"/>
      <c r="J85" s="447"/>
      <c r="K85" s="73">
        <f>'pielikums Nr.1'!AQ219</f>
        <v>0</v>
      </c>
      <c r="L85" s="354"/>
      <c r="M85" s="354"/>
      <c r="N85" s="448">
        <v>0</v>
      </c>
      <c r="O85" s="448">
        <v>0</v>
      </c>
      <c r="P85" s="448">
        <v>0</v>
      </c>
      <c r="Q85" s="448">
        <v>0</v>
      </c>
      <c r="R85" s="448">
        <v>0</v>
      </c>
      <c r="S85" s="448">
        <v>0</v>
      </c>
      <c r="T85" s="448">
        <v>0</v>
      </c>
      <c r="U85" s="448">
        <v>0</v>
      </c>
      <c r="V85" s="448">
        <f t="shared" si="21"/>
        <v>0</v>
      </c>
    </row>
    <row r="86" spans="1:22" s="83" customFormat="1" ht="82.5" hidden="1" customHeight="1">
      <c r="A86" s="70" t="s">
        <v>121</v>
      </c>
      <c r="B86" s="71" t="s">
        <v>643</v>
      </c>
      <c r="C86" s="72" t="s">
        <v>56</v>
      </c>
      <c r="D86" s="72" t="s">
        <v>687</v>
      </c>
      <c r="E86" s="72"/>
      <c r="F86" s="72"/>
      <c r="G86" s="72"/>
      <c r="H86" s="72"/>
      <c r="I86" s="72"/>
      <c r="J86" s="447"/>
      <c r="K86" s="73">
        <f>'pielikums Nr.1'!AQ220</f>
        <v>0</v>
      </c>
      <c r="L86" s="354"/>
      <c r="M86" s="354"/>
      <c r="N86" s="448">
        <v>0</v>
      </c>
      <c r="O86" s="448">
        <v>0</v>
      </c>
      <c r="P86" s="448">
        <v>0</v>
      </c>
      <c r="Q86" s="448">
        <v>0</v>
      </c>
      <c r="R86" s="448">
        <v>0</v>
      </c>
      <c r="S86" s="448">
        <v>0</v>
      </c>
      <c r="T86" s="448">
        <v>0</v>
      </c>
      <c r="U86" s="448">
        <v>0</v>
      </c>
      <c r="V86" s="448">
        <f t="shared" ref="V86:V117" si="28">O86+S86+T86+U86</f>
        <v>0</v>
      </c>
    </row>
    <row r="87" spans="1:22" s="83" customFormat="1" ht="66">
      <c r="A87" s="70" t="s">
        <v>311</v>
      </c>
      <c r="B87" s="71" t="s">
        <v>675</v>
      </c>
      <c r="C87" s="72" t="s">
        <v>56</v>
      </c>
      <c r="D87" s="72" t="s">
        <v>687</v>
      </c>
      <c r="E87" s="79">
        <v>11100000</v>
      </c>
      <c r="F87" s="79">
        <v>8900000</v>
      </c>
      <c r="G87" s="79">
        <v>2500000</v>
      </c>
      <c r="H87" s="79">
        <v>3885631</v>
      </c>
      <c r="I87" s="79"/>
      <c r="J87" s="86">
        <v>-700088</v>
      </c>
      <c r="K87" s="448">
        <f>SUBTOTAL(9,E87:J87)</f>
        <v>25685543</v>
      </c>
      <c r="L87" s="354"/>
      <c r="M87" s="354"/>
      <c r="N87" s="448">
        <v>0</v>
      </c>
      <c r="O87" s="448">
        <v>888791.11111111112</v>
      </c>
      <c r="P87" s="448">
        <v>1324000</v>
      </c>
      <c r="Q87" s="448">
        <v>8486415</v>
      </c>
      <c r="R87" s="448">
        <v>13976415</v>
      </c>
      <c r="S87" s="448">
        <v>23000000</v>
      </c>
      <c r="T87" s="448">
        <v>1796751.888888889</v>
      </c>
      <c r="U87" s="448">
        <v>0</v>
      </c>
      <c r="V87" s="448">
        <f t="shared" si="28"/>
        <v>25685543</v>
      </c>
    </row>
    <row r="88" spans="1:22" s="83" customFormat="1" ht="33" hidden="1" customHeight="1">
      <c r="A88" s="70" t="s">
        <v>137</v>
      </c>
      <c r="B88" s="71" t="s">
        <v>676</v>
      </c>
      <c r="C88" s="72" t="s">
        <v>56</v>
      </c>
      <c r="D88" s="72" t="s">
        <v>687</v>
      </c>
      <c r="E88" s="72"/>
      <c r="F88" s="72"/>
      <c r="G88" s="72"/>
      <c r="H88" s="72"/>
      <c r="I88" s="72"/>
      <c r="J88" s="447"/>
      <c r="K88" s="73">
        <f>'pielikums Nr.1'!AQ254</f>
        <v>0</v>
      </c>
      <c r="L88" s="354"/>
      <c r="M88" s="354"/>
      <c r="N88" s="73">
        <v>0</v>
      </c>
      <c r="O88" s="448">
        <v>0</v>
      </c>
      <c r="P88" s="448">
        <v>0</v>
      </c>
      <c r="Q88" s="448">
        <v>0</v>
      </c>
      <c r="R88" s="448">
        <v>0</v>
      </c>
      <c r="S88" s="448">
        <v>0</v>
      </c>
      <c r="T88" s="448">
        <v>0</v>
      </c>
      <c r="U88" s="73">
        <v>0</v>
      </c>
      <c r="V88" s="354">
        <f t="shared" si="28"/>
        <v>0</v>
      </c>
    </row>
    <row r="89" spans="1:22" s="83" customFormat="1" ht="49.5">
      <c r="A89" s="70" t="s">
        <v>140</v>
      </c>
      <c r="B89" s="71" t="s">
        <v>678</v>
      </c>
      <c r="C89" s="72" t="s">
        <v>56</v>
      </c>
      <c r="D89" s="72" t="s">
        <v>687</v>
      </c>
      <c r="E89" s="79">
        <v>17876000</v>
      </c>
      <c r="F89" s="79"/>
      <c r="G89" s="79"/>
      <c r="H89" s="79"/>
      <c r="I89" s="79"/>
      <c r="J89" s="79"/>
      <c r="K89" s="354">
        <v>17876000</v>
      </c>
      <c r="L89" s="354"/>
      <c r="M89" s="354"/>
      <c r="N89" s="354">
        <v>0</v>
      </c>
      <c r="O89" s="448">
        <v>500000</v>
      </c>
      <c r="P89" s="448">
        <v>2948335</v>
      </c>
      <c r="Q89" s="448">
        <f>P89+5989666</f>
        <v>8938001</v>
      </c>
      <c r="R89" s="448">
        <f>Q89+5989666</f>
        <v>14927667</v>
      </c>
      <c r="S89" s="448">
        <f>R89+1479333</f>
        <v>16407000</v>
      </c>
      <c r="T89" s="448">
        <v>969000</v>
      </c>
      <c r="U89" s="354">
        <v>0</v>
      </c>
      <c r="V89" s="354">
        <f t="shared" si="28"/>
        <v>17876000</v>
      </c>
    </row>
    <row r="90" spans="1:22" s="83" customFormat="1" ht="66" hidden="1" customHeight="1">
      <c r="A90" s="70" t="s">
        <v>154</v>
      </c>
      <c r="B90" s="71" t="s">
        <v>633</v>
      </c>
      <c r="C90" s="72" t="s">
        <v>171</v>
      </c>
      <c r="D90" s="72" t="s">
        <v>687</v>
      </c>
      <c r="E90" s="72"/>
      <c r="F90" s="72"/>
      <c r="G90" s="72"/>
      <c r="H90" s="72"/>
      <c r="I90" s="72"/>
      <c r="J90" s="447"/>
      <c r="K90" s="73">
        <f>'pielikums Nr.1'!AQ210</f>
        <v>0</v>
      </c>
      <c r="L90" s="354"/>
      <c r="M90" s="354"/>
      <c r="N90" s="73">
        <v>0</v>
      </c>
      <c r="O90" s="448">
        <v>0</v>
      </c>
      <c r="P90" s="448">
        <v>0</v>
      </c>
      <c r="Q90" s="448">
        <v>0</v>
      </c>
      <c r="R90" s="448">
        <v>0</v>
      </c>
      <c r="S90" s="448">
        <v>0</v>
      </c>
      <c r="T90" s="448">
        <v>0</v>
      </c>
      <c r="U90" s="73">
        <v>0</v>
      </c>
      <c r="V90" s="354">
        <f t="shared" si="28"/>
        <v>0</v>
      </c>
    </row>
    <row r="91" spans="1:22" s="83" customFormat="1" ht="82.5">
      <c r="A91" s="70" t="s">
        <v>231</v>
      </c>
      <c r="B91" s="71" t="s">
        <v>659</v>
      </c>
      <c r="C91" s="72" t="s">
        <v>171</v>
      </c>
      <c r="D91" s="72" t="s">
        <v>687</v>
      </c>
      <c r="E91" s="79">
        <v>11000000</v>
      </c>
      <c r="F91" s="79"/>
      <c r="G91" s="79"/>
      <c r="H91" s="79"/>
      <c r="I91" s="79"/>
      <c r="J91" s="79"/>
      <c r="K91" s="354">
        <v>11000000</v>
      </c>
      <c r="L91" s="354"/>
      <c r="M91" s="354"/>
      <c r="N91" s="354">
        <v>0</v>
      </c>
      <c r="O91" s="448">
        <v>0</v>
      </c>
      <c r="P91" s="448">
        <v>0</v>
      </c>
      <c r="Q91" s="448">
        <v>0</v>
      </c>
      <c r="R91" s="448">
        <v>0</v>
      </c>
      <c r="S91" s="448">
        <v>11000000</v>
      </c>
      <c r="T91" s="448">
        <v>0</v>
      </c>
      <c r="U91" s="354">
        <v>0</v>
      </c>
      <c r="V91" s="354">
        <f t="shared" si="28"/>
        <v>11000000</v>
      </c>
    </row>
    <row r="92" spans="1:22" s="83" customFormat="1" ht="49.5">
      <c r="A92" s="70" t="s">
        <v>248</v>
      </c>
      <c r="B92" s="71" t="s">
        <v>661</v>
      </c>
      <c r="C92" s="72" t="s">
        <v>171</v>
      </c>
      <c r="D92" s="72" t="s">
        <v>687</v>
      </c>
      <c r="E92" s="79">
        <v>782839</v>
      </c>
      <c r="F92" s="79"/>
      <c r="G92" s="79"/>
      <c r="H92" s="79"/>
      <c r="I92" s="79"/>
      <c r="J92" s="79"/>
      <c r="K92" s="73">
        <v>782839</v>
      </c>
      <c r="L92" s="354"/>
      <c r="M92" s="354"/>
      <c r="N92" s="73">
        <v>0</v>
      </c>
      <c r="O92" s="73">
        <v>0</v>
      </c>
      <c r="P92" s="73">
        <v>0</v>
      </c>
      <c r="Q92" s="73">
        <v>0</v>
      </c>
      <c r="R92" s="73">
        <v>234851.69999999998</v>
      </c>
      <c r="S92" s="73">
        <v>782838.99999999988</v>
      </c>
      <c r="T92" s="73">
        <v>0</v>
      </c>
      <c r="U92" s="73">
        <v>0</v>
      </c>
      <c r="V92" s="354">
        <f t="shared" si="28"/>
        <v>782838.99999999988</v>
      </c>
    </row>
    <row r="93" spans="1:22" s="83" customFormat="1" ht="49.5" hidden="1" customHeight="1">
      <c r="A93" s="70" t="s">
        <v>185</v>
      </c>
      <c r="B93" s="71" t="s">
        <v>662</v>
      </c>
      <c r="C93" s="72" t="s">
        <v>171</v>
      </c>
      <c r="D93" s="72" t="s">
        <v>687</v>
      </c>
      <c r="E93" s="72"/>
      <c r="F93" s="72"/>
      <c r="G93" s="72"/>
      <c r="H93" s="72"/>
      <c r="I93" s="72"/>
      <c r="J93" s="447"/>
      <c r="K93" s="351">
        <v>0</v>
      </c>
      <c r="L93" s="354"/>
      <c r="M93" s="354"/>
      <c r="N93" s="73">
        <v>0</v>
      </c>
      <c r="O93" s="73">
        <v>0</v>
      </c>
      <c r="P93" s="73">
        <v>0</v>
      </c>
      <c r="Q93" s="73">
        <v>0</v>
      </c>
      <c r="R93" s="73">
        <v>0</v>
      </c>
      <c r="S93" s="73">
        <v>0</v>
      </c>
      <c r="T93" s="73">
        <v>0</v>
      </c>
      <c r="U93" s="73">
        <v>0</v>
      </c>
      <c r="V93" s="354">
        <f t="shared" si="28"/>
        <v>0</v>
      </c>
    </row>
    <row r="94" spans="1:22" s="83" customFormat="1" ht="49.5" hidden="1" customHeight="1">
      <c r="A94" s="70" t="s">
        <v>309</v>
      </c>
      <c r="B94" s="71" t="s">
        <v>663</v>
      </c>
      <c r="C94" s="72" t="s">
        <v>171</v>
      </c>
      <c r="D94" s="72" t="s">
        <v>687</v>
      </c>
      <c r="E94" s="72"/>
      <c r="F94" s="72"/>
      <c r="G94" s="72"/>
      <c r="H94" s="72"/>
      <c r="I94" s="72"/>
      <c r="J94" s="447"/>
      <c r="K94" s="73">
        <v>0</v>
      </c>
      <c r="L94" s="354"/>
      <c r="M94" s="354"/>
      <c r="N94" s="73">
        <v>0</v>
      </c>
      <c r="O94" s="73">
        <v>0</v>
      </c>
      <c r="P94" s="73">
        <v>0</v>
      </c>
      <c r="Q94" s="73">
        <v>0</v>
      </c>
      <c r="R94" s="73">
        <v>0</v>
      </c>
      <c r="S94" s="73">
        <v>0</v>
      </c>
      <c r="T94" s="73">
        <v>0</v>
      </c>
      <c r="U94" s="73">
        <v>0</v>
      </c>
      <c r="V94" s="354">
        <f t="shared" si="28"/>
        <v>0</v>
      </c>
    </row>
    <row r="95" spans="1:22" s="83" customFormat="1" ht="49.5" hidden="1" customHeight="1">
      <c r="A95" s="70" t="s">
        <v>235</v>
      </c>
      <c r="B95" s="71" t="s">
        <v>664</v>
      </c>
      <c r="C95" s="72" t="s">
        <v>171</v>
      </c>
      <c r="D95" s="72" t="s">
        <v>687</v>
      </c>
      <c r="E95" s="72"/>
      <c r="F95" s="72"/>
      <c r="G95" s="72"/>
      <c r="H95" s="72"/>
      <c r="I95" s="72"/>
      <c r="J95" s="447"/>
      <c r="K95" s="73">
        <v>0</v>
      </c>
      <c r="L95" s="354"/>
      <c r="M95" s="354"/>
      <c r="N95" s="73">
        <v>0</v>
      </c>
      <c r="O95" s="73">
        <v>0</v>
      </c>
      <c r="P95" s="73">
        <v>0</v>
      </c>
      <c r="Q95" s="73">
        <v>0</v>
      </c>
      <c r="R95" s="73">
        <v>0</v>
      </c>
      <c r="S95" s="73">
        <v>0</v>
      </c>
      <c r="T95" s="73">
        <v>0</v>
      </c>
      <c r="U95" s="73">
        <v>0</v>
      </c>
      <c r="V95" s="354">
        <f t="shared" si="28"/>
        <v>0</v>
      </c>
    </row>
    <row r="96" spans="1:22" s="83" customFormat="1" ht="49.5">
      <c r="A96" s="70" t="s">
        <v>310</v>
      </c>
      <c r="B96" s="71" t="s">
        <v>665</v>
      </c>
      <c r="C96" s="72" t="s">
        <v>171</v>
      </c>
      <c r="D96" s="72" t="s">
        <v>687</v>
      </c>
      <c r="E96" s="79">
        <v>130000</v>
      </c>
      <c r="F96" s="79"/>
      <c r="G96" s="79"/>
      <c r="H96" s="79"/>
      <c r="I96" s="79"/>
      <c r="J96" s="79"/>
      <c r="K96" s="354">
        <v>130000</v>
      </c>
      <c r="L96" s="354"/>
      <c r="M96" s="354"/>
      <c r="N96" s="354">
        <v>0</v>
      </c>
      <c r="O96" s="354">
        <v>0</v>
      </c>
      <c r="P96" s="354">
        <v>0</v>
      </c>
      <c r="Q96" s="354">
        <v>0</v>
      </c>
      <c r="R96" s="354">
        <v>130000</v>
      </c>
      <c r="S96" s="354">
        <v>130000</v>
      </c>
      <c r="T96" s="354">
        <v>0</v>
      </c>
      <c r="U96" s="354">
        <v>0</v>
      </c>
      <c r="V96" s="354">
        <f t="shared" si="28"/>
        <v>130000</v>
      </c>
    </row>
    <row r="97" spans="1:22" s="440" customFormat="1" ht="22.9" customHeight="1">
      <c r="A97" s="464" t="s">
        <v>742</v>
      </c>
      <c r="B97" s="465"/>
      <c r="C97" s="465"/>
      <c r="D97" s="466"/>
      <c r="E97" s="443">
        <f t="shared" ref="E97:U97" si="29">SUM(E98:E135)</f>
        <v>44056324</v>
      </c>
      <c r="F97" s="443">
        <f t="shared" si="29"/>
        <v>0</v>
      </c>
      <c r="G97" s="443">
        <f t="shared" si="29"/>
        <v>0</v>
      </c>
      <c r="H97" s="443">
        <f t="shared" si="29"/>
        <v>0</v>
      </c>
      <c r="I97" s="443">
        <f t="shared" si="29"/>
        <v>0</v>
      </c>
      <c r="J97" s="443">
        <f t="shared" si="29"/>
        <v>0</v>
      </c>
      <c r="K97" s="439">
        <f t="shared" si="29"/>
        <v>43570677.789999999</v>
      </c>
      <c r="L97" s="439">
        <f t="shared" si="29"/>
        <v>0</v>
      </c>
      <c r="M97" s="439">
        <f t="shared" si="29"/>
        <v>0</v>
      </c>
      <c r="N97" s="439">
        <f t="shared" si="29"/>
        <v>0</v>
      </c>
      <c r="O97" s="439">
        <f t="shared" si="29"/>
        <v>8315740.9899999984</v>
      </c>
      <c r="P97" s="439">
        <f t="shared" si="29"/>
        <v>3000000</v>
      </c>
      <c r="Q97" s="439">
        <f t="shared" si="29"/>
        <v>13500000</v>
      </c>
      <c r="R97" s="439">
        <f t="shared" si="29"/>
        <v>18000000</v>
      </c>
      <c r="S97" s="439">
        <f t="shared" si="29"/>
        <v>28127468.399999999</v>
      </c>
      <c r="T97" s="439">
        <f t="shared" si="29"/>
        <v>7127468.4000000004</v>
      </c>
      <c r="U97" s="439">
        <f t="shared" si="29"/>
        <v>0</v>
      </c>
      <c r="V97" s="439">
        <f t="shared" si="28"/>
        <v>43570677.789999999</v>
      </c>
    </row>
    <row r="98" spans="1:22" ht="99" customHeight="1">
      <c r="A98" s="70" t="s">
        <v>220</v>
      </c>
      <c r="B98" s="71" t="s">
        <v>483</v>
      </c>
      <c r="C98" s="72" t="s">
        <v>0</v>
      </c>
      <c r="D98" s="72" t="s">
        <v>155</v>
      </c>
      <c r="E98" s="72"/>
      <c r="F98" s="448">
        <v>2500000</v>
      </c>
      <c r="G98" s="72"/>
      <c r="H98" s="72"/>
      <c r="I98" s="72"/>
      <c r="J98" s="447"/>
      <c r="K98" s="448">
        <v>2500000</v>
      </c>
      <c r="L98" s="354"/>
      <c r="M98" s="354"/>
      <c r="N98" s="354">
        <v>0</v>
      </c>
      <c r="O98" s="448">
        <v>2500000</v>
      </c>
      <c r="P98" s="448">
        <v>0</v>
      </c>
      <c r="Q98" s="448">
        <v>0</v>
      </c>
      <c r="R98" s="448">
        <v>0</v>
      </c>
      <c r="S98" s="448">
        <v>0</v>
      </c>
      <c r="T98" s="448">
        <v>0</v>
      </c>
      <c r="U98" s="448">
        <v>0</v>
      </c>
      <c r="V98" s="354">
        <f t="shared" si="28"/>
        <v>2500000</v>
      </c>
    </row>
    <row r="99" spans="1:22" ht="99" hidden="1" customHeight="1">
      <c r="A99" s="70" t="s">
        <v>251</v>
      </c>
      <c r="B99" s="71" t="s">
        <v>485</v>
      </c>
      <c r="C99" s="72" t="s">
        <v>0</v>
      </c>
      <c r="D99" s="72" t="s">
        <v>155</v>
      </c>
      <c r="E99" s="72"/>
      <c r="F99" s="72"/>
      <c r="G99" s="72"/>
      <c r="H99" s="72"/>
      <c r="I99" s="72"/>
      <c r="J99" s="447"/>
      <c r="K99" s="73">
        <f>'pielikums Nr.1'!AQ60</f>
        <v>0</v>
      </c>
      <c r="L99" s="354"/>
      <c r="M99" s="354"/>
      <c r="N99" s="354">
        <v>0</v>
      </c>
      <c r="O99" s="354">
        <v>0</v>
      </c>
      <c r="P99" s="354">
        <v>0</v>
      </c>
      <c r="Q99" s="354">
        <v>0</v>
      </c>
      <c r="R99" s="354">
        <v>0</v>
      </c>
      <c r="S99" s="354">
        <v>0</v>
      </c>
      <c r="T99" s="354">
        <v>0</v>
      </c>
      <c r="U99" s="354">
        <v>0</v>
      </c>
      <c r="V99" s="354">
        <f t="shared" si="28"/>
        <v>0</v>
      </c>
    </row>
    <row r="100" spans="1:22" s="93" customFormat="1" ht="33" hidden="1" customHeight="1">
      <c r="A100" s="90" t="s">
        <v>221</v>
      </c>
      <c r="B100" s="101" t="s">
        <v>487</v>
      </c>
      <c r="C100" s="102" t="s">
        <v>0</v>
      </c>
      <c r="D100" s="102" t="s">
        <v>155</v>
      </c>
      <c r="E100" s="102"/>
      <c r="F100" s="102"/>
      <c r="G100" s="102"/>
      <c r="H100" s="102"/>
      <c r="I100" s="102"/>
      <c r="J100" s="102"/>
      <c r="K100" s="73">
        <f>'pielikums Nr.1'!AQ62</f>
        <v>0</v>
      </c>
      <c r="L100" s="354"/>
      <c r="M100" s="354"/>
      <c r="N100" s="354">
        <v>0</v>
      </c>
      <c r="O100" s="354">
        <v>0</v>
      </c>
      <c r="P100" s="354">
        <v>0</v>
      </c>
      <c r="Q100" s="354">
        <v>0</v>
      </c>
      <c r="R100" s="354">
        <v>0</v>
      </c>
      <c r="S100" s="354">
        <v>0</v>
      </c>
      <c r="T100" s="354">
        <v>0</v>
      </c>
      <c r="U100" s="354">
        <v>0</v>
      </c>
      <c r="V100" s="354">
        <f t="shared" si="28"/>
        <v>0</v>
      </c>
    </row>
    <row r="101" spans="1:22" ht="49.5" hidden="1" customHeight="1">
      <c r="A101" s="70" t="s">
        <v>32</v>
      </c>
      <c r="B101" s="71" t="s">
        <v>488</v>
      </c>
      <c r="C101" s="72" t="s">
        <v>0</v>
      </c>
      <c r="D101" s="72" t="s">
        <v>155</v>
      </c>
      <c r="E101" s="72"/>
      <c r="F101" s="72"/>
      <c r="G101" s="72"/>
      <c r="H101" s="72"/>
      <c r="I101" s="72"/>
      <c r="J101" s="447"/>
      <c r="K101" s="73">
        <f>'pielikums Nr.1'!AQ63</f>
        <v>0</v>
      </c>
      <c r="L101" s="354"/>
      <c r="M101" s="354"/>
      <c r="N101" s="354">
        <v>0</v>
      </c>
      <c r="O101" s="354">
        <v>0</v>
      </c>
      <c r="P101" s="354">
        <v>0</v>
      </c>
      <c r="Q101" s="354">
        <v>0</v>
      </c>
      <c r="R101" s="354">
        <v>0</v>
      </c>
      <c r="S101" s="354">
        <v>0</v>
      </c>
      <c r="T101" s="354">
        <v>0</v>
      </c>
      <c r="U101" s="354">
        <v>0</v>
      </c>
      <c r="V101" s="354">
        <f t="shared" si="28"/>
        <v>0</v>
      </c>
    </row>
    <row r="102" spans="1:22" ht="49.5" hidden="1" customHeight="1">
      <c r="A102" s="70" t="s">
        <v>259</v>
      </c>
      <c r="B102" s="71" t="s">
        <v>497</v>
      </c>
      <c r="C102" s="72" t="s">
        <v>0</v>
      </c>
      <c r="D102" s="72" t="s">
        <v>155</v>
      </c>
      <c r="E102" s="72"/>
      <c r="F102" s="72"/>
      <c r="G102" s="72"/>
      <c r="H102" s="72"/>
      <c r="I102" s="72"/>
      <c r="J102" s="447"/>
      <c r="K102" s="73">
        <f>'pielikums Nr.1'!AQ72</f>
        <v>0</v>
      </c>
      <c r="L102" s="354"/>
      <c r="M102" s="354"/>
      <c r="N102" s="354">
        <v>0</v>
      </c>
      <c r="O102" s="354">
        <v>0</v>
      </c>
      <c r="P102" s="354">
        <v>0</v>
      </c>
      <c r="Q102" s="354">
        <v>0</v>
      </c>
      <c r="R102" s="354">
        <v>0</v>
      </c>
      <c r="S102" s="354">
        <v>0</v>
      </c>
      <c r="T102" s="354">
        <v>0</v>
      </c>
      <c r="U102" s="354">
        <v>0</v>
      </c>
      <c r="V102" s="354">
        <f t="shared" si="28"/>
        <v>0</v>
      </c>
    </row>
    <row r="103" spans="1:22" ht="33" hidden="1" customHeight="1">
      <c r="A103" s="70" t="s">
        <v>217</v>
      </c>
      <c r="B103" s="71" t="s">
        <v>542</v>
      </c>
      <c r="C103" s="72" t="s">
        <v>56</v>
      </c>
      <c r="D103" s="72" t="s">
        <v>155</v>
      </c>
      <c r="E103" s="72"/>
      <c r="F103" s="72"/>
      <c r="G103" s="72"/>
      <c r="H103" s="72"/>
      <c r="I103" s="72"/>
      <c r="J103" s="447"/>
      <c r="K103" s="73">
        <f>'pielikums Nr.1'!AQ117</f>
        <v>0</v>
      </c>
      <c r="L103" s="354"/>
      <c r="M103" s="354"/>
      <c r="N103" s="354">
        <v>0</v>
      </c>
      <c r="O103" s="354">
        <v>0</v>
      </c>
      <c r="P103" s="354">
        <v>0</v>
      </c>
      <c r="Q103" s="354">
        <v>0</v>
      </c>
      <c r="R103" s="354">
        <v>0</v>
      </c>
      <c r="S103" s="354">
        <v>0</v>
      </c>
      <c r="T103" s="354">
        <v>0</v>
      </c>
      <c r="U103" s="354">
        <v>0</v>
      </c>
      <c r="V103" s="354">
        <f t="shared" si="28"/>
        <v>0</v>
      </c>
    </row>
    <row r="104" spans="1:22" ht="33" hidden="1" customHeight="1">
      <c r="A104" s="70" t="s">
        <v>194</v>
      </c>
      <c r="B104" s="71" t="s">
        <v>543</v>
      </c>
      <c r="C104" s="72" t="s">
        <v>56</v>
      </c>
      <c r="D104" s="72" t="s">
        <v>155</v>
      </c>
      <c r="E104" s="72"/>
      <c r="F104" s="72"/>
      <c r="G104" s="72"/>
      <c r="H104" s="72"/>
      <c r="I104" s="72"/>
      <c r="J104" s="447"/>
      <c r="K104" s="73">
        <f>'pielikums Nr.1'!AQ118</f>
        <v>0</v>
      </c>
      <c r="L104" s="354"/>
      <c r="M104" s="354"/>
      <c r="N104" s="354">
        <v>0</v>
      </c>
      <c r="O104" s="354">
        <v>0</v>
      </c>
      <c r="P104" s="354">
        <v>0</v>
      </c>
      <c r="Q104" s="354">
        <v>0</v>
      </c>
      <c r="R104" s="354">
        <v>0</v>
      </c>
      <c r="S104" s="354">
        <v>0</v>
      </c>
      <c r="T104" s="354">
        <v>0</v>
      </c>
      <c r="U104" s="354">
        <v>0</v>
      </c>
      <c r="V104" s="354">
        <f t="shared" si="28"/>
        <v>0</v>
      </c>
    </row>
    <row r="105" spans="1:22" ht="33" hidden="1" customHeight="1">
      <c r="A105" s="70" t="s">
        <v>63</v>
      </c>
      <c r="B105" s="71" t="s">
        <v>544</v>
      </c>
      <c r="C105" s="72" t="s">
        <v>56</v>
      </c>
      <c r="D105" s="72" t="s">
        <v>155</v>
      </c>
      <c r="E105" s="72"/>
      <c r="F105" s="72"/>
      <c r="G105" s="72"/>
      <c r="H105" s="72"/>
      <c r="I105" s="72"/>
      <c r="J105" s="447"/>
      <c r="K105" s="73">
        <f>'pielikums Nr.1'!AQ119</f>
        <v>0</v>
      </c>
      <c r="L105" s="354"/>
      <c r="M105" s="354"/>
      <c r="N105" s="354">
        <v>0</v>
      </c>
      <c r="O105" s="354">
        <v>0</v>
      </c>
      <c r="P105" s="354">
        <v>0</v>
      </c>
      <c r="Q105" s="354">
        <v>0</v>
      </c>
      <c r="R105" s="354">
        <v>0</v>
      </c>
      <c r="S105" s="354">
        <v>0</v>
      </c>
      <c r="T105" s="354">
        <v>0</v>
      </c>
      <c r="U105" s="354">
        <v>0</v>
      </c>
      <c r="V105" s="354">
        <f t="shared" si="28"/>
        <v>0</v>
      </c>
    </row>
    <row r="106" spans="1:22" ht="49.5" hidden="1" customHeight="1">
      <c r="A106" s="70" t="s">
        <v>243</v>
      </c>
      <c r="B106" s="71" t="s">
        <v>546</v>
      </c>
      <c r="C106" s="72" t="s">
        <v>56</v>
      </c>
      <c r="D106" s="72" t="s">
        <v>155</v>
      </c>
      <c r="E106" s="72"/>
      <c r="F106" s="72"/>
      <c r="G106" s="72"/>
      <c r="H106" s="72"/>
      <c r="I106" s="72"/>
      <c r="J106" s="447"/>
      <c r="K106" s="73">
        <f>'pielikums Nr.1'!AQ121</f>
        <v>0</v>
      </c>
      <c r="L106" s="354"/>
      <c r="M106" s="354"/>
      <c r="N106" s="354">
        <v>0</v>
      </c>
      <c r="O106" s="354">
        <v>0</v>
      </c>
      <c r="P106" s="354">
        <v>0</v>
      </c>
      <c r="Q106" s="354">
        <v>0</v>
      </c>
      <c r="R106" s="354">
        <v>0</v>
      </c>
      <c r="S106" s="354">
        <v>0</v>
      </c>
      <c r="T106" s="354">
        <v>0</v>
      </c>
      <c r="U106" s="354">
        <v>0</v>
      </c>
      <c r="V106" s="354">
        <f t="shared" si="28"/>
        <v>0</v>
      </c>
    </row>
    <row r="107" spans="1:22" s="83" customFormat="1" ht="82.5" hidden="1" customHeight="1">
      <c r="A107" s="70" t="s">
        <v>298</v>
      </c>
      <c r="B107" s="71" t="s">
        <v>547</v>
      </c>
      <c r="C107" s="72" t="s">
        <v>56</v>
      </c>
      <c r="D107" s="72" t="s">
        <v>155</v>
      </c>
      <c r="E107" s="72"/>
      <c r="F107" s="72"/>
      <c r="G107" s="72"/>
      <c r="H107" s="72"/>
      <c r="I107" s="72"/>
      <c r="J107" s="447"/>
      <c r="K107" s="354">
        <f>'pielikums Nr.1'!AQ122</f>
        <v>0</v>
      </c>
      <c r="L107" s="354"/>
      <c r="M107" s="354"/>
      <c r="N107" s="354">
        <v>0</v>
      </c>
      <c r="O107" s="354">
        <v>0</v>
      </c>
      <c r="P107" s="354">
        <v>0</v>
      </c>
      <c r="Q107" s="354">
        <v>0</v>
      </c>
      <c r="R107" s="354">
        <v>0</v>
      </c>
      <c r="S107" s="354">
        <v>0</v>
      </c>
      <c r="T107" s="354">
        <v>0</v>
      </c>
      <c r="U107" s="354">
        <v>0</v>
      </c>
      <c r="V107" s="354">
        <f t="shared" si="28"/>
        <v>0</v>
      </c>
    </row>
    <row r="108" spans="1:22" ht="82.5" hidden="1" customHeight="1">
      <c r="A108" s="70" t="s">
        <v>252</v>
      </c>
      <c r="B108" s="71" t="s">
        <v>548</v>
      </c>
      <c r="C108" s="72" t="s">
        <v>56</v>
      </c>
      <c r="D108" s="72" t="s">
        <v>155</v>
      </c>
      <c r="E108" s="72"/>
      <c r="F108" s="72"/>
      <c r="G108" s="72"/>
      <c r="H108" s="72"/>
      <c r="I108" s="72"/>
      <c r="J108" s="447"/>
      <c r="K108" s="73">
        <f>'pielikums Nr.1'!AQ123</f>
        <v>0</v>
      </c>
      <c r="L108" s="354"/>
      <c r="M108" s="354"/>
      <c r="N108" s="354">
        <v>0</v>
      </c>
      <c r="O108" s="354">
        <v>0</v>
      </c>
      <c r="P108" s="354">
        <v>0</v>
      </c>
      <c r="Q108" s="354">
        <v>0</v>
      </c>
      <c r="R108" s="354">
        <v>0</v>
      </c>
      <c r="S108" s="354">
        <v>0</v>
      </c>
      <c r="T108" s="354">
        <v>0</v>
      </c>
      <c r="U108" s="354">
        <v>0</v>
      </c>
      <c r="V108" s="354">
        <f t="shared" si="28"/>
        <v>0</v>
      </c>
    </row>
    <row r="109" spans="1:22" ht="49.5" hidden="1" customHeight="1">
      <c r="A109" s="107" t="s">
        <v>218</v>
      </c>
      <c r="B109" s="108" t="s">
        <v>549</v>
      </c>
      <c r="C109" s="72" t="s">
        <v>56</v>
      </c>
      <c r="D109" s="72" t="s">
        <v>155</v>
      </c>
      <c r="E109" s="72"/>
      <c r="F109" s="72"/>
      <c r="G109" s="72"/>
      <c r="H109" s="72"/>
      <c r="I109" s="72"/>
      <c r="J109" s="447"/>
      <c r="K109" s="73">
        <f>'pielikums Nr.1'!AQ124</f>
        <v>0</v>
      </c>
      <c r="L109" s="354"/>
      <c r="M109" s="354"/>
      <c r="N109" s="354">
        <v>0</v>
      </c>
      <c r="O109" s="354">
        <v>0</v>
      </c>
      <c r="P109" s="354">
        <v>0</v>
      </c>
      <c r="Q109" s="354">
        <v>0</v>
      </c>
      <c r="R109" s="354">
        <v>0</v>
      </c>
      <c r="S109" s="354">
        <v>0</v>
      </c>
      <c r="T109" s="354">
        <v>0</v>
      </c>
      <c r="U109" s="354">
        <v>0</v>
      </c>
      <c r="V109" s="354">
        <f t="shared" si="28"/>
        <v>0</v>
      </c>
    </row>
    <row r="110" spans="1:22" ht="49.5" hidden="1" customHeight="1">
      <c r="A110" s="90" t="s">
        <v>142</v>
      </c>
      <c r="B110" s="71" t="s">
        <v>551</v>
      </c>
      <c r="C110" s="72" t="s">
        <v>56</v>
      </c>
      <c r="D110" s="72" t="s">
        <v>155</v>
      </c>
      <c r="E110" s="72"/>
      <c r="F110" s="72"/>
      <c r="G110" s="72"/>
      <c r="H110" s="72"/>
      <c r="I110" s="72"/>
      <c r="J110" s="447"/>
      <c r="K110" s="73">
        <f>'pielikums Nr.1'!AQ126</f>
        <v>0</v>
      </c>
      <c r="L110" s="354"/>
      <c r="M110" s="354"/>
      <c r="N110" s="448">
        <v>0</v>
      </c>
      <c r="O110" s="448">
        <v>0</v>
      </c>
      <c r="P110" s="448">
        <v>0</v>
      </c>
      <c r="Q110" s="448">
        <v>0</v>
      </c>
      <c r="R110" s="448">
        <v>0</v>
      </c>
      <c r="S110" s="448">
        <v>0</v>
      </c>
      <c r="T110" s="448">
        <v>0</v>
      </c>
      <c r="U110" s="448">
        <v>0</v>
      </c>
      <c r="V110" s="354">
        <f t="shared" si="28"/>
        <v>0</v>
      </c>
    </row>
    <row r="111" spans="1:22" s="83" customFormat="1" ht="49.5">
      <c r="A111" s="70" t="s">
        <v>299</v>
      </c>
      <c r="B111" s="71" t="s">
        <v>552</v>
      </c>
      <c r="C111" s="72" t="s">
        <v>56</v>
      </c>
      <c r="D111" s="72" t="s">
        <v>155</v>
      </c>
      <c r="E111" s="79">
        <v>23056324</v>
      </c>
      <c r="F111" s="79">
        <v>-2500000</v>
      </c>
      <c r="G111" s="79"/>
      <c r="H111" s="79"/>
      <c r="I111" s="79"/>
      <c r="J111" s="79"/>
      <c r="K111" s="448">
        <v>20070677.789999999</v>
      </c>
      <c r="L111" s="354"/>
      <c r="M111" s="354"/>
      <c r="N111" s="448">
        <v>0</v>
      </c>
      <c r="O111" s="448">
        <v>5815740.9899999984</v>
      </c>
      <c r="P111" s="448">
        <v>0</v>
      </c>
      <c r="Q111" s="448">
        <v>0</v>
      </c>
      <c r="R111" s="448">
        <v>0</v>
      </c>
      <c r="S111" s="448">
        <v>7127468.4000000004</v>
      </c>
      <c r="T111" s="448">
        <v>7127468.4000000004</v>
      </c>
      <c r="U111" s="448">
        <v>0</v>
      </c>
      <c r="V111" s="354">
        <f t="shared" si="28"/>
        <v>20070677.789999999</v>
      </c>
    </row>
    <row r="112" spans="1:22" ht="99" hidden="1" customHeight="1">
      <c r="A112" s="70" t="s">
        <v>68</v>
      </c>
      <c r="B112" s="71" t="s">
        <v>555</v>
      </c>
      <c r="C112" s="72" t="s">
        <v>56</v>
      </c>
      <c r="D112" s="72" t="s">
        <v>155</v>
      </c>
      <c r="E112" s="72"/>
      <c r="F112" s="72"/>
      <c r="G112" s="72"/>
      <c r="H112" s="72"/>
      <c r="I112" s="72"/>
      <c r="J112" s="447"/>
      <c r="K112" s="73">
        <f>'pielikums Nr.1'!AQ130</f>
        <v>0</v>
      </c>
      <c r="L112" s="354"/>
      <c r="M112" s="354"/>
      <c r="N112" s="448">
        <v>0</v>
      </c>
      <c r="O112" s="448">
        <v>0</v>
      </c>
      <c r="P112" s="448">
        <v>0</v>
      </c>
      <c r="Q112" s="448">
        <v>0</v>
      </c>
      <c r="R112" s="448">
        <v>0</v>
      </c>
      <c r="S112" s="448">
        <v>0</v>
      </c>
      <c r="T112" s="448">
        <v>0</v>
      </c>
      <c r="U112" s="448">
        <v>0</v>
      </c>
      <c r="V112" s="354">
        <f t="shared" si="28"/>
        <v>0</v>
      </c>
    </row>
    <row r="113" spans="1:22" ht="33" hidden="1" customHeight="1">
      <c r="A113" s="70" t="s">
        <v>70</v>
      </c>
      <c r="B113" s="71" t="s">
        <v>557</v>
      </c>
      <c r="C113" s="72" t="s">
        <v>56</v>
      </c>
      <c r="D113" s="72" t="s">
        <v>155</v>
      </c>
      <c r="E113" s="72"/>
      <c r="F113" s="72"/>
      <c r="G113" s="72"/>
      <c r="H113" s="72"/>
      <c r="I113" s="72"/>
      <c r="J113" s="447"/>
      <c r="K113" s="73">
        <f>'pielikums Nr.1'!AQ132</f>
        <v>0</v>
      </c>
      <c r="L113" s="354"/>
      <c r="M113" s="354"/>
      <c r="N113" s="73">
        <v>0</v>
      </c>
      <c r="O113" s="73">
        <v>0</v>
      </c>
      <c r="P113" s="73">
        <v>0</v>
      </c>
      <c r="Q113" s="73">
        <v>0</v>
      </c>
      <c r="R113" s="73">
        <v>0</v>
      </c>
      <c r="S113" s="73">
        <v>0</v>
      </c>
      <c r="T113" s="73">
        <v>0</v>
      </c>
      <c r="U113" s="73">
        <v>0</v>
      </c>
      <c r="V113" s="354">
        <f t="shared" si="28"/>
        <v>0</v>
      </c>
    </row>
    <row r="114" spans="1:22" ht="33" hidden="1" customHeight="1">
      <c r="A114" s="70" t="s">
        <v>71</v>
      </c>
      <c r="B114" s="71" t="s">
        <v>558</v>
      </c>
      <c r="C114" s="72" t="s">
        <v>56</v>
      </c>
      <c r="D114" s="72" t="s">
        <v>155</v>
      </c>
      <c r="E114" s="72"/>
      <c r="F114" s="72"/>
      <c r="G114" s="72"/>
      <c r="H114" s="72"/>
      <c r="I114" s="72"/>
      <c r="J114" s="447"/>
      <c r="K114" s="73">
        <f>'pielikums Nr.1'!AQ133</f>
        <v>0</v>
      </c>
      <c r="L114" s="354"/>
      <c r="M114" s="354"/>
      <c r="N114" s="73">
        <v>0</v>
      </c>
      <c r="O114" s="73">
        <v>0</v>
      </c>
      <c r="P114" s="73">
        <v>0</v>
      </c>
      <c r="Q114" s="73">
        <v>0</v>
      </c>
      <c r="R114" s="73">
        <v>0</v>
      </c>
      <c r="S114" s="73">
        <v>0</v>
      </c>
      <c r="T114" s="73">
        <v>0</v>
      </c>
      <c r="U114" s="73">
        <v>0</v>
      </c>
      <c r="V114" s="354">
        <f t="shared" si="28"/>
        <v>0</v>
      </c>
    </row>
    <row r="115" spans="1:22" ht="49.5" hidden="1" customHeight="1">
      <c r="A115" s="70" t="s">
        <v>253</v>
      </c>
      <c r="B115" s="71" t="s">
        <v>559</v>
      </c>
      <c r="C115" s="72" t="s">
        <v>56</v>
      </c>
      <c r="D115" s="72" t="s">
        <v>155</v>
      </c>
      <c r="E115" s="72"/>
      <c r="F115" s="72"/>
      <c r="G115" s="72"/>
      <c r="H115" s="72"/>
      <c r="I115" s="72"/>
      <c r="J115" s="447"/>
      <c r="K115" s="73">
        <f>'pielikums Nr.1'!AQ134</f>
        <v>0</v>
      </c>
      <c r="L115" s="354"/>
      <c r="M115" s="354"/>
      <c r="N115" s="354">
        <v>0</v>
      </c>
      <c r="O115" s="354">
        <v>0</v>
      </c>
      <c r="P115" s="354">
        <v>0</v>
      </c>
      <c r="Q115" s="354">
        <v>0</v>
      </c>
      <c r="R115" s="354">
        <v>0</v>
      </c>
      <c r="S115" s="354">
        <v>0</v>
      </c>
      <c r="T115" s="354">
        <v>0</v>
      </c>
      <c r="U115" s="354">
        <v>0</v>
      </c>
      <c r="V115" s="354">
        <f t="shared" si="28"/>
        <v>0</v>
      </c>
    </row>
    <row r="116" spans="1:22" ht="49.5" hidden="1" customHeight="1">
      <c r="A116" s="70" t="s">
        <v>199</v>
      </c>
      <c r="B116" s="71" t="s">
        <v>561</v>
      </c>
      <c r="C116" s="72" t="s">
        <v>56</v>
      </c>
      <c r="D116" s="72" t="s">
        <v>155</v>
      </c>
      <c r="E116" s="72"/>
      <c r="F116" s="72"/>
      <c r="G116" s="72"/>
      <c r="H116" s="72"/>
      <c r="I116" s="72"/>
      <c r="J116" s="447"/>
      <c r="K116" s="73">
        <f>'pielikums Nr.1'!AQ136</f>
        <v>0</v>
      </c>
      <c r="L116" s="354"/>
      <c r="M116" s="354"/>
      <c r="N116" s="354">
        <v>0</v>
      </c>
      <c r="O116" s="354">
        <v>0</v>
      </c>
      <c r="P116" s="354">
        <v>0</v>
      </c>
      <c r="Q116" s="354">
        <v>0</v>
      </c>
      <c r="R116" s="354">
        <v>0</v>
      </c>
      <c r="S116" s="354">
        <v>0</v>
      </c>
      <c r="T116" s="354">
        <v>0</v>
      </c>
      <c r="U116" s="354">
        <v>0</v>
      </c>
      <c r="V116" s="354">
        <f t="shared" si="28"/>
        <v>0</v>
      </c>
    </row>
    <row r="117" spans="1:22" ht="66" hidden="1" customHeight="1">
      <c r="A117" s="70" t="s">
        <v>200</v>
      </c>
      <c r="B117" s="71" t="s">
        <v>562</v>
      </c>
      <c r="C117" s="72" t="s">
        <v>56</v>
      </c>
      <c r="D117" s="72" t="s">
        <v>155</v>
      </c>
      <c r="E117" s="72"/>
      <c r="F117" s="72"/>
      <c r="G117" s="72"/>
      <c r="H117" s="72"/>
      <c r="I117" s="72"/>
      <c r="J117" s="447"/>
      <c r="K117" s="73">
        <f>'pielikums Nr.1'!AQ137</f>
        <v>0</v>
      </c>
      <c r="L117" s="354"/>
      <c r="M117" s="354"/>
      <c r="N117" s="354">
        <v>0</v>
      </c>
      <c r="O117" s="354">
        <v>0</v>
      </c>
      <c r="P117" s="354">
        <v>0</v>
      </c>
      <c r="Q117" s="354">
        <v>0</v>
      </c>
      <c r="R117" s="354">
        <v>0</v>
      </c>
      <c r="S117" s="354">
        <v>0</v>
      </c>
      <c r="T117" s="354">
        <v>0</v>
      </c>
      <c r="U117" s="354">
        <v>0</v>
      </c>
      <c r="V117" s="354">
        <f t="shared" si="28"/>
        <v>0</v>
      </c>
    </row>
    <row r="118" spans="1:22" ht="49.5" hidden="1" customHeight="1">
      <c r="A118" s="70" t="s">
        <v>184</v>
      </c>
      <c r="B118" s="71" t="s">
        <v>566</v>
      </c>
      <c r="C118" s="72" t="s">
        <v>56</v>
      </c>
      <c r="D118" s="72" t="s">
        <v>155</v>
      </c>
      <c r="E118" s="72"/>
      <c r="F118" s="72"/>
      <c r="G118" s="72"/>
      <c r="H118" s="72"/>
      <c r="I118" s="72"/>
      <c r="J118" s="447"/>
      <c r="K118" s="73">
        <f>'pielikums Nr.1'!AQ141</f>
        <v>0</v>
      </c>
      <c r="L118" s="354"/>
      <c r="M118" s="354"/>
      <c r="N118" s="354">
        <v>0</v>
      </c>
      <c r="O118" s="354">
        <v>0</v>
      </c>
      <c r="P118" s="354">
        <v>0</v>
      </c>
      <c r="Q118" s="354">
        <v>0</v>
      </c>
      <c r="R118" s="354">
        <v>0</v>
      </c>
      <c r="S118" s="354">
        <v>0</v>
      </c>
      <c r="T118" s="354">
        <v>0</v>
      </c>
      <c r="U118" s="354">
        <v>0</v>
      </c>
      <c r="V118" s="354">
        <f t="shared" ref="V118:V135" si="30">O118+S118+T118+U118</f>
        <v>0</v>
      </c>
    </row>
    <row r="119" spans="1:22" ht="66" hidden="1" customHeight="1">
      <c r="A119" s="70" t="s">
        <v>74</v>
      </c>
      <c r="B119" s="71" t="s">
        <v>567</v>
      </c>
      <c r="C119" s="72" t="s">
        <v>56</v>
      </c>
      <c r="D119" s="72" t="s">
        <v>155</v>
      </c>
      <c r="E119" s="72"/>
      <c r="F119" s="72"/>
      <c r="G119" s="72"/>
      <c r="H119" s="72"/>
      <c r="I119" s="72"/>
      <c r="J119" s="447"/>
      <c r="K119" s="73">
        <f>'pielikums Nr.1'!AQ142</f>
        <v>0</v>
      </c>
      <c r="L119" s="354"/>
      <c r="M119" s="354"/>
      <c r="N119" s="354">
        <v>0</v>
      </c>
      <c r="O119" s="354">
        <v>0</v>
      </c>
      <c r="P119" s="354">
        <v>0</v>
      </c>
      <c r="Q119" s="354">
        <v>0</v>
      </c>
      <c r="R119" s="354">
        <v>0</v>
      </c>
      <c r="S119" s="354">
        <v>0</v>
      </c>
      <c r="T119" s="354">
        <v>0</v>
      </c>
      <c r="U119" s="354">
        <v>0</v>
      </c>
      <c r="V119" s="354">
        <f t="shared" si="30"/>
        <v>0</v>
      </c>
    </row>
    <row r="120" spans="1:22" ht="66" hidden="1" customHeight="1">
      <c r="A120" s="70" t="s">
        <v>75</v>
      </c>
      <c r="B120" s="71" t="s">
        <v>568</v>
      </c>
      <c r="C120" s="72" t="s">
        <v>56</v>
      </c>
      <c r="D120" s="72" t="s">
        <v>155</v>
      </c>
      <c r="E120" s="72"/>
      <c r="F120" s="72"/>
      <c r="G120" s="72"/>
      <c r="H120" s="72"/>
      <c r="I120" s="72"/>
      <c r="J120" s="447"/>
      <c r="K120" s="73">
        <f>'pielikums Nr.1'!AQ143</f>
        <v>0</v>
      </c>
      <c r="L120" s="354"/>
      <c r="M120" s="354"/>
      <c r="N120" s="354">
        <v>0</v>
      </c>
      <c r="O120" s="354">
        <v>0</v>
      </c>
      <c r="P120" s="354">
        <v>0</v>
      </c>
      <c r="Q120" s="354">
        <v>0</v>
      </c>
      <c r="R120" s="354">
        <v>0</v>
      </c>
      <c r="S120" s="354">
        <v>0</v>
      </c>
      <c r="T120" s="354">
        <v>0</v>
      </c>
      <c r="U120" s="354">
        <v>0</v>
      </c>
      <c r="V120" s="354">
        <f t="shared" si="30"/>
        <v>0</v>
      </c>
    </row>
    <row r="121" spans="1:22" ht="33" hidden="1" customHeight="1">
      <c r="A121" s="70" t="s">
        <v>77</v>
      </c>
      <c r="B121" s="71" t="s">
        <v>570</v>
      </c>
      <c r="C121" s="72" t="s">
        <v>56</v>
      </c>
      <c r="D121" s="72" t="s">
        <v>155</v>
      </c>
      <c r="E121" s="72"/>
      <c r="F121" s="72"/>
      <c r="G121" s="72"/>
      <c r="H121" s="72"/>
      <c r="I121" s="72"/>
      <c r="J121" s="447"/>
      <c r="K121" s="73">
        <f>'pielikums Nr.1'!AQ145</f>
        <v>0</v>
      </c>
      <c r="L121" s="354"/>
      <c r="M121" s="354"/>
      <c r="N121" s="354">
        <v>0</v>
      </c>
      <c r="O121" s="354">
        <v>0</v>
      </c>
      <c r="P121" s="354">
        <v>0</v>
      </c>
      <c r="Q121" s="354">
        <v>0</v>
      </c>
      <c r="R121" s="354">
        <v>0</v>
      </c>
      <c r="S121" s="354">
        <v>0</v>
      </c>
      <c r="T121" s="354">
        <v>0</v>
      </c>
      <c r="U121" s="354">
        <v>0</v>
      </c>
      <c r="V121" s="354">
        <f t="shared" si="30"/>
        <v>0</v>
      </c>
    </row>
    <row r="122" spans="1:22" ht="99" hidden="1" customHeight="1">
      <c r="A122" s="70" t="s">
        <v>300</v>
      </c>
      <c r="B122" s="71" t="s">
        <v>571</v>
      </c>
      <c r="C122" s="72" t="s">
        <v>56</v>
      </c>
      <c r="D122" s="72" t="s">
        <v>155</v>
      </c>
      <c r="E122" s="72"/>
      <c r="F122" s="72"/>
      <c r="G122" s="72"/>
      <c r="H122" s="72"/>
      <c r="I122" s="72"/>
      <c r="J122" s="447"/>
      <c r="K122" s="73">
        <f>'pielikums Nr.1'!AQ146</f>
        <v>0</v>
      </c>
      <c r="L122" s="354"/>
      <c r="M122" s="354"/>
      <c r="N122" s="354">
        <v>0</v>
      </c>
      <c r="O122" s="354">
        <v>0</v>
      </c>
      <c r="P122" s="354">
        <v>0</v>
      </c>
      <c r="Q122" s="354">
        <v>0</v>
      </c>
      <c r="R122" s="354">
        <v>0</v>
      </c>
      <c r="S122" s="354">
        <v>0</v>
      </c>
      <c r="T122" s="354">
        <v>0</v>
      </c>
      <c r="U122" s="354">
        <v>0</v>
      </c>
      <c r="V122" s="354">
        <f t="shared" si="30"/>
        <v>0</v>
      </c>
    </row>
    <row r="123" spans="1:22" s="83" customFormat="1" ht="66">
      <c r="A123" s="71" t="s">
        <v>720</v>
      </c>
      <c r="B123" s="71" t="s">
        <v>721</v>
      </c>
      <c r="C123" s="72" t="s">
        <v>56</v>
      </c>
      <c r="D123" s="72" t="s">
        <v>155</v>
      </c>
      <c r="E123" s="79">
        <v>6000000</v>
      </c>
      <c r="F123" s="79"/>
      <c r="G123" s="79"/>
      <c r="H123" s="79"/>
      <c r="I123" s="79"/>
      <c r="J123" s="79"/>
      <c r="K123" s="354">
        <v>6000000</v>
      </c>
      <c r="L123" s="354"/>
      <c r="M123" s="354"/>
      <c r="N123" s="354">
        <v>0</v>
      </c>
      <c r="O123" s="354">
        <v>0</v>
      </c>
      <c r="P123" s="448">
        <v>0</v>
      </c>
      <c r="Q123" s="448">
        <v>6000000</v>
      </c>
      <c r="R123" s="448">
        <f>Q123</f>
        <v>6000000</v>
      </c>
      <c r="S123" s="448">
        <f>R123</f>
        <v>6000000</v>
      </c>
      <c r="T123" s="448">
        <v>0</v>
      </c>
      <c r="U123" s="448">
        <v>0</v>
      </c>
      <c r="V123" s="448">
        <f t="shared" si="30"/>
        <v>6000000</v>
      </c>
    </row>
    <row r="124" spans="1:22" ht="33" hidden="1" customHeight="1">
      <c r="A124" s="70" t="s">
        <v>78</v>
      </c>
      <c r="B124" s="71" t="s">
        <v>572</v>
      </c>
      <c r="C124" s="72" t="s">
        <v>56</v>
      </c>
      <c r="D124" s="72" t="s">
        <v>155</v>
      </c>
      <c r="E124" s="72"/>
      <c r="F124" s="72"/>
      <c r="G124" s="72"/>
      <c r="H124" s="72"/>
      <c r="I124" s="72"/>
      <c r="J124" s="447"/>
      <c r="K124" s="73">
        <v>0</v>
      </c>
      <c r="L124" s="354"/>
      <c r="M124" s="354"/>
      <c r="N124" s="73">
        <v>0</v>
      </c>
      <c r="O124" s="73">
        <v>0</v>
      </c>
      <c r="P124" s="448">
        <v>0</v>
      </c>
      <c r="Q124" s="448">
        <v>0</v>
      </c>
      <c r="R124" s="448">
        <v>0</v>
      </c>
      <c r="S124" s="448">
        <v>0</v>
      </c>
      <c r="T124" s="448">
        <v>0</v>
      </c>
      <c r="U124" s="448">
        <v>0</v>
      </c>
      <c r="V124" s="448">
        <f t="shared" si="30"/>
        <v>0</v>
      </c>
    </row>
    <row r="125" spans="1:22" s="83" customFormat="1" ht="99" hidden="1" customHeight="1">
      <c r="A125" s="70" t="s">
        <v>267</v>
      </c>
      <c r="B125" s="71" t="s">
        <v>646</v>
      </c>
      <c r="C125" s="72" t="s">
        <v>56</v>
      </c>
      <c r="D125" s="72" t="s">
        <v>155</v>
      </c>
      <c r="E125" s="72"/>
      <c r="F125" s="72"/>
      <c r="G125" s="72"/>
      <c r="H125" s="72"/>
      <c r="I125" s="72"/>
      <c r="J125" s="447"/>
      <c r="K125" s="73">
        <f>'pielikums Nr.1'!AQ223</f>
        <v>0</v>
      </c>
      <c r="L125" s="354"/>
      <c r="M125" s="354"/>
      <c r="N125" s="73">
        <v>0</v>
      </c>
      <c r="O125" s="73">
        <v>0</v>
      </c>
      <c r="P125" s="73">
        <v>0</v>
      </c>
      <c r="Q125" s="73">
        <v>0</v>
      </c>
      <c r="R125" s="73">
        <v>0</v>
      </c>
      <c r="S125" s="73">
        <v>0</v>
      </c>
      <c r="T125" s="73">
        <v>0</v>
      </c>
      <c r="U125" s="73">
        <v>0</v>
      </c>
      <c r="V125" s="354">
        <f t="shared" si="30"/>
        <v>0</v>
      </c>
    </row>
    <row r="126" spans="1:22" s="83" customFormat="1" ht="49.5" hidden="1" customHeight="1">
      <c r="A126" s="70" t="s">
        <v>225</v>
      </c>
      <c r="B126" s="71" t="s">
        <v>647</v>
      </c>
      <c r="C126" s="72" t="s">
        <v>56</v>
      </c>
      <c r="D126" s="72" t="s">
        <v>155</v>
      </c>
      <c r="E126" s="72"/>
      <c r="F126" s="72"/>
      <c r="G126" s="72"/>
      <c r="H126" s="72"/>
      <c r="I126" s="72"/>
      <c r="J126" s="447"/>
      <c r="K126" s="73">
        <f>'pielikums Nr.1'!AQ224</f>
        <v>0</v>
      </c>
      <c r="L126" s="354"/>
      <c r="M126" s="354"/>
      <c r="N126" s="73">
        <v>0</v>
      </c>
      <c r="O126" s="73">
        <v>0</v>
      </c>
      <c r="P126" s="73">
        <v>0</v>
      </c>
      <c r="Q126" s="73">
        <v>0</v>
      </c>
      <c r="R126" s="73">
        <v>0</v>
      </c>
      <c r="S126" s="73">
        <v>0</v>
      </c>
      <c r="T126" s="73">
        <v>0</v>
      </c>
      <c r="U126" s="73">
        <v>0</v>
      </c>
      <c r="V126" s="354">
        <f t="shared" si="30"/>
        <v>0</v>
      </c>
    </row>
    <row r="127" spans="1:22" s="83" customFormat="1" ht="66" hidden="1" customHeight="1">
      <c r="A127" s="70" t="s">
        <v>124</v>
      </c>
      <c r="B127" s="71" t="s">
        <v>648</v>
      </c>
      <c r="C127" s="72" t="s">
        <v>56</v>
      </c>
      <c r="D127" s="72" t="s">
        <v>155</v>
      </c>
      <c r="E127" s="72"/>
      <c r="F127" s="72"/>
      <c r="G127" s="72"/>
      <c r="H127" s="72"/>
      <c r="I127" s="72"/>
      <c r="J127" s="447"/>
      <c r="K127" s="73">
        <f>'pielikums Nr.1'!AQ225</f>
        <v>0</v>
      </c>
      <c r="L127" s="354"/>
      <c r="M127" s="354"/>
      <c r="N127" s="73">
        <v>0</v>
      </c>
      <c r="O127" s="73">
        <v>0</v>
      </c>
      <c r="P127" s="73">
        <v>0</v>
      </c>
      <c r="Q127" s="73">
        <v>0</v>
      </c>
      <c r="R127" s="73">
        <v>0</v>
      </c>
      <c r="S127" s="73">
        <v>0</v>
      </c>
      <c r="T127" s="73">
        <v>0</v>
      </c>
      <c r="U127" s="73">
        <v>0</v>
      </c>
      <c r="V127" s="354">
        <f t="shared" si="30"/>
        <v>0</v>
      </c>
    </row>
    <row r="128" spans="1:22" s="83" customFormat="1" ht="49.5" hidden="1" customHeight="1">
      <c r="A128" s="70" t="s">
        <v>125</v>
      </c>
      <c r="B128" s="71" t="s">
        <v>649</v>
      </c>
      <c r="C128" s="72" t="s">
        <v>56</v>
      </c>
      <c r="D128" s="72" t="s">
        <v>155</v>
      </c>
      <c r="E128" s="72"/>
      <c r="F128" s="72"/>
      <c r="G128" s="72"/>
      <c r="H128" s="72"/>
      <c r="I128" s="72"/>
      <c r="J128" s="447"/>
      <c r="K128" s="73">
        <f>'pielikums Nr.1'!AQ226</f>
        <v>0</v>
      </c>
      <c r="L128" s="354"/>
      <c r="M128" s="354"/>
      <c r="N128" s="73">
        <v>0</v>
      </c>
      <c r="O128" s="448">
        <v>0</v>
      </c>
      <c r="P128" s="448">
        <v>0</v>
      </c>
      <c r="Q128" s="448">
        <v>0</v>
      </c>
      <c r="R128" s="448">
        <v>0</v>
      </c>
      <c r="S128" s="448">
        <v>0</v>
      </c>
      <c r="T128" s="448">
        <v>0</v>
      </c>
      <c r="U128" s="448">
        <v>0</v>
      </c>
      <c r="V128" s="448">
        <f t="shared" si="30"/>
        <v>0</v>
      </c>
    </row>
    <row r="129" spans="1:24" s="83" customFormat="1" ht="49.5">
      <c r="A129" s="70" t="s">
        <v>216</v>
      </c>
      <c r="B129" s="71" t="s">
        <v>655</v>
      </c>
      <c r="C129" s="72" t="s">
        <v>56</v>
      </c>
      <c r="D129" s="72" t="s">
        <v>155</v>
      </c>
      <c r="E129" s="79">
        <v>15000000</v>
      </c>
      <c r="F129" s="79"/>
      <c r="G129" s="79"/>
      <c r="H129" s="79"/>
      <c r="I129" s="79"/>
      <c r="J129" s="79"/>
      <c r="K129" s="354">
        <v>15000000</v>
      </c>
      <c r="L129" s="354"/>
      <c r="M129" s="354"/>
      <c r="N129" s="354">
        <v>0</v>
      </c>
      <c r="O129" s="448">
        <v>0</v>
      </c>
      <c r="P129" s="448">
        <v>3000000</v>
      </c>
      <c r="Q129" s="448">
        <f>4500000+P129</f>
        <v>7500000</v>
      </c>
      <c r="R129" s="448">
        <f>4500000+Q129</f>
        <v>12000000</v>
      </c>
      <c r="S129" s="448">
        <f>3000000+R129</f>
        <v>15000000</v>
      </c>
      <c r="T129" s="448">
        <v>0</v>
      </c>
      <c r="U129" s="448">
        <v>0</v>
      </c>
      <c r="V129" s="448">
        <f t="shared" si="30"/>
        <v>15000000</v>
      </c>
    </row>
    <row r="130" spans="1:24" s="83" customFormat="1" ht="66" hidden="1" customHeight="1">
      <c r="A130" s="70" t="s">
        <v>245</v>
      </c>
      <c r="B130" s="71" t="s">
        <v>656</v>
      </c>
      <c r="C130" s="72" t="s">
        <v>56</v>
      </c>
      <c r="D130" s="72" t="s">
        <v>155</v>
      </c>
      <c r="E130" s="72"/>
      <c r="F130" s="72"/>
      <c r="G130" s="72"/>
      <c r="H130" s="72"/>
      <c r="I130" s="72"/>
      <c r="J130" s="447"/>
      <c r="K130" s="351">
        <f>'pielikums Nr.1'!AQ234</f>
        <v>0</v>
      </c>
      <c r="L130" s="354"/>
      <c r="M130" s="354"/>
      <c r="N130" s="73">
        <v>0</v>
      </c>
      <c r="O130" s="448">
        <v>0</v>
      </c>
      <c r="P130" s="448">
        <v>0</v>
      </c>
      <c r="Q130" s="448">
        <v>0</v>
      </c>
      <c r="R130" s="448">
        <v>0</v>
      </c>
      <c r="S130" s="448">
        <v>0</v>
      </c>
      <c r="T130" s="448">
        <v>0</v>
      </c>
      <c r="U130" s="448">
        <v>0</v>
      </c>
      <c r="V130" s="448">
        <f t="shared" si="30"/>
        <v>0</v>
      </c>
    </row>
    <row r="131" spans="1:24" s="100" customFormat="1" ht="66" hidden="1" customHeight="1">
      <c r="A131" s="70" t="s">
        <v>227</v>
      </c>
      <c r="B131" s="71" t="s">
        <v>668</v>
      </c>
      <c r="C131" s="72" t="s">
        <v>171</v>
      </c>
      <c r="D131" s="72" t="s">
        <v>155</v>
      </c>
      <c r="E131" s="72"/>
      <c r="F131" s="72"/>
      <c r="G131" s="72"/>
      <c r="H131" s="72"/>
      <c r="I131" s="72"/>
      <c r="J131" s="447"/>
      <c r="K131" s="73">
        <f>'pielikums Nr.1'!AQ245</f>
        <v>0</v>
      </c>
      <c r="L131" s="354"/>
      <c r="M131" s="354"/>
      <c r="N131" s="73">
        <v>0</v>
      </c>
      <c r="O131" s="73">
        <v>0</v>
      </c>
      <c r="P131" s="73">
        <v>0</v>
      </c>
      <c r="Q131" s="73">
        <v>0</v>
      </c>
      <c r="R131" s="73">
        <v>0</v>
      </c>
      <c r="S131" s="73">
        <v>0</v>
      </c>
      <c r="T131" s="73">
        <v>0</v>
      </c>
      <c r="U131" s="73">
        <v>0</v>
      </c>
      <c r="V131" s="354">
        <f t="shared" si="30"/>
        <v>0</v>
      </c>
    </row>
    <row r="132" spans="1:24" s="100" customFormat="1" ht="66" hidden="1" customHeight="1">
      <c r="A132" s="70" t="s">
        <v>210</v>
      </c>
      <c r="B132" s="71" t="s">
        <v>669</v>
      </c>
      <c r="C132" s="72" t="s">
        <v>171</v>
      </c>
      <c r="D132" s="72" t="s">
        <v>155</v>
      </c>
      <c r="E132" s="72"/>
      <c r="F132" s="72"/>
      <c r="G132" s="72"/>
      <c r="H132" s="72"/>
      <c r="I132" s="72"/>
      <c r="J132" s="447"/>
      <c r="K132" s="73">
        <f>'pielikums Nr.1'!AQ246</f>
        <v>0</v>
      </c>
      <c r="L132" s="354"/>
      <c r="M132" s="354"/>
      <c r="N132" s="73">
        <v>0</v>
      </c>
      <c r="O132" s="73">
        <v>0</v>
      </c>
      <c r="P132" s="73">
        <v>0</v>
      </c>
      <c r="Q132" s="73">
        <v>0</v>
      </c>
      <c r="R132" s="73">
        <v>0</v>
      </c>
      <c r="S132" s="73">
        <v>0</v>
      </c>
      <c r="T132" s="73">
        <v>0</v>
      </c>
      <c r="U132" s="73">
        <v>0</v>
      </c>
      <c r="V132" s="354">
        <f t="shared" si="30"/>
        <v>0</v>
      </c>
    </row>
    <row r="133" spans="1:24" s="100" customFormat="1" ht="66" hidden="1" customHeight="1">
      <c r="A133" s="70" t="s">
        <v>175</v>
      </c>
      <c r="B133" s="71" t="s">
        <v>670</v>
      </c>
      <c r="C133" s="72" t="s">
        <v>171</v>
      </c>
      <c r="D133" s="72" t="s">
        <v>155</v>
      </c>
      <c r="E133" s="72"/>
      <c r="F133" s="72"/>
      <c r="G133" s="72"/>
      <c r="H133" s="72"/>
      <c r="I133" s="72"/>
      <c r="J133" s="447"/>
      <c r="K133" s="73">
        <f>'pielikums Nr.1'!AQ247</f>
        <v>0</v>
      </c>
      <c r="L133" s="354"/>
      <c r="M133" s="354"/>
      <c r="N133" s="73">
        <v>0</v>
      </c>
      <c r="O133" s="73">
        <v>0</v>
      </c>
      <c r="P133" s="73">
        <v>0</v>
      </c>
      <c r="Q133" s="73">
        <v>0</v>
      </c>
      <c r="R133" s="73">
        <v>0</v>
      </c>
      <c r="S133" s="73">
        <v>0</v>
      </c>
      <c r="T133" s="73">
        <v>0</v>
      </c>
      <c r="U133" s="73">
        <v>0</v>
      </c>
      <c r="V133" s="354">
        <f t="shared" si="30"/>
        <v>0</v>
      </c>
    </row>
    <row r="134" spans="1:24" s="83" customFormat="1" ht="33" hidden="1" customHeight="1">
      <c r="A134" s="70" t="s">
        <v>133</v>
      </c>
      <c r="B134" s="71" t="s">
        <v>671</v>
      </c>
      <c r="C134" s="72" t="s">
        <v>171</v>
      </c>
      <c r="D134" s="72" t="s">
        <v>155</v>
      </c>
      <c r="E134" s="72"/>
      <c r="F134" s="72"/>
      <c r="G134" s="72"/>
      <c r="H134" s="72"/>
      <c r="I134" s="72"/>
      <c r="J134" s="447"/>
      <c r="K134" s="73">
        <f>'pielikums Nr.1'!AQ248</f>
        <v>0</v>
      </c>
      <c r="L134" s="354"/>
      <c r="M134" s="354"/>
      <c r="N134" s="73">
        <v>0</v>
      </c>
      <c r="O134" s="73">
        <v>0</v>
      </c>
      <c r="P134" s="73">
        <v>0</v>
      </c>
      <c r="Q134" s="73">
        <v>0</v>
      </c>
      <c r="R134" s="73">
        <v>0</v>
      </c>
      <c r="S134" s="73">
        <v>0</v>
      </c>
      <c r="T134" s="73">
        <v>0</v>
      </c>
      <c r="U134" s="73">
        <v>0</v>
      </c>
      <c r="V134" s="354">
        <f t="shared" si="30"/>
        <v>0</v>
      </c>
    </row>
    <row r="135" spans="1:24" s="83" customFormat="1" ht="66" hidden="1" customHeight="1">
      <c r="A135" s="70" t="s">
        <v>134</v>
      </c>
      <c r="B135" s="71" t="s">
        <v>672</v>
      </c>
      <c r="C135" s="72" t="s">
        <v>171</v>
      </c>
      <c r="D135" s="72" t="s">
        <v>155</v>
      </c>
      <c r="E135" s="72"/>
      <c r="F135" s="72"/>
      <c r="G135" s="72"/>
      <c r="H135" s="72"/>
      <c r="I135" s="72"/>
      <c r="J135" s="447"/>
      <c r="K135" s="73">
        <f>'pielikums Nr.1'!AQ249</f>
        <v>0</v>
      </c>
      <c r="L135" s="354"/>
      <c r="M135" s="354"/>
      <c r="N135" s="73">
        <v>0</v>
      </c>
      <c r="O135" s="73">
        <v>0</v>
      </c>
      <c r="P135" s="73">
        <v>0</v>
      </c>
      <c r="Q135" s="73">
        <v>0</v>
      </c>
      <c r="R135" s="73">
        <v>0</v>
      </c>
      <c r="S135" s="73">
        <v>0</v>
      </c>
      <c r="T135" s="73">
        <v>0</v>
      </c>
      <c r="U135" s="73">
        <v>0</v>
      </c>
      <c r="V135" s="354">
        <f t="shared" si="30"/>
        <v>0</v>
      </c>
    </row>
    <row r="136" spans="1:24" s="440" customFormat="1" ht="22.9" customHeight="1">
      <c r="A136" s="464" t="s">
        <v>743</v>
      </c>
      <c r="B136" s="465"/>
      <c r="C136" s="465"/>
      <c r="D136" s="466"/>
      <c r="E136" s="443">
        <f t="shared" ref="E136:J136" si="31">SUM(E137:E157)</f>
        <v>24583883.713770002</v>
      </c>
      <c r="F136" s="443">
        <f t="shared" si="31"/>
        <v>1822430</v>
      </c>
      <c r="G136" s="443">
        <f t="shared" si="31"/>
        <v>0</v>
      </c>
      <c r="H136" s="443">
        <f t="shared" si="31"/>
        <v>0</v>
      </c>
      <c r="I136" s="443">
        <f t="shared" si="31"/>
        <v>0</v>
      </c>
      <c r="J136" s="443">
        <f t="shared" si="31"/>
        <v>0</v>
      </c>
      <c r="K136" s="439">
        <f>SUM(K137:K157)</f>
        <v>26406313.713770002</v>
      </c>
      <c r="L136" s="439">
        <f>L143</f>
        <v>7163639</v>
      </c>
      <c r="M136" s="439">
        <f>M143</f>
        <v>5852445</v>
      </c>
      <c r="N136" s="439">
        <f t="shared" ref="N136:U136" si="32">SUM(N137:N157)</f>
        <v>16115229</v>
      </c>
      <c r="O136" s="439">
        <f t="shared" si="32"/>
        <v>16115229</v>
      </c>
      <c r="P136" s="439">
        <f t="shared" si="32"/>
        <v>1194461</v>
      </c>
      <c r="Q136" s="439">
        <f t="shared" si="32"/>
        <v>3125171</v>
      </c>
      <c r="R136" s="439">
        <f t="shared" si="32"/>
        <v>3125171</v>
      </c>
      <c r="S136" s="439">
        <f t="shared" si="32"/>
        <v>3125171</v>
      </c>
      <c r="T136" s="439">
        <f t="shared" si="32"/>
        <v>0</v>
      </c>
      <c r="U136" s="439">
        <f t="shared" si="32"/>
        <v>0</v>
      </c>
      <c r="V136" s="439">
        <f>SUM(V137:V157)</f>
        <v>26404039</v>
      </c>
    </row>
    <row r="137" spans="1:24" s="83" customFormat="1" ht="49.5">
      <c r="A137" s="70" t="s">
        <v>19</v>
      </c>
      <c r="B137" s="71" t="s">
        <v>469</v>
      </c>
      <c r="C137" s="72" t="s">
        <v>0</v>
      </c>
      <c r="D137" s="72" t="s">
        <v>156</v>
      </c>
      <c r="E137" s="79">
        <v>1000000</v>
      </c>
      <c r="F137" s="79"/>
      <c r="G137" s="79"/>
      <c r="H137" s="79"/>
      <c r="I137" s="79"/>
      <c r="J137" s="79"/>
      <c r="K137" s="354">
        <v>1000000</v>
      </c>
      <c r="L137" s="354"/>
      <c r="M137" s="354"/>
      <c r="N137" s="354">
        <v>0</v>
      </c>
      <c r="O137" s="354">
        <v>0</v>
      </c>
      <c r="P137" s="448">
        <v>0</v>
      </c>
      <c r="Q137" s="448">
        <v>1000000</v>
      </c>
      <c r="R137" s="448">
        <v>1000000</v>
      </c>
      <c r="S137" s="448">
        <v>1000000</v>
      </c>
      <c r="T137" s="448">
        <v>0</v>
      </c>
      <c r="U137" s="448">
        <v>0</v>
      </c>
      <c r="V137" s="354">
        <f t="shared" ref="V137:V142" si="33">O137+S137+T137+U137</f>
        <v>1000000</v>
      </c>
    </row>
    <row r="138" spans="1:24" s="83" customFormat="1" ht="33">
      <c r="A138" s="70" t="s">
        <v>238</v>
      </c>
      <c r="B138" s="71" t="s">
        <v>484</v>
      </c>
      <c r="C138" s="72" t="s">
        <v>0</v>
      </c>
      <c r="D138" s="72" t="s">
        <v>156</v>
      </c>
      <c r="E138" s="79">
        <v>7571088.8137699999</v>
      </c>
      <c r="F138" s="79"/>
      <c r="G138" s="79"/>
      <c r="H138" s="79"/>
      <c r="I138" s="79"/>
      <c r="J138" s="79"/>
      <c r="K138" s="354">
        <v>7571088.8137699999</v>
      </c>
      <c r="L138" s="354"/>
      <c r="M138" s="354"/>
      <c r="N138" s="354">
        <v>7571089</v>
      </c>
      <c r="O138" s="354">
        <v>7571089</v>
      </c>
      <c r="P138" s="448">
        <v>0</v>
      </c>
      <c r="Q138" s="448">
        <v>0</v>
      </c>
      <c r="R138" s="448">
        <v>0</v>
      </c>
      <c r="S138" s="448">
        <v>0</v>
      </c>
      <c r="T138" s="448">
        <v>0</v>
      </c>
      <c r="U138" s="448">
        <v>0</v>
      </c>
      <c r="V138" s="354">
        <f t="shared" si="33"/>
        <v>7571089</v>
      </c>
    </row>
    <row r="139" spans="1:24" ht="49.5" hidden="1" customHeight="1">
      <c r="A139" s="70" t="s">
        <v>215</v>
      </c>
      <c r="B139" s="71" t="s">
        <v>486</v>
      </c>
      <c r="C139" s="72" t="s">
        <v>0</v>
      </c>
      <c r="D139" s="72" t="s">
        <v>156</v>
      </c>
      <c r="E139" s="72"/>
      <c r="F139" s="72"/>
      <c r="G139" s="72"/>
      <c r="H139" s="72"/>
      <c r="I139" s="72"/>
      <c r="J139" s="447"/>
      <c r="K139" s="73">
        <f>'pielikums Nr.1'!AQ61</f>
        <v>0</v>
      </c>
      <c r="L139" s="354"/>
      <c r="M139" s="354"/>
      <c r="N139" s="354">
        <v>0</v>
      </c>
      <c r="O139" s="354">
        <v>0</v>
      </c>
      <c r="P139" s="354">
        <v>0</v>
      </c>
      <c r="Q139" s="354">
        <v>0</v>
      </c>
      <c r="R139" s="354">
        <v>0</v>
      </c>
      <c r="S139" s="354">
        <v>0</v>
      </c>
      <c r="T139" s="354">
        <v>0</v>
      </c>
      <c r="U139" s="354">
        <v>0</v>
      </c>
      <c r="V139" s="354">
        <f t="shared" si="33"/>
        <v>0</v>
      </c>
    </row>
    <row r="140" spans="1:24" ht="66" hidden="1" customHeight="1">
      <c r="A140" s="70" t="s">
        <v>214</v>
      </c>
      <c r="B140" s="71" t="s">
        <v>490</v>
      </c>
      <c r="C140" s="72" t="s">
        <v>0</v>
      </c>
      <c r="D140" s="72" t="s">
        <v>156</v>
      </c>
      <c r="E140" s="72"/>
      <c r="F140" s="72"/>
      <c r="G140" s="72"/>
      <c r="H140" s="72"/>
      <c r="I140" s="72"/>
      <c r="J140" s="447"/>
      <c r="K140" s="73">
        <f>'pielikums Nr.1'!AQ65</f>
        <v>0</v>
      </c>
      <c r="L140" s="354"/>
      <c r="M140" s="354"/>
      <c r="N140" s="354">
        <v>0</v>
      </c>
      <c r="O140" s="354">
        <v>0</v>
      </c>
      <c r="P140" s="354">
        <v>0</v>
      </c>
      <c r="Q140" s="354">
        <v>0</v>
      </c>
      <c r="R140" s="354">
        <v>0</v>
      </c>
      <c r="S140" s="354">
        <v>0</v>
      </c>
      <c r="T140" s="354">
        <v>0</v>
      </c>
      <c r="U140" s="354">
        <v>0</v>
      </c>
      <c r="V140" s="354">
        <f t="shared" si="33"/>
        <v>0</v>
      </c>
    </row>
    <row r="141" spans="1:24" ht="82.5" hidden="1" customHeight="1">
      <c r="A141" s="70" t="s">
        <v>196</v>
      </c>
      <c r="B141" s="71" t="s">
        <v>491</v>
      </c>
      <c r="C141" s="72" t="s">
        <v>0</v>
      </c>
      <c r="D141" s="72" t="s">
        <v>156</v>
      </c>
      <c r="E141" s="72"/>
      <c r="F141" s="72"/>
      <c r="G141" s="72"/>
      <c r="H141" s="72"/>
      <c r="I141" s="72"/>
      <c r="J141" s="447"/>
      <c r="K141" s="73">
        <f>'pielikums Nr.1'!AQ66</f>
        <v>0</v>
      </c>
      <c r="L141" s="354"/>
      <c r="M141" s="354"/>
      <c r="N141" s="354">
        <v>0</v>
      </c>
      <c r="O141" s="354">
        <v>0</v>
      </c>
      <c r="P141" s="448">
        <v>0</v>
      </c>
      <c r="Q141" s="448">
        <v>0</v>
      </c>
      <c r="R141" s="448">
        <v>0</v>
      </c>
      <c r="S141" s="448">
        <v>0</v>
      </c>
      <c r="T141" s="448">
        <v>0</v>
      </c>
      <c r="U141" s="448">
        <v>0</v>
      </c>
      <c r="V141" s="448">
        <f t="shared" si="33"/>
        <v>0</v>
      </c>
    </row>
    <row r="142" spans="1:24" ht="49.5" hidden="1" customHeight="1">
      <c r="A142" s="70" t="s">
        <v>292</v>
      </c>
      <c r="B142" s="71" t="s">
        <v>492</v>
      </c>
      <c r="C142" s="72" t="s">
        <v>0</v>
      </c>
      <c r="D142" s="72" t="s">
        <v>156</v>
      </c>
      <c r="E142" s="72"/>
      <c r="F142" s="72"/>
      <c r="G142" s="72"/>
      <c r="H142" s="72"/>
      <c r="I142" s="72"/>
      <c r="J142" s="447"/>
      <c r="K142" s="73">
        <f>'pielikums Nr.1'!AQ67</f>
        <v>0</v>
      </c>
      <c r="L142" s="354"/>
      <c r="M142" s="354"/>
      <c r="N142" s="354">
        <v>0</v>
      </c>
      <c r="O142" s="354">
        <v>0</v>
      </c>
      <c r="P142" s="448">
        <v>0</v>
      </c>
      <c r="Q142" s="448">
        <v>0</v>
      </c>
      <c r="R142" s="448">
        <v>0</v>
      </c>
      <c r="S142" s="448">
        <v>0</v>
      </c>
      <c r="T142" s="448">
        <v>0</v>
      </c>
      <c r="U142" s="448">
        <v>0</v>
      </c>
      <c r="V142" s="448">
        <f t="shared" si="33"/>
        <v>0</v>
      </c>
    </row>
    <row r="143" spans="1:24" s="83" customFormat="1" ht="66">
      <c r="A143" s="70" t="s">
        <v>769</v>
      </c>
      <c r="B143" s="71" t="s">
        <v>493</v>
      </c>
      <c r="C143" s="72" t="s">
        <v>0</v>
      </c>
      <c r="D143" s="72" t="s">
        <v>156</v>
      </c>
      <c r="E143" s="79">
        <v>13885349</v>
      </c>
      <c r="F143" s="79">
        <v>1822430</v>
      </c>
      <c r="G143" s="79"/>
      <c r="H143" s="79"/>
      <c r="I143" s="79"/>
      <c r="J143" s="79"/>
      <c r="K143" s="448">
        <v>15707779</v>
      </c>
      <c r="L143" s="354">
        <v>7163639</v>
      </c>
      <c r="M143" s="354">
        <v>5852445</v>
      </c>
      <c r="N143" s="448">
        <v>8544140</v>
      </c>
      <c r="O143" s="448">
        <v>8544140</v>
      </c>
      <c r="P143" s="448">
        <v>0</v>
      </c>
      <c r="Q143" s="448">
        <v>0</v>
      </c>
      <c r="R143" s="448">
        <v>0</v>
      </c>
      <c r="S143" s="448">
        <v>0</v>
      </c>
      <c r="T143" s="448">
        <v>0</v>
      </c>
      <c r="U143" s="448">
        <v>0</v>
      </c>
      <c r="V143" s="448">
        <v>15707779</v>
      </c>
      <c r="W143" s="457"/>
      <c r="X143" s="457"/>
    </row>
    <row r="144" spans="1:24" ht="49.5" hidden="1" customHeight="1">
      <c r="A144" s="70" t="s">
        <v>34</v>
      </c>
      <c r="B144" s="71" t="s">
        <v>494</v>
      </c>
      <c r="C144" s="72" t="s">
        <v>0</v>
      </c>
      <c r="D144" s="72" t="s">
        <v>156</v>
      </c>
      <c r="E144" s="72"/>
      <c r="F144" s="72"/>
      <c r="G144" s="72"/>
      <c r="H144" s="72"/>
      <c r="I144" s="72"/>
      <c r="J144" s="447"/>
      <c r="K144" s="73">
        <f>'pielikums Nr.1'!AQ69</f>
        <v>0</v>
      </c>
      <c r="L144" s="354"/>
      <c r="M144" s="354"/>
      <c r="N144" s="354">
        <v>0</v>
      </c>
      <c r="O144" s="354">
        <v>0</v>
      </c>
      <c r="P144" s="354">
        <v>0</v>
      </c>
      <c r="Q144" s="354">
        <v>0</v>
      </c>
      <c r="R144" s="354">
        <v>0</v>
      </c>
      <c r="S144" s="354">
        <v>0</v>
      </c>
      <c r="T144" s="354">
        <v>0</v>
      </c>
      <c r="U144" s="354">
        <v>0</v>
      </c>
      <c r="V144" s="354">
        <f t="shared" ref="V144:V181" si="34">O144+S144+T144+U144</f>
        <v>0</v>
      </c>
    </row>
    <row r="145" spans="1:22" ht="82.5" hidden="1" customHeight="1">
      <c r="A145" s="70" t="s">
        <v>35</v>
      </c>
      <c r="B145" s="71" t="s">
        <v>495</v>
      </c>
      <c r="C145" s="72" t="s">
        <v>0</v>
      </c>
      <c r="D145" s="72" t="s">
        <v>156</v>
      </c>
      <c r="E145" s="72"/>
      <c r="F145" s="72"/>
      <c r="G145" s="72"/>
      <c r="H145" s="72"/>
      <c r="I145" s="72"/>
      <c r="J145" s="447"/>
      <c r="K145" s="73">
        <f>'pielikums Nr.1'!AQ70</f>
        <v>0</v>
      </c>
      <c r="L145" s="354"/>
      <c r="M145" s="354"/>
      <c r="N145" s="354">
        <v>0</v>
      </c>
      <c r="O145" s="354">
        <v>0</v>
      </c>
      <c r="P145" s="354">
        <v>0</v>
      </c>
      <c r="Q145" s="354">
        <v>0</v>
      </c>
      <c r="R145" s="354">
        <v>0</v>
      </c>
      <c r="S145" s="354">
        <v>0</v>
      </c>
      <c r="T145" s="354">
        <v>0</v>
      </c>
      <c r="U145" s="354">
        <v>0</v>
      </c>
      <c r="V145" s="354">
        <f t="shared" si="34"/>
        <v>0</v>
      </c>
    </row>
    <row r="146" spans="1:22" ht="99" hidden="1" customHeight="1">
      <c r="A146" s="70" t="s">
        <v>36</v>
      </c>
      <c r="B146" s="71" t="s">
        <v>496</v>
      </c>
      <c r="C146" s="72" t="s">
        <v>0</v>
      </c>
      <c r="D146" s="72" t="s">
        <v>156</v>
      </c>
      <c r="E146" s="72"/>
      <c r="F146" s="72"/>
      <c r="G146" s="72"/>
      <c r="H146" s="72"/>
      <c r="I146" s="72"/>
      <c r="J146" s="447"/>
      <c r="K146" s="73">
        <f>'pielikums Nr.1'!AQ71</f>
        <v>0</v>
      </c>
      <c r="L146" s="354"/>
      <c r="M146" s="354"/>
      <c r="N146" s="354">
        <v>0</v>
      </c>
      <c r="O146" s="354">
        <v>0</v>
      </c>
      <c r="P146" s="448">
        <v>0</v>
      </c>
      <c r="Q146" s="448">
        <v>0</v>
      </c>
      <c r="R146" s="448">
        <v>0</v>
      </c>
      <c r="S146" s="448">
        <v>0</v>
      </c>
      <c r="T146" s="448">
        <v>0</v>
      </c>
      <c r="U146" s="448">
        <v>0</v>
      </c>
      <c r="V146" s="448">
        <f t="shared" si="34"/>
        <v>0</v>
      </c>
    </row>
    <row r="147" spans="1:22" s="83" customFormat="1" ht="49.5">
      <c r="A147" s="70" t="s">
        <v>258</v>
      </c>
      <c r="B147" s="71" t="s">
        <v>505</v>
      </c>
      <c r="C147" s="72" t="s">
        <v>0</v>
      </c>
      <c r="D147" s="72" t="s">
        <v>156</v>
      </c>
      <c r="E147" s="79">
        <v>1194461.3</v>
      </c>
      <c r="F147" s="79"/>
      <c r="G147" s="79"/>
      <c r="H147" s="79"/>
      <c r="I147" s="79"/>
      <c r="J147" s="79"/>
      <c r="K147" s="354">
        <v>1194461.3</v>
      </c>
      <c r="L147" s="354"/>
      <c r="M147" s="354"/>
      <c r="N147" s="354">
        <v>0</v>
      </c>
      <c r="O147" s="354">
        <v>0</v>
      </c>
      <c r="P147" s="448">
        <v>1194461</v>
      </c>
      <c r="Q147" s="448">
        <v>1194461</v>
      </c>
      <c r="R147" s="448">
        <v>1194461</v>
      </c>
      <c r="S147" s="448">
        <v>1194461</v>
      </c>
      <c r="T147" s="448">
        <v>0</v>
      </c>
      <c r="U147" s="448">
        <v>0</v>
      </c>
      <c r="V147" s="448">
        <f t="shared" si="34"/>
        <v>1194461</v>
      </c>
    </row>
    <row r="148" spans="1:22" s="83" customFormat="1" ht="49.5">
      <c r="A148" s="70" t="s">
        <v>239</v>
      </c>
      <c r="B148" s="71" t="s">
        <v>506</v>
      </c>
      <c r="C148" s="72" t="s">
        <v>0</v>
      </c>
      <c r="D148" s="72" t="s">
        <v>156</v>
      </c>
      <c r="E148" s="79">
        <v>932984.60000000009</v>
      </c>
      <c r="F148" s="79"/>
      <c r="G148" s="79"/>
      <c r="H148" s="79"/>
      <c r="I148" s="79"/>
      <c r="J148" s="79"/>
      <c r="K148" s="354">
        <v>932984.60000000009</v>
      </c>
      <c r="L148" s="354"/>
      <c r="M148" s="354"/>
      <c r="N148" s="354">
        <v>0</v>
      </c>
      <c r="O148" s="354">
        <v>0</v>
      </c>
      <c r="P148" s="448">
        <v>0</v>
      </c>
      <c r="Q148" s="448">
        <v>930710</v>
      </c>
      <c r="R148" s="448">
        <v>930710</v>
      </c>
      <c r="S148" s="448">
        <v>930710</v>
      </c>
      <c r="T148" s="448">
        <v>0</v>
      </c>
      <c r="U148" s="448">
        <v>0</v>
      </c>
      <c r="V148" s="448">
        <f t="shared" si="34"/>
        <v>930710</v>
      </c>
    </row>
    <row r="149" spans="1:22" ht="49.5" hidden="1" customHeight="1">
      <c r="A149" s="70" t="s">
        <v>222</v>
      </c>
      <c r="B149" s="71" t="s">
        <v>508</v>
      </c>
      <c r="C149" s="72" t="s">
        <v>0</v>
      </c>
      <c r="D149" s="72" t="s">
        <v>156</v>
      </c>
      <c r="E149" s="72"/>
      <c r="F149" s="72"/>
      <c r="G149" s="72"/>
      <c r="H149" s="72"/>
      <c r="I149" s="72"/>
      <c r="J149" s="447"/>
      <c r="K149" s="73">
        <f>'pielikums Nr.1'!AQ83</f>
        <v>0</v>
      </c>
      <c r="L149" s="354"/>
      <c r="M149" s="354"/>
      <c r="N149" s="354">
        <v>0</v>
      </c>
      <c r="O149" s="354">
        <v>0</v>
      </c>
      <c r="P149" s="354">
        <v>0</v>
      </c>
      <c r="Q149" s="354">
        <v>0</v>
      </c>
      <c r="R149" s="354">
        <v>0</v>
      </c>
      <c r="S149" s="354">
        <v>0</v>
      </c>
      <c r="T149" s="354">
        <v>0</v>
      </c>
      <c r="U149" s="354">
        <v>0</v>
      </c>
      <c r="V149" s="354">
        <f t="shared" si="34"/>
        <v>0</v>
      </c>
    </row>
    <row r="150" spans="1:22" ht="66" hidden="1" customHeight="1">
      <c r="A150" s="70" t="s">
        <v>45</v>
      </c>
      <c r="B150" s="71" t="s">
        <v>509</v>
      </c>
      <c r="C150" s="72" t="s">
        <v>0</v>
      </c>
      <c r="D150" s="72" t="s">
        <v>156</v>
      </c>
      <c r="E150" s="72"/>
      <c r="F150" s="72"/>
      <c r="G150" s="72"/>
      <c r="H150" s="72"/>
      <c r="I150" s="72"/>
      <c r="J150" s="447"/>
      <c r="K150" s="73">
        <f>'pielikums Nr.1'!AQ84</f>
        <v>0</v>
      </c>
      <c r="L150" s="354"/>
      <c r="M150" s="354"/>
      <c r="N150" s="354">
        <v>0</v>
      </c>
      <c r="O150" s="354">
        <v>0</v>
      </c>
      <c r="P150" s="354">
        <v>0</v>
      </c>
      <c r="Q150" s="354">
        <v>0</v>
      </c>
      <c r="R150" s="354">
        <v>0</v>
      </c>
      <c r="S150" s="354">
        <v>0</v>
      </c>
      <c r="T150" s="354">
        <v>0</v>
      </c>
      <c r="U150" s="354">
        <v>0</v>
      </c>
      <c r="V150" s="354">
        <f t="shared" si="34"/>
        <v>0</v>
      </c>
    </row>
    <row r="151" spans="1:22" ht="82.5" hidden="1" customHeight="1">
      <c r="A151" s="70" t="s">
        <v>255</v>
      </c>
      <c r="B151" s="71" t="s">
        <v>510</v>
      </c>
      <c r="C151" s="72" t="s">
        <v>0</v>
      </c>
      <c r="D151" s="72" t="s">
        <v>156</v>
      </c>
      <c r="E151" s="72"/>
      <c r="F151" s="72"/>
      <c r="G151" s="72"/>
      <c r="H151" s="72"/>
      <c r="I151" s="72"/>
      <c r="J151" s="447"/>
      <c r="K151" s="73">
        <f>'pielikums Nr.1'!AQ85</f>
        <v>0</v>
      </c>
      <c r="L151" s="354"/>
      <c r="M151" s="354"/>
      <c r="N151" s="354">
        <v>0</v>
      </c>
      <c r="O151" s="354">
        <v>0</v>
      </c>
      <c r="P151" s="354">
        <v>0</v>
      </c>
      <c r="Q151" s="354">
        <v>0</v>
      </c>
      <c r="R151" s="354">
        <v>0</v>
      </c>
      <c r="S151" s="354">
        <v>0</v>
      </c>
      <c r="T151" s="354">
        <v>0</v>
      </c>
      <c r="U151" s="354">
        <v>0</v>
      </c>
      <c r="V151" s="354">
        <f t="shared" si="34"/>
        <v>0</v>
      </c>
    </row>
    <row r="152" spans="1:22" s="83" customFormat="1" ht="115.5" hidden="1" customHeight="1">
      <c r="A152" s="70" t="s">
        <v>91</v>
      </c>
      <c r="B152" s="71" t="s">
        <v>592</v>
      </c>
      <c r="C152" s="72" t="s">
        <v>56</v>
      </c>
      <c r="D152" s="72" t="s">
        <v>156</v>
      </c>
      <c r="E152" s="72"/>
      <c r="F152" s="72"/>
      <c r="G152" s="72"/>
      <c r="H152" s="72"/>
      <c r="I152" s="72"/>
      <c r="J152" s="447"/>
      <c r="K152" s="73">
        <f>'pielikums Nr.1'!AQ169</f>
        <v>0</v>
      </c>
      <c r="L152" s="354"/>
      <c r="M152" s="354"/>
      <c r="N152" s="73">
        <v>0</v>
      </c>
      <c r="O152" s="73">
        <v>0</v>
      </c>
      <c r="P152" s="73">
        <v>0</v>
      </c>
      <c r="Q152" s="73">
        <v>0</v>
      </c>
      <c r="R152" s="73">
        <v>0</v>
      </c>
      <c r="S152" s="73">
        <v>0</v>
      </c>
      <c r="T152" s="73">
        <v>0</v>
      </c>
      <c r="U152" s="73">
        <v>0</v>
      </c>
      <c r="V152" s="354">
        <f t="shared" si="34"/>
        <v>0</v>
      </c>
    </row>
    <row r="153" spans="1:22" s="83" customFormat="1" ht="66" hidden="1" customHeight="1">
      <c r="A153" s="70" t="s">
        <v>92</v>
      </c>
      <c r="B153" s="71" t="s">
        <v>593</v>
      </c>
      <c r="C153" s="72" t="s">
        <v>56</v>
      </c>
      <c r="D153" s="72" t="s">
        <v>156</v>
      </c>
      <c r="E153" s="72"/>
      <c r="F153" s="72"/>
      <c r="G153" s="72"/>
      <c r="H153" s="72"/>
      <c r="I153" s="72"/>
      <c r="J153" s="447"/>
      <c r="K153" s="73">
        <f>'pielikums Nr.1'!AQ170</f>
        <v>0</v>
      </c>
      <c r="L153" s="354"/>
      <c r="M153" s="354"/>
      <c r="N153" s="73">
        <v>0</v>
      </c>
      <c r="O153" s="73">
        <v>0</v>
      </c>
      <c r="P153" s="73">
        <v>0</v>
      </c>
      <c r="Q153" s="73">
        <v>0</v>
      </c>
      <c r="R153" s="73">
        <v>0</v>
      </c>
      <c r="S153" s="73">
        <v>0</v>
      </c>
      <c r="T153" s="73">
        <v>0</v>
      </c>
      <c r="U153" s="73">
        <v>0</v>
      </c>
      <c r="V153" s="354">
        <f t="shared" si="34"/>
        <v>0</v>
      </c>
    </row>
    <row r="154" spans="1:22" s="83" customFormat="1" ht="115.5" hidden="1" customHeight="1">
      <c r="A154" s="70" t="s">
        <v>93</v>
      </c>
      <c r="B154" s="71" t="s">
        <v>594</v>
      </c>
      <c r="C154" s="72" t="s">
        <v>56</v>
      </c>
      <c r="D154" s="72" t="s">
        <v>156</v>
      </c>
      <c r="E154" s="72"/>
      <c r="F154" s="72"/>
      <c r="G154" s="72"/>
      <c r="H154" s="72"/>
      <c r="I154" s="72"/>
      <c r="J154" s="447"/>
      <c r="K154" s="73">
        <f>'pielikums Nr.1'!AQ171</f>
        <v>0</v>
      </c>
      <c r="L154" s="354"/>
      <c r="M154" s="354"/>
      <c r="N154" s="73">
        <v>0</v>
      </c>
      <c r="O154" s="73">
        <v>0</v>
      </c>
      <c r="P154" s="73">
        <v>0</v>
      </c>
      <c r="Q154" s="73">
        <v>0</v>
      </c>
      <c r="R154" s="73">
        <v>0</v>
      </c>
      <c r="S154" s="73">
        <v>0</v>
      </c>
      <c r="T154" s="73">
        <v>0</v>
      </c>
      <c r="U154" s="73">
        <v>0</v>
      </c>
      <c r="V154" s="354">
        <f t="shared" si="34"/>
        <v>0</v>
      </c>
    </row>
    <row r="155" spans="1:22" s="83" customFormat="1" ht="49.5" hidden="1" customHeight="1">
      <c r="A155" s="70" t="s">
        <v>94</v>
      </c>
      <c r="B155" s="71" t="s">
        <v>595</v>
      </c>
      <c r="C155" s="72" t="s">
        <v>56</v>
      </c>
      <c r="D155" s="72" t="s">
        <v>156</v>
      </c>
      <c r="E155" s="72"/>
      <c r="F155" s="72"/>
      <c r="G155" s="72"/>
      <c r="H155" s="72"/>
      <c r="I155" s="72"/>
      <c r="J155" s="447"/>
      <c r="K155" s="73">
        <f>'pielikums Nr.1'!AQ172</f>
        <v>0</v>
      </c>
      <c r="L155" s="354"/>
      <c r="M155" s="354"/>
      <c r="N155" s="73">
        <v>0</v>
      </c>
      <c r="O155" s="73">
        <v>0</v>
      </c>
      <c r="P155" s="73">
        <v>0</v>
      </c>
      <c r="Q155" s="73">
        <v>0</v>
      </c>
      <c r="R155" s="73">
        <v>0</v>
      </c>
      <c r="S155" s="73">
        <v>0</v>
      </c>
      <c r="T155" s="73">
        <v>0</v>
      </c>
      <c r="U155" s="73">
        <v>0</v>
      </c>
      <c r="V155" s="354">
        <f t="shared" si="34"/>
        <v>0</v>
      </c>
    </row>
    <row r="156" spans="1:22" s="83" customFormat="1" ht="115.5" hidden="1" customHeight="1">
      <c r="A156" s="70" t="s">
        <v>234</v>
      </c>
      <c r="B156" s="71" t="s">
        <v>596</v>
      </c>
      <c r="C156" s="72" t="s">
        <v>56</v>
      </c>
      <c r="D156" s="72" t="s">
        <v>156</v>
      </c>
      <c r="E156" s="72"/>
      <c r="F156" s="72"/>
      <c r="G156" s="72"/>
      <c r="H156" s="72"/>
      <c r="I156" s="72"/>
      <c r="J156" s="447"/>
      <c r="K156" s="73">
        <f>'pielikums Nr.1'!AQ173</f>
        <v>0</v>
      </c>
      <c r="L156" s="354"/>
      <c r="M156" s="354"/>
      <c r="N156" s="73">
        <v>0</v>
      </c>
      <c r="O156" s="73">
        <v>0</v>
      </c>
      <c r="P156" s="73">
        <v>0</v>
      </c>
      <c r="Q156" s="73">
        <v>0</v>
      </c>
      <c r="R156" s="73">
        <v>0</v>
      </c>
      <c r="S156" s="73">
        <v>0</v>
      </c>
      <c r="T156" s="73">
        <v>0</v>
      </c>
      <c r="U156" s="73">
        <v>0</v>
      </c>
      <c r="V156" s="354">
        <f t="shared" si="34"/>
        <v>0</v>
      </c>
    </row>
    <row r="157" spans="1:22" s="83" customFormat="1" ht="49.5" hidden="1" customHeight="1">
      <c r="A157" s="70" t="s">
        <v>249</v>
      </c>
      <c r="B157" s="71" t="s">
        <v>597</v>
      </c>
      <c r="C157" s="72" t="s">
        <v>56</v>
      </c>
      <c r="D157" s="72" t="s">
        <v>156</v>
      </c>
      <c r="E157" s="72"/>
      <c r="F157" s="72"/>
      <c r="G157" s="72"/>
      <c r="H157" s="72"/>
      <c r="I157" s="72"/>
      <c r="J157" s="447"/>
      <c r="K157" s="73">
        <f>'pielikums Nr.1'!AQ174</f>
        <v>0</v>
      </c>
      <c r="L157" s="354"/>
      <c r="M157" s="354"/>
      <c r="N157" s="73">
        <v>0</v>
      </c>
      <c r="O157" s="73">
        <v>0</v>
      </c>
      <c r="P157" s="73">
        <v>0</v>
      </c>
      <c r="Q157" s="73">
        <v>0</v>
      </c>
      <c r="R157" s="73">
        <v>0</v>
      </c>
      <c r="S157" s="73">
        <v>0</v>
      </c>
      <c r="T157" s="73">
        <v>0</v>
      </c>
      <c r="U157" s="73">
        <v>0</v>
      </c>
      <c r="V157" s="354">
        <f t="shared" si="34"/>
        <v>0</v>
      </c>
    </row>
    <row r="158" spans="1:22" s="440" customFormat="1" ht="22.9" customHeight="1">
      <c r="A158" s="464" t="s">
        <v>744</v>
      </c>
      <c r="B158" s="465"/>
      <c r="C158" s="465"/>
      <c r="D158" s="466"/>
      <c r="E158" s="443">
        <f t="shared" ref="E158:J158" si="35">SUM(E159:E166)</f>
        <v>12100000</v>
      </c>
      <c r="F158" s="443">
        <f t="shared" si="35"/>
        <v>0</v>
      </c>
      <c r="G158" s="443">
        <f t="shared" si="35"/>
        <v>0</v>
      </c>
      <c r="H158" s="443">
        <f t="shared" si="35"/>
        <v>0</v>
      </c>
      <c r="I158" s="443">
        <f t="shared" si="35"/>
        <v>0</v>
      </c>
      <c r="J158" s="443">
        <f t="shared" si="35"/>
        <v>-300000</v>
      </c>
      <c r="K158" s="439">
        <f>SUM(K159:K166)</f>
        <v>11800000</v>
      </c>
      <c r="L158" s="439">
        <f t="shared" ref="L158:M158" si="36">SUM(L159:L166)</f>
        <v>0</v>
      </c>
      <c r="M158" s="439">
        <f t="shared" si="36"/>
        <v>0</v>
      </c>
      <c r="N158" s="439">
        <f t="shared" ref="N158:U158" si="37">SUM(N159:N166)</f>
        <v>0</v>
      </c>
      <c r="O158" s="439">
        <f t="shared" si="37"/>
        <v>0</v>
      </c>
      <c r="P158" s="439">
        <f t="shared" si="37"/>
        <v>0</v>
      </c>
      <c r="Q158" s="439">
        <f t="shared" si="37"/>
        <v>10600000</v>
      </c>
      <c r="R158" s="439">
        <f t="shared" si="37"/>
        <v>11200000</v>
      </c>
      <c r="S158" s="439">
        <f t="shared" si="37"/>
        <v>11800000</v>
      </c>
      <c r="T158" s="439">
        <f t="shared" si="37"/>
        <v>0</v>
      </c>
      <c r="U158" s="439">
        <f t="shared" si="37"/>
        <v>0</v>
      </c>
      <c r="V158" s="439">
        <f t="shared" si="34"/>
        <v>11800000</v>
      </c>
    </row>
    <row r="159" spans="1:22" ht="66" hidden="1" customHeight="1">
      <c r="A159" s="70" t="s">
        <v>38</v>
      </c>
      <c r="B159" s="71" t="s">
        <v>499</v>
      </c>
      <c r="C159" s="72" t="s">
        <v>0</v>
      </c>
      <c r="D159" s="72" t="s">
        <v>685</v>
      </c>
      <c r="E159" s="72"/>
      <c r="F159" s="72"/>
      <c r="G159" s="72"/>
      <c r="H159" s="72"/>
      <c r="I159" s="72"/>
      <c r="J159" s="447"/>
      <c r="K159" s="73">
        <f>'pielikums Nr.1'!AQ74</f>
        <v>0</v>
      </c>
      <c r="L159" s="354"/>
      <c r="M159" s="354"/>
      <c r="N159" s="354">
        <v>0</v>
      </c>
      <c r="O159" s="354">
        <v>0</v>
      </c>
      <c r="P159" s="354">
        <v>0</v>
      </c>
      <c r="Q159" s="354">
        <v>0</v>
      </c>
      <c r="R159" s="354">
        <v>0</v>
      </c>
      <c r="S159" s="354">
        <v>0</v>
      </c>
      <c r="T159" s="354">
        <v>0</v>
      </c>
      <c r="U159" s="354">
        <v>0</v>
      </c>
      <c r="V159" s="354">
        <f t="shared" si="34"/>
        <v>0</v>
      </c>
    </row>
    <row r="160" spans="1:22" ht="33" hidden="1" customHeight="1">
      <c r="A160" s="70" t="s">
        <v>39</v>
      </c>
      <c r="B160" s="71" t="s">
        <v>500</v>
      </c>
      <c r="C160" s="72" t="s">
        <v>0</v>
      </c>
      <c r="D160" s="72" t="s">
        <v>685</v>
      </c>
      <c r="E160" s="72"/>
      <c r="F160" s="72"/>
      <c r="G160" s="72"/>
      <c r="H160" s="72"/>
      <c r="I160" s="72"/>
      <c r="J160" s="447"/>
      <c r="K160" s="73">
        <f>'pielikums Nr.1'!AQ75</f>
        <v>0</v>
      </c>
      <c r="L160" s="354"/>
      <c r="M160" s="354"/>
      <c r="N160" s="354">
        <v>0</v>
      </c>
      <c r="O160" s="354">
        <v>0</v>
      </c>
      <c r="P160" s="354">
        <v>0</v>
      </c>
      <c r="Q160" s="354">
        <v>0</v>
      </c>
      <c r="R160" s="354">
        <v>0</v>
      </c>
      <c r="S160" s="354">
        <v>0</v>
      </c>
      <c r="T160" s="354">
        <v>0</v>
      </c>
      <c r="U160" s="354">
        <v>0</v>
      </c>
      <c r="V160" s="354">
        <f t="shared" si="34"/>
        <v>0</v>
      </c>
    </row>
    <row r="161" spans="1:22" s="83" customFormat="1" ht="99">
      <c r="A161" s="70" t="s">
        <v>766</v>
      </c>
      <c r="B161" s="71" t="s">
        <v>501</v>
      </c>
      <c r="C161" s="72" t="s">
        <v>0</v>
      </c>
      <c r="D161" s="72" t="s">
        <v>685</v>
      </c>
      <c r="E161" s="79">
        <v>1500000</v>
      </c>
      <c r="F161" s="79"/>
      <c r="G161" s="79"/>
      <c r="H161" s="79"/>
      <c r="I161" s="79"/>
      <c r="J161" s="79">
        <v>-300000</v>
      </c>
      <c r="K161" s="354">
        <v>1200000</v>
      </c>
      <c r="L161" s="354"/>
      <c r="M161" s="354"/>
      <c r="N161" s="354">
        <v>0</v>
      </c>
      <c r="O161" s="354">
        <v>0</v>
      </c>
      <c r="P161" s="354">
        <v>0</v>
      </c>
      <c r="Q161" s="354">
        <v>0</v>
      </c>
      <c r="R161" s="448">
        <v>600000</v>
      </c>
      <c r="S161" s="448">
        <v>1200000</v>
      </c>
      <c r="T161" s="354">
        <v>0</v>
      </c>
      <c r="U161" s="354">
        <v>0</v>
      </c>
      <c r="V161" s="448">
        <v>1200000</v>
      </c>
    </row>
    <row r="162" spans="1:22" s="83" customFormat="1" ht="33" hidden="1" customHeight="1">
      <c r="A162" s="70" t="s">
        <v>303</v>
      </c>
      <c r="B162" s="71" t="s">
        <v>602</v>
      </c>
      <c r="C162" s="72" t="s">
        <v>56</v>
      </c>
      <c r="D162" s="72" t="s">
        <v>685</v>
      </c>
      <c r="E162" s="72"/>
      <c r="F162" s="72"/>
      <c r="G162" s="72"/>
      <c r="H162" s="72"/>
      <c r="I162" s="72"/>
      <c r="J162" s="447"/>
      <c r="K162" s="73">
        <f>'pielikums Nr.1'!AQ179</f>
        <v>0</v>
      </c>
      <c r="L162" s="354"/>
      <c r="M162" s="354"/>
      <c r="N162" s="73">
        <v>0</v>
      </c>
      <c r="O162" s="73">
        <v>0</v>
      </c>
      <c r="P162" s="73">
        <v>0</v>
      </c>
      <c r="Q162" s="73">
        <v>0</v>
      </c>
      <c r="R162" s="73">
        <v>0</v>
      </c>
      <c r="S162" s="73">
        <v>0</v>
      </c>
      <c r="T162" s="73">
        <v>0</v>
      </c>
      <c r="U162" s="73">
        <v>0</v>
      </c>
      <c r="V162" s="354">
        <f t="shared" si="34"/>
        <v>0</v>
      </c>
    </row>
    <row r="163" spans="1:22" s="83" customFormat="1" ht="33" hidden="1" customHeight="1">
      <c r="A163" s="70" t="s">
        <v>263</v>
      </c>
      <c r="B163" s="71" t="s">
        <v>603</v>
      </c>
      <c r="C163" s="72" t="s">
        <v>56</v>
      </c>
      <c r="D163" s="72" t="s">
        <v>685</v>
      </c>
      <c r="E163" s="72"/>
      <c r="F163" s="72"/>
      <c r="G163" s="72"/>
      <c r="H163" s="72"/>
      <c r="I163" s="72"/>
      <c r="J163" s="447"/>
      <c r="K163" s="73">
        <f>'pielikums Nr.1'!AQ180</f>
        <v>0</v>
      </c>
      <c r="L163" s="354"/>
      <c r="M163" s="354"/>
      <c r="N163" s="73">
        <v>0</v>
      </c>
      <c r="O163" s="73">
        <v>0</v>
      </c>
      <c r="P163" s="73">
        <v>0</v>
      </c>
      <c r="Q163" s="73">
        <v>0</v>
      </c>
      <c r="R163" s="73">
        <v>0</v>
      </c>
      <c r="S163" s="73">
        <v>0</v>
      </c>
      <c r="T163" s="448">
        <v>0</v>
      </c>
      <c r="U163" s="448">
        <v>0</v>
      </c>
      <c r="V163" s="448">
        <f t="shared" si="34"/>
        <v>0</v>
      </c>
    </row>
    <row r="164" spans="1:22" s="83" customFormat="1" ht="49.5">
      <c r="A164" s="70" t="s">
        <v>209</v>
      </c>
      <c r="B164" s="71" t="s">
        <v>604</v>
      </c>
      <c r="C164" s="72" t="s">
        <v>56</v>
      </c>
      <c r="D164" s="72" t="s">
        <v>685</v>
      </c>
      <c r="E164" s="79">
        <v>10600000</v>
      </c>
      <c r="F164" s="79"/>
      <c r="G164" s="79"/>
      <c r="H164" s="79"/>
      <c r="I164" s="79"/>
      <c r="J164" s="79"/>
      <c r="K164" s="73">
        <v>10600000</v>
      </c>
      <c r="L164" s="354"/>
      <c r="M164" s="354"/>
      <c r="N164" s="354">
        <v>0</v>
      </c>
      <c r="O164" s="354">
        <v>0</v>
      </c>
      <c r="P164" s="354">
        <v>0</v>
      </c>
      <c r="Q164" s="354">
        <v>10600000</v>
      </c>
      <c r="R164" s="354">
        <v>10600000</v>
      </c>
      <c r="S164" s="354">
        <v>10600000</v>
      </c>
      <c r="T164" s="448">
        <v>0</v>
      </c>
      <c r="U164" s="448">
        <v>0</v>
      </c>
      <c r="V164" s="448">
        <f t="shared" si="34"/>
        <v>10600000</v>
      </c>
    </row>
    <row r="165" spans="1:22" s="83" customFormat="1" ht="33" hidden="1" customHeight="1">
      <c r="A165" s="70" t="s">
        <v>211</v>
      </c>
      <c r="B165" s="71" t="s">
        <v>606</v>
      </c>
      <c r="C165" s="72" t="s">
        <v>56</v>
      </c>
      <c r="D165" s="72" t="s">
        <v>685</v>
      </c>
      <c r="E165" s="72"/>
      <c r="F165" s="72"/>
      <c r="G165" s="72"/>
      <c r="H165" s="72"/>
      <c r="I165" s="72"/>
      <c r="J165" s="447"/>
      <c r="K165" s="73">
        <f>'pielikums Nr.1'!AQ183</f>
        <v>0</v>
      </c>
      <c r="L165" s="354"/>
      <c r="M165" s="354"/>
      <c r="N165" s="73">
        <v>0</v>
      </c>
      <c r="O165" s="73">
        <v>0</v>
      </c>
      <c r="P165" s="73">
        <v>0</v>
      </c>
      <c r="Q165" s="73">
        <v>0</v>
      </c>
      <c r="R165" s="73">
        <v>0</v>
      </c>
      <c r="S165" s="73">
        <v>0</v>
      </c>
      <c r="T165" s="448">
        <v>0</v>
      </c>
      <c r="U165" s="448">
        <v>0</v>
      </c>
      <c r="V165" s="448">
        <f t="shared" si="34"/>
        <v>0</v>
      </c>
    </row>
    <row r="166" spans="1:22" s="83" customFormat="1" ht="49.5" hidden="1" customHeight="1">
      <c r="A166" s="70" t="s">
        <v>212</v>
      </c>
      <c r="B166" s="71" t="s">
        <v>607</v>
      </c>
      <c r="C166" s="72" t="s">
        <v>56</v>
      </c>
      <c r="D166" s="72" t="s">
        <v>685</v>
      </c>
      <c r="E166" s="72"/>
      <c r="F166" s="72"/>
      <c r="G166" s="72"/>
      <c r="H166" s="72"/>
      <c r="I166" s="72"/>
      <c r="J166" s="447"/>
      <c r="K166" s="73">
        <f>'pielikums Nr.1'!AQ184</f>
        <v>0</v>
      </c>
      <c r="L166" s="354"/>
      <c r="M166" s="354"/>
      <c r="N166" s="73">
        <v>0</v>
      </c>
      <c r="O166" s="73">
        <v>0</v>
      </c>
      <c r="P166" s="73">
        <v>0</v>
      </c>
      <c r="Q166" s="73">
        <v>0</v>
      </c>
      <c r="R166" s="73">
        <v>0</v>
      </c>
      <c r="S166" s="73">
        <v>0</v>
      </c>
      <c r="T166" s="73">
        <v>0</v>
      </c>
      <c r="U166" s="73">
        <v>0</v>
      </c>
      <c r="V166" s="354">
        <f t="shared" si="34"/>
        <v>0</v>
      </c>
    </row>
    <row r="167" spans="1:22" s="440" customFormat="1" ht="22.9" hidden="1" customHeight="1">
      <c r="A167" s="464" t="s">
        <v>745</v>
      </c>
      <c r="B167" s="465"/>
      <c r="C167" s="465"/>
      <c r="D167" s="466"/>
      <c r="E167" s="441"/>
      <c r="F167" s="441"/>
      <c r="G167" s="441"/>
      <c r="H167" s="441"/>
      <c r="I167" s="441"/>
      <c r="J167" s="449"/>
      <c r="K167" s="439">
        <f>SUM(K168:K172)</f>
        <v>0</v>
      </c>
      <c r="L167" s="439"/>
      <c r="M167" s="439"/>
      <c r="N167" s="439">
        <f t="shared" ref="N167:U167" si="38">SUM(N168:N172)</f>
        <v>0</v>
      </c>
      <c r="O167" s="439">
        <f t="shared" si="38"/>
        <v>0</v>
      </c>
      <c r="P167" s="439">
        <f t="shared" si="38"/>
        <v>0</v>
      </c>
      <c r="Q167" s="439">
        <f t="shared" si="38"/>
        <v>0</v>
      </c>
      <c r="R167" s="439">
        <f t="shared" si="38"/>
        <v>0</v>
      </c>
      <c r="S167" s="439">
        <f t="shared" si="38"/>
        <v>0</v>
      </c>
      <c r="T167" s="439">
        <f t="shared" si="38"/>
        <v>0</v>
      </c>
      <c r="U167" s="439">
        <f t="shared" si="38"/>
        <v>0</v>
      </c>
      <c r="V167" s="439">
        <f t="shared" si="34"/>
        <v>0</v>
      </c>
    </row>
    <row r="168" spans="1:22" ht="82.5" hidden="1" customHeight="1">
      <c r="A168" s="70" t="s">
        <v>49</v>
      </c>
      <c r="B168" s="71" t="s">
        <v>514</v>
      </c>
      <c r="C168" s="72" t="s">
        <v>0</v>
      </c>
      <c r="D168" s="72" t="s">
        <v>157</v>
      </c>
      <c r="E168" s="72"/>
      <c r="F168" s="72"/>
      <c r="G168" s="72"/>
      <c r="H168" s="72"/>
      <c r="I168" s="72"/>
      <c r="J168" s="447"/>
      <c r="K168" s="73">
        <f>'pielikums Nr.1'!AQ89</f>
        <v>0</v>
      </c>
      <c r="L168" s="354"/>
      <c r="M168" s="354"/>
      <c r="N168" s="354">
        <v>0</v>
      </c>
      <c r="O168" s="354">
        <v>0</v>
      </c>
      <c r="P168" s="354">
        <v>0</v>
      </c>
      <c r="Q168" s="354">
        <v>0</v>
      </c>
      <c r="R168" s="354">
        <v>0</v>
      </c>
      <c r="S168" s="354">
        <v>0</v>
      </c>
      <c r="T168" s="354">
        <v>0</v>
      </c>
      <c r="U168" s="354">
        <v>0</v>
      </c>
      <c r="V168" s="354">
        <f t="shared" si="34"/>
        <v>0</v>
      </c>
    </row>
    <row r="169" spans="1:22" ht="49.5" hidden="1" customHeight="1">
      <c r="A169" s="70" t="s">
        <v>296</v>
      </c>
      <c r="B169" s="71" t="s">
        <v>531</v>
      </c>
      <c r="C169" s="72" t="s">
        <v>0</v>
      </c>
      <c r="D169" s="72" t="s">
        <v>157</v>
      </c>
      <c r="E169" s="72"/>
      <c r="F169" s="72"/>
      <c r="G169" s="72"/>
      <c r="H169" s="72"/>
      <c r="I169" s="72"/>
      <c r="J169" s="447"/>
      <c r="K169" s="73">
        <f>'pielikums Nr.1'!AQ106</f>
        <v>0</v>
      </c>
      <c r="L169" s="354"/>
      <c r="M169" s="354"/>
      <c r="N169" s="354">
        <v>0</v>
      </c>
      <c r="O169" s="354">
        <v>0</v>
      </c>
      <c r="P169" s="354">
        <v>0</v>
      </c>
      <c r="Q169" s="354">
        <v>0</v>
      </c>
      <c r="R169" s="354">
        <v>0</v>
      </c>
      <c r="S169" s="354">
        <v>0</v>
      </c>
      <c r="T169" s="354">
        <v>0</v>
      </c>
      <c r="U169" s="354">
        <v>0</v>
      </c>
      <c r="V169" s="354">
        <f t="shared" si="34"/>
        <v>0</v>
      </c>
    </row>
    <row r="170" spans="1:22" ht="49.5" hidden="1" customHeight="1">
      <c r="A170" s="70" t="s">
        <v>302</v>
      </c>
      <c r="B170" s="71" t="s">
        <v>531</v>
      </c>
      <c r="C170" s="72" t="s">
        <v>56</v>
      </c>
      <c r="D170" s="72" t="s">
        <v>157</v>
      </c>
      <c r="E170" s="72"/>
      <c r="F170" s="72"/>
      <c r="G170" s="72"/>
      <c r="H170" s="72"/>
      <c r="I170" s="72"/>
      <c r="J170" s="447"/>
      <c r="K170" s="73">
        <f>'pielikums Nr.1'!AQ150</f>
        <v>0</v>
      </c>
      <c r="L170" s="354"/>
      <c r="M170" s="354"/>
      <c r="N170" s="73">
        <v>0</v>
      </c>
      <c r="O170" s="73">
        <v>0</v>
      </c>
      <c r="P170" s="73">
        <v>0</v>
      </c>
      <c r="Q170" s="73">
        <v>0</v>
      </c>
      <c r="R170" s="73">
        <v>0</v>
      </c>
      <c r="S170" s="73">
        <v>0</v>
      </c>
      <c r="T170" s="73">
        <v>0</v>
      </c>
      <c r="U170" s="73">
        <v>0</v>
      </c>
      <c r="V170" s="354">
        <f t="shared" si="34"/>
        <v>0</v>
      </c>
    </row>
    <row r="171" spans="1:22" s="83" customFormat="1" ht="49.5" hidden="1" customHeight="1">
      <c r="A171" s="70" t="s">
        <v>313</v>
      </c>
      <c r="B171" s="71" t="s">
        <v>531</v>
      </c>
      <c r="C171" s="72" t="s">
        <v>56</v>
      </c>
      <c r="D171" s="72" t="s">
        <v>157</v>
      </c>
      <c r="E171" s="72"/>
      <c r="F171" s="72"/>
      <c r="G171" s="72"/>
      <c r="H171" s="72"/>
      <c r="I171" s="72"/>
      <c r="J171" s="447"/>
      <c r="K171" s="73">
        <f>'pielikums Nr.1'!AQ258</f>
        <v>0</v>
      </c>
      <c r="L171" s="354"/>
      <c r="M171" s="354"/>
      <c r="N171" s="73">
        <v>0</v>
      </c>
      <c r="O171" s="73">
        <v>0</v>
      </c>
      <c r="P171" s="73">
        <v>0</v>
      </c>
      <c r="Q171" s="73">
        <v>0</v>
      </c>
      <c r="R171" s="73">
        <v>0</v>
      </c>
      <c r="S171" s="73">
        <v>0</v>
      </c>
      <c r="T171" s="73">
        <v>0</v>
      </c>
      <c r="U171" s="73">
        <v>0</v>
      </c>
      <c r="V171" s="354">
        <f t="shared" si="34"/>
        <v>0</v>
      </c>
    </row>
    <row r="172" spans="1:22" s="83" customFormat="1" ht="49.5" hidden="1" customHeight="1">
      <c r="A172" s="70" t="s">
        <v>315</v>
      </c>
      <c r="B172" s="71" t="s">
        <v>531</v>
      </c>
      <c r="C172" s="72" t="s">
        <v>171</v>
      </c>
      <c r="D172" s="72" t="s">
        <v>157</v>
      </c>
      <c r="E172" s="72"/>
      <c r="F172" s="72"/>
      <c r="G172" s="72"/>
      <c r="H172" s="72"/>
      <c r="I172" s="72"/>
      <c r="J172" s="447"/>
      <c r="K172" s="73">
        <f>'pielikums Nr.1'!AQ261</f>
        <v>0</v>
      </c>
      <c r="L172" s="354"/>
      <c r="M172" s="354"/>
      <c r="N172" s="73">
        <v>0</v>
      </c>
      <c r="O172" s="73">
        <v>0</v>
      </c>
      <c r="P172" s="73">
        <v>0</v>
      </c>
      <c r="Q172" s="73">
        <v>0</v>
      </c>
      <c r="R172" s="73">
        <v>0</v>
      </c>
      <c r="S172" s="73">
        <v>0</v>
      </c>
      <c r="T172" s="73">
        <v>0</v>
      </c>
      <c r="U172" s="73">
        <v>0</v>
      </c>
      <c r="V172" s="354">
        <f t="shared" si="34"/>
        <v>0</v>
      </c>
    </row>
    <row r="173" spans="1:22" s="440" customFormat="1" ht="22.9" hidden="1" customHeight="1">
      <c r="A173" s="464" t="s">
        <v>746</v>
      </c>
      <c r="B173" s="465"/>
      <c r="C173" s="465"/>
      <c r="D173" s="466"/>
      <c r="E173" s="441"/>
      <c r="F173" s="441"/>
      <c r="G173" s="441"/>
      <c r="H173" s="441"/>
      <c r="I173" s="441"/>
      <c r="J173" s="449"/>
      <c r="K173" s="439">
        <f>SUM(K174:K181)</f>
        <v>0</v>
      </c>
      <c r="L173" s="439"/>
      <c r="M173" s="439"/>
      <c r="N173" s="439">
        <f t="shared" ref="N173:U173" si="39">SUM(N174:N181)</f>
        <v>0</v>
      </c>
      <c r="O173" s="439">
        <f t="shared" si="39"/>
        <v>0</v>
      </c>
      <c r="P173" s="439">
        <f t="shared" si="39"/>
        <v>0</v>
      </c>
      <c r="Q173" s="439">
        <f t="shared" si="39"/>
        <v>0</v>
      </c>
      <c r="R173" s="439">
        <f t="shared" si="39"/>
        <v>0</v>
      </c>
      <c r="S173" s="439">
        <f t="shared" si="39"/>
        <v>0</v>
      </c>
      <c r="T173" s="439">
        <f t="shared" si="39"/>
        <v>0</v>
      </c>
      <c r="U173" s="439">
        <f t="shared" si="39"/>
        <v>0</v>
      </c>
      <c r="V173" s="439">
        <f t="shared" si="34"/>
        <v>0</v>
      </c>
    </row>
    <row r="174" spans="1:22" ht="33" hidden="1" customHeight="1">
      <c r="A174" s="70" t="s">
        <v>50</v>
      </c>
      <c r="B174" s="71" t="s">
        <v>515</v>
      </c>
      <c r="C174" s="72" t="s">
        <v>0</v>
      </c>
      <c r="D174" s="72" t="s">
        <v>686</v>
      </c>
      <c r="E174" s="72"/>
      <c r="F174" s="72"/>
      <c r="G174" s="72"/>
      <c r="H174" s="72"/>
      <c r="I174" s="72"/>
      <c r="J174" s="447"/>
      <c r="K174" s="73">
        <f>'pielikums Nr.1'!AQ90</f>
        <v>0</v>
      </c>
      <c r="L174" s="354"/>
      <c r="M174" s="354"/>
      <c r="N174" s="354">
        <v>0</v>
      </c>
      <c r="O174" s="354">
        <v>0</v>
      </c>
      <c r="P174" s="354">
        <v>0</v>
      </c>
      <c r="Q174" s="354">
        <v>0</v>
      </c>
      <c r="R174" s="354">
        <v>0</v>
      </c>
      <c r="S174" s="354">
        <v>0</v>
      </c>
      <c r="T174" s="354">
        <v>0</v>
      </c>
      <c r="U174" s="354">
        <v>0</v>
      </c>
      <c r="V174" s="354">
        <f t="shared" si="34"/>
        <v>0</v>
      </c>
    </row>
    <row r="175" spans="1:22" ht="66" hidden="1" customHeight="1">
      <c r="A175" s="70" t="s">
        <v>51</v>
      </c>
      <c r="B175" s="71" t="s">
        <v>516</v>
      </c>
      <c r="C175" s="72" t="s">
        <v>0</v>
      </c>
      <c r="D175" s="72" t="s">
        <v>686</v>
      </c>
      <c r="E175" s="72"/>
      <c r="F175" s="72"/>
      <c r="G175" s="72"/>
      <c r="H175" s="72"/>
      <c r="I175" s="72"/>
      <c r="J175" s="447"/>
      <c r="K175" s="73">
        <f>'pielikums Nr.1'!AQ91</f>
        <v>0</v>
      </c>
      <c r="L175" s="354"/>
      <c r="M175" s="354"/>
      <c r="N175" s="354">
        <v>0</v>
      </c>
      <c r="O175" s="354">
        <v>0</v>
      </c>
      <c r="P175" s="354">
        <v>0</v>
      </c>
      <c r="Q175" s="354">
        <v>0</v>
      </c>
      <c r="R175" s="354">
        <v>0</v>
      </c>
      <c r="S175" s="354">
        <v>0</v>
      </c>
      <c r="T175" s="354">
        <v>0</v>
      </c>
      <c r="U175" s="354">
        <v>0</v>
      </c>
      <c r="V175" s="354">
        <f t="shared" si="34"/>
        <v>0</v>
      </c>
    </row>
    <row r="176" spans="1:22" ht="49.5" hidden="1" customHeight="1">
      <c r="A176" s="70" t="s">
        <v>257</v>
      </c>
      <c r="B176" s="71" t="s">
        <v>518</v>
      </c>
      <c r="C176" s="72" t="s">
        <v>0</v>
      </c>
      <c r="D176" s="72" t="s">
        <v>686</v>
      </c>
      <c r="E176" s="72"/>
      <c r="F176" s="72"/>
      <c r="G176" s="72"/>
      <c r="H176" s="72"/>
      <c r="I176" s="72"/>
      <c r="J176" s="447"/>
      <c r="K176" s="73">
        <f>'pielikums Nr.1'!AQ93</f>
        <v>0</v>
      </c>
      <c r="L176" s="354"/>
      <c r="M176" s="354"/>
      <c r="N176" s="354">
        <v>0</v>
      </c>
      <c r="O176" s="354">
        <v>0</v>
      </c>
      <c r="P176" s="354">
        <v>0</v>
      </c>
      <c r="Q176" s="354">
        <v>0</v>
      </c>
      <c r="R176" s="354">
        <v>0</v>
      </c>
      <c r="S176" s="354">
        <v>0</v>
      </c>
      <c r="T176" s="354">
        <v>0</v>
      </c>
      <c r="U176" s="354">
        <v>0</v>
      </c>
      <c r="V176" s="354">
        <f t="shared" si="34"/>
        <v>0</v>
      </c>
    </row>
    <row r="177" spans="1:22" ht="66" hidden="1" customHeight="1">
      <c r="A177" s="70" t="s">
        <v>256</v>
      </c>
      <c r="B177" s="71" t="s">
        <v>519</v>
      </c>
      <c r="C177" s="72" t="s">
        <v>0</v>
      </c>
      <c r="D177" s="72" t="s">
        <v>686</v>
      </c>
      <c r="E177" s="72"/>
      <c r="F177" s="72"/>
      <c r="G177" s="72"/>
      <c r="H177" s="72"/>
      <c r="I177" s="72"/>
      <c r="J177" s="447"/>
      <c r="K177" s="73">
        <f>'pielikums Nr.1'!AQ94</f>
        <v>0</v>
      </c>
      <c r="L177" s="354"/>
      <c r="M177" s="354"/>
      <c r="N177" s="354">
        <v>0</v>
      </c>
      <c r="O177" s="354">
        <v>0</v>
      </c>
      <c r="P177" s="354">
        <v>0</v>
      </c>
      <c r="Q177" s="354">
        <v>0</v>
      </c>
      <c r="R177" s="354">
        <v>0</v>
      </c>
      <c r="S177" s="354">
        <v>0</v>
      </c>
      <c r="T177" s="354">
        <v>0</v>
      </c>
      <c r="U177" s="354">
        <v>0</v>
      </c>
      <c r="V177" s="354">
        <f t="shared" si="34"/>
        <v>0</v>
      </c>
    </row>
    <row r="178" spans="1:22" ht="82.5" hidden="1" customHeight="1">
      <c r="A178" s="70" t="s">
        <v>762</v>
      </c>
      <c r="B178" s="71" t="s">
        <v>521</v>
      </c>
      <c r="C178" s="72" t="s">
        <v>0</v>
      </c>
      <c r="D178" s="72" t="s">
        <v>686</v>
      </c>
      <c r="E178" s="72"/>
      <c r="F178" s="72"/>
      <c r="G178" s="72"/>
      <c r="H178" s="72"/>
      <c r="I178" s="72"/>
      <c r="J178" s="447"/>
      <c r="K178" s="73">
        <f>'pielikums Nr.1'!AQ96</f>
        <v>0</v>
      </c>
      <c r="L178" s="354"/>
      <c r="M178" s="354"/>
      <c r="N178" s="354">
        <v>0</v>
      </c>
      <c r="O178" s="354">
        <v>0</v>
      </c>
      <c r="P178" s="354">
        <v>0</v>
      </c>
      <c r="Q178" s="354">
        <v>0</v>
      </c>
      <c r="R178" s="354">
        <v>0</v>
      </c>
      <c r="S178" s="354">
        <v>0</v>
      </c>
      <c r="T178" s="354">
        <v>0</v>
      </c>
      <c r="U178" s="354">
        <v>0</v>
      </c>
      <c r="V178" s="354">
        <f t="shared" si="34"/>
        <v>0</v>
      </c>
    </row>
    <row r="179" spans="1:22" ht="49.5" hidden="1" customHeight="1">
      <c r="A179" s="70" t="s">
        <v>180</v>
      </c>
      <c r="B179" s="71" t="s">
        <v>523</v>
      </c>
      <c r="C179" s="72" t="s">
        <v>0</v>
      </c>
      <c r="D179" s="72" t="s">
        <v>686</v>
      </c>
      <c r="E179" s="72"/>
      <c r="F179" s="72"/>
      <c r="G179" s="72"/>
      <c r="H179" s="72"/>
      <c r="I179" s="72"/>
      <c r="J179" s="447"/>
      <c r="K179" s="73">
        <f>'pielikums Nr.1'!AQ98</f>
        <v>0</v>
      </c>
      <c r="L179" s="354"/>
      <c r="M179" s="354"/>
      <c r="N179" s="354">
        <v>0</v>
      </c>
      <c r="O179" s="354">
        <v>0</v>
      </c>
      <c r="P179" s="354">
        <v>0</v>
      </c>
      <c r="Q179" s="354">
        <v>0</v>
      </c>
      <c r="R179" s="354">
        <v>0</v>
      </c>
      <c r="S179" s="354">
        <v>0</v>
      </c>
      <c r="T179" s="354">
        <v>0</v>
      </c>
      <c r="U179" s="354">
        <v>0</v>
      </c>
      <c r="V179" s="354">
        <f t="shared" si="34"/>
        <v>0</v>
      </c>
    </row>
    <row r="180" spans="1:22" ht="49.5" hidden="1" customHeight="1">
      <c r="A180" s="70" t="s">
        <v>293</v>
      </c>
      <c r="B180" s="71" t="s">
        <v>524</v>
      </c>
      <c r="C180" s="72" t="s">
        <v>0</v>
      </c>
      <c r="D180" s="72" t="s">
        <v>686</v>
      </c>
      <c r="E180" s="72"/>
      <c r="F180" s="72"/>
      <c r="G180" s="72"/>
      <c r="H180" s="72"/>
      <c r="I180" s="72"/>
      <c r="J180" s="447"/>
      <c r="K180" s="73">
        <f>'pielikums Nr.1'!AQ99</f>
        <v>0</v>
      </c>
      <c r="L180" s="354"/>
      <c r="M180" s="354"/>
      <c r="N180" s="354">
        <v>0</v>
      </c>
      <c r="O180" s="354">
        <v>0</v>
      </c>
      <c r="P180" s="354">
        <v>0</v>
      </c>
      <c r="Q180" s="354">
        <v>0</v>
      </c>
      <c r="R180" s="354">
        <v>0</v>
      </c>
      <c r="S180" s="354">
        <v>0</v>
      </c>
      <c r="T180" s="354">
        <v>0</v>
      </c>
      <c r="U180" s="354">
        <v>0</v>
      </c>
      <c r="V180" s="354">
        <f t="shared" si="34"/>
        <v>0</v>
      </c>
    </row>
    <row r="181" spans="1:22" ht="99" hidden="1" customHeight="1">
      <c r="A181" s="70" t="s">
        <v>294</v>
      </c>
      <c r="B181" s="71" t="s">
        <v>525</v>
      </c>
      <c r="C181" s="72" t="s">
        <v>0</v>
      </c>
      <c r="D181" s="72" t="s">
        <v>686</v>
      </c>
      <c r="E181" s="72"/>
      <c r="F181" s="72"/>
      <c r="G181" s="72"/>
      <c r="H181" s="72"/>
      <c r="I181" s="72"/>
      <c r="J181" s="447"/>
      <c r="K181" s="73">
        <f>'pielikums Nr.1'!AQ100</f>
        <v>0</v>
      </c>
      <c r="L181" s="354"/>
      <c r="M181" s="354"/>
      <c r="N181" s="354">
        <v>0</v>
      </c>
      <c r="O181" s="354">
        <v>0</v>
      </c>
      <c r="P181" s="354">
        <v>0</v>
      </c>
      <c r="Q181" s="354">
        <v>0</v>
      </c>
      <c r="R181" s="354">
        <v>0</v>
      </c>
      <c r="S181" s="354">
        <v>0</v>
      </c>
      <c r="T181" s="354">
        <v>0</v>
      </c>
      <c r="U181" s="354">
        <v>0</v>
      </c>
      <c r="V181" s="354">
        <f t="shared" si="34"/>
        <v>0</v>
      </c>
    </row>
    <row r="182" spans="1:22" s="440" customFormat="1" ht="22.9" customHeight="1">
      <c r="A182" s="464" t="s">
        <v>759</v>
      </c>
      <c r="B182" s="465"/>
      <c r="C182" s="465"/>
      <c r="D182" s="466"/>
      <c r="E182" s="443">
        <f>E184</f>
        <v>0</v>
      </c>
      <c r="F182" s="443">
        <f t="shared" ref="F182:J182" si="40">F184</f>
        <v>0</v>
      </c>
      <c r="G182" s="443">
        <f t="shared" si="40"/>
        <v>0</v>
      </c>
      <c r="H182" s="443">
        <f t="shared" si="40"/>
        <v>0</v>
      </c>
      <c r="I182" s="443">
        <f t="shared" si="40"/>
        <v>0</v>
      </c>
      <c r="J182" s="443">
        <f t="shared" si="40"/>
        <v>0</v>
      </c>
      <c r="K182" s="443">
        <f>SUM(K183:K185)</f>
        <v>12000000</v>
      </c>
      <c r="L182" s="443">
        <f t="shared" ref="L182:V182" si="41">SUM(L183:L185)</f>
        <v>0</v>
      </c>
      <c r="M182" s="443">
        <f t="shared" si="41"/>
        <v>0</v>
      </c>
      <c r="N182" s="443">
        <f t="shared" si="41"/>
        <v>0</v>
      </c>
      <c r="O182" s="443">
        <f t="shared" si="41"/>
        <v>0</v>
      </c>
      <c r="P182" s="443">
        <f t="shared" si="41"/>
        <v>12000000</v>
      </c>
      <c r="Q182" s="443">
        <f t="shared" si="41"/>
        <v>12000000</v>
      </c>
      <c r="R182" s="443">
        <f t="shared" si="41"/>
        <v>12000000</v>
      </c>
      <c r="S182" s="443">
        <f t="shared" si="41"/>
        <v>12000000</v>
      </c>
      <c r="T182" s="443">
        <f t="shared" si="41"/>
        <v>0</v>
      </c>
      <c r="U182" s="443">
        <f t="shared" si="41"/>
        <v>0</v>
      </c>
      <c r="V182" s="443">
        <f t="shared" si="41"/>
        <v>12000000</v>
      </c>
    </row>
    <row r="183" spans="1:22" s="83" customFormat="1" ht="66" hidden="1" customHeight="1">
      <c r="A183" s="70" t="s">
        <v>127</v>
      </c>
      <c r="B183" s="71" t="s">
        <v>651</v>
      </c>
      <c r="C183" s="72" t="s">
        <v>56</v>
      </c>
      <c r="D183" s="72" t="s">
        <v>170</v>
      </c>
      <c r="E183" s="72"/>
      <c r="F183" s="72"/>
      <c r="G183" s="72"/>
      <c r="H183" s="72"/>
      <c r="I183" s="72"/>
      <c r="J183" s="447"/>
      <c r="K183" s="73">
        <f>'pielikums Nr.1'!AQ228</f>
        <v>0</v>
      </c>
      <c r="L183" s="354"/>
      <c r="M183" s="354"/>
      <c r="N183" s="73">
        <v>0</v>
      </c>
      <c r="O183" s="73">
        <v>0</v>
      </c>
      <c r="P183" s="73">
        <v>0</v>
      </c>
      <c r="Q183" s="73">
        <v>0</v>
      </c>
      <c r="R183" s="73">
        <v>0</v>
      </c>
      <c r="S183" s="73">
        <v>0</v>
      </c>
      <c r="T183" s="73">
        <v>0</v>
      </c>
      <c r="U183" s="73">
        <v>0</v>
      </c>
      <c r="V183" s="354">
        <f>O183+S183+T183+U183</f>
        <v>0</v>
      </c>
    </row>
    <row r="184" spans="1:22" s="83" customFormat="1" ht="49.5">
      <c r="A184" s="70" t="s">
        <v>240</v>
      </c>
      <c r="B184" s="71" t="s">
        <v>755</v>
      </c>
      <c r="C184" s="72" t="s">
        <v>56</v>
      </c>
      <c r="D184" s="72" t="s">
        <v>170</v>
      </c>
      <c r="E184" s="79">
        <v>0</v>
      </c>
      <c r="F184" s="79"/>
      <c r="G184" s="79"/>
      <c r="H184" s="79"/>
      <c r="I184" s="79"/>
      <c r="J184" s="79"/>
      <c r="K184" s="448">
        <v>8000000</v>
      </c>
      <c r="L184" s="354"/>
      <c r="M184" s="354"/>
      <c r="N184" s="448">
        <v>0</v>
      </c>
      <c r="O184" s="448">
        <v>0</v>
      </c>
      <c r="P184" s="354">
        <v>8000000</v>
      </c>
      <c r="Q184" s="354">
        <v>8000000</v>
      </c>
      <c r="R184" s="354">
        <v>8000000</v>
      </c>
      <c r="S184" s="354">
        <v>8000000</v>
      </c>
      <c r="T184" s="354">
        <v>0</v>
      </c>
      <c r="U184" s="354">
        <v>0</v>
      </c>
      <c r="V184" s="354">
        <f>O184+S184+T184+U184</f>
        <v>8000000</v>
      </c>
    </row>
    <row r="185" spans="1:22" s="83" customFormat="1" ht="82.5">
      <c r="A185" s="446" t="s">
        <v>213</v>
      </c>
      <c r="B185" s="446" t="s">
        <v>757</v>
      </c>
      <c r="C185" s="447" t="s">
        <v>56</v>
      </c>
      <c r="D185" s="447" t="s">
        <v>170</v>
      </c>
      <c r="E185" s="79"/>
      <c r="F185" s="79"/>
      <c r="G185" s="79"/>
      <c r="H185" s="79"/>
      <c r="I185" s="79"/>
      <c r="J185" s="79"/>
      <c r="K185" s="448">
        <v>4000000</v>
      </c>
      <c r="L185" s="448"/>
      <c r="M185" s="448"/>
      <c r="N185" s="448">
        <v>0</v>
      </c>
      <c r="O185" s="448">
        <v>0</v>
      </c>
      <c r="P185" s="445">
        <v>4000000</v>
      </c>
      <c r="Q185" s="445">
        <v>4000000</v>
      </c>
      <c r="R185" s="445">
        <v>4000000</v>
      </c>
      <c r="S185" s="445">
        <v>4000000</v>
      </c>
      <c r="T185" s="448">
        <v>0</v>
      </c>
      <c r="U185" s="448">
        <v>0</v>
      </c>
      <c r="V185" s="448">
        <f>O185+S185+T185+U185</f>
        <v>4000000</v>
      </c>
    </row>
    <row r="186" spans="1:22" s="83" customFormat="1" ht="18.75">
      <c r="A186" s="450"/>
      <c r="P186" s="435"/>
      <c r="Q186" s="432"/>
      <c r="R186" s="433"/>
      <c r="S186" s="433"/>
    </row>
    <row r="187" spans="1:22" s="83" customFormat="1" ht="18.75">
      <c r="A187" s="450" t="s">
        <v>767</v>
      </c>
      <c r="P187" s="435"/>
      <c r="Q187" s="432"/>
      <c r="R187" s="433"/>
      <c r="S187" s="433"/>
    </row>
    <row r="188" spans="1:22" s="83" customFormat="1" ht="18.75">
      <c r="A188" s="450" t="s">
        <v>760</v>
      </c>
      <c r="P188" s="435"/>
      <c r="Q188" s="432"/>
      <c r="R188" s="433"/>
      <c r="S188" s="433"/>
    </row>
    <row r="189" spans="1:22" s="83" customFormat="1" ht="18.75">
      <c r="A189" s="458" t="s">
        <v>771</v>
      </c>
      <c r="P189" s="435"/>
      <c r="Q189" s="432"/>
      <c r="R189" s="433"/>
      <c r="S189" s="433"/>
    </row>
    <row r="190" spans="1:22" s="459" customFormat="1" ht="83.25" customHeight="1">
      <c r="E190" s="83"/>
      <c r="F190" s="83"/>
      <c r="G190" s="83"/>
      <c r="H190" s="83"/>
      <c r="I190" s="83"/>
      <c r="J190" s="83"/>
      <c r="L190" s="83"/>
      <c r="M190" s="83"/>
      <c r="P190" s="460"/>
      <c r="Q190" s="461" t="s">
        <v>736</v>
      </c>
      <c r="R190" s="460"/>
      <c r="S190" s="460"/>
      <c r="T190" s="460"/>
      <c r="U190" s="462"/>
      <c r="V190" s="461" t="s">
        <v>737</v>
      </c>
    </row>
    <row r="191" spans="1:22" s="83" customFormat="1" ht="18.75">
      <c r="P191" s="435"/>
      <c r="Q191" s="432"/>
      <c r="R191" s="433"/>
      <c r="S191" s="433"/>
    </row>
    <row r="192" spans="1:22" s="83" customFormat="1" ht="19.5">
      <c r="A192" s="454" t="s">
        <v>770</v>
      </c>
      <c r="C192" s="434"/>
      <c r="D192" s="435"/>
      <c r="E192" s="435"/>
      <c r="F192" s="435"/>
      <c r="G192" s="435"/>
      <c r="H192" s="435"/>
      <c r="I192" s="435"/>
      <c r="J192" s="435"/>
      <c r="K192" s="435"/>
      <c r="L192" s="435"/>
      <c r="M192" s="435"/>
      <c r="N192" s="436"/>
      <c r="O192" s="436"/>
      <c r="P192" s="435"/>
      <c r="Q192" s="432"/>
      <c r="R192" s="433"/>
      <c r="S192" s="433"/>
    </row>
    <row r="193" spans="1:19" s="83" customFormat="1" ht="19.5">
      <c r="A193" s="437" t="s">
        <v>738</v>
      </c>
      <c r="C193" s="434"/>
      <c r="D193" s="435"/>
      <c r="E193" s="435"/>
      <c r="F193" s="435"/>
      <c r="G193" s="435"/>
      <c r="H193" s="435"/>
      <c r="I193" s="435"/>
      <c r="J193" s="435"/>
      <c r="K193" s="435"/>
      <c r="L193" s="435"/>
      <c r="M193" s="435"/>
      <c r="N193" s="436"/>
      <c r="O193" s="436"/>
      <c r="P193" s="435"/>
      <c r="Q193" s="432"/>
      <c r="R193" s="433"/>
      <c r="S193" s="433"/>
    </row>
    <row r="194" spans="1:19" s="83" customFormat="1" ht="19.5">
      <c r="A194" s="438" t="s">
        <v>768</v>
      </c>
      <c r="C194" s="434"/>
      <c r="D194" s="435"/>
      <c r="E194" s="435"/>
      <c r="F194" s="435"/>
      <c r="G194" s="435"/>
      <c r="H194" s="435"/>
      <c r="I194" s="435"/>
      <c r="J194" s="435"/>
      <c r="K194" s="435"/>
      <c r="L194" s="435"/>
      <c r="M194" s="435"/>
      <c r="N194" s="436"/>
      <c r="O194" s="436"/>
      <c r="P194" s="435"/>
      <c r="Q194" s="432"/>
      <c r="R194" s="433"/>
      <c r="S194" s="433"/>
    </row>
    <row r="195" spans="1:19" s="83" customFormat="1" ht="19.5">
      <c r="C195" s="434"/>
      <c r="D195" s="435"/>
      <c r="E195" s="435"/>
      <c r="F195" s="435"/>
      <c r="G195" s="435"/>
      <c r="H195" s="435"/>
      <c r="I195" s="435"/>
      <c r="J195" s="435"/>
      <c r="K195" s="435"/>
      <c r="L195" s="435"/>
      <c r="M195" s="435"/>
      <c r="N195" s="436"/>
      <c r="O195" s="436"/>
      <c r="P195" s="435"/>
      <c r="Q195" s="432"/>
      <c r="R195" s="433"/>
      <c r="S195" s="433"/>
    </row>
    <row r="196" spans="1:19" s="83" customFormat="1" ht="19.5">
      <c r="C196" s="434"/>
      <c r="D196" s="435"/>
      <c r="E196" s="435"/>
      <c r="F196" s="435"/>
      <c r="G196" s="435"/>
      <c r="H196" s="435"/>
      <c r="I196" s="435"/>
      <c r="J196" s="435"/>
      <c r="K196" s="435"/>
      <c r="L196" s="435"/>
      <c r="M196" s="435"/>
      <c r="N196" s="436"/>
      <c r="O196" s="436"/>
      <c r="Q196" s="432"/>
      <c r="R196" s="433"/>
      <c r="S196" s="433"/>
    </row>
    <row r="197" spans="1:19" s="83" customFormat="1">
      <c r="B197" s="431"/>
      <c r="N197" s="433"/>
      <c r="O197" s="433"/>
      <c r="Q197" s="432"/>
      <c r="R197" s="433"/>
      <c r="S197" s="433"/>
    </row>
    <row r="198" spans="1:19" s="83" customFormat="1">
      <c r="B198" s="431"/>
      <c r="N198" s="433"/>
      <c r="O198" s="433"/>
      <c r="Q198" s="432"/>
      <c r="R198" s="433"/>
      <c r="S198" s="433"/>
    </row>
    <row r="199" spans="1:19" s="83" customFormat="1">
      <c r="B199" s="431"/>
      <c r="N199" s="433"/>
      <c r="O199" s="433"/>
      <c r="Q199" s="432"/>
      <c r="R199" s="433"/>
      <c r="S199" s="433"/>
    </row>
    <row r="200" spans="1:19" s="83" customFormat="1">
      <c r="B200" s="431"/>
      <c r="N200" s="433"/>
      <c r="O200" s="433"/>
      <c r="Q200" s="432"/>
      <c r="R200" s="433"/>
      <c r="S200" s="433"/>
    </row>
    <row r="201" spans="1:19" s="83" customFormat="1">
      <c r="B201" s="431"/>
      <c r="N201" s="433"/>
      <c r="O201" s="433"/>
      <c r="Q201" s="432"/>
      <c r="R201" s="433"/>
      <c r="S201" s="433"/>
    </row>
    <row r="202" spans="1:19" s="83" customFormat="1">
      <c r="B202" s="431"/>
      <c r="N202" s="433"/>
      <c r="O202" s="433"/>
      <c r="Q202" s="432"/>
      <c r="R202" s="433"/>
      <c r="S202" s="433"/>
    </row>
    <row r="203" spans="1:19" s="83" customFormat="1">
      <c r="B203" s="431"/>
      <c r="N203" s="433"/>
      <c r="O203" s="433"/>
      <c r="Q203" s="432"/>
      <c r="R203" s="433"/>
      <c r="S203" s="433"/>
    </row>
    <row r="204" spans="1:19">
      <c r="K204" s="83"/>
      <c r="N204" s="433"/>
      <c r="O204" s="433"/>
      <c r="P204" s="83"/>
      <c r="Q204" s="432"/>
      <c r="R204" s="433"/>
      <c r="S204" s="433"/>
    </row>
    <row r="205" spans="1:19">
      <c r="K205" s="83"/>
      <c r="N205" s="433"/>
      <c r="O205" s="433"/>
      <c r="P205" s="83"/>
      <c r="Q205" s="432"/>
      <c r="R205" s="433"/>
      <c r="S205" s="433"/>
    </row>
    <row r="206" spans="1:19">
      <c r="K206" s="83"/>
      <c r="N206" s="433"/>
      <c r="O206" s="433"/>
      <c r="P206" s="83"/>
      <c r="Q206" s="432"/>
      <c r="R206" s="433"/>
      <c r="S206" s="433"/>
    </row>
    <row r="207" spans="1:19">
      <c r="K207" s="83"/>
      <c r="N207" s="433"/>
      <c r="O207" s="433"/>
      <c r="P207" s="83"/>
      <c r="Q207" s="432"/>
      <c r="R207" s="433"/>
      <c r="S207" s="433"/>
    </row>
    <row r="208" spans="1:19">
      <c r="K208" s="83"/>
      <c r="N208" s="433"/>
      <c r="O208" s="433"/>
      <c r="P208" s="83"/>
      <c r="Q208" s="432"/>
      <c r="R208" s="433"/>
      <c r="S208" s="433"/>
    </row>
    <row r="209" spans="11:19">
      <c r="K209" s="83"/>
      <c r="N209" s="433"/>
      <c r="O209" s="433"/>
      <c r="P209" s="83"/>
      <c r="Q209" s="432"/>
      <c r="R209" s="433"/>
      <c r="S209" s="433"/>
    </row>
    <row r="210" spans="11:19">
      <c r="K210" s="83"/>
      <c r="N210" s="433"/>
      <c r="O210" s="433"/>
      <c r="P210" s="83"/>
      <c r="Q210" s="432"/>
      <c r="R210" s="433"/>
      <c r="S210" s="433"/>
    </row>
    <row r="211" spans="11:19">
      <c r="K211" s="83"/>
      <c r="N211" s="433"/>
      <c r="O211" s="433"/>
      <c r="P211" s="83"/>
      <c r="Q211" s="432"/>
      <c r="R211" s="433"/>
      <c r="S211" s="433"/>
    </row>
    <row r="212" spans="11:19">
      <c r="K212" s="83"/>
      <c r="N212" s="432"/>
      <c r="O212" s="432"/>
      <c r="P212" s="83"/>
      <c r="Q212" s="432"/>
      <c r="R212" s="432"/>
      <c r="S212" s="432"/>
    </row>
    <row r="213" spans="11:19">
      <c r="K213" s="83"/>
      <c r="N213" s="432"/>
      <c r="O213" s="432"/>
      <c r="P213" s="83"/>
      <c r="Q213" s="432"/>
      <c r="R213" s="432"/>
      <c r="S213" s="432"/>
    </row>
    <row r="214" spans="11:19">
      <c r="K214" s="83"/>
      <c r="N214" s="432"/>
      <c r="O214" s="432"/>
      <c r="P214" s="83"/>
      <c r="Q214" s="432"/>
      <c r="R214" s="432"/>
      <c r="S214" s="432"/>
    </row>
    <row r="215" spans="11:19">
      <c r="K215" s="83"/>
      <c r="N215" s="432"/>
      <c r="O215" s="432"/>
      <c r="P215" s="83"/>
      <c r="Q215" s="432"/>
      <c r="R215" s="432"/>
      <c r="S215" s="432"/>
    </row>
  </sheetData>
  <autoFilter ref="A17:V190">
    <filterColumn colId="21">
      <filters blank="1">
        <filter val="1 000 000"/>
        <filter val="1 194 461"/>
        <filter val="1 500 000"/>
        <filter val="10 600 000"/>
        <filter val="11 000 000"/>
        <filter val="11 220 767"/>
        <filter val="12 000 000"/>
        <filter val="12 100 000"/>
        <filter val="130 000"/>
        <filter val="15 000 000"/>
        <filter val="15 707 779"/>
        <filter val="17 876 000"/>
        <filter val="2 000 000"/>
        <filter val="2 500 000"/>
        <filter val="20 070 678"/>
        <filter val="210 634 579"/>
        <filter val="23 885 455"/>
        <filter val="25 685 543"/>
        <filter val="26 404 039"/>
        <filter val="3 790 500"/>
        <filter val="35 044 118"/>
        <filter val="4 000 000"/>
        <filter val="4 463 146"/>
        <filter val="41 167 185"/>
        <filter val="43 570 678"/>
        <filter val="44 909 857"/>
        <filter val="46 070 678"/>
        <filter val="5 000 000"/>
        <filter val="509 500"/>
        <filter val="58 929 573"/>
        <filter val="6 000 000"/>
        <filter val="69 195 149"/>
        <filter val="7 571 089"/>
        <filter val="75 673 003"/>
        <filter val="782 839"/>
        <filter val="8 000 000"/>
        <filter val="930 710"/>
        <filter val="A.Vilks"/>
      </filters>
    </filterColumn>
  </autoFilter>
  <mergeCells count="18">
    <mergeCell ref="U1:V1"/>
    <mergeCell ref="A7:V7"/>
    <mergeCell ref="N9:O9"/>
    <mergeCell ref="P9:S9"/>
    <mergeCell ref="A59:D59"/>
    <mergeCell ref="V10:V11"/>
    <mergeCell ref="U10:U11"/>
    <mergeCell ref="A21:D21"/>
    <mergeCell ref="N10:O10"/>
    <mergeCell ref="P10:S10"/>
    <mergeCell ref="T10:T11"/>
    <mergeCell ref="A182:D182"/>
    <mergeCell ref="A167:D167"/>
    <mergeCell ref="A173:D173"/>
    <mergeCell ref="A75:D75"/>
    <mergeCell ref="A136:D136"/>
    <mergeCell ref="A97:D97"/>
    <mergeCell ref="A158:D158"/>
  </mergeCells>
  <pageMargins left="0.25" right="0.25" top="0.75" bottom="0.75" header="0.3" footer="0.3"/>
  <pageSetup paperSize="9" scale="59" fitToHeight="0" orientation="landscape" r:id="rId1"/>
  <headerFooter>
    <oddHeader>&amp;C&amp;P/&amp;N</oddHeader>
    <oddFooter xml:space="preserve">&amp;L&amp;"Times New Roman,Regular"&amp;F; Virssaistību iespējas 2007.-2013.gada plānošanas perioda ES fondu projektos dalīījumā pa ceturkšņiem un gadiem </oddFooter>
  </headerFooter>
  <rowBreaks count="3" manualBreakCount="3">
    <brk id="49" max="21" man="1"/>
    <brk id="96" max="21" man="1"/>
    <brk id="163" max="2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70" zoomScaleNormal="70" workbookViewId="0">
      <selection activeCell="M1" sqref="M1"/>
    </sheetView>
  </sheetViews>
  <sheetFormatPr defaultRowHeight="15" outlineLevelCol="1"/>
  <cols>
    <col min="2" max="2" width="23" customWidth="1"/>
    <col min="3" max="3" width="16" customWidth="1"/>
    <col min="4" max="4" width="20.28515625" hidden="1" customWidth="1" outlineLevel="1"/>
    <col min="5" max="5" width="18.28515625" customWidth="1" collapsed="1"/>
    <col min="6" max="6" width="18.28515625" hidden="1" customWidth="1" outlineLevel="1"/>
    <col min="7" max="7" width="18.28515625" customWidth="1" collapsed="1"/>
    <col min="8" max="15" width="14.7109375" customWidth="1"/>
  </cols>
  <sheetData>
    <row r="1" spans="2:15" ht="186" customHeight="1" thickTop="1">
      <c r="B1" s="20" t="s">
        <v>158</v>
      </c>
      <c r="C1" s="19" t="s">
        <v>174</v>
      </c>
      <c r="D1" s="2" t="s">
        <v>152</v>
      </c>
      <c r="E1" s="19" t="s">
        <v>179</v>
      </c>
      <c r="F1" s="2" t="s">
        <v>153</v>
      </c>
      <c r="G1" s="18" t="s">
        <v>173</v>
      </c>
      <c r="H1" s="18" t="s">
        <v>143</v>
      </c>
      <c r="I1" s="18" t="s">
        <v>144</v>
      </c>
      <c r="J1" s="18" t="s">
        <v>145</v>
      </c>
      <c r="K1" s="18" t="s">
        <v>146</v>
      </c>
      <c r="L1" s="18" t="s">
        <v>178</v>
      </c>
      <c r="M1" s="24" t="s">
        <v>147</v>
      </c>
      <c r="N1" s="25"/>
      <c r="O1" s="25"/>
    </row>
    <row r="2" spans="2:15" s="33" customFormat="1" ht="24.75" customHeight="1">
      <c r="B2" s="34"/>
      <c r="C2" s="36" t="s">
        <v>265</v>
      </c>
      <c r="D2" s="36" t="s">
        <v>265</v>
      </c>
      <c r="E2" s="36" t="s">
        <v>265</v>
      </c>
      <c r="F2" s="36" t="s">
        <v>265</v>
      </c>
      <c r="G2" s="36" t="s">
        <v>265</v>
      </c>
      <c r="H2" s="36" t="s">
        <v>265</v>
      </c>
      <c r="I2" s="36" t="s">
        <v>265</v>
      </c>
      <c r="J2" s="36" t="s">
        <v>265</v>
      </c>
      <c r="K2" s="36" t="s">
        <v>265</v>
      </c>
      <c r="L2" s="36" t="s">
        <v>265</v>
      </c>
      <c r="M2" s="36" t="s">
        <v>265</v>
      </c>
      <c r="N2" s="35"/>
      <c r="O2" s="35"/>
    </row>
    <row r="3" spans="2:15" ht="20.25" customHeight="1">
      <c r="B3" s="8" t="s">
        <v>0</v>
      </c>
      <c r="C3" s="9">
        <f>SUM(C4:C10)</f>
        <v>409807622.18692797</v>
      </c>
      <c r="D3" s="9">
        <f>SUM(D4:D10)</f>
        <v>0</v>
      </c>
      <c r="E3" s="9">
        <f>SUM(E4:E10)</f>
        <v>409807622.33852798</v>
      </c>
      <c r="F3" s="9">
        <f t="shared" ref="F3:L3" si="0">SUM(F4:F10)</f>
        <v>0</v>
      </c>
      <c r="G3" s="9">
        <f t="shared" si="0"/>
        <v>409807622.3760519</v>
      </c>
      <c r="H3" s="9">
        <f t="shared" si="0"/>
        <v>392134278.05999994</v>
      </c>
      <c r="I3" s="26">
        <f>H3/G3</f>
        <v>0.95687404686720456</v>
      </c>
      <c r="J3" s="9">
        <f t="shared" si="0"/>
        <v>391149774.02999991</v>
      </c>
      <c r="K3" s="26">
        <f t="shared" ref="K3:K9" si="1">J3/G3</f>
        <v>0.95447169030709</v>
      </c>
      <c r="L3" s="9">
        <f t="shared" si="0"/>
        <v>257064601.13</v>
      </c>
      <c r="M3" s="26">
        <f t="shared" ref="M3:M9" si="2">L3/G3</f>
        <v>0.62728116094948994</v>
      </c>
      <c r="O3" s="1">
        <f>L3-'pielikums Nr.1'!AC9</f>
        <v>0</v>
      </c>
    </row>
    <row r="4" spans="2:15" ht="20.25" customHeight="1">
      <c r="B4" s="10" t="s">
        <v>5</v>
      </c>
      <c r="C4" s="11">
        <f>'pielikums Nr.1'!F20+'pielikums Nr.1'!F21+'pielikums Nr.1'!F22+'pielikums Nr.1'!F30+'pielikums Nr.1'!F42+'pielikums Nr.1'!F44+'pielikums Nr.1'!F45+'pielikums Nr.1'!F47+'pielikums Nr.1'!F48+'pielikums Nr.1'!F50+'pielikums Nr.1'!F51+'pielikums Nr.1'!F53+'pielikums Nr.1'!F54</f>
        <v>166495472.06192797</v>
      </c>
      <c r="D4" s="11">
        <f>'pielikums Nr.1'!G20+'pielikums Nr.1'!G21+'pielikums Nr.1'!G22+'pielikums Nr.1'!G30+'pielikums Nr.1'!G42+'pielikums Nr.1'!G44+'pielikums Nr.1'!G45+'pielikums Nr.1'!G47+'pielikums Nr.1'!G48+'pielikums Nr.1'!G50+'pielikums Nr.1'!G51+'pielikums Nr.1'!G53+'pielikums Nr.1'!G54</f>
        <v>0</v>
      </c>
      <c r="E4" s="11">
        <f>'pielikums Nr.1'!H20+'pielikums Nr.1'!H21+'pielikums Nr.1'!H22+'pielikums Nr.1'!H30+'pielikums Nr.1'!H42+'pielikums Nr.1'!H44+'pielikums Nr.1'!H45+'pielikums Nr.1'!H47+'pielikums Nr.1'!H48+'pielikums Nr.1'!H50+'pielikums Nr.1'!H51+'pielikums Nr.1'!H53+'pielikums Nr.1'!H54</f>
        <v>166495472.21352798</v>
      </c>
      <c r="F4" s="11">
        <f>'pielikums Nr.1'!I20+'pielikums Nr.1'!I21+'pielikums Nr.1'!I22+'pielikums Nr.1'!I30+'pielikums Nr.1'!I42+'pielikums Nr.1'!I44+'pielikums Nr.1'!I45+'pielikums Nr.1'!I47+'pielikums Nr.1'!I48+'pielikums Nr.1'!I50+'pielikums Nr.1'!I51+'pielikums Nr.1'!I53+'pielikums Nr.1'!I54</f>
        <v>0</v>
      </c>
      <c r="G4" s="11">
        <f>'pielikums Nr.1'!J20+'pielikums Nr.1'!J21+'pielikums Nr.1'!J22+'pielikums Nr.1'!J30+'pielikums Nr.1'!J42+'pielikums Nr.1'!J44+'pielikums Nr.1'!J45+'pielikums Nr.1'!J47+'pielikums Nr.1'!J48+'pielikums Nr.1'!J50+'pielikums Nr.1'!J51+'pielikums Nr.1'!J53+'pielikums Nr.1'!J54</f>
        <v>166495472.21352798</v>
      </c>
      <c r="H4" s="11">
        <f>'pielikums Nr.1'!P20+'pielikums Nr.1'!P21+'pielikums Nr.1'!P22+'pielikums Nr.1'!P30+'pielikums Nr.1'!P42+'pielikums Nr.1'!P44+'pielikums Nr.1'!P45+'pielikums Nr.1'!P47+'pielikums Nr.1'!P48+'pielikums Nr.1'!P50+'pielikums Nr.1'!P51+'pielikums Nr.1'!P53+'pielikums Nr.1'!P54</f>
        <v>158479808.44</v>
      </c>
      <c r="I4" s="27">
        <f t="shared" ref="I4:I10" si="3">H4/G4</f>
        <v>0.95185656602572344</v>
      </c>
      <c r="J4" s="11">
        <f>'pielikums Nr.1'!R20+'pielikums Nr.1'!R21+'pielikums Nr.1'!R22+'pielikums Nr.1'!R30+'pielikums Nr.1'!R42+'pielikums Nr.1'!R44+'pielikums Nr.1'!R45+'pielikums Nr.1'!R47+'pielikums Nr.1'!R48+'pielikums Nr.1'!R50+'pielikums Nr.1'!R51+'pielikums Nr.1'!R53+'pielikums Nr.1'!R54</f>
        <v>158301035.44</v>
      </c>
      <c r="K4" s="29">
        <f t="shared" si="1"/>
        <v>0.95078282511479506</v>
      </c>
      <c r="L4" s="11">
        <f>'pielikums Nr.1'!AC20+'pielikums Nr.1'!AC21+'pielikums Nr.1'!AC22+'pielikums Nr.1'!AC30+'pielikums Nr.1'!AC42+'pielikums Nr.1'!AC44+'pielikums Nr.1'!AC45+'pielikums Nr.1'!AC47+'pielikums Nr.1'!AC48+'pielikums Nr.1'!AC50+'pielikums Nr.1'!AC51+'pielikums Nr.1'!AC53+'pielikums Nr.1'!AC54</f>
        <v>102632471.78</v>
      </c>
      <c r="M4" s="28">
        <f t="shared" si="2"/>
        <v>0.61642800501130368</v>
      </c>
    </row>
    <row r="5" spans="2:15" ht="20.25" customHeight="1">
      <c r="B5" s="10" t="s">
        <v>156</v>
      </c>
      <c r="C5" s="11">
        <f>'pielikums Nr.1'!F43+'pielikums Nr.1'!F59+'pielikums Nr.1'!F61+'pielikums Nr.1'!F64+'pielikums Nr.1'!F67+'pielikums Nr.1'!F68+'pielikums Nr.1'!F69+'pielikums Nr.1'!F70+'pielikums Nr.1'!F71+'pielikums Nr.1'!F79+'pielikums Nr.1'!F82</f>
        <v>169862412.51492</v>
      </c>
      <c r="D5" s="11">
        <f>'pielikums Nr.1'!G43+'pielikums Nr.1'!G59+'pielikums Nr.1'!G61+'pielikums Nr.1'!G64+'pielikums Nr.1'!G67+'pielikums Nr.1'!G68+'pielikums Nr.1'!G69+'pielikums Nr.1'!G70+'pielikums Nr.1'!G71+'pielikums Nr.1'!G79+'pielikums Nr.1'!G82</f>
        <v>0</v>
      </c>
      <c r="E5" s="11">
        <f>'pielikums Nr.1'!H43+'pielikums Nr.1'!H59+'pielikums Nr.1'!H61+'pielikums Nr.1'!H64+'pielikums Nr.1'!H67+'pielikums Nr.1'!H68+'pielikums Nr.1'!H69+'pielikums Nr.1'!H70+'pielikums Nr.1'!H71+'pielikums Nr.1'!H79+'pielikums Nr.1'!H82</f>
        <v>169862412.51492</v>
      </c>
      <c r="F5" s="11">
        <f>'pielikums Nr.1'!I43+'pielikums Nr.1'!I59+'pielikums Nr.1'!I61+'pielikums Nr.1'!I64+'pielikums Nr.1'!I67+'pielikums Nr.1'!I68+'pielikums Nr.1'!I69+'pielikums Nr.1'!I70+'pielikums Nr.1'!I71+'pielikums Nr.1'!I79+'pielikums Nr.1'!I82</f>
        <v>0</v>
      </c>
      <c r="G5" s="11">
        <f>'pielikums Nr.1'!J43+'pielikums Nr.1'!J59+'pielikums Nr.1'!J61+'pielikums Nr.1'!J64+'pielikums Nr.1'!J67+'pielikums Nr.1'!J68+'pielikums Nr.1'!J69+'pielikums Nr.1'!J70+'pielikums Nr.1'!J71+'pielikums Nr.1'!J79+'pielikums Nr.1'!J82</f>
        <v>169862412.51491997</v>
      </c>
      <c r="H5" s="11">
        <f>'pielikums Nr.1'!P43+'pielikums Nr.1'!P59+'pielikums Nr.1'!P61+'pielikums Nr.1'!P64+'pielikums Nr.1'!P67+'pielikums Nr.1'!P68+'pielikums Nr.1'!P69+'pielikums Nr.1'!P70+'pielikums Nr.1'!P71+'pielikums Nr.1'!P79+'pielikums Nr.1'!P82</f>
        <v>165283031.74000001</v>
      </c>
      <c r="I5" s="27">
        <f t="shared" si="3"/>
        <v>0.97304064679690261</v>
      </c>
      <c r="J5" s="11">
        <f>'pielikums Nr.1'!R43+'pielikums Nr.1'!R59+'pielikums Nr.1'!R61+'pielikums Nr.1'!R64+'pielikums Nr.1'!R67+'pielikums Nr.1'!R68+'pielikums Nr.1'!R69+'pielikums Nr.1'!R70+'pielikums Nr.1'!R71+'pielikums Nr.1'!R79+'pielikums Nr.1'!R82</f>
        <v>165085611</v>
      </c>
      <c r="K5" s="29">
        <f t="shared" si="1"/>
        <v>0.97187840768186196</v>
      </c>
      <c r="L5" s="11">
        <f>'pielikums Nr.1'!AC43+'pielikums Nr.1'!AC59+'pielikums Nr.1'!AC61+'pielikums Nr.1'!AC64+'pielikums Nr.1'!AC67+'pielikums Nr.1'!AC68+'pielikums Nr.1'!AC69+'pielikums Nr.1'!AC70+'pielikums Nr.1'!AC71+'pielikums Nr.1'!AC79+'pielikums Nr.1'!AC82</f>
        <v>116794795.20999999</v>
      </c>
      <c r="M5" s="28">
        <f t="shared" si="2"/>
        <v>0.68758469564148716</v>
      </c>
      <c r="N5" s="1"/>
      <c r="O5" s="1"/>
    </row>
    <row r="6" spans="2:15" ht="20.25" customHeight="1">
      <c r="B6" s="10" t="s">
        <v>155</v>
      </c>
      <c r="C6" s="11">
        <f>'pielikums Nr.1'!F58+'pielikums Nr.1'!F60+'pielikums Nr.1'!F62+'pielikums Nr.1'!F63+'pielikums Nr.1'!F72</f>
        <v>35793734.451771997</v>
      </c>
      <c r="D6" s="11">
        <f>'pielikums Nr.1'!G58+'pielikums Nr.1'!G60+'pielikums Nr.1'!G63+'pielikums Nr.1'!G72</f>
        <v>0</v>
      </c>
      <c r="E6" s="11">
        <f>'pielikums Nr.1'!H58+'pielikums Nr.1'!H60+'pielikums Nr.1'!H62+'pielikums Nr.1'!H63+'pielikums Nr.1'!H72</f>
        <v>35793734.451771997</v>
      </c>
      <c r="F6" s="11">
        <f>'pielikums Nr.1'!I58+'pielikums Nr.1'!I60+'pielikums Nr.1'!I63+'pielikums Nr.1'!I72</f>
        <v>0</v>
      </c>
      <c r="G6" s="11">
        <f>'pielikums Nr.1'!J58+'pielikums Nr.1'!J60+'pielikums Nr.1'!J62+'pielikums Nr.1'!J63+'pielikums Nr.1'!J72</f>
        <v>35793734.451771997</v>
      </c>
      <c r="H6" s="11">
        <f>'pielikums Nr.1'!P58+'pielikums Nr.1'!P60+'pielikums Nr.1'!P62+'pielikums Nr.1'!P63+'pielikums Nr.1'!P72</f>
        <v>31615451.960000001</v>
      </c>
      <c r="I6" s="27">
        <f t="shared" si="3"/>
        <v>0.88326776862577006</v>
      </c>
      <c r="J6" s="11">
        <f>'pielikums Nr.1'!R58+'pielikums Nr.1'!R60+'pielikums Nr.1'!R62+'pielikums Nr.1'!R63+'pielikums Nr.1'!R72</f>
        <v>31615451.960000001</v>
      </c>
      <c r="K6" s="29">
        <f t="shared" si="1"/>
        <v>0.88326776862577006</v>
      </c>
      <c r="L6" s="11">
        <f>'pielikums Nr.1'!AC58+'pielikums Nr.1'!AC60+'pielikums Nr.1'!R62+'pielikums Nr.1'!AC63+'pielikums Nr.1'!AC72</f>
        <v>17514824.850000001</v>
      </c>
      <c r="M6" s="28">
        <f t="shared" si="2"/>
        <v>0.48932655723864871</v>
      </c>
      <c r="O6" s="1"/>
    </row>
    <row r="7" spans="2:15" ht="20.25" customHeight="1">
      <c r="B7" s="10" t="s">
        <v>159</v>
      </c>
      <c r="C7" s="11">
        <f>'pielikums Nr.1'!F90+'pielikums Nr.1'!F91+'pielikums Nr.1'!F92+'pielikums Nr.1'!F95</f>
        <v>8279706.1583080003</v>
      </c>
      <c r="D7" s="11">
        <f>'pielikums Nr.1'!G90+'pielikums Nr.1'!G91+'pielikums Nr.1'!G92+'pielikums Nr.1'!G95</f>
        <v>0</v>
      </c>
      <c r="E7" s="11">
        <f>'pielikums Nr.1'!H90+'pielikums Nr.1'!H91+'pielikums Nr.1'!H92+'pielikums Nr.1'!H95</f>
        <v>8279706.1583080003</v>
      </c>
      <c r="F7" s="11">
        <f>'pielikums Nr.1'!I90+'pielikums Nr.1'!I91+'pielikums Nr.1'!I92+'pielikums Nr.1'!I95</f>
        <v>0</v>
      </c>
      <c r="G7" s="11">
        <f>'pielikums Nr.1'!J90+'pielikums Nr.1'!J91+'pielikums Nr.1'!J92+'pielikums Nr.1'!J95</f>
        <v>8279706.1583080003</v>
      </c>
      <c r="H7" s="11">
        <f>'pielikums Nr.1'!P90+'pielikums Nr.1'!P91+'pielikums Nr.1'!P92+'pielikums Nr.1'!P95</f>
        <v>7456720.1300000008</v>
      </c>
      <c r="I7" s="27">
        <f t="shared" si="3"/>
        <v>0.9006020246887384</v>
      </c>
      <c r="J7" s="11">
        <f>'pielikums Nr.1'!R90+'pielikums Nr.1'!R91+'pielikums Nr.1'!R92+'pielikums Nr.1'!R95</f>
        <v>6848409.8399999999</v>
      </c>
      <c r="K7" s="29">
        <f t="shared" si="1"/>
        <v>0.82713199104634738</v>
      </c>
      <c r="L7" s="11">
        <f>'pielikums Nr.1'!AC90+'pielikums Nr.1'!AC91+'pielikums Nr.1'!AC92+'pielikums Nr.1'!AC95</f>
        <v>3577926.6600000006</v>
      </c>
      <c r="M7" s="28">
        <f t="shared" si="2"/>
        <v>0.4321320819350391</v>
      </c>
      <c r="N7" s="1"/>
      <c r="O7" s="1"/>
    </row>
    <row r="8" spans="2:15" ht="20.25" customHeight="1">
      <c r="B8" s="10" t="s">
        <v>160</v>
      </c>
      <c r="C8" s="11">
        <f>'pielikums Nr.1'!F73</f>
        <v>8720346</v>
      </c>
      <c r="D8" s="11">
        <f>'pielikums Nr.1'!G73</f>
        <v>0</v>
      </c>
      <c r="E8" s="11">
        <f>'pielikums Nr.1'!H73</f>
        <v>8720346</v>
      </c>
      <c r="F8" s="11">
        <f>'pielikums Nr.1'!I73</f>
        <v>0</v>
      </c>
      <c r="G8" s="11">
        <f>'pielikums Nr.1'!J73</f>
        <v>8720346</v>
      </c>
      <c r="H8" s="11">
        <f>'pielikums Nr.1'!P73</f>
        <v>8720345</v>
      </c>
      <c r="I8" s="27">
        <f t="shared" si="3"/>
        <v>0.99999988532565109</v>
      </c>
      <c r="J8" s="11">
        <f>'pielikums Nr.1'!R73</f>
        <v>8720345</v>
      </c>
      <c r="K8" s="29">
        <f t="shared" si="1"/>
        <v>0.99999988532565109</v>
      </c>
      <c r="L8" s="11">
        <f>'pielikums Nr.1'!AC73</f>
        <v>5618510.1900000004</v>
      </c>
      <c r="M8" s="28">
        <f t="shared" si="2"/>
        <v>0.64429899799847401</v>
      </c>
      <c r="N8" s="21"/>
      <c r="O8" s="21"/>
    </row>
    <row r="9" spans="2:15" ht="20.25" customHeight="1">
      <c r="B9" s="10" t="s">
        <v>157</v>
      </c>
      <c r="C9" s="11">
        <f>'pielikums Nr.1'!F89+'pielikums Nr.1'!F104</f>
        <v>15629235</v>
      </c>
      <c r="D9" s="11">
        <f>'pielikums Nr.1'!G89+'pielikums Nr.1'!G104</f>
        <v>0</v>
      </c>
      <c r="E9" s="11">
        <f>'pielikums Nr.1'!H89+'pielikums Nr.1'!H104</f>
        <v>15629235</v>
      </c>
      <c r="F9" s="11">
        <f>'pielikums Nr.1'!I89+'pielikums Nr.1'!I104</f>
        <v>0</v>
      </c>
      <c r="G9" s="11">
        <f>'pielikums Nr.1'!J89+'pielikums Nr.1'!J104</f>
        <v>15629235.037524</v>
      </c>
      <c r="H9" s="11">
        <f>'pielikums Nr.1'!P89+'pielikums Nr.1'!P104</f>
        <v>15603792.59</v>
      </c>
      <c r="I9" s="27">
        <f t="shared" si="3"/>
        <v>0.99837212458172675</v>
      </c>
      <c r="J9" s="11">
        <f>'pielikums Nr.1'!R89+'pielikums Nr.1'!R104</f>
        <v>15603792.59</v>
      </c>
      <c r="K9" s="29">
        <f t="shared" si="1"/>
        <v>0.99837212458172675</v>
      </c>
      <c r="L9" s="11">
        <f>'pielikums Nr.1'!AC89+'pielikums Nr.1'!AC104</f>
        <v>7557471.3100000005</v>
      </c>
      <c r="M9" s="28">
        <f t="shared" si="2"/>
        <v>0.48354710207219864</v>
      </c>
      <c r="N9" s="1"/>
      <c r="O9" s="1"/>
    </row>
    <row r="10" spans="2:15" ht="20.25" customHeight="1">
      <c r="B10" s="10" t="s">
        <v>190</v>
      </c>
      <c r="C10" s="11">
        <f>'pielikums Nr.1'!F101</f>
        <v>5026716</v>
      </c>
      <c r="D10" s="11">
        <f>'pielikums Nr.1'!G101</f>
        <v>0</v>
      </c>
      <c r="E10" s="11">
        <f>'pielikums Nr.1'!H101</f>
        <v>5026716</v>
      </c>
      <c r="F10" s="11">
        <f>'pielikums Nr.1'!I101</f>
        <v>0</v>
      </c>
      <c r="G10" s="11">
        <f>'pielikums Nr.1'!J101</f>
        <v>5026716</v>
      </c>
      <c r="H10" s="11">
        <f>'pielikums Nr.1'!P101</f>
        <v>4975128.2</v>
      </c>
      <c r="I10" s="27">
        <f t="shared" si="3"/>
        <v>0.98973727578800952</v>
      </c>
      <c r="J10" s="11">
        <f>'pielikums Nr.1'!R101</f>
        <v>4975128.2</v>
      </c>
      <c r="K10" s="29">
        <f>J10/G10</f>
        <v>0.98973727578800952</v>
      </c>
      <c r="L10" s="11">
        <f>'pielikums Nr.1'!AC101</f>
        <v>3368601.13</v>
      </c>
      <c r="M10" s="28">
        <f>L10/G10</f>
        <v>0.67013953642895274</v>
      </c>
      <c r="N10" s="1"/>
      <c r="O10" s="1"/>
    </row>
    <row r="11" spans="2:15">
      <c r="B11" s="12"/>
      <c r="C11" s="13"/>
    </row>
    <row r="12" spans="2:15">
      <c r="B12" s="8" t="s">
        <v>56</v>
      </c>
      <c r="C12" s="9">
        <f>C13+C16+C19+C22+C23+C24+C26+C27+C28</f>
        <v>1692047973.6974201</v>
      </c>
      <c r="D12" s="9">
        <f t="shared" ref="D12:E12" si="4">D13+D16+D19+D22+D23+D24+D26+D27+D28</f>
        <v>1044291813</v>
      </c>
      <c r="E12" s="9">
        <f t="shared" si="4"/>
        <v>1692047973.9923201</v>
      </c>
      <c r="F12" s="9">
        <f t="shared" ref="F12" si="5">F13+F16+F19+F22+F23+F24+F26+F27+F28</f>
        <v>549630088</v>
      </c>
      <c r="G12" s="9">
        <f t="shared" ref="G12:H12" si="6">G13+G16+G19+G22+G23+G24+G26+G27+G28</f>
        <v>1692047973.8012722</v>
      </c>
      <c r="H12" s="9">
        <f t="shared" si="6"/>
        <v>1445985574.1100001</v>
      </c>
      <c r="I12" s="26">
        <f>H12/G12</f>
        <v>0.85457717304641179</v>
      </c>
      <c r="J12" s="9">
        <f>J13+J16+J19+J22+J23+J24+J26+J27+J28</f>
        <v>1406307444.6900003</v>
      </c>
      <c r="K12" s="26">
        <f t="shared" ref="K12:K27" si="7">J12/G12</f>
        <v>0.83112740682562258</v>
      </c>
      <c r="L12" s="9">
        <f>L13+L16+L19+L22+L23+L24+L26+L27+L28</f>
        <v>734462803.5200001</v>
      </c>
      <c r="M12" s="32">
        <f t="shared" ref="M12:M27" si="8">L12/G12</f>
        <v>0.43406736386438965</v>
      </c>
    </row>
    <row r="13" spans="2:15">
      <c r="B13" s="14" t="s">
        <v>155</v>
      </c>
      <c r="C13" s="13">
        <f>C14+C15</f>
        <v>397232003.36944401</v>
      </c>
      <c r="D13" s="13">
        <f t="shared" ref="D13:H13" si="9">D14+D15</f>
        <v>494661725</v>
      </c>
      <c r="E13" s="13">
        <f t="shared" si="9"/>
        <v>412371614.25744402</v>
      </c>
      <c r="F13" s="13">
        <f t="shared" si="9"/>
        <v>0</v>
      </c>
      <c r="G13" s="13">
        <f t="shared" si="9"/>
        <v>412371614.06639606</v>
      </c>
      <c r="H13" s="13">
        <f t="shared" si="9"/>
        <v>346051153.81999999</v>
      </c>
      <c r="I13" s="27">
        <f>H13/G13</f>
        <v>0.83917307112288819</v>
      </c>
      <c r="J13" s="13">
        <f>J14+J15</f>
        <v>342305514.50000006</v>
      </c>
      <c r="K13" s="31">
        <f t="shared" si="7"/>
        <v>0.83008990634570057</v>
      </c>
      <c r="L13" s="13">
        <f>L14+L15</f>
        <v>208977546.41</v>
      </c>
      <c r="M13" s="31">
        <f t="shared" si="8"/>
        <v>0.50676996010775965</v>
      </c>
    </row>
    <row r="14" spans="2:15">
      <c r="B14" s="15" t="s">
        <v>161</v>
      </c>
      <c r="C14" s="16">
        <f>'pielikums Nr.1'!F115+'pielikums Nr.1'!F128+'pielikums Nr.1'!F138</f>
        <v>332510628.392564</v>
      </c>
      <c r="D14" s="16">
        <f>'pielikums Nr.1'!G115+'pielikums Nr.1'!G128+'pielikums Nr.1'!G138</f>
        <v>494661725</v>
      </c>
      <c r="E14" s="16">
        <f>'pielikums Nr.1'!H115+'pielikums Nr.1'!H128+'pielikums Nr.1'!H138</f>
        <v>347650239.28056401</v>
      </c>
      <c r="F14" s="16">
        <f>'pielikums Nr.1'!I115+'pielikums Nr.1'!I128+'pielikums Nr.1'!I138</f>
        <v>0</v>
      </c>
      <c r="G14" s="16">
        <f>'pielikums Nr.1'!J115+'pielikums Nr.1'!J128+'pielikums Nr.1'!J138</f>
        <v>347650239.08951604</v>
      </c>
      <c r="H14" s="16">
        <f>'pielikums Nr.1'!P115+'pielikums Nr.1'!P128+'pielikums Nr.1'!P138</f>
        <v>301568839.05000001</v>
      </c>
      <c r="I14" s="27">
        <f t="shared" ref="I14:I28" si="10">H14/G14</f>
        <v>0.86744896203666755</v>
      </c>
      <c r="J14" s="16">
        <f>'pielikums Nr.1'!R115+'pielikums Nr.1'!R128+'pielikums Nr.1'!R138</f>
        <v>300512572.75000006</v>
      </c>
      <c r="K14" s="31">
        <f t="shared" si="7"/>
        <v>0.8644106603724252</v>
      </c>
      <c r="L14" s="16">
        <f>'pielikums Nr.1'!AC115+'pielikums Nr.1'!AC128+'pielikums Nr.1'!AC138</f>
        <v>199511308.25</v>
      </c>
      <c r="M14" s="31">
        <f t="shared" si="8"/>
        <v>0.57388514609543551</v>
      </c>
      <c r="O14" s="1"/>
    </row>
    <row r="15" spans="2:15">
      <c r="B15" s="15" t="s">
        <v>162</v>
      </c>
      <c r="C15" s="16">
        <f>'pielikums Nr.1'!F222+'pielikums Nr.1'!F232</f>
        <v>64721374.976879999</v>
      </c>
      <c r="D15" s="16">
        <f>'pielikums Nr.1'!G222+'pielikums Nr.1'!G232</f>
        <v>0</v>
      </c>
      <c r="E15" s="16">
        <f>'pielikums Nr.1'!H222+'pielikums Nr.1'!H232</f>
        <v>64721374.976879999</v>
      </c>
      <c r="F15" s="16">
        <f>'pielikums Nr.1'!I222+'pielikums Nr.1'!I232</f>
        <v>0</v>
      </c>
      <c r="G15" s="16">
        <f>'pielikums Nr.1'!J222+'pielikums Nr.1'!J232</f>
        <v>64721374.976879999</v>
      </c>
      <c r="H15" s="16">
        <f>'pielikums Nr.1'!P222+'pielikums Nr.1'!P232</f>
        <v>44482314.770000003</v>
      </c>
      <c r="I15" s="27">
        <f t="shared" si="10"/>
        <v>0.68728939683203782</v>
      </c>
      <c r="J15" s="16">
        <f>'pielikums Nr.1'!R222+'pielikums Nr.1'!R232</f>
        <v>41792941.75</v>
      </c>
      <c r="K15" s="31">
        <f t="shared" si="7"/>
        <v>0.64573630836689466</v>
      </c>
      <c r="L15" s="16">
        <f>'pielikums Nr.1'!AC222+'pielikums Nr.1'!AC232</f>
        <v>9466238.1600000001</v>
      </c>
      <c r="M15" s="31">
        <f t="shared" si="8"/>
        <v>0.14626138834939095</v>
      </c>
      <c r="O15" s="1"/>
    </row>
    <row r="16" spans="2:15">
      <c r="B16" s="14" t="s">
        <v>163</v>
      </c>
      <c r="C16" s="13">
        <f>C17+C18</f>
        <v>355536473.05330002</v>
      </c>
      <c r="D16" s="13">
        <f t="shared" ref="D16:H16" si="11">D17+D18</f>
        <v>17359037</v>
      </c>
      <c r="E16" s="13">
        <f t="shared" si="11"/>
        <v>342191749.36317599</v>
      </c>
      <c r="F16" s="13">
        <f t="shared" si="11"/>
        <v>17359037</v>
      </c>
      <c r="G16" s="13">
        <f t="shared" si="11"/>
        <v>342191749.36317599</v>
      </c>
      <c r="H16" s="13">
        <f t="shared" si="11"/>
        <v>318951051.09000003</v>
      </c>
      <c r="I16" s="27">
        <f t="shared" si="10"/>
        <v>0.93208282106033458</v>
      </c>
      <c r="J16" s="13">
        <f>J17+J18</f>
        <v>286013030.09000003</v>
      </c>
      <c r="K16" s="31">
        <f t="shared" si="7"/>
        <v>0.8358267860703088</v>
      </c>
      <c r="L16" s="13">
        <f>L17+L18</f>
        <v>117562281.29000002</v>
      </c>
      <c r="M16" s="31">
        <f t="shared" si="8"/>
        <v>0.34355673831641237</v>
      </c>
    </row>
    <row r="17" spans="2:15">
      <c r="B17" s="15" t="s">
        <v>164</v>
      </c>
      <c r="C17" s="16">
        <f>'pielikums Nr.1'!F109</f>
        <v>167317954</v>
      </c>
      <c r="D17" s="16">
        <f>'pielikums Nr.1'!G109</f>
        <v>0</v>
      </c>
      <c r="E17" s="16">
        <f>'pielikums Nr.1'!H109</f>
        <v>153973230.30987599</v>
      </c>
      <c r="F17" s="16">
        <f>'pielikums Nr.1'!I109</f>
        <v>0</v>
      </c>
      <c r="G17" s="16">
        <f>'pielikums Nr.1'!J109</f>
        <v>153973230.30987599</v>
      </c>
      <c r="H17" s="16">
        <f>'pielikums Nr.1'!P109</f>
        <v>137546144</v>
      </c>
      <c r="I17" s="27">
        <f t="shared" si="10"/>
        <v>0.89331206290329845</v>
      </c>
      <c r="J17" s="16">
        <f>'pielikums Nr.1'!R109</f>
        <v>104608123</v>
      </c>
      <c r="K17" s="31">
        <f t="shared" si="7"/>
        <v>0.67939162404706877</v>
      </c>
      <c r="L17" s="16">
        <f>'pielikums Nr.1'!AC109</f>
        <v>37330446.939999998</v>
      </c>
      <c r="M17" s="31">
        <f t="shared" si="8"/>
        <v>0.24244764407989164</v>
      </c>
    </row>
    <row r="18" spans="2:15">
      <c r="B18" s="15" t="s">
        <v>165</v>
      </c>
      <c r="C18" s="16">
        <f>'pielikums Nr.1'!F156+'pielikums Nr.1'!F159+'pielikums Nr.1'!F162+'pielikums Nr.1'!F198</f>
        <v>188218519.05329999</v>
      </c>
      <c r="D18" s="16">
        <f>'pielikums Nr.1'!G156+'pielikums Nr.1'!G159+'pielikums Nr.1'!G162+'pielikums Nr.1'!G198</f>
        <v>17359037</v>
      </c>
      <c r="E18" s="16">
        <f>'pielikums Nr.1'!H156+'pielikums Nr.1'!H159+'pielikums Nr.1'!H162+'pielikums Nr.1'!H198</f>
        <v>188218519.05329999</v>
      </c>
      <c r="F18" s="16">
        <f>'pielikums Nr.1'!I156+'pielikums Nr.1'!I159+'pielikums Nr.1'!I162+'pielikums Nr.1'!I198</f>
        <v>17359037</v>
      </c>
      <c r="G18" s="16">
        <f>'pielikums Nr.1'!J156+'pielikums Nr.1'!J159+'pielikums Nr.1'!J162+'pielikums Nr.1'!J198</f>
        <v>188218519.05329999</v>
      </c>
      <c r="H18" s="16">
        <f>'pielikums Nr.1'!P156+'pielikums Nr.1'!P159+'pielikums Nr.1'!P162+'pielikums Nr.1'!P198</f>
        <v>181404907.09</v>
      </c>
      <c r="I18" s="27">
        <f t="shared" si="10"/>
        <v>0.96379946034231356</v>
      </c>
      <c r="J18" s="16">
        <f>'pielikums Nr.1'!R156+'pielikums Nr.1'!R159+'pielikums Nr.1'!R162+'pielikums Nr.1'!R198</f>
        <v>181404907.09</v>
      </c>
      <c r="K18" s="31">
        <f t="shared" si="7"/>
        <v>0.96379946034231356</v>
      </c>
      <c r="L18" s="16">
        <f>'pielikums Nr.1'!AC156+'pielikums Nr.1'!AC159+'pielikums Nr.1'!AC162+'pielikums Nr.1'!AC198</f>
        <v>80231834.350000024</v>
      </c>
      <c r="M18" s="31">
        <f t="shared" si="8"/>
        <v>0.42626960807868142</v>
      </c>
    </row>
    <row r="19" spans="2:15">
      <c r="B19" s="10" t="s">
        <v>157</v>
      </c>
      <c r="C19" s="13">
        <f>C20+C21</f>
        <v>58437446.266179994</v>
      </c>
      <c r="D19" s="13">
        <f t="shared" ref="D19:H19" si="12">D20+D21</f>
        <v>57610045</v>
      </c>
      <c r="E19" s="13">
        <f t="shared" si="12"/>
        <v>56642559.363204002</v>
      </c>
      <c r="F19" s="13">
        <f t="shared" si="12"/>
        <v>57610045</v>
      </c>
      <c r="G19" s="13">
        <f t="shared" si="12"/>
        <v>56642559.363204002</v>
      </c>
      <c r="H19" s="13">
        <f t="shared" si="12"/>
        <v>51627522.200000003</v>
      </c>
      <c r="I19" s="27">
        <f t="shared" si="10"/>
        <v>0.91146167793996513</v>
      </c>
      <c r="J19" s="13">
        <f>J20+J21</f>
        <v>51627522.200000003</v>
      </c>
      <c r="K19" s="31">
        <f t="shared" si="7"/>
        <v>0.91146167793996513</v>
      </c>
      <c r="L19" s="13">
        <f>L20+L21</f>
        <v>19546668.039999999</v>
      </c>
      <c r="M19" s="31">
        <f t="shared" si="8"/>
        <v>0.34508800908275794</v>
      </c>
      <c r="O19" s="1"/>
    </row>
    <row r="20" spans="2:15">
      <c r="B20" s="17" t="s">
        <v>166</v>
      </c>
      <c r="C20" s="16">
        <f>'pielikums Nr.1'!F150</f>
        <v>17948876.199999999</v>
      </c>
      <c r="D20" s="16">
        <f>'pielikums Nr.1'!G150</f>
        <v>0</v>
      </c>
      <c r="E20" s="16">
        <f>'pielikums Nr.1'!H150</f>
        <v>16153989.297024</v>
      </c>
      <c r="F20" s="16">
        <f>'pielikums Nr.1'!I150</f>
        <v>0</v>
      </c>
      <c r="G20" s="16">
        <f>'pielikums Nr.1'!J150</f>
        <v>16153989.297024</v>
      </c>
      <c r="H20" s="16">
        <f>'pielikums Nr.1'!P150</f>
        <v>15409970.640000001</v>
      </c>
      <c r="I20" s="27">
        <f t="shared" si="10"/>
        <v>0.95394211031444298</v>
      </c>
      <c r="J20" s="16">
        <f>'pielikums Nr.1'!R150</f>
        <v>15409970.640000001</v>
      </c>
      <c r="K20" s="31">
        <f t="shared" si="7"/>
        <v>0.95394211031444298</v>
      </c>
      <c r="L20" s="16">
        <f>'pielikums Nr.1'!AC150</f>
        <v>6001445.3099999996</v>
      </c>
      <c r="M20" s="31">
        <f t="shared" si="8"/>
        <v>0.37151475091701514</v>
      </c>
      <c r="O20" s="1"/>
    </row>
    <row r="21" spans="2:15">
      <c r="B21" s="17" t="s">
        <v>167</v>
      </c>
      <c r="C21" s="16">
        <f>'pielikums Nr.1'!F259</f>
        <v>40488570.066179998</v>
      </c>
      <c r="D21" s="16">
        <f>'pielikums Nr.1'!G259</f>
        <v>57610045</v>
      </c>
      <c r="E21" s="16">
        <f>'pielikums Nr.1'!H259</f>
        <v>40488570.066179998</v>
      </c>
      <c r="F21" s="16">
        <f>'pielikums Nr.1'!I259</f>
        <v>57610045</v>
      </c>
      <c r="G21" s="16">
        <f>'pielikums Nr.1'!J259</f>
        <v>40488570.066179998</v>
      </c>
      <c r="H21" s="16">
        <f>'pielikums Nr.1'!P259</f>
        <v>36217551.560000002</v>
      </c>
      <c r="I21" s="27">
        <f t="shared" si="10"/>
        <v>0.89451298232565724</v>
      </c>
      <c r="J21" s="16">
        <f>'pielikums Nr.1'!R259</f>
        <v>36217551.560000002</v>
      </c>
      <c r="K21" s="31">
        <f t="shared" si="7"/>
        <v>0.89451298232565724</v>
      </c>
      <c r="L21" s="16">
        <f>'pielikums Nr.1'!AC259</f>
        <v>13545222.73</v>
      </c>
      <c r="M21" s="31">
        <f t="shared" si="8"/>
        <v>0.33454435925644832</v>
      </c>
    </row>
    <row r="22" spans="2:15">
      <c r="B22" s="10" t="s">
        <v>168</v>
      </c>
      <c r="C22" s="13">
        <f>'pielikums Nr.1'!F187+'pielikums Nr.1'!F200+'pielikums Nr.1'!F201</f>
        <v>247572042.939924</v>
      </c>
      <c r="D22" s="13">
        <f>'pielikums Nr.1'!G187+'pielikums Nr.1'!G200+'pielikums Nr.1'!G201</f>
        <v>23034492</v>
      </c>
      <c r="E22" s="13">
        <f>'pielikums Nr.1'!H187+'pielikums Nr.1'!H200+'pielikums Nr.1'!H201</f>
        <v>247572042.939924</v>
      </c>
      <c r="F22" s="13">
        <f>'pielikums Nr.1'!I187+'pielikums Nr.1'!I200+'pielikums Nr.1'!I201</f>
        <v>23034492</v>
      </c>
      <c r="G22" s="13">
        <f>'pielikums Nr.1'!J187+'pielikums Nr.1'!J200+'pielikums Nr.1'!J201</f>
        <v>247572042.939924</v>
      </c>
      <c r="H22" s="13">
        <f>'pielikums Nr.1'!P187+'pielikums Nr.1'!P200+'pielikums Nr.1'!P201</f>
        <v>201039944.75</v>
      </c>
      <c r="I22" s="27">
        <f t="shared" si="10"/>
        <v>0.81204623253355179</v>
      </c>
      <c r="J22" s="13">
        <f>'pielikums Nr.1'!R187+'pielikums Nr.1'!R200+'pielikums Nr.1'!R201</f>
        <v>201039944.75</v>
      </c>
      <c r="K22" s="31">
        <f t="shared" si="7"/>
        <v>0.81204623253355179</v>
      </c>
      <c r="L22" s="13">
        <f>'pielikums Nr.1'!AC187+'pielikums Nr.1'!AC200+'pielikums Nr.1'!AC201</f>
        <v>81936824.289999992</v>
      </c>
      <c r="M22" s="31">
        <f t="shared" si="8"/>
        <v>0.33096153877876605</v>
      </c>
    </row>
    <row r="23" spans="2:15">
      <c r="B23" s="38" t="s">
        <v>169</v>
      </c>
      <c r="C23" s="39">
        <f>'pielikums Nr.1'!F215</f>
        <v>136883295.841932</v>
      </c>
      <c r="D23" s="39">
        <f>'pielikums Nr.1'!G215</f>
        <v>0</v>
      </c>
      <c r="E23" s="39">
        <f>'pielikums Nr.1'!H215</f>
        <v>136883295.841932</v>
      </c>
      <c r="F23" s="39">
        <f>'pielikums Nr.1'!I215</f>
        <v>0</v>
      </c>
      <c r="G23" s="39">
        <f>'pielikums Nr.1'!J215</f>
        <v>136883295.841932</v>
      </c>
      <c r="H23" s="39">
        <f>'pielikums Nr.1'!P215</f>
        <v>83322161.799999997</v>
      </c>
      <c r="I23" s="40">
        <f t="shared" si="10"/>
        <v>0.60870949437261868</v>
      </c>
      <c r="J23" s="39">
        <f>'pielikums Nr.1'!R215</f>
        <v>83133133.700000003</v>
      </c>
      <c r="K23" s="41">
        <f t="shared" si="7"/>
        <v>0.60732855085546167</v>
      </c>
      <c r="L23" s="39">
        <f>'pielikums Nr.1'!AC215</f>
        <v>46212847.480000004</v>
      </c>
      <c r="M23" s="41">
        <f t="shared" si="8"/>
        <v>0.33760764741787758</v>
      </c>
    </row>
    <row r="24" spans="2:15">
      <c r="B24" s="38" t="s">
        <v>187</v>
      </c>
      <c r="C24" s="39">
        <f>'pielikums Nr.1'!F176+'pielikums Nr.1'!F177+'pielikums Nr.1'!F197+'pielikums Nr.1'!F199+'pielikums Nr.1'!F253+'pielikums Nr.1'!F254+'pielikums Nr.1'!F256</f>
        <v>315316839.259368</v>
      </c>
      <c r="D24" s="39">
        <f>'pielikums Nr.1'!G176+'pielikums Nr.1'!G177+'pielikums Nr.1'!G197+'pielikums Nr.1'!G199+'pielikums Nr.1'!G253+'pielikums Nr.1'!G254+'pielikums Nr.1'!G256</f>
        <v>448655442</v>
      </c>
      <c r="E24" s="39">
        <f>'pielikums Nr.1'!H176+'pielikums Nr.1'!H177+'pielikums Nr.1'!H197+'pielikums Nr.1'!H199+'pielikums Nr.1'!H253+'pielikums Nr.1'!H254+'pielikums Nr.1'!H256</f>
        <v>315316839.259368</v>
      </c>
      <c r="F24" s="39">
        <f>'pielikums Nr.1'!I176+'pielikums Nr.1'!I177+'pielikums Nr.1'!I197+'pielikums Nr.1'!I199+'pielikums Nr.1'!I253+'pielikums Nr.1'!I254+'pielikums Nr.1'!I256</f>
        <v>448655442</v>
      </c>
      <c r="G24" s="39">
        <f>'pielikums Nr.1'!J176+'pielikums Nr.1'!J177+'pielikums Nr.1'!J197+'pielikums Nr.1'!J199+'pielikums Nr.1'!J253+'pielikums Nr.1'!J254+'pielikums Nr.1'!J256</f>
        <v>315316839.259368</v>
      </c>
      <c r="H24" s="39">
        <f>'pielikums Nr.1'!P176+'pielikums Nr.1'!P177+'pielikums Nr.1'!P197+'pielikums Nr.1'!P199+'pielikums Nr.1'!P253+'pielikums Nr.1'!P254+'pielikums Nr.1'!P256</f>
        <v>266711433.99000001</v>
      </c>
      <c r="I24" s="40">
        <f t="shared" si="10"/>
        <v>0.84585217401159163</v>
      </c>
      <c r="J24" s="39">
        <f>'pielikums Nr.1'!R176+'pielikums Nr.1'!R177+'pielikums Nr.1'!R197+'pielikums Nr.1'!R199+'pielikums Nr.1'!R253+'pielikums Nr.1'!R254+'pielikums Nr.1'!R256</f>
        <v>263910157.99000001</v>
      </c>
      <c r="K24" s="41">
        <f t="shared" si="7"/>
        <v>0.83696817020583303</v>
      </c>
      <c r="L24" s="39">
        <f>'pielikums Nr.1'!AC176+'pielikums Nr.1'!AC177+'pielikums Nr.1'!AC197+'pielikums Nr.1'!AC199+'pielikums Nr.1'!AC253+'pielikums Nr.1'!AC254+'pielikums Nr.1'!AC256</f>
        <v>177505847.10000002</v>
      </c>
      <c r="M24" s="41">
        <f t="shared" si="8"/>
        <v>0.56294439433344146</v>
      </c>
    </row>
    <row r="25" spans="2:15">
      <c r="B25" s="10" t="s">
        <v>188</v>
      </c>
      <c r="C25" s="13">
        <f>C23+C24</f>
        <v>452200135.1013</v>
      </c>
      <c r="D25" s="13">
        <f t="shared" ref="D25:L25" si="13">D23+D24</f>
        <v>448655442</v>
      </c>
      <c r="E25" s="13">
        <f t="shared" si="13"/>
        <v>452200135.1013</v>
      </c>
      <c r="F25" s="13">
        <f t="shared" si="13"/>
        <v>448655442</v>
      </c>
      <c r="G25" s="13">
        <f t="shared" si="13"/>
        <v>452200135.1013</v>
      </c>
      <c r="H25" s="13">
        <f t="shared" si="13"/>
        <v>350033595.79000002</v>
      </c>
      <c r="I25" s="27">
        <f t="shared" si="10"/>
        <v>0.77406787088107998</v>
      </c>
      <c r="J25" s="13">
        <f t="shared" si="13"/>
        <v>347043291.69</v>
      </c>
      <c r="K25" s="31">
        <f t="shared" si="7"/>
        <v>0.7674550818350746</v>
      </c>
      <c r="L25" s="13">
        <f t="shared" si="13"/>
        <v>223718694.58000004</v>
      </c>
      <c r="M25" s="31">
        <f t="shared" si="8"/>
        <v>0.49473380747638102</v>
      </c>
      <c r="O25" s="1"/>
    </row>
    <row r="26" spans="2:15">
      <c r="B26" s="10" t="s">
        <v>160</v>
      </c>
      <c r="C26" s="13">
        <f>'pielikums Nr.1'!F178</f>
        <v>145516627.32562798</v>
      </c>
      <c r="D26" s="13">
        <f>'pielikums Nr.1'!G178</f>
        <v>0</v>
      </c>
      <c r="E26" s="13">
        <f>'pielikums Nr.1'!H178</f>
        <v>145516627.32562798</v>
      </c>
      <c r="F26" s="13">
        <f>'pielikums Nr.1'!I178</f>
        <v>0</v>
      </c>
      <c r="G26" s="13">
        <f>'pielikums Nr.1'!J178</f>
        <v>145516627.32562798</v>
      </c>
      <c r="H26" s="13">
        <f>'pielikums Nr.1'!P178</f>
        <v>144067513.84999999</v>
      </c>
      <c r="I26" s="27">
        <f t="shared" si="10"/>
        <v>0.9900415952303151</v>
      </c>
      <c r="J26" s="13">
        <f>'pielikums Nr.1'!R178</f>
        <v>144063348.84999999</v>
      </c>
      <c r="K26" s="31">
        <f t="shared" si="7"/>
        <v>0.99001297307162062</v>
      </c>
      <c r="L26" s="13">
        <f>'pielikums Nr.1'!AC178</f>
        <v>68759730.179999992</v>
      </c>
      <c r="M26" s="31">
        <f t="shared" si="8"/>
        <v>0.47252146674712148</v>
      </c>
      <c r="O26" s="1"/>
    </row>
    <row r="27" spans="2:15">
      <c r="B27" s="10" t="s">
        <v>170</v>
      </c>
      <c r="C27" s="13">
        <f>'pielikums Nr.1'!F228</f>
        <v>25335213.425843999</v>
      </c>
      <c r="D27" s="13">
        <f>'pielikums Nr.1'!G228</f>
        <v>0</v>
      </c>
      <c r="E27" s="13">
        <f>'pielikums Nr.1'!H228</f>
        <v>25335213.425843999</v>
      </c>
      <c r="F27" s="13">
        <f>'pielikums Nr.1'!I228</f>
        <v>0</v>
      </c>
      <c r="G27" s="13">
        <f>'pielikums Nr.1'!J228</f>
        <v>25335213.425843999</v>
      </c>
      <c r="H27" s="13">
        <f>'pielikums Nr.1'!P228</f>
        <v>24012558.949999996</v>
      </c>
      <c r="I27" s="27">
        <f t="shared" si="10"/>
        <v>0.94779382933893952</v>
      </c>
      <c r="J27" s="13">
        <f>'pielikums Nr.1'!R228</f>
        <v>24012558.949999996</v>
      </c>
      <c r="K27" s="31">
        <f t="shared" si="7"/>
        <v>0.94779382933893952</v>
      </c>
      <c r="L27" s="13">
        <f>'pielikums Nr.1'!AC228</f>
        <v>6406758.2699999996</v>
      </c>
      <c r="M27" s="31">
        <f t="shared" si="8"/>
        <v>0.25287958551257278</v>
      </c>
    </row>
    <row r="28" spans="2:15">
      <c r="B28" s="10" t="s">
        <v>156</v>
      </c>
      <c r="C28" s="13">
        <f>'pielikums Nr.1'!F169+'pielikums Nr.1'!F175</f>
        <v>10218032.2158</v>
      </c>
      <c r="D28" s="13">
        <f>'pielikums Nr.1'!G169+'pielikums Nr.1'!G175</f>
        <v>2971072</v>
      </c>
      <c r="E28" s="13">
        <f>'pielikums Nr.1'!H169+'pielikums Nr.1'!H175</f>
        <v>10218032.2158</v>
      </c>
      <c r="F28" s="13">
        <f>'pielikums Nr.1'!I169+'pielikums Nr.1'!I175</f>
        <v>2971072</v>
      </c>
      <c r="G28" s="13">
        <f>'pielikums Nr.1'!J169+'pielikums Nr.1'!J175</f>
        <v>10218032.2158</v>
      </c>
      <c r="H28" s="13">
        <f>'pielikums Nr.1'!P169+'pielikums Nr.1'!P175</f>
        <v>10202233.66</v>
      </c>
      <c r="I28" s="27">
        <f t="shared" si="10"/>
        <v>0.99845385535430475</v>
      </c>
      <c r="J28" s="13">
        <f>'pielikums Nr.1'!R169+'pielikums Nr.1'!R175</f>
        <v>10202233.66</v>
      </c>
      <c r="K28" s="31">
        <f>J28/G28</f>
        <v>0.99845385535430475</v>
      </c>
      <c r="L28" s="13">
        <f>'pielikums Nr.1'!AC169+'pielikums Nr.1'!AC175</f>
        <v>7554300.46</v>
      </c>
      <c r="M28" s="31">
        <f>L28/G28</f>
        <v>0.73931069118365966</v>
      </c>
    </row>
    <row r="29" spans="2:15">
      <c r="B29" s="10"/>
      <c r="C29" s="13"/>
    </row>
    <row r="30" spans="2:15">
      <c r="B30" s="8" t="s">
        <v>171</v>
      </c>
      <c r="C30" s="9">
        <f>SUM(C31:C34)</f>
        <v>1082161120.5546119</v>
      </c>
      <c r="D30" s="9">
        <f t="shared" ref="D30:E30" si="14">SUM(D31:D34)</f>
        <v>1405996921</v>
      </c>
      <c r="E30" s="9">
        <f t="shared" si="14"/>
        <v>1082161120.5546119</v>
      </c>
      <c r="F30" s="9">
        <f t="shared" ref="F30" si="15">SUM(F31:F34)</f>
        <v>1345776921</v>
      </c>
      <c r="G30" s="9">
        <f t="shared" ref="G30:H30" si="16">SUM(G31:G34)</f>
        <v>1082161120.5546119</v>
      </c>
      <c r="H30" s="9">
        <f t="shared" si="16"/>
        <v>961588809.84000003</v>
      </c>
      <c r="I30" s="26">
        <f t="shared" ref="I30:I33" si="17">H30/G30</f>
        <v>0.88858192331580155</v>
      </c>
      <c r="J30" s="9">
        <f>SUM(J31:J34)</f>
        <v>953993845.08000004</v>
      </c>
      <c r="K30" s="26">
        <f t="shared" ref="K30:K33" si="18">J30/G30</f>
        <v>0.88156359248156535</v>
      </c>
      <c r="L30" s="9">
        <f>SUM(L31:L34)</f>
        <v>456509070.74000007</v>
      </c>
      <c r="M30" s="26">
        <f t="shared" ref="M30:M33" si="19">L30/G30</f>
        <v>0.42184944743351832</v>
      </c>
    </row>
    <row r="31" spans="2:15">
      <c r="B31" s="10" t="s">
        <v>189</v>
      </c>
      <c r="C31" s="13">
        <f>'pielikums Nr.1'!F211+'pielikums Nr.1'!F237+'pielikums Nr.1'!F238+'pielikums Nr.1'!F242+'pielikums Nr.1'!F243</f>
        <v>405680525.60073602</v>
      </c>
      <c r="D31" s="13">
        <f>'pielikums Nr.1'!G211+'pielikums Nr.1'!G237+'pielikums Nr.1'!G238+'pielikums Nr.1'!G242+'pielikums Nr.1'!G243</f>
        <v>461960102</v>
      </c>
      <c r="E31" s="13">
        <f>'pielikums Nr.1'!H211+'pielikums Nr.1'!H237+'pielikums Nr.1'!H238+'pielikums Nr.1'!H242+'pielikums Nr.1'!H243</f>
        <v>405680525.60073602</v>
      </c>
      <c r="F31" s="13">
        <f>'pielikums Nr.1'!I211+'pielikums Nr.1'!I237+'pielikums Nr.1'!I238+'pielikums Nr.1'!I242+'pielikums Nr.1'!I243</f>
        <v>461960102</v>
      </c>
      <c r="G31" s="13">
        <f>'pielikums Nr.1'!J211+'pielikums Nr.1'!J237+'pielikums Nr.1'!J238+'pielikums Nr.1'!J242+'pielikums Nr.1'!J243</f>
        <v>405680525.60073602</v>
      </c>
      <c r="H31" s="13">
        <f>'pielikums Nr.1'!P211+'pielikums Nr.1'!P237+'pielikums Nr.1'!P238+'pielikums Nr.1'!P242+'pielikums Nr.1'!P243</f>
        <v>324242143.95000005</v>
      </c>
      <c r="I31" s="31">
        <f t="shared" si="17"/>
        <v>0.79925489021159901</v>
      </c>
      <c r="J31" s="13">
        <f>'pielikums Nr.1'!R211+'pielikums Nr.1'!R237+'pielikums Nr.1'!R238+'pielikums Nr.1'!R242+'pielikums Nr.1'!R243</f>
        <v>320956733.19</v>
      </c>
      <c r="K31" s="31">
        <f t="shared" si="18"/>
        <v>0.79115637289890572</v>
      </c>
      <c r="L31" s="13">
        <f>'pielikums Nr.1'!AC211+'pielikums Nr.1'!AC237+'pielikums Nr.1'!AC238+'pielikums Nr.1'!AC242+'pielikums Nr.1'!AC243</f>
        <v>230942033.77000004</v>
      </c>
      <c r="M31" s="31">
        <f t="shared" si="19"/>
        <v>0.56927069256779983</v>
      </c>
    </row>
    <row r="32" spans="2:15">
      <c r="B32" s="10" t="s">
        <v>168</v>
      </c>
      <c r="C32" s="13">
        <f>'pielikums Nr.1'!F206+'pielikums Nr.1'!F207+'pielikums Nr.1'!F208+'pielikums Nr.1'!F209+'pielikums Nr.1'!F210+'pielikums Nr.1'!F213</f>
        <v>591210286.62860394</v>
      </c>
      <c r="D32" s="13">
        <f>'pielikums Nr.1'!G206+'pielikums Nr.1'!G207+'pielikums Nr.1'!G208+'pielikums Nr.1'!G209+'pielikums Nr.1'!G210+'pielikums Nr.1'!G213</f>
        <v>841216451</v>
      </c>
      <c r="E32" s="13">
        <f>'pielikums Nr.1'!H206+'pielikums Nr.1'!H207+'pielikums Nr.1'!H208+'pielikums Nr.1'!H209+'pielikums Nr.1'!H210+'pielikums Nr.1'!H213</f>
        <v>591210286.62860394</v>
      </c>
      <c r="F32" s="13">
        <f>'pielikums Nr.1'!I206+'pielikums Nr.1'!I207+'pielikums Nr.1'!I208+'pielikums Nr.1'!I209+'pielikums Nr.1'!I210+'pielikums Nr.1'!I213</f>
        <v>841216451</v>
      </c>
      <c r="G32" s="13">
        <f>'pielikums Nr.1'!J206+'pielikums Nr.1'!J207+'pielikums Nr.1'!J208+'pielikums Nr.1'!J209+'pielikums Nr.1'!J210+'pielikums Nr.1'!J213</f>
        <v>591210286.62860394</v>
      </c>
      <c r="H32" s="13">
        <f>'pielikums Nr.1'!P206+'pielikums Nr.1'!P207+'pielikums Nr.1'!P208+'pielikums Nr.1'!P209+'pielikums Nr.1'!P210+'pielikums Nr.1'!P213</f>
        <v>583628904.43000007</v>
      </c>
      <c r="I32" s="31">
        <f t="shared" si="17"/>
        <v>0.98717650492545228</v>
      </c>
      <c r="J32" s="13">
        <f>'pielikums Nr.1'!R206+'pielikums Nr.1'!R207+'pielikums Nr.1'!R208+'pielikums Nr.1'!R209+'pielikums Nr.1'!R210+'pielikums Nr.1'!R213</f>
        <v>579319350.43000007</v>
      </c>
      <c r="K32" s="31">
        <f t="shared" si="18"/>
        <v>0.97988712905113284</v>
      </c>
      <c r="L32" s="13">
        <f>'pielikums Nr.1'!AC206+'pielikums Nr.1'!AC207+'pielikums Nr.1'!AC208+'pielikums Nr.1'!AC209+'pielikums Nr.1'!AC210+'pielikums Nr.1'!AC213</f>
        <v>209161116.63000003</v>
      </c>
      <c r="M32" s="31">
        <f t="shared" si="19"/>
        <v>0.35378463697366996</v>
      </c>
    </row>
    <row r="33" spans="2:13">
      <c r="B33" s="10" t="s">
        <v>155</v>
      </c>
      <c r="C33" s="13">
        <f>'pielikums Nr.1'!F245+'pielikums Nr.1'!F248+'pielikums Nr.1'!F249+'pielikums Nr.1'!F250</f>
        <v>76696099.525272012</v>
      </c>
      <c r="D33" s="13">
        <f>'pielikums Nr.1'!G246+'pielikums Nr.1'!G248+'pielikums Nr.1'!G249+'pielikums Nr.1'!G250</f>
        <v>90620368</v>
      </c>
      <c r="E33" s="13">
        <f>'pielikums Nr.1'!H245+'pielikums Nr.1'!H248+'pielikums Nr.1'!H249+'pielikums Nr.1'!H250</f>
        <v>76696099.525272012</v>
      </c>
      <c r="F33" s="13">
        <f>'pielikums Nr.1'!I245+'pielikums Nr.1'!I248+'pielikums Nr.1'!I249+'pielikums Nr.1'!I250</f>
        <v>30400368</v>
      </c>
      <c r="G33" s="13">
        <f>'pielikums Nr.1'!J245+'pielikums Nr.1'!J248+'pielikums Nr.1'!J249+'pielikums Nr.1'!J250</f>
        <v>76696099.525272012</v>
      </c>
      <c r="H33" s="13">
        <f>'pielikums Nr.1'!P245+'pielikums Nr.1'!P248+'pielikums Nr.1'!P249+'pielikums Nr.1'!P250</f>
        <v>47254384.93</v>
      </c>
      <c r="I33" s="31">
        <f t="shared" si="17"/>
        <v>0.61612500795336123</v>
      </c>
      <c r="J33" s="13">
        <f>'pielikums Nr.1'!R245+'pielikums Nr.1'!R248+'pielikums Nr.1'!R249+'pielikums Nr.1'!R250</f>
        <v>47254384.93</v>
      </c>
      <c r="K33" s="31">
        <f t="shared" si="18"/>
        <v>0.61612500795336123</v>
      </c>
      <c r="L33" s="13">
        <f>'pielikums Nr.1'!AC245+'pielikums Nr.1'!AC248+'pielikums Nr.1'!AC249+'pielikums Nr.1'!AC250</f>
        <v>14381398.260000002</v>
      </c>
      <c r="M33" s="31">
        <f t="shared" si="19"/>
        <v>0.18751146862770002</v>
      </c>
    </row>
    <row r="34" spans="2:13">
      <c r="B34" s="10" t="s">
        <v>157</v>
      </c>
      <c r="C34" s="13">
        <f>'pielikums Nr.1'!F262</f>
        <v>8574208.7999999989</v>
      </c>
      <c r="D34" s="13">
        <f>'pielikums Nr.1'!G262</f>
        <v>12200000</v>
      </c>
      <c r="E34" s="13">
        <f>'pielikums Nr.1'!H262</f>
        <v>8574208.7999999989</v>
      </c>
      <c r="F34" s="13">
        <f>'pielikums Nr.1'!I262</f>
        <v>12200000</v>
      </c>
      <c r="G34" s="13">
        <f>'pielikums Nr.1'!J262</f>
        <v>8574208.7999999989</v>
      </c>
      <c r="H34" s="13">
        <f>'pielikums Nr.1'!P262</f>
        <v>6463376.5300000003</v>
      </c>
      <c r="I34" s="31">
        <f>H34/G34</f>
        <v>0.75381608738056405</v>
      </c>
      <c r="J34" s="13">
        <f>'pielikums Nr.1'!R262</f>
        <v>6463376.5300000003</v>
      </c>
      <c r="K34" s="31">
        <f>J34/G34</f>
        <v>0.75381608738056405</v>
      </c>
      <c r="L34" s="13">
        <f>'pielikums Nr.1'!AC262</f>
        <v>2024522.08</v>
      </c>
      <c r="M34" s="31">
        <f>L34/G34</f>
        <v>0.23611765554391448</v>
      </c>
    </row>
    <row r="35" spans="2:13">
      <c r="B35" s="10"/>
      <c r="C35" s="13"/>
    </row>
    <row r="36" spans="2:13">
      <c r="B36" s="8" t="s">
        <v>172</v>
      </c>
      <c r="C36" s="9">
        <f t="shared" ref="C36:E36" si="20">C30+C12+C3</f>
        <v>3184016716.4389601</v>
      </c>
      <c r="D36" s="9">
        <f t="shared" si="20"/>
        <v>2450288734</v>
      </c>
      <c r="E36" s="9">
        <f t="shared" si="20"/>
        <v>3184016716.8854604</v>
      </c>
      <c r="F36" s="9">
        <f t="shared" ref="F36:L36" si="21">F30+F12+F3</f>
        <v>1895407009</v>
      </c>
      <c r="G36" s="9">
        <f t="shared" si="21"/>
        <v>3184016716.731936</v>
      </c>
      <c r="H36" s="9">
        <f t="shared" si="21"/>
        <v>2799708662.0100002</v>
      </c>
      <c r="I36" s="30">
        <f>H36/G36</f>
        <v>0.87930086776793426</v>
      </c>
      <c r="J36" s="9">
        <f t="shared" si="21"/>
        <v>2751451063.8000002</v>
      </c>
      <c r="K36" s="30">
        <f>J36/G36</f>
        <v>0.8641446664966258</v>
      </c>
      <c r="L36" s="9">
        <f t="shared" si="21"/>
        <v>1448036475.3900003</v>
      </c>
      <c r="M36" s="30">
        <f>L36/G36</f>
        <v>0.45478293747033466</v>
      </c>
    </row>
    <row r="37" spans="2:13">
      <c r="G37" s="22"/>
    </row>
    <row r="38" spans="2:13">
      <c r="G38" s="23"/>
    </row>
    <row r="39" spans="2:13">
      <c r="B39" s="8" t="s">
        <v>181</v>
      </c>
      <c r="C39" s="9">
        <f t="shared" ref="C39:H39" si="22">SUM(C40:C48)</f>
        <v>3184016716.4389601</v>
      </c>
      <c r="D39" s="9">
        <f t="shared" si="22"/>
        <v>2450288734</v>
      </c>
      <c r="E39" s="9">
        <f t="shared" si="22"/>
        <v>3184016716.8854599</v>
      </c>
      <c r="F39" s="9">
        <f t="shared" si="22"/>
        <v>1895407009</v>
      </c>
      <c r="G39" s="9">
        <f t="shared" si="22"/>
        <v>3184016716.7319365</v>
      </c>
      <c r="H39" s="9">
        <f t="shared" si="22"/>
        <v>2799708662.0100002</v>
      </c>
      <c r="I39" s="30">
        <f>H39/G39</f>
        <v>0.87930086776793415</v>
      </c>
      <c r="J39" s="9">
        <f>SUM(J40:J48)</f>
        <v>2751451063.8000002</v>
      </c>
      <c r="K39" s="30">
        <f>J39/G39</f>
        <v>0.86414466649662569</v>
      </c>
      <c r="L39" s="9">
        <f>SUM(L40:L48)</f>
        <v>1448036475.3900001</v>
      </c>
      <c r="M39" s="30">
        <f>L39/G39</f>
        <v>0.45478293747033455</v>
      </c>
    </row>
    <row r="40" spans="2:13">
      <c r="B40" s="10" t="s">
        <v>5</v>
      </c>
      <c r="C40" s="37">
        <f>C4+C16</f>
        <v>522031945.115228</v>
      </c>
      <c r="D40" s="37">
        <f t="shared" ref="D40:L40" si="23">D4+D16</f>
        <v>17359037</v>
      </c>
      <c r="E40" s="37">
        <f t="shared" si="23"/>
        <v>508687221.57670397</v>
      </c>
      <c r="F40" s="37">
        <f t="shared" si="23"/>
        <v>17359037</v>
      </c>
      <c r="G40" s="37">
        <f t="shared" si="23"/>
        <v>508687221.57670397</v>
      </c>
      <c r="H40" s="37">
        <f t="shared" si="23"/>
        <v>477430859.53000003</v>
      </c>
      <c r="I40" s="31">
        <f t="shared" ref="I40:I48" si="24">H40/G40</f>
        <v>0.9385548511522992</v>
      </c>
      <c r="J40" s="37">
        <f t="shared" si="23"/>
        <v>444314065.53000003</v>
      </c>
      <c r="K40" s="31">
        <f t="shared" ref="K40:K48" si="25">J40/G40</f>
        <v>0.8734523822965794</v>
      </c>
      <c r="L40" s="37">
        <f t="shared" si="23"/>
        <v>220194753.07000002</v>
      </c>
      <c r="M40" s="31">
        <f t="shared" ref="M40:M48" si="26">L40/G40</f>
        <v>0.43286865431275096</v>
      </c>
    </row>
    <row r="41" spans="2:13">
      <c r="B41" s="10" t="s">
        <v>156</v>
      </c>
      <c r="C41" s="37">
        <f>C5+C28</f>
        <v>180080444.73071998</v>
      </c>
      <c r="D41" s="37">
        <f t="shared" ref="D41:L41" si="27">D5+D28</f>
        <v>2971072</v>
      </c>
      <c r="E41" s="37">
        <f t="shared" si="27"/>
        <v>180080444.73071998</v>
      </c>
      <c r="F41" s="37">
        <f t="shared" si="27"/>
        <v>2971072</v>
      </c>
      <c r="G41" s="37">
        <f t="shared" si="27"/>
        <v>180080444.73071995</v>
      </c>
      <c r="H41" s="37">
        <f t="shared" si="27"/>
        <v>175485265.40000001</v>
      </c>
      <c r="I41" s="31">
        <f t="shared" si="24"/>
        <v>0.97448263004019531</v>
      </c>
      <c r="J41" s="37">
        <f t="shared" si="27"/>
        <v>175287844.66</v>
      </c>
      <c r="K41" s="31">
        <f t="shared" si="25"/>
        <v>0.97338633810080555</v>
      </c>
      <c r="L41" s="37">
        <f t="shared" si="27"/>
        <v>124349095.66999999</v>
      </c>
      <c r="M41" s="31">
        <f t="shared" si="26"/>
        <v>0.69051970554572517</v>
      </c>
    </row>
    <row r="42" spans="2:13">
      <c r="B42" s="10" t="s">
        <v>155</v>
      </c>
      <c r="C42" s="37">
        <f>C6+C13+C33</f>
        <v>509721837.346488</v>
      </c>
      <c r="D42" s="37">
        <f t="shared" ref="D42:L42" si="28">D6+D13+D33</f>
        <v>585282093</v>
      </c>
      <c r="E42" s="37">
        <f t="shared" si="28"/>
        <v>524861448.23448801</v>
      </c>
      <c r="F42" s="37">
        <f t="shared" si="28"/>
        <v>30400368</v>
      </c>
      <c r="G42" s="37">
        <f t="shared" si="28"/>
        <v>524861448.04344004</v>
      </c>
      <c r="H42" s="37">
        <f t="shared" si="28"/>
        <v>424920990.70999998</v>
      </c>
      <c r="I42" s="31">
        <f t="shared" si="24"/>
        <v>0.80958697251247058</v>
      </c>
      <c r="J42" s="37">
        <f t="shared" si="28"/>
        <v>421175351.39000005</v>
      </c>
      <c r="K42" s="31">
        <f t="shared" si="25"/>
        <v>0.80245053806112576</v>
      </c>
      <c r="L42" s="37">
        <f t="shared" si="28"/>
        <v>240873769.51999998</v>
      </c>
      <c r="M42" s="31">
        <f t="shared" si="26"/>
        <v>0.45892829511087296</v>
      </c>
    </row>
    <row r="43" spans="2:13">
      <c r="B43" s="10" t="s">
        <v>159</v>
      </c>
      <c r="C43" s="37">
        <f>C7</f>
        <v>8279706.1583080003</v>
      </c>
      <c r="D43" s="37">
        <f t="shared" ref="D43:L43" si="29">D7</f>
        <v>0</v>
      </c>
      <c r="E43" s="37">
        <f t="shared" si="29"/>
        <v>8279706.1583080003</v>
      </c>
      <c r="F43" s="37">
        <f t="shared" si="29"/>
        <v>0</v>
      </c>
      <c r="G43" s="37">
        <f t="shared" si="29"/>
        <v>8279706.1583080003</v>
      </c>
      <c r="H43" s="37">
        <f t="shared" si="29"/>
        <v>7456720.1300000008</v>
      </c>
      <c r="I43" s="31">
        <f t="shared" si="24"/>
        <v>0.9006020246887384</v>
      </c>
      <c r="J43" s="37">
        <f t="shared" si="29"/>
        <v>6848409.8399999999</v>
      </c>
      <c r="K43" s="31">
        <f t="shared" si="25"/>
        <v>0.82713199104634738</v>
      </c>
      <c r="L43" s="37">
        <f t="shared" si="29"/>
        <v>3577926.6600000006</v>
      </c>
      <c r="M43" s="31">
        <f t="shared" si="26"/>
        <v>0.4321320819350391</v>
      </c>
    </row>
    <row r="44" spans="2:13">
      <c r="B44" s="10" t="s">
        <v>160</v>
      </c>
      <c r="C44" s="37">
        <f>C8+C26</f>
        <v>154236973.32562798</v>
      </c>
      <c r="D44" s="37">
        <f t="shared" ref="D44:L44" si="30">D8+D26</f>
        <v>0</v>
      </c>
      <c r="E44" s="37">
        <f t="shared" si="30"/>
        <v>154236973.32562798</v>
      </c>
      <c r="F44" s="37">
        <f t="shared" si="30"/>
        <v>0</v>
      </c>
      <c r="G44" s="37">
        <f t="shared" si="30"/>
        <v>154236973.32562798</v>
      </c>
      <c r="H44" s="37">
        <f t="shared" si="30"/>
        <v>152787858.84999999</v>
      </c>
      <c r="I44" s="31">
        <f t="shared" si="24"/>
        <v>0.99060462323408938</v>
      </c>
      <c r="J44" s="37">
        <f t="shared" si="30"/>
        <v>152783693.84999999</v>
      </c>
      <c r="K44" s="31">
        <f t="shared" si="25"/>
        <v>0.99057761933281852</v>
      </c>
      <c r="L44" s="37">
        <f t="shared" si="30"/>
        <v>74378240.36999999</v>
      </c>
      <c r="M44" s="31">
        <f t="shared" si="26"/>
        <v>0.48223353172894062</v>
      </c>
    </row>
    <row r="45" spans="2:13">
      <c r="B45" s="10" t="s">
        <v>157</v>
      </c>
      <c r="C45" s="37">
        <f>C9+C19+C34</f>
        <v>82640890.066179991</v>
      </c>
      <c r="D45" s="37">
        <f t="shared" ref="D45:L45" si="31">D9+D19+D34</f>
        <v>69810045</v>
      </c>
      <c r="E45" s="37">
        <f t="shared" si="31"/>
        <v>80846003.163203999</v>
      </c>
      <c r="F45" s="37">
        <f t="shared" si="31"/>
        <v>69810045</v>
      </c>
      <c r="G45" s="37">
        <f t="shared" si="31"/>
        <v>80846003.200727999</v>
      </c>
      <c r="H45" s="37">
        <f t="shared" si="31"/>
        <v>73694691.320000008</v>
      </c>
      <c r="I45" s="31">
        <f t="shared" si="24"/>
        <v>0.91154402694500059</v>
      </c>
      <c r="J45" s="37">
        <f t="shared" si="31"/>
        <v>73694691.320000008</v>
      </c>
      <c r="K45" s="31">
        <f t="shared" si="25"/>
        <v>0.91154402694500059</v>
      </c>
      <c r="L45" s="37">
        <f t="shared" si="31"/>
        <v>29128661.43</v>
      </c>
      <c r="M45" s="31">
        <f t="shared" si="26"/>
        <v>0.36029810104128562</v>
      </c>
    </row>
    <row r="46" spans="2:13">
      <c r="B46" s="10" t="s">
        <v>188</v>
      </c>
      <c r="C46" s="37">
        <f>C10+C24+C23+C31</f>
        <v>862907376.70203602</v>
      </c>
      <c r="D46" s="37">
        <f t="shared" ref="D46:H46" si="32">D10+D24+D23+D31</f>
        <v>910615544</v>
      </c>
      <c r="E46" s="37">
        <f t="shared" si="32"/>
        <v>862907376.70203602</v>
      </c>
      <c r="F46" s="37">
        <f t="shared" si="32"/>
        <v>910615544</v>
      </c>
      <c r="G46" s="37">
        <f t="shared" si="32"/>
        <v>862907376.70203602</v>
      </c>
      <c r="H46" s="37">
        <f t="shared" si="32"/>
        <v>679250867.94000006</v>
      </c>
      <c r="I46" s="31">
        <f t="shared" si="24"/>
        <v>0.78716544356828111</v>
      </c>
      <c r="J46" s="37">
        <f>J10+J24+J23+J31</f>
        <v>672975153.07999992</v>
      </c>
      <c r="K46" s="31">
        <f t="shared" si="25"/>
        <v>0.77989268750031771</v>
      </c>
      <c r="L46" s="37">
        <f>L10+L24+L23+L31</f>
        <v>458029329.48000008</v>
      </c>
      <c r="M46" s="31">
        <f t="shared" si="26"/>
        <v>0.530797791103087</v>
      </c>
    </row>
    <row r="47" spans="2:13">
      <c r="B47" s="10" t="s">
        <v>170</v>
      </c>
      <c r="C47" s="37">
        <f>C27</f>
        <v>25335213.425843999</v>
      </c>
      <c r="D47" s="37">
        <f t="shared" ref="D47:L47" si="33">D27</f>
        <v>0</v>
      </c>
      <c r="E47" s="37">
        <f t="shared" si="33"/>
        <v>25335213.425843999</v>
      </c>
      <c r="F47" s="37">
        <f t="shared" si="33"/>
        <v>0</v>
      </c>
      <c r="G47" s="37">
        <f t="shared" si="33"/>
        <v>25335213.425843999</v>
      </c>
      <c r="H47" s="37">
        <f t="shared" si="33"/>
        <v>24012558.949999996</v>
      </c>
      <c r="I47" s="31">
        <f t="shared" si="24"/>
        <v>0.94779382933893952</v>
      </c>
      <c r="J47" s="37">
        <f t="shared" si="33"/>
        <v>24012558.949999996</v>
      </c>
      <c r="K47" s="31">
        <f t="shared" si="25"/>
        <v>0.94779382933893952</v>
      </c>
      <c r="L47" s="37">
        <f t="shared" si="33"/>
        <v>6406758.2699999996</v>
      </c>
      <c r="M47" s="31">
        <f t="shared" si="26"/>
        <v>0.25287958551257278</v>
      </c>
    </row>
    <row r="48" spans="2:13">
      <c r="B48" s="10" t="s">
        <v>168</v>
      </c>
      <c r="C48" s="37">
        <f>C22+C32</f>
        <v>838782329.56852794</v>
      </c>
      <c r="D48" s="37">
        <f t="shared" ref="D48:G48" si="34">D22+D32</f>
        <v>864250943</v>
      </c>
      <c r="E48" s="37">
        <f t="shared" si="34"/>
        <v>838782329.56852794</v>
      </c>
      <c r="F48" s="37">
        <f t="shared" si="34"/>
        <v>864250943</v>
      </c>
      <c r="G48" s="37">
        <f t="shared" si="34"/>
        <v>838782329.56852794</v>
      </c>
      <c r="H48" s="37">
        <f>H22+H32</f>
        <v>784668849.18000007</v>
      </c>
      <c r="I48" s="31">
        <f t="shared" si="24"/>
        <v>0.93548566954627665</v>
      </c>
      <c r="J48" s="37">
        <f>J22+J32</f>
        <v>780359295.18000007</v>
      </c>
      <c r="K48" s="31">
        <f t="shared" si="25"/>
        <v>0.93034780022299601</v>
      </c>
      <c r="L48" s="37">
        <f>L22+L32</f>
        <v>291097940.92000002</v>
      </c>
      <c r="M48" s="31">
        <f t="shared" si="26"/>
        <v>0.34704825156455266</v>
      </c>
    </row>
  </sheetData>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pielikums Nr.1</vt:lpstr>
      <vt:lpstr>cet.plāni</vt:lpstr>
      <vt:lpstr>Apguve dalījumā pa ministr</vt:lpstr>
      <vt:lpstr>cet.plāni!Print_Area</vt:lpstr>
      <vt:lpstr>'pielikums Nr.1'!Print_Area</vt:lpstr>
      <vt:lpstr>cet.plāni!Print_Titles</vt:lpstr>
      <vt:lpstr>'pielikums Nr.1'!Print_Titles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2.pielikums</dc:title>
  <dc:subject>Virssaistību iespējas 2007.-2013.gada plānošanas perioda ES fondu projektos dalījumā pa ceturkšņiem un gadiem (LVL), kumulatīvi gada ietvaros</dc:subject>
  <dc:creator>Signe Albiņa</dc:creator>
  <dc:description>Signe Albiņa
Finanšu ministrijas Eiropas Savienības fondu uzraudzības departamenta
Uzņēmējdarbības un inovāciju uzraudzības nodaļas vadītāja vietniece
Tālr. 67083808, fakss 67095697
Signe.Albina@fm.gov.lv</dc:description>
  <cp:lastModifiedBy>Lagzdiņa Lelde</cp:lastModifiedBy>
  <cp:lastPrinted>2012-11-14T09:04:25Z</cp:lastPrinted>
  <dcterms:created xsi:type="dcterms:W3CDTF">2009-08-06T12:09:10Z</dcterms:created>
  <dcterms:modified xsi:type="dcterms:W3CDTF">2012-11-20T07:52:01Z</dcterms:modified>
</cp:coreProperties>
</file>