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22056" windowHeight="8736"/>
  </bookViews>
  <sheets>
    <sheet name="3.pielikums" sheetId="1" r:id="rId1"/>
  </sheets>
  <calcPr calcId="145621"/>
</workbook>
</file>

<file path=xl/calcChain.xml><?xml version="1.0" encoding="utf-8"?>
<calcChain xmlns="http://schemas.openxmlformats.org/spreadsheetml/2006/main">
  <c r="M20" i="1" l="1"/>
  <c r="O21" i="1" l="1"/>
  <c r="N21" i="1"/>
  <c r="K21" i="1"/>
  <c r="G21" i="1"/>
  <c r="F21" i="1"/>
  <c r="E21" i="1"/>
  <c r="D21" i="1"/>
  <c r="D22" i="1" s="1"/>
  <c r="C21" i="1"/>
  <c r="J21" i="1" s="1"/>
  <c r="T20" i="1"/>
  <c r="S20" i="1"/>
  <c r="P20" i="1"/>
  <c r="K20" i="1"/>
  <c r="J20" i="1"/>
  <c r="G20" i="1"/>
  <c r="T19" i="1"/>
  <c r="S19" i="1"/>
  <c r="P19" i="1"/>
  <c r="K19" i="1"/>
  <c r="J19" i="1"/>
  <c r="G19" i="1"/>
  <c r="T18" i="1"/>
  <c r="O18" i="1"/>
  <c r="N18" i="1"/>
  <c r="P18" i="1" s="1"/>
  <c r="K18" i="1"/>
  <c r="J18" i="1"/>
  <c r="G18" i="1"/>
  <c r="F18" i="1"/>
  <c r="E18" i="1"/>
  <c r="T17" i="1"/>
  <c r="S17" i="1"/>
  <c r="P17" i="1"/>
  <c r="K17" i="1"/>
  <c r="J17" i="1"/>
  <c r="G17" i="1"/>
  <c r="T16" i="1"/>
  <c r="S16" i="1"/>
  <c r="P16" i="1"/>
  <c r="K16" i="1"/>
  <c r="J16" i="1"/>
  <c r="G16" i="1"/>
  <c r="T15" i="1"/>
  <c r="S15" i="1"/>
  <c r="P15" i="1"/>
  <c r="K15" i="1"/>
  <c r="J15" i="1"/>
  <c r="G15" i="1"/>
  <c r="T14" i="1"/>
  <c r="S14" i="1"/>
  <c r="P14" i="1"/>
  <c r="K14" i="1"/>
  <c r="J14" i="1"/>
  <c r="G14" i="1"/>
  <c r="S13" i="1"/>
  <c r="P13" i="1"/>
  <c r="M13" i="1"/>
  <c r="T13" i="1" s="1"/>
  <c r="L13" i="1"/>
  <c r="K13" i="1"/>
  <c r="J13" i="1"/>
  <c r="G13" i="1"/>
  <c r="T12" i="1"/>
  <c r="S12" i="1"/>
  <c r="P12" i="1"/>
  <c r="K12" i="1"/>
  <c r="J12" i="1"/>
  <c r="G12" i="1"/>
  <c r="T11" i="1"/>
  <c r="S11" i="1"/>
  <c r="P11" i="1"/>
  <c r="K11" i="1"/>
  <c r="J11" i="1"/>
  <c r="G11" i="1"/>
  <c r="S10" i="1"/>
  <c r="O10" i="1"/>
  <c r="N10" i="1"/>
  <c r="F10" i="1"/>
  <c r="K10" i="1" s="1"/>
  <c r="E10" i="1"/>
  <c r="T9" i="1"/>
  <c r="S9" i="1"/>
  <c r="P9" i="1"/>
  <c r="O9" i="1"/>
  <c r="K9" i="1"/>
  <c r="J9" i="1"/>
  <c r="G9" i="1"/>
  <c r="T8" i="1"/>
  <c r="S8" i="1"/>
  <c r="P8" i="1"/>
  <c r="K8" i="1"/>
  <c r="J8" i="1"/>
  <c r="G8" i="1"/>
  <c r="O7" i="1"/>
  <c r="O22" i="1" s="1"/>
  <c r="N7" i="1"/>
  <c r="K7" i="1"/>
  <c r="F7" i="1"/>
  <c r="E7" i="1"/>
  <c r="G7" i="1" s="1"/>
  <c r="T6" i="1"/>
  <c r="S6" i="1"/>
  <c r="P6" i="1"/>
  <c r="K6" i="1"/>
  <c r="J6" i="1"/>
  <c r="G6" i="1"/>
  <c r="P5" i="1"/>
  <c r="M5" i="1"/>
  <c r="T5" i="1" s="1"/>
  <c r="L5" i="1"/>
  <c r="K5" i="1"/>
  <c r="J5" i="1"/>
  <c r="G5" i="1"/>
  <c r="R19" i="1" l="1"/>
  <c r="R17" i="1"/>
  <c r="R15" i="1"/>
  <c r="R13" i="1"/>
  <c r="R12" i="1"/>
  <c r="R7" i="1"/>
  <c r="R5" i="1"/>
  <c r="R8" i="1"/>
  <c r="R6" i="1"/>
  <c r="R22" i="1"/>
  <c r="R20" i="1"/>
  <c r="R18" i="1"/>
  <c r="R16" i="1"/>
  <c r="R14" i="1"/>
  <c r="R11" i="1"/>
  <c r="R9" i="1"/>
  <c r="Q10" i="1"/>
  <c r="R10" i="1"/>
  <c r="R21" i="1"/>
  <c r="L22" i="1"/>
  <c r="Q7" i="1"/>
  <c r="J10" i="1"/>
  <c r="P10" i="1"/>
  <c r="T10" i="1"/>
  <c r="L21" i="1"/>
  <c r="S21" i="1" s="1"/>
  <c r="P21" i="1"/>
  <c r="F22" i="1"/>
  <c r="N22" i="1"/>
  <c r="J7" i="1"/>
  <c r="P7" i="1"/>
  <c r="T7" i="1"/>
  <c r="G10" i="1"/>
  <c r="S18" i="1"/>
  <c r="M21" i="1"/>
  <c r="M22" i="1" s="1"/>
  <c r="T22" i="1" s="1"/>
  <c r="C22" i="1"/>
  <c r="E22" i="1"/>
  <c r="S5" i="1"/>
  <c r="S7" i="1"/>
  <c r="I9" i="1" l="1"/>
  <c r="I7" i="1"/>
  <c r="I6" i="1"/>
  <c r="I5" i="1"/>
  <c r="I14" i="1"/>
  <c r="I13" i="1"/>
  <c r="I10" i="1"/>
  <c r="K22" i="1"/>
  <c r="I19" i="1"/>
  <c r="I17" i="1"/>
  <c r="I15" i="1"/>
  <c r="I12" i="1"/>
  <c r="I8" i="1"/>
  <c r="I22" i="1"/>
  <c r="I20" i="1"/>
  <c r="I16" i="1"/>
  <c r="I11" i="1"/>
  <c r="I18" i="1"/>
  <c r="T21" i="1"/>
  <c r="I21" i="1"/>
  <c r="H22" i="1"/>
  <c r="H20" i="1"/>
  <c r="H16" i="1"/>
  <c r="H14" i="1"/>
  <c r="H13" i="1"/>
  <c r="H11" i="1"/>
  <c r="H8" i="1"/>
  <c r="H7" i="1"/>
  <c r="H5" i="1"/>
  <c r="G22" i="1"/>
  <c r="H9" i="1"/>
  <c r="J22" i="1"/>
  <c r="H21" i="1"/>
  <c r="H19" i="1"/>
  <c r="H18" i="1"/>
  <c r="H17" i="1"/>
  <c r="H15" i="1"/>
  <c r="H12" i="1"/>
  <c r="H6" i="1"/>
  <c r="P22" i="1"/>
  <c r="Q5" i="1"/>
  <c r="Q6" i="1"/>
  <c r="Q22" i="1"/>
  <c r="Q20" i="1"/>
  <c r="Q18" i="1"/>
  <c r="Q11" i="1"/>
  <c r="Q9" i="1"/>
  <c r="S22" i="1"/>
  <c r="Q19" i="1"/>
  <c r="Q17" i="1"/>
  <c r="Q15" i="1"/>
  <c r="Q13" i="1"/>
  <c r="Q12" i="1"/>
  <c r="Q8" i="1"/>
  <c r="Q16" i="1"/>
  <c r="Q14" i="1"/>
  <c r="H10" i="1"/>
  <c r="Q21" i="1"/>
</calcChain>
</file>

<file path=xl/comments1.xml><?xml version="1.0" encoding="utf-8"?>
<comments xmlns="http://schemas.openxmlformats.org/spreadsheetml/2006/main">
  <authors>
    <author>FM</author>
    <author>au-avota</author>
  </authors>
  <commentList>
    <comment ref="L2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Katru gadu adbildīgo iestāžu aktualizētais, ņemot vērā norakstītās un anulētās summas 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VI+SM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VI+SM</t>
        </r>
      </text>
    </comment>
    <comment ref="M5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VI+SM</t>
        </r>
      </text>
    </comment>
    <comment ref="L13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VI+(TEN-E)
</t>
        </r>
      </text>
    </comment>
    <comment ref="M13" authorId="1">
      <text>
        <r>
          <rPr>
            <b/>
            <sz val="9"/>
            <color indexed="81"/>
            <rFont val="Tahoma"/>
            <family val="2"/>
            <charset val="186"/>
          </rPr>
          <t>au-avota:</t>
        </r>
        <r>
          <rPr>
            <sz val="9"/>
            <color indexed="81"/>
            <rFont val="Tahoma"/>
            <family val="2"/>
            <charset val="186"/>
          </rPr>
          <t xml:space="preserve">
VI+(TEN-E)</t>
        </r>
      </text>
    </comment>
    <comment ref="L20" authorId="1">
      <text>
        <r>
          <rPr>
            <b/>
            <sz val="9"/>
            <color indexed="81"/>
            <rFont val="Tahoma"/>
            <family val="2"/>
            <charset val="186"/>
          </rPr>
          <t>au-avota:</t>
        </r>
        <r>
          <rPr>
            <sz val="9"/>
            <color indexed="81"/>
            <rFont val="Tahoma"/>
            <family val="2"/>
            <charset val="186"/>
          </rPr>
          <t xml:space="preserve">
VARAM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D21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E21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</t>
        </r>
      </text>
    </comment>
    <comment ref="F21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L21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Iepriekšējais ziņojums + KM+IeM</t>
        </r>
      </text>
    </comment>
    <comment ref="M21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Iepriekšējais ziņojums + KM+IeM</t>
        </r>
      </text>
    </comment>
    <comment ref="N21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Iepriekšējais ziņojums + KM+IeM</t>
        </r>
      </text>
    </comment>
    <comment ref="O21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Iepriekšējais ziņojums + KM+IeM</t>
        </r>
      </text>
    </comment>
  </commentList>
</comments>
</file>

<file path=xl/sharedStrings.xml><?xml version="1.0" encoding="utf-8"?>
<sst xmlns="http://schemas.openxmlformats.org/spreadsheetml/2006/main" count="60" uniqueCount="58">
  <si>
    <t>2012.gadā un kopā 2007.- 2013.gada plānošanas periodā līdz 2012.gada 31.decembrim konstatētais neatbilstību apjoms un neatbilstību gadījumu skaits sadalījumā pa nozarēm, izņemot maksātnespējas un bankrota gadījumus</t>
  </si>
  <si>
    <t>3.pielikums</t>
  </si>
  <si>
    <t>Nr.p.k.</t>
  </si>
  <si>
    <t>Nozare vai joma</t>
  </si>
  <si>
    <t>2012.gadā</t>
  </si>
  <si>
    <t>2007.- 2013.gada plānošanas periodā līdz 31.12.2012.</t>
  </si>
  <si>
    <t>Kopējais pieprasītais publiskais finansējums [2]</t>
  </si>
  <si>
    <t>Apstirpināto projektu skaits</t>
  </si>
  <si>
    <t xml:space="preserve">Neatbilstību apjoms (LVL) </t>
  </si>
  <si>
    <t>Neatbilstību gadījumu skaits</t>
  </si>
  <si>
    <t>Neatbilstību apjoms vidēji uz vienu neatbilstību, LVL</t>
  </si>
  <si>
    <t>Attiecīgās nozares/jomas neatbilstību īpatsvars kopējā konstatētajā neatbilstību apjomā, %</t>
  </si>
  <si>
    <t>Attiecīgās nozares/jomas neatbilstību gadījumu skaita īpatsvars kopējā konstatēto neatbilstību skaitā, %</t>
  </si>
  <si>
    <t>Kopējais pārskata periodā konstatēto neatbilstību apjoms pret kopējo apgūto finansējumu nozarē/jomā, %</t>
  </si>
  <si>
    <t>Kopējais neatbilstību gadījumu skaits pret apstiprināto projektu skaitu nozarē/jomā, %</t>
  </si>
  <si>
    <t>Kopējais pieprasītais publiskais finansējums līdz 31.12.2012.</t>
  </si>
  <si>
    <t>Apstirpināto projektu skaits līdz 31.12.2012.</t>
  </si>
  <si>
    <t xml:space="preserve">Neatbilstību apjoms līdz 31.12.2012.
 (LVL) </t>
  </si>
  <si>
    <t>Neatbilstību gadījumu skaits līdz 31.12.2012.</t>
  </si>
  <si>
    <t>Attiecīgās nozares/jomas neatbilstību gadījumu skaita īpatsvars kopējā  konstatēto neatbilstību skaitā, %</t>
  </si>
  <si>
    <t>Neatbilstību īpatsvars, jeb kopējo konstatēto neatbilstību apjoms pret kopējo pieprasīto publisko finansējumu, %</t>
  </si>
  <si>
    <t>Neatbilstību skaita īpatsvars, jeb kopējais apstiprināto projektu skaits pret apstiprināto projektu skaitu, %</t>
  </si>
  <si>
    <t>7=5/6</t>
  </si>
  <si>
    <t>8=5/$E$24*100%</t>
  </si>
  <si>
    <t>9=6/$F$24*100%</t>
  </si>
  <si>
    <t>10=5/3*100%</t>
  </si>
  <si>
    <t>11=6/4*100%</t>
  </si>
  <si>
    <t>16=14/15</t>
  </si>
  <si>
    <t>17=14/$N$24*100%</t>
  </si>
  <si>
    <t>18=15/$O$24*100%</t>
  </si>
  <si>
    <t>19=14/12*100%</t>
  </si>
  <si>
    <t>20=15/13*100%</t>
  </si>
  <si>
    <t>Transports/IKT</t>
  </si>
  <si>
    <t>Vide</t>
  </si>
  <si>
    <t>Uzņēmējdarbība un inovācijas</t>
  </si>
  <si>
    <t>Izglītība</t>
  </si>
  <si>
    <t>Nodarbinātība, sociālā iekļaušanās</t>
  </si>
  <si>
    <t>Pilsētvide</t>
  </si>
  <si>
    <t>Zinātne</t>
  </si>
  <si>
    <t>Veselība</t>
  </si>
  <si>
    <t>Enerģētika</t>
  </si>
  <si>
    <t>Atbalsts ES fondu vadībai</t>
  </si>
  <si>
    <t>Kultūra</t>
  </si>
  <si>
    <t>Administratīvā kapacitāte</t>
  </si>
  <si>
    <t>Tūrisms</t>
  </si>
  <si>
    <t>Lauksaimniecības attīstība[7]</t>
  </si>
  <si>
    <t>Zivsaimniecības attīstība</t>
  </si>
  <si>
    <t>Reģionālā attīstība</t>
  </si>
  <si>
    <t>Migrācija un integrācija[8]</t>
  </si>
  <si>
    <t>Kopā</t>
  </si>
  <si>
    <t>[7] Neskaitot priekšfinansējumu</t>
  </si>
  <si>
    <t>[8] Vispārīgās programmas „Solidaritāte un migrācijas plūsmu pārvaldība” fondi</t>
  </si>
  <si>
    <t>A.Avota</t>
  </si>
  <si>
    <t xml:space="preserve">67083954, aiva.avota@fm.gov.lv </t>
  </si>
  <si>
    <t>I.Viņķele</t>
  </si>
  <si>
    <t>finanšu ministra vietā –</t>
  </si>
  <si>
    <t>labklājības ministre</t>
  </si>
  <si>
    <t>11.06.2013.  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</si>
</sst>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b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u/>
      <sz val="12"/>
      <color theme="10"/>
      <name val="Times New Roman"/>
      <family val="2"/>
      <charset val="186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8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0"/>
      <color theme="1"/>
      <name val="Times New Roman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2"/>
      <color indexed="8"/>
      <name val="Times New Roman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78">
    <xf numFmtId="0" fontId="0" fillId="0" borderId="0" xfId="0"/>
    <xf numFmtId="0" fontId="3" fillId="0" borderId="1" xfId="0" applyFont="1" applyBorder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6" fillId="3" borderId="11" xfId="2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wrapText="1"/>
    </xf>
    <xf numFmtId="0" fontId="8" fillId="4" borderId="15" xfId="0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wrapText="1"/>
    </xf>
    <xf numFmtId="49" fontId="9" fillId="0" borderId="11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4" fontId="11" fillId="0" borderId="14" xfId="0" applyNumberFormat="1" applyFont="1" applyBorder="1" applyAlignment="1">
      <alignment horizontal="center" vertical="center" wrapText="1"/>
    </xf>
    <xf numFmtId="3" fontId="11" fillId="0" borderId="11" xfId="0" applyNumberFormat="1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4" fontId="11" fillId="5" borderId="11" xfId="0" applyNumberFormat="1" applyFont="1" applyFill="1" applyBorder="1" applyAlignment="1">
      <alignment horizontal="center" vertical="center" wrapText="1"/>
    </xf>
    <xf numFmtId="10" fontId="11" fillId="5" borderId="11" xfId="1" applyNumberFormat="1" applyFont="1" applyFill="1" applyBorder="1" applyAlignment="1">
      <alignment horizontal="center" vertical="center" wrapText="1"/>
    </xf>
    <xf numFmtId="10" fontId="11" fillId="5" borderId="12" xfId="1" applyNumberFormat="1" applyFont="1" applyFill="1" applyBorder="1" applyAlignment="1">
      <alignment horizontal="center" vertical="center" wrapText="1"/>
    </xf>
    <xf numFmtId="10" fontId="11" fillId="5" borderId="13" xfId="1" applyNumberFormat="1" applyFont="1" applyFill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 wrapText="1"/>
    </xf>
    <xf numFmtId="4" fontId="0" fillId="5" borderId="11" xfId="0" applyNumberFormat="1" applyFill="1" applyBorder="1" applyAlignment="1">
      <alignment horizontal="center" vertical="center"/>
    </xf>
    <xf numFmtId="10" fontId="0" fillId="5" borderId="11" xfId="1" applyNumberFormat="1" applyFont="1" applyFill="1" applyBorder="1" applyAlignment="1">
      <alignment horizontal="center" vertical="center"/>
    </xf>
    <xf numFmtId="10" fontId="0" fillId="5" borderId="13" xfId="0" applyNumberForma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 wrapText="1"/>
    </xf>
    <xf numFmtId="4" fontId="11" fillId="6" borderId="14" xfId="0" applyNumberFormat="1" applyFont="1" applyFill="1" applyBorder="1" applyAlignment="1">
      <alignment horizontal="center" vertical="center" wrapText="1"/>
    </xf>
    <xf numFmtId="3" fontId="11" fillId="6" borderId="11" xfId="0" applyNumberFormat="1" applyFont="1" applyFill="1" applyBorder="1" applyAlignment="1">
      <alignment horizontal="center" vertical="center" wrapText="1"/>
    </xf>
    <xf numFmtId="4" fontId="11" fillId="6" borderId="11" xfId="0" applyNumberFormat="1" applyFont="1" applyFill="1" applyBorder="1" applyAlignment="1">
      <alignment horizontal="center" vertical="center" wrapText="1"/>
    </xf>
    <xf numFmtId="3" fontId="11" fillId="6" borderId="15" xfId="0" applyNumberFormat="1" applyFont="1" applyFill="1" applyBorder="1" applyAlignment="1">
      <alignment horizontal="center" vertical="center" wrapText="1"/>
    </xf>
    <xf numFmtId="0" fontId="5" fillId="0" borderId="10" xfId="2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3" fontId="13" fillId="0" borderId="11" xfId="0" applyNumberFormat="1" applyFont="1" applyBorder="1" applyAlignment="1">
      <alignment horizontal="center" vertical="center" wrapText="1"/>
    </xf>
    <xf numFmtId="4" fontId="13" fillId="0" borderId="11" xfId="0" applyNumberFormat="1" applyFont="1" applyBorder="1" applyAlignment="1">
      <alignment horizontal="center" vertical="center" wrapText="1"/>
    </xf>
    <xf numFmtId="4" fontId="13" fillId="6" borderId="14" xfId="0" applyNumberFormat="1" applyFont="1" applyFill="1" applyBorder="1" applyAlignment="1">
      <alignment horizontal="center" vertical="center" wrapText="1"/>
    </xf>
    <xf numFmtId="3" fontId="13" fillId="6" borderId="15" xfId="0" applyNumberFormat="1" applyFont="1" applyFill="1" applyBorder="1" applyAlignment="1">
      <alignment horizontal="center" vertical="center" wrapText="1"/>
    </xf>
    <xf numFmtId="4" fontId="13" fillId="6" borderId="11" xfId="0" applyNumberFormat="1" applyFont="1" applyFill="1" applyBorder="1" applyAlignment="1">
      <alignment horizontal="center" vertical="center" wrapText="1"/>
    </xf>
    <xf numFmtId="3" fontId="13" fillId="6" borderId="11" xfId="0" applyNumberFormat="1" applyFont="1" applyFill="1" applyBorder="1" applyAlignment="1">
      <alignment horizontal="center" vertical="center" wrapText="1"/>
    </xf>
    <xf numFmtId="4" fontId="14" fillId="7" borderId="16" xfId="0" applyNumberFormat="1" applyFont="1" applyFill="1" applyBorder="1" applyAlignment="1">
      <alignment horizontal="center" vertical="center" wrapText="1"/>
    </xf>
    <xf numFmtId="3" fontId="14" fillId="7" borderId="18" xfId="0" applyNumberFormat="1" applyFont="1" applyFill="1" applyBorder="1" applyAlignment="1">
      <alignment horizontal="center" vertical="center" wrapText="1"/>
    </xf>
    <xf numFmtId="4" fontId="14" fillId="7" borderId="18" xfId="0" applyNumberFormat="1" applyFont="1" applyFill="1" applyBorder="1" applyAlignment="1">
      <alignment horizontal="center" vertical="center" wrapText="1"/>
    </xf>
    <xf numFmtId="9" fontId="14" fillId="7" borderId="18" xfId="1" applyFont="1" applyFill="1" applyBorder="1" applyAlignment="1">
      <alignment horizontal="center" vertical="center" wrapText="1"/>
    </xf>
    <xf numFmtId="10" fontId="14" fillId="7" borderId="17" xfId="1" applyNumberFormat="1" applyFont="1" applyFill="1" applyBorder="1" applyAlignment="1">
      <alignment horizontal="center" vertical="center" wrapText="1"/>
    </xf>
    <xf numFmtId="10" fontId="14" fillId="7" borderId="19" xfId="1" applyNumberFormat="1" applyFont="1" applyFill="1" applyBorder="1" applyAlignment="1">
      <alignment horizontal="center" vertical="center" wrapText="1"/>
    </xf>
    <xf numFmtId="3" fontId="14" fillId="7" borderId="20" xfId="0" applyNumberFormat="1" applyFont="1" applyFill="1" applyBorder="1" applyAlignment="1">
      <alignment horizontal="center" vertical="center" wrapText="1"/>
    </xf>
    <xf numFmtId="4" fontId="2" fillId="8" borderId="18" xfId="0" applyNumberFormat="1" applyFont="1" applyFill="1" applyBorder="1" applyAlignment="1">
      <alignment horizontal="center" vertical="center"/>
    </xf>
    <xf numFmtId="10" fontId="2" fillId="8" borderId="18" xfId="0" applyNumberFormat="1" applyFont="1" applyFill="1" applyBorder="1" applyAlignment="1">
      <alignment horizontal="center" vertical="center"/>
    </xf>
    <xf numFmtId="10" fontId="2" fillId="8" borderId="19" xfId="0" applyNumberFormat="1" applyFont="1" applyFill="1" applyBorder="1" applyAlignment="1">
      <alignment horizontal="center" vertical="center"/>
    </xf>
    <xf numFmtId="2" fontId="0" fillId="0" borderId="0" xfId="1" applyNumberFormat="1" applyFont="1"/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0" fillId="0" borderId="0" xfId="0"/>
    <xf numFmtId="0" fontId="5" fillId="0" borderId="0" xfId="2" applyAlignment="1">
      <alignment horizontal="left" vertical="center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right" vertical="center" wrapText="1"/>
    </xf>
    <xf numFmtId="0" fontId="10" fillId="7" borderId="17" xfId="0" applyFont="1" applyFill="1" applyBorder="1" applyAlignment="1">
      <alignment horizontal="right" vertical="center" wrapText="1"/>
    </xf>
  </cellXfs>
  <cellStyles count="5">
    <cellStyle name="Comma 2" xfId="3"/>
    <cellStyle name="Hyperlink" xfId="2" builtinId="8"/>
    <cellStyle name="Normal" xfId="0" builtinId="0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zoomScale="60" zoomScaleNormal="60" workbookViewId="0">
      <selection activeCell="A35" sqref="A35"/>
    </sheetView>
  </sheetViews>
  <sheetFormatPr defaultRowHeight="15.6" x14ac:dyDescent="0.3"/>
  <cols>
    <col min="2" max="2" width="37.69921875" customWidth="1"/>
    <col min="3" max="3" width="16" customWidth="1"/>
    <col min="4" max="4" width="11.69921875" customWidth="1"/>
    <col min="5" max="5" width="12.5" customWidth="1"/>
    <col min="7" max="7" width="10.796875" bestFit="1" customWidth="1"/>
    <col min="8" max="8" width="11.796875" customWidth="1"/>
    <col min="9" max="9" width="12.5" bestFit="1" customWidth="1"/>
    <col min="10" max="10" width="11.3984375" bestFit="1" customWidth="1"/>
    <col min="11" max="11" width="12.5" bestFit="1" customWidth="1"/>
    <col min="12" max="12" width="15.3984375" bestFit="1" customWidth="1"/>
    <col min="13" max="13" width="12.3984375" bestFit="1" customWidth="1"/>
    <col min="14" max="14" width="14.296875" customWidth="1"/>
    <col min="15" max="15" width="10.19921875" bestFit="1" customWidth="1"/>
    <col min="16" max="16" width="10.09765625" customWidth="1"/>
    <col min="17" max="17" width="13.09765625" bestFit="1" customWidth="1"/>
    <col min="18" max="18" width="12.69921875" bestFit="1" customWidth="1"/>
    <col min="19" max="19" width="11" bestFit="1" customWidth="1"/>
    <col min="20" max="20" width="14.3984375" customWidth="1"/>
  </cols>
  <sheetData>
    <row r="1" spans="1:20" ht="16.2" customHeight="1" thickBot="1" x14ac:dyDescent="0.3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1" t="s">
        <v>1</v>
      </c>
    </row>
    <row r="2" spans="1:20" ht="15.6" customHeight="1" x14ac:dyDescent="0.3">
      <c r="A2" s="67" t="s">
        <v>2</v>
      </c>
      <c r="B2" s="67" t="s">
        <v>3</v>
      </c>
      <c r="C2" s="69" t="s">
        <v>4</v>
      </c>
      <c r="D2" s="70"/>
      <c r="E2" s="70"/>
      <c r="F2" s="70"/>
      <c r="G2" s="70"/>
      <c r="H2" s="70"/>
      <c r="I2" s="70"/>
      <c r="J2" s="70"/>
      <c r="K2" s="71"/>
      <c r="L2" s="72" t="s">
        <v>5</v>
      </c>
      <c r="M2" s="73"/>
      <c r="N2" s="74"/>
      <c r="O2" s="74"/>
      <c r="P2" s="74"/>
      <c r="Q2" s="74"/>
      <c r="R2" s="74"/>
      <c r="S2" s="74"/>
      <c r="T2" s="75"/>
    </row>
    <row r="3" spans="1:20" ht="145.19999999999999" x14ac:dyDescent="0.3">
      <c r="A3" s="68"/>
      <c r="B3" s="68"/>
      <c r="C3" s="2" t="s">
        <v>6</v>
      </c>
      <c r="D3" s="3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6" t="s">
        <v>14</v>
      </c>
      <c r="L3" s="7" t="s">
        <v>15</v>
      </c>
      <c r="M3" s="8" t="s">
        <v>16</v>
      </c>
      <c r="N3" s="4" t="s">
        <v>17</v>
      </c>
      <c r="O3" s="4" t="s">
        <v>18</v>
      </c>
      <c r="P3" s="9" t="s">
        <v>10</v>
      </c>
      <c r="Q3" s="9" t="s">
        <v>11</v>
      </c>
      <c r="R3" s="9" t="s">
        <v>19</v>
      </c>
      <c r="S3" s="9" t="s">
        <v>20</v>
      </c>
      <c r="T3" s="10" t="s">
        <v>21</v>
      </c>
    </row>
    <row r="4" spans="1:20" ht="20.399999999999999" customHeight="1" x14ac:dyDescent="0.3">
      <c r="A4" s="11">
        <v>1</v>
      </c>
      <c r="B4" s="11">
        <v>2</v>
      </c>
      <c r="C4" s="12">
        <v>3</v>
      </c>
      <c r="D4" s="13">
        <v>4</v>
      </c>
      <c r="E4" s="13">
        <v>5</v>
      </c>
      <c r="F4" s="13">
        <v>6</v>
      </c>
      <c r="G4" s="13" t="s">
        <v>22</v>
      </c>
      <c r="H4" s="13" t="s">
        <v>23</v>
      </c>
      <c r="I4" s="13" t="s">
        <v>24</v>
      </c>
      <c r="J4" s="14" t="s">
        <v>25</v>
      </c>
      <c r="K4" s="15" t="s">
        <v>26</v>
      </c>
      <c r="L4" s="16">
        <v>12</v>
      </c>
      <c r="M4" s="17">
        <v>13</v>
      </c>
      <c r="N4" s="18">
        <v>14</v>
      </c>
      <c r="O4" s="18">
        <v>15</v>
      </c>
      <c r="P4" s="19" t="s">
        <v>27</v>
      </c>
      <c r="Q4" s="19" t="s">
        <v>28</v>
      </c>
      <c r="R4" s="20" t="s">
        <v>29</v>
      </c>
      <c r="S4" s="20" t="s">
        <v>30</v>
      </c>
      <c r="T4" s="21" t="s">
        <v>31</v>
      </c>
    </row>
    <row r="5" spans="1:20" x14ac:dyDescent="0.3">
      <c r="A5" s="22">
        <v>1</v>
      </c>
      <c r="B5" s="22" t="s">
        <v>32</v>
      </c>
      <c r="C5" s="23">
        <v>386567988.59000003</v>
      </c>
      <c r="D5" s="24">
        <v>103</v>
      </c>
      <c r="E5" s="25">
        <v>1322758.7200000002</v>
      </c>
      <c r="F5" s="24">
        <v>73</v>
      </c>
      <c r="G5" s="26">
        <f>E5/F5</f>
        <v>18119.982465753426</v>
      </c>
      <c r="H5" s="27">
        <f t="shared" ref="H5:H17" si="0">E5/$E$22*100%</f>
        <v>7.7500229767405018E-2</v>
      </c>
      <c r="I5" s="27">
        <f t="shared" ref="I5:I22" si="1">F5/$F$22*100%</f>
        <v>1.8069306930693068E-2</v>
      </c>
      <c r="J5" s="28">
        <f>E5/C5*100%</f>
        <v>3.4218009743246965E-3</v>
      </c>
      <c r="K5" s="29">
        <f>F5/D5*100%</f>
        <v>0.70873786407766992</v>
      </c>
      <c r="L5" s="23">
        <f>449374896.88+12579207</f>
        <v>461954103.88</v>
      </c>
      <c r="M5" s="30">
        <f>435+5</f>
        <v>440</v>
      </c>
      <c r="N5" s="25">
        <v>1920090.1500000001</v>
      </c>
      <c r="O5" s="24">
        <v>143</v>
      </c>
      <c r="P5" s="31">
        <f>N5/O5</f>
        <v>13427.203846153847</v>
      </c>
      <c r="Q5" s="32">
        <f t="shared" ref="Q5:Q22" si="2">N5/$N$22*100%</f>
        <v>6.3480025172337876E-2</v>
      </c>
      <c r="R5" s="32">
        <f t="shared" ref="R5:R20" si="3">O5/$O$22*100%</f>
        <v>1.1635475996745321E-2</v>
      </c>
      <c r="S5" s="32">
        <f>N5/L5*100%</f>
        <v>4.1564521970320553E-3</v>
      </c>
      <c r="T5" s="33">
        <f>O5/M5*100%</f>
        <v>0.32500000000000001</v>
      </c>
    </row>
    <row r="6" spans="1:20" x14ac:dyDescent="0.3">
      <c r="A6" s="22">
        <v>2</v>
      </c>
      <c r="B6" s="22" t="s">
        <v>33</v>
      </c>
      <c r="C6" s="23">
        <v>246375809.98999998</v>
      </c>
      <c r="D6" s="24">
        <v>105</v>
      </c>
      <c r="E6" s="25">
        <v>2060590.0799999996</v>
      </c>
      <c r="F6" s="24">
        <v>102</v>
      </c>
      <c r="G6" s="26">
        <f t="shared" ref="G6:G22" si="4">E6/F6</f>
        <v>20201.863529411759</v>
      </c>
      <c r="H6" s="27">
        <f t="shared" si="0"/>
        <v>0.12072965556139781</v>
      </c>
      <c r="I6" s="27">
        <f t="shared" si="1"/>
        <v>2.5247524752475249E-2</v>
      </c>
      <c r="J6" s="28">
        <f t="shared" ref="J6:K22" si="5">E6/C6*100%</f>
        <v>8.3636055020321828E-3</v>
      </c>
      <c r="K6" s="29">
        <f t="shared" si="5"/>
        <v>0.97142857142857142</v>
      </c>
      <c r="L6" s="23">
        <v>358303389.64999986</v>
      </c>
      <c r="M6" s="30">
        <v>532</v>
      </c>
      <c r="N6" s="25">
        <v>4002793.0599999996</v>
      </c>
      <c r="O6" s="24">
        <v>301</v>
      </c>
      <c r="P6" s="31">
        <f t="shared" ref="P6:P21" si="6">N6/O6</f>
        <v>13298.315813953486</v>
      </c>
      <c r="Q6" s="32">
        <f t="shared" si="2"/>
        <v>0.13233618442782974</v>
      </c>
      <c r="R6" s="32">
        <f t="shared" si="3"/>
        <v>2.449145646867372E-2</v>
      </c>
      <c r="S6" s="32">
        <f t="shared" ref="S6:T21" si="7">N6/L6*100%</f>
        <v>1.1171518817921406E-2</v>
      </c>
      <c r="T6" s="33">
        <f t="shared" si="7"/>
        <v>0.56578947368421051</v>
      </c>
    </row>
    <row r="7" spans="1:20" x14ac:dyDescent="0.3">
      <c r="A7" s="22">
        <v>3</v>
      </c>
      <c r="B7" s="34" t="s">
        <v>34</v>
      </c>
      <c r="C7" s="35">
        <v>269974200.46000004</v>
      </c>
      <c r="D7" s="36">
        <v>1182</v>
      </c>
      <c r="E7" s="37">
        <f>5967091.79- 1112855.21</f>
        <v>4854236.58</v>
      </c>
      <c r="F7" s="36">
        <f>211-2</f>
        <v>209</v>
      </c>
      <c r="G7" s="26">
        <f t="shared" si="4"/>
        <v>23226.012344497609</v>
      </c>
      <c r="H7" s="27">
        <f t="shared" si="0"/>
        <v>0.28440897391728576</v>
      </c>
      <c r="I7" s="27">
        <f t="shared" si="1"/>
        <v>5.173267326732673E-2</v>
      </c>
      <c r="J7" s="28">
        <f t="shared" si="5"/>
        <v>1.798037209381129E-2</v>
      </c>
      <c r="K7" s="29">
        <f t="shared" si="5"/>
        <v>0.17681895093062605</v>
      </c>
      <c r="L7" s="35">
        <v>293967028.35000002</v>
      </c>
      <c r="M7" s="38">
        <v>1885</v>
      </c>
      <c r="N7" s="37">
        <f>8977102.95-1112855.21</f>
        <v>7864247.7399999993</v>
      </c>
      <c r="O7" s="36">
        <f>475-2</f>
        <v>473</v>
      </c>
      <c r="P7" s="31">
        <f t="shared" si="6"/>
        <v>16626.316575052853</v>
      </c>
      <c r="Q7" s="32">
        <f t="shared" si="2"/>
        <v>0.25999958621562697</v>
      </c>
      <c r="R7" s="32">
        <f t="shared" si="3"/>
        <v>3.8486574450772984E-2</v>
      </c>
      <c r="S7" s="32">
        <f t="shared" si="7"/>
        <v>2.6752142184587956E-2</v>
      </c>
      <c r="T7" s="33">
        <f t="shared" si="7"/>
        <v>0.25092838196286471</v>
      </c>
    </row>
    <row r="8" spans="1:20" x14ac:dyDescent="0.3">
      <c r="A8" s="22">
        <v>4</v>
      </c>
      <c r="B8" s="34" t="s">
        <v>35</v>
      </c>
      <c r="C8" s="35">
        <v>196007109.43000004</v>
      </c>
      <c r="D8" s="36">
        <v>113</v>
      </c>
      <c r="E8" s="37">
        <v>4424935.4000000004</v>
      </c>
      <c r="F8" s="36">
        <v>402</v>
      </c>
      <c r="G8" s="26">
        <f t="shared" si="4"/>
        <v>11007.301990049753</v>
      </c>
      <c r="H8" s="27">
        <f t="shared" si="0"/>
        <v>0.25925628387157729</v>
      </c>
      <c r="I8" s="27">
        <f t="shared" si="1"/>
        <v>9.950495049504951E-2</v>
      </c>
      <c r="J8" s="28">
        <f t="shared" si="5"/>
        <v>2.2575382152555421E-2</v>
      </c>
      <c r="K8" s="29">
        <f t="shared" si="5"/>
        <v>3.5575221238938055</v>
      </c>
      <c r="L8" s="35">
        <v>234952483.16999999</v>
      </c>
      <c r="M8" s="38">
        <v>431</v>
      </c>
      <c r="N8" s="37">
        <v>6520904.159999989</v>
      </c>
      <c r="O8" s="36">
        <v>754</v>
      </c>
      <c r="P8" s="31">
        <f t="shared" si="6"/>
        <v>8648.4140053050251</v>
      </c>
      <c r="Q8" s="32">
        <f t="shared" si="2"/>
        <v>0.21558735678280627</v>
      </c>
      <c r="R8" s="32">
        <f t="shared" si="3"/>
        <v>6.1350691619202605E-2</v>
      </c>
      <c r="S8" s="32">
        <f t="shared" si="7"/>
        <v>2.7754140207497981E-2</v>
      </c>
      <c r="T8" s="33">
        <f t="shared" si="7"/>
        <v>1.7494199535962878</v>
      </c>
    </row>
    <row r="9" spans="1:20" x14ac:dyDescent="0.3">
      <c r="A9" s="22">
        <v>5</v>
      </c>
      <c r="B9" s="34" t="s">
        <v>36</v>
      </c>
      <c r="C9" s="35">
        <v>221814317.90999997</v>
      </c>
      <c r="D9" s="36">
        <v>56</v>
      </c>
      <c r="E9" s="37">
        <v>696741.42</v>
      </c>
      <c r="F9" s="36">
        <v>134</v>
      </c>
      <c r="G9" s="26">
        <f t="shared" si="4"/>
        <v>5199.562835820896</v>
      </c>
      <c r="H9" s="27">
        <f t="shared" si="0"/>
        <v>4.0821972535148389E-2</v>
      </c>
      <c r="I9" s="27">
        <f t="shared" si="1"/>
        <v>3.316831683168317E-2</v>
      </c>
      <c r="J9" s="28">
        <f t="shared" si="5"/>
        <v>3.1411021009144203E-3</v>
      </c>
      <c r="K9" s="29">
        <f t="shared" si="5"/>
        <v>2.3928571428571428</v>
      </c>
      <c r="L9" s="35">
        <v>217890391.46000001</v>
      </c>
      <c r="M9" s="38">
        <v>356</v>
      </c>
      <c r="N9" s="37">
        <v>1216134.9800000002</v>
      </c>
      <c r="O9" s="36">
        <f>254</f>
        <v>254</v>
      </c>
      <c r="P9" s="31">
        <f t="shared" si="6"/>
        <v>4787.932992125985</v>
      </c>
      <c r="Q9" s="32">
        <f t="shared" si="2"/>
        <v>4.0206590895412189E-2</v>
      </c>
      <c r="R9" s="32">
        <f t="shared" si="3"/>
        <v>2.066720911310008E-2</v>
      </c>
      <c r="S9" s="32">
        <f t="shared" si="7"/>
        <v>5.5814071095615821E-3</v>
      </c>
      <c r="T9" s="33">
        <f t="shared" si="7"/>
        <v>0.7134831460674157</v>
      </c>
    </row>
    <row r="10" spans="1:20" x14ac:dyDescent="0.3">
      <c r="A10" s="22">
        <v>6</v>
      </c>
      <c r="B10" s="34" t="s">
        <v>37</v>
      </c>
      <c r="C10" s="35">
        <v>104682060.39999999</v>
      </c>
      <c r="D10" s="36">
        <v>18</v>
      </c>
      <c r="E10" s="37">
        <f>626462.98-6370.96</f>
        <v>620092.02</v>
      </c>
      <c r="F10" s="36">
        <f>8-1</f>
        <v>7</v>
      </c>
      <c r="G10" s="26">
        <f t="shared" si="4"/>
        <v>88584.57428571429</v>
      </c>
      <c r="H10" s="27">
        <f t="shared" si="0"/>
        <v>3.6331095989247615E-2</v>
      </c>
      <c r="I10" s="27">
        <f t="shared" si="1"/>
        <v>1.7326732673267327E-3</v>
      </c>
      <c r="J10" s="28">
        <f t="shared" si="5"/>
        <v>5.9235748477873872E-3</v>
      </c>
      <c r="K10" s="29">
        <f t="shared" si="5"/>
        <v>0.3888888888888889</v>
      </c>
      <c r="L10" s="35">
        <v>159257223.30000004</v>
      </c>
      <c r="M10" s="38">
        <v>95</v>
      </c>
      <c r="N10" s="37">
        <f>2474731.25-6370.96</f>
        <v>2468360.29</v>
      </c>
      <c r="O10" s="36">
        <f>23-1</f>
        <v>22</v>
      </c>
      <c r="P10" s="31">
        <f t="shared" si="6"/>
        <v>112198.19500000001</v>
      </c>
      <c r="Q10" s="32">
        <f t="shared" si="2"/>
        <v>8.1606362776039026E-2</v>
      </c>
      <c r="R10" s="32">
        <f t="shared" si="3"/>
        <v>1.790073230268511E-3</v>
      </c>
      <c r="S10" s="32">
        <f t="shared" si="7"/>
        <v>1.549920461284345E-2</v>
      </c>
      <c r="T10" s="33">
        <f t="shared" si="7"/>
        <v>0.23157894736842105</v>
      </c>
    </row>
    <row r="11" spans="1:20" x14ac:dyDescent="0.3">
      <c r="A11" s="22">
        <v>7</v>
      </c>
      <c r="B11" s="22" t="s">
        <v>38</v>
      </c>
      <c r="C11" s="23">
        <v>67093461.719999999</v>
      </c>
      <c r="D11" s="24">
        <v>20</v>
      </c>
      <c r="E11" s="25">
        <v>202273.28000000003</v>
      </c>
      <c r="F11" s="24">
        <v>240</v>
      </c>
      <c r="G11" s="26">
        <f t="shared" si="4"/>
        <v>842.80533333333346</v>
      </c>
      <c r="H11" s="27">
        <f t="shared" si="0"/>
        <v>1.1851160335428861E-2</v>
      </c>
      <c r="I11" s="27">
        <f t="shared" si="1"/>
        <v>5.9405940594059403E-2</v>
      </c>
      <c r="J11" s="28">
        <f t="shared" si="5"/>
        <v>3.0147986825324897E-3</v>
      </c>
      <c r="K11" s="29">
        <f t="shared" si="5"/>
        <v>12</v>
      </c>
      <c r="L11" s="23">
        <v>98051160.269999981</v>
      </c>
      <c r="M11" s="30">
        <v>198</v>
      </c>
      <c r="N11" s="25">
        <v>365953.87000000005</v>
      </c>
      <c r="O11" s="24">
        <v>368</v>
      </c>
      <c r="P11" s="31">
        <f t="shared" si="6"/>
        <v>994.4398641304349</v>
      </c>
      <c r="Q11" s="32">
        <f t="shared" si="2"/>
        <v>1.2098786548909937E-2</v>
      </c>
      <c r="R11" s="32">
        <f t="shared" si="3"/>
        <v>2.9943043124491458E-2</v>
      </c>
      <c r="S11" s="32">
        <f t="shared" si="7"/>
        <v>3.7322747532235819E-3</v>
      </c>
      <c r="T11" s="33">
        <f t="shared" si="7"/>
        <v>1.8585858585858586</v>
      </c>
    </row>
    <row r="12" spans="1:20" x14ac:dyDescent="0.3">
      <c r="A12" s="22">
        <v>8</v>
      </c>
      <c r="B12" s="22" t="s">
        <v>39</v>
      </c>
      <c r="C12" s="23">
        <v>92453171.170000002</v>
      </c>
      <c r="D12" s="24">
        <v>41</v>
      </c>
      <c r="E12" s="25">
        <v>455331.54</v>
      </c>
      <c r="F12" s="24">
        <v>89</v>
      </c>
      <c r="G12" s="26">
        <f t="shared" si="4"/>
        <v>5116.0847191011235</v>
      </c>
      <c r="H12" s="27">
        <f t="shared" si="0"/>
        <v>2.6677804830760342E-2</v>
      </c>
      <c r="I12" s="27">
        <f t="shared" si="1"/>
        <v>2.2029702970297028E-2</v>
      </c>
      <c r="J12" s="28">
        <f t="shared" si="5"/>
        <v>4.9249964521254829E-3</v>
      </c>
      <c r="K12" s="29">
        <f t="shared" si="5"/>
        <v>2.1707317073170733</v>
      </c>
      <c r="L12" s="23">
        <v>112530441.42000002</v>
      </c>
      <c r="M12" s="30">
        <v>319</v>
      </c>
      <c r="N12" s="25">
        <v>622116.86000000022</v>
      </c>
      <c r="O12" s="24">
        <v>103</v>
      </c>
      <c r="P12" s="31">
        <f t="shared" si="6"/>
        <v>6039.9695145631085</v>
      </c>
      <c r="Q12" s="32">
        <f t="shared" si="2"/>
        <v>2.0567781118472902E-2</v>
      </c>
      <c r="R12" s="32">
        <f t="shared" si="3"/>
        <v>8.3807973962571197E-3</v>
      </c>
      <c r="S12" s="32">
        <f t="shared" si="7"/>
        <v>5.528431703898315E-3</v>
      </c>
      <c r="T12" s="33">
        <f t="shared" si="7"/>
        <v>0.32288401253918497</v>
      </c>
    </row>
    <row r="13" spans="1:20" x14ac:dyDescent="0.3">
      <c r="A13" s="22">
        <v>9</v>
      </c>
      <c r="B13" s="22" t="s">
        <v>40</v>
      </c>
      <c r="C13" s="23">
        <v>27579732.18</v>
      </c>
      <c r="D13" s="24">
        <v>298</v>
      </c>
      <c r="E13" s="25">
        <v>594442.09999999974</v>
      </c>
      <c r="F13" s="24">
        <v>130</v>
      </c>
      <c r="G13" s="26">
        <f t="shared" si="4"/>
        <v>4572.6315384615364</v>
      </c>
      <c r="H13" s="27">
        <f t="shared" si="0"/>
        <v>3.4828271125227378E-2</v>
      </c>
      <c r="I13" s="27">
        <f t="shared" si="1"/>
        <v>3.2178217821782179E-2</v>
      </c>
      <c r="J13" s="28">
        <f t="shared" si="5"/>
        <v>2.1553584934050646E-2</v>
      </c>
      <c r="K13" s="29">
        <f t="shared" si="5"/>
        <v>0.43624161073825501</v>
      </c>
      <c r="L13" s="23">
        <f>35569307.7+1088518.33</f>
        <v>36657826.030000001</v>
      </c>
      <c r="M13" s="30">
        <f>819+1</f>
        <v>820</v>
      </c>
      <c r="N13" s="25">
        <v>676643.03999999992</v>
      </c>
      <c r="O13" s="24">
        <v>159</v>
      </c>
      <c r="P13" s="31">
        <f t="shared" si="6"/>
        <v>4255.6166037735848</v>
      </c>
      <c r="Q13" s="32">
        <f t="shared" si="2"/>
        <v>2.2370469017763156E-2</v>
      </c>
      <c r="R13" s="32">
        <f t="shared" si="3"/>
        <v>1.2937347436940602E-2</v>
      </c>
      <c r="S13" s="32">
        <f t="shared" si="7"/>
        <v>1.8458351552169225E-2</v>
      </c>
      <c r="T13" s="33">
        <f t="shared" si="7"/>
        <v>0.19390243902439025</v>
      </c>
    </row>
    <row r="14" spans="1:20" x14ac:dyDescent="0.3">
      <c r="A14" s="22">
        <v>10</v>
      </c>
      <c r="B14" s="22" t="s">
        <v>41</v>
      </c>
      <c r="C14" s="23">
        <v>38089197.68</v>
      </c>
      <c r="D14" s="24">
        <v>36</v>
      </c>
      <c r="E14" s="25">
        <v>4405.01</v>
      </c>
      <c r="F14" s="24">
        <v>76</v>
      </c>
      <c r="G14" s="26">
        <f t="shared" si="4"/>
        <v>57.960657894736848</v>
      </c>
      <c r="H14" s="27">
        <f t="shared" si="0"/>
        <v>2.580888577530729E-4</v>
      </c>
      <c r="I14" s="27">
        <f t="shared" si="1"/>
        <v>1.8811881188118811E-2</v>
      </c>
      <c r="J14" s="28">
        <f t="shared" si="5"/>
        <v>1.156498500443079E-4</v>
      </c>
      <c r="K14" s="29">
        <f t="shared" si="5"/>
        <v>2.1111111111111112</v>
      </c>
      <c r="L14" s="23">
        <v>37877205.270000003</v>
      </c>
      <c r="M14" s="30">
        <v>161</v>
      </c>
      <c r="N14" s="25">
        <v>215227.02999999982</v>
      </c>
      <c r="O14" s="24">
        <v>559</v>
      </c>
      <c r="P14" s="31">
        <f t="shared" si="6"/>
        <v>385.02152057245047</v>
      </c>
      <c r="Q14" s="32">
        <f t="shared" si="2"/>
        <v>7.1156124008903985E-3</v>
      </c>
      <c r="R14" s="32">
        <f t="shared" si="3"/>
        <v>4.5484133441822623E-2</v>
      </c>
      <c r="S14" s="32">
        <f t="shared" si="7"/>
        <v>5.6822310005661038E-3</v>
      </c>
      <c r="T14" s="33">
        <f t="shared" si="7"/>
        <v>3.4720496894409938</v>
      </c>
    </row>
    <row r="15" spans="1:20" x14ac:dyDescent="0.3">
      <c r="A15" s="22">
        <v>11</v>
      </c>
      <c r="B15" s="22" t="s">
        <v>42</v>
      </c>
      <c r="C15" s="23">
        <v>10106969.870000001</v>
      </c>
      <c r="D15" s="24">
        <v>4</v>
      </c>
      <c r="E15" s="25">
        <v>14447.009999999998</v>
      </c>
      <c r="F15" s="24">
        <v>7</v>
      </c>
      <c r="G15" s="26">
        <f t="shared" si="4"/>
        <v>2063.8585714285714</v>
      </c>
      <c r="H15" s="27">
        <f t="shared" si="0"/>
        <v>8.4644809179711762E-4</v>
      </c>
      <c r="I15" s="27">
        <f t="shared" si="1"/>
        <v>1.7326732673267327E-3</v>
      </c>
      <c r="J15" s="28">
        <f t="shared" si="5"/>
        <v>1.4294106132523769E-3</v>
      </c>
      <c r="K15" s="29">
        <f t="shared" si="5"/>
        <v>1.75</v>
      </c>
      <c r="L15" s="23">
        <v>12167394.59</v>
      </c>
      <c r="M15" s="30">
        <v>16</v>
      </c>
      <c r="N15" s="25">
        <v>15724.21</v>
      </c>
      <c r="O15" s="24">
        <v>8</v>
      </c>
      <c r="P15" s="31">
        <f t="shared" si="6"/>
        <v>1965.5262499999999</v>
      </c>
      <c r="Q15" s="32">
        <f t="shared" si="2"/>
        <v>5.1985749034498552E-4</v>
      </c>
      <c r="R15" s="32">
        <f t="shared" si="3"/>
        <v>6.5093572009764032E-4</v>
      </c>
      <c r="S15" s="32">
        <f t="shared" si="7"/>
        <v>1.2923235030877715E-3</v>
      </c>
      <c r="T15" s="33">
        <f t="shared" si="7"/>
        <v>0.5</v>
      </c>
    </row>
    <row r="16" spans="1:20" x14ac:dyDescent="0.3">
      <c r="A16" s="22">
        <v>12</v>
      </c>
      <c r="B16" s="22" t="s">
        <v>43</v>
      </c>
      <c r="C16" s="23">
        <v>9948388.410000002</v>
      </c>
      <c r="D16" s="24">
        <v>83</v>
      </c>
      <c r="E16" s="25">
        <v>125315.50999999998</v>
      </c>
      <c r="F16" s="24">
        <v>108</v>
      </c>
      <c r="G16" s="26">
        <f t="shared" si="4"/>
        <v>1160.3287962962961</v>
      </c>
      <c r="H16" s="27">
        <f t="shared" si="0"/>
        <v>7.3422164387013369E-3</v>
      </c>
      <c r="I16" s="27">
        <f t="shared" si="1"/>
        <v>2.6732673267326732E-2</v>
      </c>
      <c r="J16" s="28">
        <f t="shared" si="5"/>
        <v>1.2596563868981465E-2</v>
      </c>
      <c r="K16" s="29">
        <f t="shared" si="5"/>
        <v>1.3012048192771084</v>
      </c>
      <c r="L16" s="23">
        <v>11718522.93</v>
      </c>
      <c r="M16" s="30">
        <v>484</v>
      </c>
      <c r="N16" s="25">
        <v>167017.15999999995</v>
      </c>
      <c r="O16" s="24">
        <v>145</v>
      </c>
      <c r="P16" s="31">
        <f t="shared" si="6"/>
        <v>1151.8424827586202</v>
      </c>
      <c r="Q16" s="32">
        <f t="shared" si="2"/>
        <v>5.5217477788802663E-3</v>
      </c>
      <c r="R16" s="32">
        <f t="shared" si="3"/>
        <v>1.1798209926769731E-2</v>
      </c>
      <c r="S16" s="32">
        <f t="shared" si="7"/>
        <v>1.425240715042915E-2</v>
      </c>
      <c r="T16" s="33">
        <f t="shared" si="7"/>
        <v>0.29958677685950413</v>
      </c>
    </row>
    <row r="17" spans="1:20" x14ac:dyDescent="0.3">
      <c r="A17" s="22">
        <v>13</v>
      </c>
      <c r="B17" s="22" t="s">
        <v>44</v>
      </c>
      <c r="C17" s="23">
        <v>7248394.0000000019</v>
      </c>
      <c r="D17" s="24">
        <v>4</v>
      </c>
      <c r="E17" s="25">
        <v>192678</v>
      </c>
      <c r="F17" s="24">
        <v>33</v>
      </c>
      <c r="G17" s="26">
        <f t="shared" si="4"/>
        <v>5838.727272727273</v>
      </c>
      <c r="H17" s="27">
        <f t="shared" si="0"/>
        <v>1.1288974357412713E-2</v>
      </c>
      <c r="I17" s="27">
        <f t="shared" si="1"/>
        <v>8.1683168316831686E-3</v>
      </c>
      <c r="J17" s="28">
        <f t="shared" si="5"/>
        <v>2.658216426976789E-2</v>
      </c>
      <c r="K17" s="29">
        <f t="shared" si="5"/>
        <v>8.25</v>
      </c>
      <c r="L17" s="23">
        <v>8231665.8500000015</v>
      </c>
      <c r="M17" s="30">
        <v>30</v>
      </c>
      <c r="N17" s="25">
        <v>453779.49</v>
      </c>
      <c r="O17" s="24">
        <v>53</v>
      </c>
      <c r="P17" s="31">
        <f t="shared" si="6"/>
        <v>8561.8771698113214</v>
      </c>
      <c r="Q17" s="32">
        <f t="shared" si="2"/>
        <v>1.5002385928541239E-2</v>
      </c>
      <c r="R17" s="32">
        <f t="shared" si="3"/>
        <v>4.3124491456468673E-3</v>
      </c>
      <c r="S17" s="32">
        <f t="shared" si="7"/>
        <v>5.5126082407730377E-2</v>
      </c>
      <c r="T17" s="33">
        <f t="shared" si="7"/>
        <v>1.7666666666666666</v>
      </c>
    </row>
    <row r="18" spans="1:20" x14ac:dyDescent="0.3">
      <c r="A18" s="22">
        <v>14</v>
      </c>
      <c r="B18" s="39" t="s">
        <v>45</v>
      </c>
      <c r="C18" s="23">
        <v>357770148</v>
      </c>
      <c r="D18" s="24">
        <v>258654</v>
      </c>
      <c r="E18" s="25">
        <f>1461837.28</f>
        <v>1461837.28</v>
      </c>
      <c r="F18" s="24">
        <f>2390</f>
        <v>2390</v>
      </c>
      <c r="G18" s="26">
        <f t="shared" si="4"/>
        <v>611.6473974895398</v>
      </c>
      <c r="H18" s="27">
        <f>E18/$E$22</f>
        <v>8.5648821186798438E-2</v>
      </c>
      <c r="I18" s="27">
        <f t="shared" si="1"/>
        <v>0.59158415841584155</v>
      </c>
      <c r="J18" s="28">
        <f t="shared" si="5"/>
        <v>4.0859677314385662E-3</v>
      </c>
      <c r="K18" s="29">
        <f t="shared" si="5"/>
        <v>9.2401432028888005E-3</v>
      </c>
      <c r="L18" s="23">
        <v>1464288254.9300001</v>
      </c>
      <c r="M18" s="30">
        <v>1604219</v>
      </c>
      <c r="N18" s="25">
        <f>3602090.02</f>
        <v>3602090.02</v>
      </c>
      <c r="O18" s="24">
        <f>8816</f>
        <v>8816</v>
      </c>
      <c r="P18" s="31">
        <f t="shared" si="6"/>
        <v>408.58552858439202</v>
      </c>
      <c r="Q18" s="32">
        <f t="shared" si="2"/>
        <v>0.11908855693188521</v>
      </c>
      <c r="R18" s="32">
        <f t="shared" si="3"/>
        <v>0.71733116354759963</v>
      </c>
      <c r="S18" s="32">
        <f t="shared" si="7"/>
        <v>2.4599596478851746E-3</v>
      </c>
      <c r="T18" s="33">
        <f t="shared" si="7"/>
        <v>5.495509029627501E-3</v>
      </c>
    </row>
    <row r="19" spans="1:20" x14ac:dyDescent="0.3">
      <c r="A19" s="22">
        <v>15</v>
      </c>
      <c r="B19" s="22" t="s">
        <v>46</v>
      </c>
      <c r="C19" s="23">
        <v>23022839</v>
      </c>
      <c r="D19" s="24">
        <v>334</v>
      </c>
      <c r="E19" s="25">
        <v>23155.51</v>
      </c>
      <c r="F19" s="24">
        <v>5</v>
      </c>
      <c r="G19" s="26">
        <f t="shared" si="4"/>
        <v>4631.1019999999999</v>
      </c>
      <c r="H19" s="27">
        <f>E19/$E$22*100%</f>
        <v>1.3566777661321667E-3</v>
      </c>
      <c r="I19" s="27">
        <f t="shared" si="1"/>
        <v>1.2376237623762376E-3</v>
      </c>
      <c r="J19" s="28">
        <f t="shared" si="5"/>
        <v>1.0057625821037969E-3</v>
      </c>
      <c r="K19" s="29">
        <f t="shared" si="5"/>
        <v>1.4970059880239521E-2</v>
      </c>
      <c r="L19" s="23">
        <v>75136116</v>
      </c>
      <c r="M19" s="30">
        <v>1479</v>
      </c>
      <c r="N19" s="25">
        <v>83792.95</v>
      </c>
      <c r="O19" s="24">
        <v>15</v>
      </c>
      <c r="P19" s="31">
        <f t="shared" si="6"/>
        <v>5586.1966666666667</v>
      </c>
      <c r="Q19" s="32">
        <f t="shared" si="2"/>
        <v>2.7702754348614559E-3</v>
      </c>
      <c r="R19" s="32">
        <f t="shared" si="3"/>
        <v>1.2205044751830757E-3</v>
      </c>
      <c r="S19" s="32">
        <f t="shared" si="7"/>
        <v>1.1152153512965723E-3</v>
      </c>
      <c r="T19" s="33">
        <f t="shared" si="7"/>
        <v>1.0141987829614604E-2</v>
      </c>
    </row>
    <row r="20" spans="1:20" x14ac:dyDescent="0.3">
      <c r="A20" s="22">
        <v>16</v>
      </c>
      <c r="B20" s="22" t="s">
        <v>47</v>
      </c>
      <c r="C20" s="23">
        <v>16655874.369999999</v>
      </c>
      <c r="D20" s="24">
        <v>53</v>
      </c>
      <c r="E20" s="25">
        <v>2110.1200000000003</v>
      </c>
      <c r="F20" s="24">
        <v>3</v>
      </c>
      <c r="G20" s="26">
        <f t="shared" si="4"/>
        <v>703.37333333333345</v>
      </c>
      <c r="H20" s="27">
        <f>E20/$E$22*100%</f>
        <v>1.2363160594911572E-4</v>
      </c>
      <c r="I20" s="27">
        <f t="shared" si="1"/>
        <v>7.4257425742574258E-4</v>
      </c>
      <c r="J20" s="28">
        <f t="shared" si="5"/>
        <v>1.2668923606920797E-4</v>
      </c>
      <c r="K20" s="29">
        <f t="shared" si="5"/>
        <v>5.6603773584905662E-2</v>
      </c>
      <c r="L20" s="23">
        <v>38737285.600000001</v>
      </c>
      <c r="M20" s="30">
        <f>329+6</f>
        <v>335</v>
      </c>
      <c r="N20" s="25">
        <v>3144.1200000000003</v>
      </c>
      <c r="O20" s="24">
        <v>4</v>
      </c>
      <c r="P20" s="31">
        <f t="shared" si="6"/>
        <v>786.03000000000009</v>
      </c>
      <c r="Q20" s="32">
        <f t="shared" si="2"/>
        <v>1.03947628055303E-4</v>
      </c>
      <c r="R20" s="32">
        <f t="shared" si="3"/>
        <v>3.2546786004882016E-4</v>
      </c>
      <c r="S20" s="32">
        <f t="shared" si="7"/>
        <v>8.1165212050892904E-5</v>
      </c>
      <c r="T20" s="33">
        <f t="shared" si="7"/>
        <v>1.1940298507462687E-2</v>
      </c>
    </row>
    <row r="21" spans="1:20" ht="16.2" thickBot="1" x14ac:dyDescent="0.35">
      <c r="A21" s="40">
        <v>17</v>
      </c>
      <c r="B21" s="39" t="s">
        <v>48</v>
      </c>
      <c r="C21" s="41">
        <f>883882.82+2433133</f>
        <v>3317015.82</v>
      </c>
      <c r="D21" s="42">
        <f>21+22</f>
        <v>43</v>
      </c>
      <c r="E21" s="43">
        <f>8171.9+4282.37</f>
        <v>12454.27</v>
      </c>
      <c r="F21" s="42">
        <f>19+13</f>
        <v>32</v>
      </c>
      <c r="G21" s="26">
        <f t="shared" si="4"/>
        <v>389.19593750000001</v>
      </c>
      <c r="H21" s="27">
        <f>E21/$E$22*100%</f>
        <v>7.2969376197746724E-4</v>
      </c>
      <c r="I21" s="27">
        <f t="shared" si="1"/>
        <v>7.9207920792079209E-3</v>
      </c>
      <c r="J21" s="28">
        <f t="shared" si="5"/>
        <v>3.7546610193737338E-3</v>
      </c>
      <c r="K21" s="29">
        <f t="shared" si="5"/>
        <v>0.7441860465116279</v>
      </c>
      <c r="L21" s="44">
        <f>9705643.84+C21</f>
        <v>13022659.66</v>
      </c>
      <c r="M21" s="45">
        <f>192+D21</f>
        <v>235</v>
      </c>
      <c r="N21" s="46">
        <f>36681.43+E21</f>
        <v>49135.7</v>
      </c>
      <c r="O21" s="47">
        <f>81+F21</f>
        <v>113</v>
      </c>
      <c r="P21" s="31">
        <f t="shared" si="6"/>
        <v>434.82920353982297</v>
      </c>
      <c r="Q21" s="32">
        <f t="shared" si="2"/>
        <v>1.6244734513431265E-3</v>
      </c>
      <c r="R21" s="32">
        <f>O21/$O$22*100%</f>
        <v>9.1944670463791709E-3</v>
      </c>
      <c r="S21" s="32">
        <f t="shared" si="7"/>
        <v>3.7730925389168925E-3</v>
      </c>
      <c r="T21" s="33">
        <f t="shared" si="7"/>
        <v>0.48085106382978721</v>
      </c>
    </row>
    <row r="22" spans="1:20" ht="16.2" thickBot="1" x14ac:dyDescent="0.35">
      <c r="A22" s="76" t="s">
        <v>49</v>
      </c>
      <c r="B22" s="77"/>
      <c r="C22" s="48">
        <f>SUM(C5:C21)</f>
        <v>2078706679.0000002</v>
      </c>
      <c r="D22" s="49">
        <f>SUM(D5:D21)</f>
        <v>261147</v>
      </c>
      <c r="E22" s="50">
        <f>SUM(E5:E21)</f>
        <v>17067803.850000001</v>
      </c>
      <c r="F22" s="49">
        <f>SUM(F5:F21)</f>
        <v>4040</v>
      </c>
      <c r="G22" s="50">
        <f t="shared" si="4"/>
        <v>4224.7039232673269</v>
      </c>
      <c r="H22" s="51">
        <f>E22/$E$22*100%</f>
        <v>1</v>
      </c>
      <c r="I22" s="51">
        <f t="shared" si="1"/>
        <v>1</v>
      </c>
      <c r="J22" s="52">
        <f t="shared" si="5"/>
        <v>8.2107803002830493E-3</v>
      </c>
      <c r="K22" s="53">
        <f t="shared" si="5"/>
        <v>1.5470214093977721E-2</v>
      </c>
      <c r="L22" s="48">
        <f>SUM(L5:L21)</f>
        <v>3634743152.3599997</v>
      </c>
      <c r="M22" s="54">
        <f>SUM(M5:M21)</f>
        <v>1612035</v>
      </c>
      <c r="N22" s="50">
        <f>SUM(N5:N21)</f>
        <v>30247154.829999987</v>
      </c>
      <c r="O22" s="49">
        <f>SUM(O5:O21)</f>
        <v>12290</v>
      </c>
      <c r="P22" s="55">
        <f>N22/O22</f>
        <v>2461.1191887713576</v>
      </c>
      <c r="Q22" s="56">
        <f t="shared" si="2"/>
        <v>1</v>
      </c>
      <c r="R22" s="56">
        <f>O22/$O$22*100%</f>
        <v>1</v>
      </c>
      <c r="S22" s="56">
        <f>N22/L22*100%</f>
        <v>8.3216759925280655E-3</v>
      </c>
      <c r="T22" s="57">
        <f>O22/M22*100%</f>
        <v>7.6239039474949363E-3</v>
      </c>
    </row>
    <row r="24" spans="1:20" x14ac:dyDescent="0.3">
      <c r="P24" s="58"/>
    </row>
    <row r="25" spans="1:20" x14ac:dyDescent="0.3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59"/>
      <c r="Q25" s="59"/>
      <c r="R25" s="59"/>
      <c r="S25" s="59"/>
      <c r="T25" s="59"/>
    </row>
    <row r="26" spans="1:20" x14ac:dyDescent="0.3">
      <c r="A26" s="64" t="s">
        <v>50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0"/>
      <c r="Q26" s="60"/>
      <c r="R26" s="60"/>
      <c r="S26" s="60"/>
      <c r="T26" s="60"/>
    </row>
    <row r="27" spans="1:20" x14ac:dyDescent="0.3">
      <c r="A27" s="64" t="s">
        <v>51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0"/>
      <c r="Q27" s="60"/>
      <c r="R27" s="60"/>
      <c r="S27" s="60"/>
      <c r="T27" s="60"/>
    </row>
    <row r="29" spans="1:20" x14ac:dyDescent="0.3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</row>
    <row r="30" spans="1:20" ht="18" x14ac:dyDescent="0.35">
      <c r="A30" s="61" t="s">
        <v>55</v>
      </c>
      <c r="K30" s="62" t="s">
        <v>54</v>
      </c>
    </row>
    <row r="31" spans="1:20" x14ac:dyDescent="0.3">
      <c r="A31" s="61" t="s">
        <v>56</v>
      </c>
    </row>
    <row r="34" spans="1:1" x14ac:dyDescent="0.3">
      <c r="A34" t="s">
        <v>57</v>
      </c>
    </row>
    <row r="35" spans="1:1" x14ac:dyDescent="0.3">
      <c r="A35" t="s">
        <v>52</v>
      </c>
    </row>
    <row r="36" spans="1:1" x14ac:dyDescent="0.3">
      <c r="A36" t="s">
        <v>53</v>
      </c>
    </row>
  </sheetData>
  <mergeCells count="10">
    <mergeCell ref="A25:O25"/>
    <mergeCell ref="A26:O26"/>
    <mergeCell ref="A27:O27"/>
    <mergeCell ref="A29:T29"/>
    <mergeCell ref="A1:S1"/>
    <mergeCell ref="A2:A3"/>
    <mergeCell ref="B2:B3"/>
    <mergeCell ref="C2:K2"/>
    <mergeCell ref="L2:T2"/>
    <mergeCell ref="A22:B22"/>
  </mergeCells>
  <hyperlinks>
    <hyperlink ref="B21" location="'3.'!A29" display="Migrācija un integrācija[8]"/>
    <hyperlink ref="A26" location="_ftnref2" display="_ftnref2"/>
    <hyperlink ref="A27" location="_ftnref3" display="_ftnref3"/>
    <hyperlink ref="A26:O26" location="'3.'!B18" display="[7] Neskaitot priekšfinansējumu"/>
    <hyperlink ref="A27:O27" location="'3.'!B22" display="[8] Vispārīgās programmas „Solidaritāte un migrācijas plūsmu pārvaldība” fondi"/>
    <hyperlink ref="B18" location="'3.'!A28" display="Lauksaimniecības attīstība[7]"/>
  </hyperlinks>
  <pageMargins left="0.7" right="0.7" top="0.75" bottom="0.75" header="0.3" footer="0.3"/>
  <pageSetup paperSize="8"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3.pielikums</vt:lpstr>
    </vt:vector>
  </TitlesOfParts>
  <Company>Finanšu ministrija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 informatīvo ziņojumu par konstatētajiem neatbilstoši veiktajiem izdevumiem Eiropas Savienības politikas instrumentu, Eiropas Savienības iniciatīvu, Pirmsiestāšanās fondu un Pārejas perioda palīdzības ietvaros līdz 2012.gada 31.decembrim</dc:title>
  <dc:subject>3.pielikums</dc:subject>
  <dc:creator>au-avota</dc:creator>
  <dc:description>67083954; aiva.avota@fm.gov.lv</dc:description>
  <cp:lastModifiedBy>au-avota</cp:lastModifiedBy>
  <cp:lastPrinted>2013-06-11T09:00:48Z</cp:lastPrinted>
  <dcterms:created xsi:type="dcterms:W3CDTF">2013-05-14T11:01:29Z</dcterms:created>
  <dcterms:modified xsi:type="dcterms:W3CDTF">2013-06-11T09:01:11Z</dcterms:modified>
</cp:coreProperties>
</file>