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4" windowWidth="22056" windowHeight="8736"/>
  </bookViews>
  <sheets>
    <sheet name="4.pielikums" sheetId="1" r:id="rId1"/>
  </sheets>
  <calcPr calcId="145621"/>
</workbook>
</file>

<file path=xl/calcChain.xml><?xml version="1.0" encoding="utf-8"?>
<calcChain xmlns="http://schemas.openxmlformats.org/spreadsheetml/2006/main">
  <c r="AW48" i="1" l="1"/>
  <c r="AV48" i="1"/>
  <c r="AU48" i="1"/>
  <c r="AT48" i="1"/>
  <c r="AS48" i="1"/>
  <c r="AR48" i="1"/>
  <c r="AQ48" i="1"/>
  <c r="AP48" i="1"/>
  <c r="AO48" i="1"/>
  <c r="AN48" i="1"/>
  <c r="AM48" i="1"/>
  <c r="AL48" i="1"/>
  <c r="AK48" i="1"/>
  <c r="AJ48" i="1"/>
  <c r="AI48" i="1"/>
  <c r="AH48" i="1"/>
  <c r="AE48" i="1"/>
  <c r="AD48" i="1"/>
  <c r="AA48" i="1"/>
  <c r="Z48" i="1"/>
  <c r="Y48" i="1"/>
  <c r="X48" i="1"/>
  <c r="W48" i="1"/>
  <c r="V48" i="1"/>
  <c r="U48" i="1"/>
  <c r="T48" i="1"/>
  <c r="S48" i="1"/>
  <c r="R48" i="1"/>
  <c r="M48" i="1"/>
  <c r="L48" i="1"/>
  <c r="K48" i="1"/>
  <c r="J48" i="1"/>
  <c r="I48" i="1"/>
  <c r="H48" i="1"/>
  <c r="G48" i="1"/>
  <c r="F48" i="1"/>
  <c r="E48" i="1"/>
  <c r="D48" i="1"/>
  <c r="C48" i="1"/>
  <c r="B48" i="1"/>
  <c r="BB47" i="1"/>
  <c r="BA47" i="1"/>
  <c r="AY47" i="1"/>
  <c r="AX47" i="1"/>
  <c r="BB46" i="1"/>
  <c r="BA46" i="1"/>
  <c r="AY46" i="1"/>
  <c r="AX46" i="1"/>
  <c r="BB45" i="1"/>
  <c r="BA45" i="1"/>
  <c r="AC45" i="1"/>
  <c r="AB45" i="1"/>
  <c r="O45" i="1"/>
  <c r="AY45" i="1" s="1"/>
  <c r="N45" i="1"/>
  <c r="AX45" i="1" s="1"/>
  <c r="AY44" i="1"/>
  <c r="AX44" i="1"/>
  <c r="BB43" i="1"/>
  <c r="BB48" i="1" s="1"/>
  <c r="BA43" i="1"/>
  <c r="AG43" i="1"/>
  <c r="AG48" i="1" s="1"/>
  <c r="AF43" i="1"/>
  <c r="AF48" i="1" s="1"/>
  <c r="O43" i="1"/>
  <c r="O48" i="1" s="1"/>
  <c r="N43" i="1"/>
  <c r="N48" i="1" s="1"/>
  <c r="BB42" i="1"/>
  <c r="BA42" i="1"/>
  <c r="Q42" i="1"/>
  <c r="Q48" i="1" s="1"/>
  <c r="P42" i="1"/>
  <c r="P48" i="1" s="1"/>
  <c r="BB41" i="1"/>
  <c r="BA41" i="1"/>
  <c r="AC41" i="1"/>
  <c r="AC48" i="1" s="1"/>
  <c r="AB41" i="1"/>
  <c r="AB48"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O39" i="1"/>
  <c r="N39" i="1"/>
  <c r="M39" i="1"/>
  <c r="L39" i="1"/>
  <c r="K39" i="1"/>
  <c r="J39" i="1"/>
  <c r="I39" i="1"/>
  <c r="H39" i="1"/>
  <c r="G39" i="1"/>
  <c r="F39" i="1"/>
  <c r="E39" i="1"/>
  <c r="D39" i="1"/>
  <c r="C39" i="1"/>
  <c r="B39" i="1"/>
  <c r="BB38" i="1"/>
  <c r="BA38" i="1"/>
  <c r="BC38" i="1" s="1"/>
  <c r="AY38" i="1"/>
  <c r="AX38" i="1"/>
  <c r="AY37" i="1"/>
  <c r="AX37" i="1"/>
  <c r="AY36" i="1"/>
  <c r="AX36" i="1"/>
  <c r="BB35" i="1"/>
  <c r="BA35" i="1"/>
  <c r="AY35" i="1"/>
  <c r="AX35" i="1"/>
  <c r="AY34" i="1"/>
  <c r="AX34" i="1"/>
  <c r="AY33" i="1"/>
  <c r="AX33" i="1"/>
  <c r="BB32" i="1"/>
  <c r="BA32" i="1"/>
  <c r="BC32" i="1" s="1"/>
  <c r="Q32" i="1"/>
  <c r="Q39" i="1" s="1"/>
  <c r="P32" i="1"/>
  <c r="P39" i="1" s="1"/>
  <c r="O32" i="1"/>
  <c r="AY32" i="1" s="1"/>
  <c r="N32" i="1"/>
  <c r="AX32" i="1" s="1"/>
  <c r="BB31" i="1"/>
  <c r="BB39" i="1" s="1"/>
  <c r="BA31" i="1"/>
  <c r="BA39" i="1" s="1"/>
  <c r="AY31" i="1"/>
  <c r="AX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O29" i="1"/>
  <c r="N29" i="1"/>
  <c r="M29" i="1"/>
  <c r="L29" i="1"/>
  <c r="K29" i="1"/>
  <c r="J29" i="1"/>
  <c r="I29" i="1"/>
  <c r="H29" i="1"/>
  <c r="G29" i="1"/>
  <c r="F29" i="1"/>
  <c r="E29" i="1"/>
  <c r="D29" i="1"/>
  <c r="C29" i="1"/>
  <c r="B29" i="1"/>
  <c r="AY28" i="1"/>
  <c r="AX28" i="1"/>
  <c r="AY27" i="1"/>
  <c r="AX27" i="1"/>
  <c r="AY26" i="1"/>
  <c r="AX26" i="1"/>
  <c r="AY25" i="1"/>
  <c r="AX25" i="1"/>
  <c r="AY24" i="1"/>
  <c r="AX24" i="1"/>
  <c r="AY23" i="1"/>
  <c r="AX23" i="1"/>
  <c r="BB22" i="1"/>
  <c r="BA22" i="1"/>
  <c r="Q22" i="1"/>
  <c r="Q29" i="1" s="1"/>
  <c r="P22" i="1"/>
  <c r="P29" i="1" s="1"/>
  <c r="O22" i="1"/>
  <c r="AY22" i="1" s="1"/>
  <c r="N22" i="1"/>
  <c r="AX22" i="1" s="1"/>
  <c r="BB21" i="1"/>
  <c r="BA21" i="1"/>
  <c r="AY21" i="1"/>
  <c r="AX21" i="1"/>
  <c r="AY20" i="1"/>
  <c r="AX20" i="1"/>
  <c r="AY19" i="1"/>
  <c r="AX19" i="1"/>
  <c r="AY18" i="1"/>
  <c r="AX18" i="1"/>
  <c r="BB17" i="1"/>
  <c r="BA17" i="1"/>
  <c r="AY17" i="1"/>
  <c r="AX17" i="1"/>
  <c r="AY16" i="1"/>
  <c r="AX16" i="1"/>
  <c r="BB15" i="1"/>
  <c r="BA15" i="1"/>
  <c r="AY15" i="1"/>
  <c r="AX15" i="1"/>
  <c r="O15" i="1"/>
  <c r="N15" i="1"/>
  <c r="BB14" i="1"/>
  <c r="BA14" i="1"/>
  <c r="AY14" i="1"/>
  <c r="AX14" i="1"/>
  <c r="AY13" i="1"/>
  <c r="AX13" i="1"/>
  <c r="AY12" i="1"/>
  <c r="AX12" i="1"/>
  <c r="BB11" i="1"/>
  <c r="BA11" i="1"/>
  <c r="AY11" i="1"/>
  <c r="AX11" i="1"/>
  <c r="BB10" i="1"/>
  <c r="BB29" i="1" s="1"/>
  <c r="BA10" i="1"/>
  <c r="BA29" i="1" s="1"/>
  <c r="AY10" i="1"/>
  <c r="AX10" i="1"/>
  <c r="BC22" i="1" l="1"/>
  <c r="AX39" i="1"/>
  <c r="AZ34" i="1" s="1"/>
  <c r="BC47" i="1"/>
  <c r="AX29" i="1"/>
  <c r="AZ11" i="1" s="1"/>
  <c r="AZ20" i="1"/>
  <c r="BC34" i="1"/>
  <c r="BC33" i="1"/>
  <c r="BC31" i="1"/>
  <c r="BC37" i="1"/>
  <c r="BC36" i="1"/>
  <c r="BC35" i="1"/>
  <c r="BC41" i="1"/>
  <c r="AY29" i="1"/>
  <c r="BC28" i="1"/>
  <c r="BC27" i="1"/>
  <c r="BC26" i="1"/>
  <c r="BC25" i="1"/>
  <c r="BC24" i="1"/>
  <c r="BC23" i="1"/>
  <c r="BC20" i="1"/>
  <c r="BC19" i="1"/>
  <c r="BC13" i="1"/>
  <c r="BC12" i="1"/>
  <c r="BC21" i="1"/>
  <c r="BC17" i="1"/>
  <c r="BC14" i="1"/>
  <c r="BC10" i="1"/>
  <c r="BC15" i="1"/>
  <c r="BC11" i="1"/>
  <c r="AZ13" i="1"/>
  <c r="AZ32" i="1"/>
  <c r="AY39" i="1"/>
  <c r="AX43" i="1"/>
  <c r="AY43" i="1"/>
  <c r="AX41" i="1"/>
  <c r="AX42" i="1"/>
  <c r="BA48" i="1"/>
  <c r="AY41" i="1"/>
  <c r="AY42" i="1"/>
  <c r="AX48" i="1" l="1"/>
  <c r="AY48" i="1"/>
  <c r="AZ31" i="1"/>
  <c r="AZ19" i="1"/>
  <c r="AZ33" i="1"/>
  <c r="AZ25" i="1"/>
  <c r="AZ14" i="1"/>
  <c r="AZ26" i="1"/>
  <c r="BC46" i="1"/>
  <c r="BC44" i="1"/>
  <c r="BC43" i="1"/>
  <c r="AZ10" i="1"/>
  <c r="BC45" i="1"/>
  <c r="AZ15" i="1"/>
  <c r="BC42" i="1"/>
  <c r="AZ23" i="1"/>
  <c r="AZ12" i="1"/>
  <c r="AZ24" i="1"/>
  <c r="AZ37" i="1"/>
  <c r="AZ38" i="1"/>
  <c r="AZ36" i="1"/>
  <c r="AZ21" i="1"/>
  <c r="AZ35" i="1"/>
  <c r="AZ27" i="1"/>
  <c r="AZ17" i="1"/>
  <c r="AZ28" i="1"/>
  <c r="AZ22" i="1"/>
  <c r="AZ47" i="1" l="1"/>
  <c r="AZ44" i="1"/>
  <c r="AZ45" i="1"/>
  <c r="AZ46" i="1"/>
  <c r="AZ43" i="1"/>
  <c r="AZ42" i="1"/>
  <c r="AZ41" i="1"/>
</calcChain>
</file>

<file path=xl/comments1.xml><?xml version="1.0" encoding="utf-8"?>
<comments xmlns="http://schemas.openxmlformats.org/spreadsheetml/2006/main">
  <authors>
    <author>au-avota</author>
  </authors>
  <commentList>
    <comment ref="BB14" authorId="0">
      <text>
        <r>
          <rPr>
            <b/>
            <sz val="9"/>
            <color indexed="81"/>
            <rFont val="Tahoma"/>
            <family val="2"/>
            <charset val="186"/>
          </rPr>
          <t>au-avota:</t>
        </r>
        <r>
          <rPr>
            <sz val="9"/>
            <color indexed="81"/>
            <rFont val="Tahoma"/>
            <family val="2"/>
            <charset val="186"/>
          </rPr>
          <t xml:space="preserve">
VARAM+FM</t>
        </r>
      </text>
    </comment>
  </commentList>
</comments>
</file>

<file path=xl/sharedStrings.xml><?xml version="1.0" encoding="utf-8"?>
<sst xmlns="http://schemas.openxmlformats.org/spreadsheetml/2006/main" count="148" uniqueCount="92">
  <si>
    <t>4.pielikums</t>
  </si>
  <si>
    <t>2012.gads***</t>
  </si>
  <si>
    <t>2012.gadā kopā***</t>
  </si>
  <si>
    <t xml:space="preserve">2007.- 2013.gada plānošanas periodā līdz 31.12.2012. </t>
  </si>
  <si>
    <t>Fondi (programmas)</t>
  </si>
  <si>
    <t>ES struktūrfondi 2004.-2006.gada plānošanas periods</t>
  </si>
  <si>
    <t>ES Kohēzijas fonds 2004.-2006.gada plānošanas periods</t>
  </si>
  <si>
    <t>ES struktūrfondi 2007.-2013.gada plānošanas periods</t>
  </si>
  <si>
    <t>ES Kohēzijas fonds 2007.-2013.gada plānošanas periods</t>
  </si>
  <si>
    <t>Vispārīgā programma „Solidaritāte un migrācijas plūsmu pārvaldība”</t>
  </si>
  <si>
    <t>Eiropas Lauksaimniecības un lauku attīstības fondi 2007.-2013.gada plānošanas periods</t>
  </si>
  <si>
    <t>Eiropas Kopienas iniciatīvas</t>
  </si>
  <si>
    <t>Pirmsiestāšanās fondi</t>
  </si>
  <si>
    <t>Eiropas Savienības struktūrfondu 3.mērķa „Eiropas teritoriālā sadarbība” programmas</t>
  </si>
  <si>
    <t>Citi ES finanšu palīdzības instrumenti</t>
  </si>
  <si>
    <t>Neatbilstību apjoms (latos)</t>
  </si>
  <si>
    <t xml:space="preserve">Neatbilstību skaits </t>
  </si>
  <si>
    <t>Attiecīgās pozīcijas neatbilstību apjoma īpatsvars kopējā  2011.gadā konstatētā neatbilstību apjomā</t>
  </si>
  <si>
    <t>Neatbilstību apjoms kopā (kumulatīvi) (latos)</t>
  </si>
  <si>
    <t>Neatbilstību skaits kopā (kumulatīvi)</t>
  </si>
  <si>
    <t>Attiecīgās pozīcijas neatbilstību apjoma īpatsvars kopējā konstatētā neatbilstību apjomā</t>
  </si>
  <si>
    <t>ELVGF Virzības daļa</t>
  </si>
  <si>
    <t>ELVGF Garantiju daļa</t>
  </si>
  <si>
    <t>ERAF</t>
  </si>
  <si>
    <t>ESF</t>
  </si>
  <si>
    <t>ZVFI</t>
  </si>
  <si>
    <t>ELGF</t>
  </si>
  <si>
    <t>ELFLA</t>
  </si>
  <si>
    <t>EZF</t>
  </si>
  <si>
    <t>Interreg programma</t>
  </si>
  <si>
    <t>Pārejas programma (Transition Facility)</t>
  </si>
  <si>
    <t>PHARE programma</t>
  </si>
  <si>
    <t>SAPARD programma</t>
  </si>
  <si>
    <t>TEN-T programma</t>
  </si>
  <si>
    <t>TEN-E programma</t>
  </si>
  <si>
    <t>LVL</t>
  </si>
  <si>
    <t>skaits</t>
  </si>
  <si>
    <t>2DP</t>
  </si>
  <si>
    <t>3DP</t>
  </si>
  <si>
    <t>TP ERAF</t>
  </si>
  <si>
    <t>1DP</t>
  </si>
  <si>
    <t>TP ESF</t>
  </si>
  <si>
    <t>TP KF</t>
  </si>
  <si>
    <t>Pēc neatbilstību atklāšanas veida**</t>
  </si>
  <si>
    <t>Pārbaude projekta īstenošanas vietā</t>
  </si>
  <si>
    <t>Revīzijas iestādes sertificēto izdevumu izlases pārbaude</t>
  </si>
  <si>
    <t>Vadības un kontroles sistēmas audits</t>
  </si>
  <si>
    <t>Eiropas Komisijas audits</t>
  </si>
  <si>
    <t>Administratīvā pārbaude un sākotnējo pārbaužu ietvaros</t>
  </si>
  <si>
    <t>Maksājumu pieprasījumu pārbaude</t>
  </si>
  <si>
    <t>Vadošās iestādes deleģēto funkciju pārbaude</t>
  </si>
  <si>
    <t>Projekta noslēguma izdevumu deklarācijas pārbaude</t>
  </si>
  <si>
    <t>Sertifikācijas iestādes pārbaude</t>
  </si>
  <si>
    <t>Iepirkumu pirmspārbaudes</t>
  </si>
  <si>
    <t>Iepirkumu pārbaude</t>
  </si>
  <si>
    <t>Finanšu kontrole (attaisnojuma dokumentu 100% pārbaude)</t>
  </si>
  <si>
    <t>Cits veids</t>
  </si>
  <si>
    <t>FS sniegtā informācija</t>
  </si>
  <si>
    <t>Eksperta slēdziens</t>
  </si>
  <si>
    <t>KNAB vēstule</t>
  </si>
  <si>
    <t>Starpposma/noslēguma pārskata izvērtēšana</t>
  </si>
  <si>
    <t>Pirmsmaksājumu pārbaude</t>
  </si>
  <si>
    <t>Platību maksājumiem - neiesniegts pieteikums, samazināta saistību platība, gala aprēķina korekcija pēc pārdeklarācijas piemērošanas; Projektveidīgajiem pasākumiem - pretendents atsakās turpināt projektu, trūkstoši dokumenti.</t>
  </si>
  <si>
    <t>Kopā</t>
  </si>
  <si>
    <t>X</t>
  </si>
  <si>
    <t>Pēs neatbilstības veida**</t>
  </si>
  <si>
    <t>Kļūda (ar finansiālu ietekmi)</t>
  </si>
  <si>
    <t>Aizdomas par krāpšanu un organizēto noziedzību</t>
  </si>
  <si>
    <t>Iepirkumu vai konkureces normu pārkāpums</t>
  </si>
  <si>
    <t>Iespējams interešu konflikts</t>
  </si>
  <si>
    <t>Cita neatbilstība</t>
  </si>
  <si>
    <t>Nespēja pildīt līguma/vienošanās nosacījumus</t>
  </si>
  <si>
    <t>Noteikto ieviešanas nosacījumu pārkāpšana</t>
  </si>
  <si>
    <t xml:space="preserve"> Klienta tīša vai netīša vaina</t>
  </si>
  <si>
    <t>Sadalījumā pa finansējuma saņēmējiem</t>
  </si>
  <si>
    <t>Valsts iestāde (V)</t>
  </si>
  <si>
    <t>Pašvaldības iestāde  (PA)</t>
  </si>
  <si>
    <t>Privāto tiesību juridiska persona (PR)</t>
  </si>
  <si>
    <t>Fiziskas personas (FP)</t>
  </si>
  <si>
    <t>NVO</t>
  </si>
  <si>
    <t>Starptautiskā organizācija</t>
  </si>
  <si>
    <t>Izglītības iestādes</t>
  </si>
  <si>
    <t>* Eiropas Savienības struktūrfondu 2004.-2006.gada plānošanas periodā Eiropas Sociālais fonds un Zivsaimniecības vadības finanšu instruments; Eiropas Savienības Kohēzijas fonds 2004.-2006.gada plānošanas periods; Eiropas Kopienas iniciatīvas - Interreg programma un EQUAL programma; Pirmsiestāšanās fondi- Pārejas programma (Transition Facility), PHARE programma, SAPARD programma; un citi ES finanšu palīdzības instrumenti kā TEN-T un TEN-E programma nav atspoguļota šajā pielikumā, jo minēto fondu/programmu ietvaros neatbilstības nav konstatētas 2011.gadā un/vai fonds/programma ir slēgta</t>
  </si>
  <si>
    <t>**Klasifiakators papildināts atbilstoši ES SF KF VIS</t>
  </si>
  <si>
    <r>
      <t xml:space="preserve">*** Finansiālajā apjomā </t>
    </r>
    <r>
      <rPr>
        <b/>
        <sz val="12"/>
        <color theme="1"/>
        <rFont val="Times New Roman"/>
        <family val="1"/>
        <charset val="186"/>
      </rPr>
      <t xml:space="preserve">nav </t>
    </r>
    <r>
      <rPr>
        <sz val="12"/>
        <color theme="1"/>
        <rFont val="Times New Roman"/>
        <family val="2"/>
        <charset val="186"/>
      </rPr>
      <t>iekļauta informācija par 4 aizdomām par krāpšanu gadījumiem 2012.gadā par kopējo summu 1 147 226,17 LVL (2 gadījumu ERAF 2.darbības programmas ,,Uzņēmējdarbība un inovācijas ietvaros 1 112 855.21 LVL apmērā, 1 - ERAF 3.darbības programmas ,,Infrastruktūra un pakalpojumi’’ 6 370.96 LVL apmērā un 1 - Eiropas Lauksaimniecības fonda lauku attīstībai ietvaros 28 000 LVL apmērā), kuriem nav tiešas finansiālas ietekmes, jo finansējums nav ticis izmaksāts finansējuma saņēmējam. Par minētajiem gadījumiem ir informētas tiesībsargājošās iestādes, kā arī Eiropas Komisija/OLAF.</t>
    </r>
  </si>
  <si>
    <t>A.Avota</t>
  </si>
  <si>
    <t xml:space="preserve">67083954, aiva.avota@fm.gov.lv </t>
  </si>
  <si>
    <t>2012.gadā un kopā 2007. - 2013.gada plānošanas periodā līdz 2012.gada 31.decembrim konstatēto neatbilstību gadījumu skaits un ar tiem saistītās summas (latos) pēc to atklāšanas veida, pēc neatbilstības veida un pa finansējuma saņēmējiem*</t>
  </si>
  <si>
    <t>I.Viņķele</t>
  </si>
  <si>
    <t>finanšu ministra vietā –</t>
  </si>
  <si>
    <t>labklājības ministre</t>
  </si>
  <si>
    <t>11.06.2013.   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</si>
</sst>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8" x14ac:knownFonts="1">
    <font>
      <sz val="12"/>
      <color theme="1"/>
      <name val="Times New Roman"/>
      <family val="2"/>
      <charset val="186"/>
    </font>
    <font>
      <sz val="12"/>
      <color theme="1"/>
      <name val="Times New Roman"/>
      <family val="2"/>
      <charset val="186"/>
    </font>
    <font>
      <b/>
      <sz val="12"/>
      <color theme="1"/>
      <name val="Times New Roman"/>
      <family val="1"/>
      <charset val="186"/>
    </font>
    <font>
      <sz val="14"/>
      <color theme="1"/>
      <name val="Times New Roman"/>
      <family val="2"/>
      <charset val="186"/>
    </font>
    <font>
      <b/>
      <i/>
      <sz val="12"/>
      <color theme="1"/>
      <name val="Times New Roman"/>
      <family val="1"/>
      <charset val="186"/>
    </font>
    <font>
      <b/>
      <sz val="11"/>
      <color rgb="FF000000"/>
      <name val="Times New Roman"/>
      <family val="1"/>
      <charset val="186"/>
    </font>
    <font>
      <b/>
      <sz val="11"/>
      <color theme="1"/>
      <name val="Times New Roman"/>
      <family val="1"/>
      <charset val="186"/>
    </font>
    <font>
      <b/>
      <sz val="10"/>
      <color rgb="FF000000"/>
      <name val="Times New Roman"/>
      <family val="1"/>
      <charset val="186"/>
    </font>
    <font>
      <b/>
      <sz val="8"/>
      <color theme="1"/>
      <name val="Times New Roman"/>
      <family val="1"/>
      <charset val="186"/>
    </font>
    <font>
      <b/>
      <sz val="9"/>
      <color rgb="FF000000"/>
      <name val="Times New Roman"/>
      <family val="1"/>
      <charset val="186"/>
    </font>
    <font>
      <sz val="10"/>
      <color rgb="FF000000"/>
      <name val="Times New Roman"/>
      <family val="1"/>
      <charset val="186"/>
    </font>
    <font>
      <sz val="9"/>
      <color rgb="FF000000"/>
      <name val="Times New Roman"/>
      <family val="1"/>
      <charset val="186"/>
    </font>
    <font>
      <b/>
      <i/>
      <sz val="8"/>
      <color rgb="FF000000"/>
      <name val="Times New Roman"/>
      <family val="1"/>
      <charset val="186"/>
    </font>
    <font>
      <i/>
      <sz val="8"/>
      <color rgb="FF000000"/>
      <name val="Times New Roman"/>
      <family val="1"/>
      <charset val="186"/>
    </font>
    <font>
      <b/>
      <i/>
      <sz val="8"/>
      <color theme="1"/>
      <name val="Times New Roman"/>
      <family val="1"/>
      <charset val="186"/>
    </font>
    <font>
      <b/>
      <i/>
      <sz val="12"/>
      <color rgb="FF000000"/>
      <name val="Times New Roman"/>
      <family val="1"/>
      <charset val="186"/>
    </font>
    <font>
      <sz val="11"/>
      <color rgb="FF000000"/>
      <name val="Times New Roman"/>
      <family val="1"/>
      <charset val="186"/>
    </font>
    <font>
      <sz val="11"/>
      <color theme="1"/>
      <name val="Times New Roman"/>
      <family val="1"/>
      <charset val="186"/>
    </font>
    <font>
      <b/>
      <sz val="12"/>
      <color rgb="FF000000"/>
      <name val="Times New Roman"/>
      <family val="1"/>
      <charset val="186"/>
    </font>
    <font>
      <sz val="10"/>
      <color theme="1"/>
      <name val="Times New Roman"/>
      <family val="1"/>
      <charset val="186"/>
    </font>
    <font>
      <sz val="11"/>
      <color theme="1"/>
      <name val="Times New Roman"/>
      <family val="2"/>
      <charset val="186"/>
    </font>
    <font>
      <sz val="10"/>
      <color theme="1"/>
      <name val="Times New Roman"/>
      <family val="2"/>
      <charset val="186"/>
    </font>
    <font>
      <u/>
      <sz val="12"/>
      <color theme="10"/>
      <name val="Times New Roman"/>
      <family val="2"/>
      <charset val="186"/>
    </font>
    <font>
      <b/>
      <sz val="11"/>
      <name val="Times New Roman"/>
      <family val="1"/>
      <charset val="186"/>
    </font>
    <font>
      <sz val="12"/>
      <name val="Times New Roman"/>
      <family val="1"/>
      <charset val="186"/>
    </font>
    <font>
      <b/>
      <sz val="9"/>
      <color indexed="81"/>
      <name val="Tahoma"/>
      <family val="2"/>
      <charset val="186"/>
    </font>
    <font>
      <sz val="9"/>
      <color indexed="81"/>
      <name val="Tahoma"/>
      <family val="2"/>
      <charset val="186"/>
    </font>
    <font>
      <sz val="12"/>
      <color indexed="8"/>
      <name val="Times New Roman"/>
      <family val="2"/>
      <charset val="186"/>
    </font>
  </fonts>
  <fills count="8">
    <fill>
      <patternFill patternType="none"/>
    </fill>
    <fill>
      <patternFill patternType="gray125"/>
    </fill>
    <fill>
      <patternFill patternType="solid">
        <fgColor theme="0" tint="-0.14999847407452621"/>
        <bgColor indexed="64"/>
      </patternFill>
    </fill>
    <fill>
      <patternFill patternType="solid">
        <fgColor rgb="FFE5B8B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2" fillId="0" borderId="0" applyNumberForma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310">
    <xf numFmtId="0" fontId="0" fillId="0" borderId="0" xfId="0"/>
    <xf numFmtId="0" fontId="3" fillId="0" borderId="0" xfId="0" applyFont="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6" fillId="0" borderId="50" xfId="0" applyFont="1" applyBorder="1" applyAlignment="1">
      <alignment horizontal="center" vertical="center" wrapText="1"/>
    </xf>
    <xf numFmtId="4" fontId="10" fillId="0" borderId="51" xfId="0" applyNumberFormat="1" applyFont="1" applyBorder="1" applyAlignment="1">
      <alignment horizontal="center" vertical="center" wrapText="1"/>
    </xf>
    <xf numFmtId="0" fontId="10" fillId="0" borderId="52" xfId="0" applyFont="1" applyBorder="1" applyAlignment="1">
      <alignment horizontal="center" vertical="center" wrapText="1"/>
    </xf>
    <xf numFmtId="4" fontId="10" fillId="0" borderId="52" xfId="0" applyNumberFormat="1" applyFont="1" applyBorder="1" applyAlignment="1">
      <alignment horizontal="center" vertical="center" wrapText="1"/>
    </xf>
    <xf numFmtId="0" fontId="10" fillId="0" borderId="53" xfId="0" applyFont="1" applyBorder="1" applyAlignment="1">
      <alignment horizontal="center" vertical="center" wrapText="1"/>
    </xf>
    <xf numFmtId="0" fontId="10" fillId="7" borderId="54" xfId="0" applyFont="1" applyFill="1" applyBorder="1" applyAlignment="1">
      <alignment horizontal="center" vertical="center" wrapText="1"/>
    </xf>
    <xf numFmtId="0" fontId="10" fillId="7" borderId="55" xfId="0" applyFont="1" applyFill="1" applyBorder="1" applyAlignment="1">
      <alignment horizontal="center" vertical="center" wrapText="1"/>
    </xf>
    <xf numFmtId="4" fontId="10" fillId="7" borderId="51" xfId="0" applyNumberFormat="1" applyFont="1" applyFill="1" applyBorder="1" applyAlignment="1">
      <alignment horizontal="center" vertical="center" wrapText="1"/>
    </xf>
    <xf numFmtId="0" fontId="10" fillId="7" borderId="52" xfId="0" applyFont="1" applyFill="1" applyBorder="1" applyAlignment="1">
      <alignment horizontal="center" vertical="center" wrapText="1"/>
    </xf>
    <xf numFmtId="4" fontId="10" fillId="7" borderId="52" xfId="0" applyNumberFormat="1" applyFont="1" applyFill="1" applyBorder="1" applyAlignment="1">
      <alignment horizontal="center" vertical="center" wrapText="1"/>
    </xf>
    <xf numFmtId="0" fontId="10" fillId="7" borderId="53" xfId="0" applyFont="1" applyFill="1" applyBorder="1" applyAlignment="1">
      <alignment horizontal="center" vertical="center" wrapText="1"/>
    </xf>
    <xf numFmtId="4" fontId="10" fillId="7" borderId="54" xfId="0" applyNumberFormat="1" applyFont="1" applyFill="1" applyBorder="1" applyAlignment="1">
      <alignment horizontal="center" vertical="center" wrapText="1"/>
    </xf>
    <xf numFmtId="0" fontId="10" fillId="7" borderId="51" xfId="0" applyFont="1" applyFill="1" applyBorder="1" applyAlignment="1">
      <alignment horizontal="center" vertical="center" wrapText="1"/>
    </xf>
    <xf numFmtId="4" fontId="16" fillId="3" borderId="54" xfId="0" applyNumberFormat="1" applyFont="1" applyFill="1" applyBorder="1" applyAlignment="1">
      <alignment horizontal="center" vertical="center" wrapText="1"/>
    </xf>
    <xf numFmtId="3" fontId="16" fillId="3" borderId="52" xfId="0" applyNumberFormat="1" applyFont="1" applyFill="1" applyBorder="1" applyAlignment="1">
      <alignment horizontal="center" vertical="center" wrapText="1"/>
    </xf>
    <xf numFmtId="10" fontId="17" fillId="5" borderId="53" xfId="1" applyNumberFormat="1" applyFont="1" applyFill="1" applyBorder="1" applyAlignment="1">
      <alignment horizontal="center" vertical="center"/>
    </xf>
    <xf numFmtId="4" fontId="17" fillId="4" borderId="54" xfId="0" applyNumberFormat="1" applyFont="1" applyFill="1" applyBorder="1" applyAlignment="1">
      <alignment horizontal="center" vertical="center"/>
    </xf>
    <xf numFmtId="0" fontId="17" fillId="4" borderId="52" xfId="0" applyFont="1" applyFill="1" applyBorder="1" applyAlignment="1">
      <alignment horizontal="center" vertical="center"/>
    </xf>
    <xf numFmtId="10" fontId="17" fillId="4" borderId="55" xfId="1" applyNumberFormat="1" applyFont="1" applyFill="1" applyBorder="1" applyAlignment="1">
      <alignment horizontal="center" vertical="center"/>
    </xf>
    <xf numFmtId="0" fontId="16" fillId="0" borderId="56" xfId="0" applyFont="1" applyBorder="1" applyAlignment="1">
      <alignment horizontal="center" vertical="center" wrapText="1"/>
    </xf>
    <xf numFmtId="4" fontId="10" fillId="0" borderId="27" xfId="0" applyNumberFormat="1" applyFont="1" applyBorder="1" applyAlignment="1">
      <alignment horizontal="center" vertical="center" wrapText="1"/>
    </xf>
    <xf numFmtId="0" fontId="10" fillId="0" borderId="21" xfId="0" applyFont="1" applyBorder="1" applyAlignment="1">
      <alignment horizontal="center" vertical="center" wrapText="1"/>
    </xf>
    <xf numFmtId="4" fontId="10" fillId="0" borderId="21" xfId="0" applyNumberFormat="1" applyFont="1" applyBorder="1" applyAlignment="1">
      <alignment horizontal="center" vertical="center" wrapText="1"/>
    </xf>
    <xf numFmtId="0" fontId="10" fillId="0" borderId="28"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22" xfId="0"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0" fontId="10" fillId="7" borderId="21" xfId="0" applyFont="1" applyFill="1" applyBorder="1" applyAlignment="1">
      <alignment horizontal="center" vertical="center" wrapText="1"/>
    </xf>
    <xf numFmtId="4" fontId="10" fillId="7" borderId="21" xfId="0" applyNumberFormat="1" applyFont="1" applyFill="1" applyBorder="1" applyAlignment="1">
      <alignment horizontal="center" vertical="center" wrapText="1"/>
    </xf>
    <xf numFmtId="0" fontId="10" fillId="7" borderId="28" xfId="0" applyFont="1" applyFill="1" applyBorder="1" applyAlignment="1">
      <alignment horizontal="center" vertical="center" wrapText="1"/>
    </xf>
    <xf numFmtId="4" fontId="10" fillId="7" borderId="20" xfId="0" applyNumberFormat="1" applyFont="1" applyFill="1" applyBorder="1" applyAlignment="1">
      <alignment horizontal="center" vertical="center" wrapText="1"/>
    </xf>
    <xf numFmtId="0" fontId="10" fillId="7" borderId="27" xfId="0" applyFont="1" applyFill="1" applyBorder="1" applyAlignment="1">
      <alignment horizontal="center" vertical="center" wrapText="1"/>
    </xf>
    <xf numFmtId="4" fontId="16" fillId="3" borderId="20" xfId="0" applyNumberFormat="1" applyFont="1" applyFill="1" applyBorder="1" applyAlignment="1">
      <alignment horizontal="center" vertical="center" wrapText="1"/>
    </xf>
    <xf numFmtId="3" fontId="16" fillId="3" borderId="21" xfId="0" applyNumberFormat="1" applyFont="1" applyFill="1" applyBorder="1" applyAlignment="1">
      <alignment horizontal="center" vertical="center" wrapText="1"/>
    </xf>
    <xf numFmtId="10" fontId="17" fillId="5" borderId="28" xfId="1" applyNumberFormat="1" applyFont="1" applyFill="1" applyBorder="1" applyAlignment="1">
      <alignment horizontal="center" vertical="center"/>
    </xf>
    <xf numFmtId="4" fontId="17" fillId="4" borderId="20" xfId="0" applyNumberFormat="1" applyFont="1" applyFill="1" applyBorder="1" applyAlignment="1">
      <alignment horizontal="center" vertical="center"/>
    </xf>
    <xf numFmtId="0" fontId="17" fillId="4" borderId="21" xfId="0" applyFont="1" applyFill="1" applyBorder="1" applyAlignment="1">
      <alignment horizontal="center" vertical="center"/>
    </xf>
    <xf numFmtId="2" fontId="10" fillId="0" borderId="21" xfId="0" applyNumberFormat="1" applyFont="1" applyBorder="1" applyAlignment="1">
      <alignment horizontal="center" vertical="center" wrapText="1"/>
    </xf>
    <xf numFmtId="0" fontId="16" fillId="6" borderId="56" xfId="0" applyFont="1" applyFill="1" applyBorder="1" applyAlignment="1">
      <alignment horizontal="center" vertical="center" wrapText="1"/>
    </xf>
    <xf numFmtId="4" fontId="10" fillId="6" borderId="27" xfId="0" applyNumberFormat="1"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6" fillId="0" borderId="57" xfId="0" applyFont="1" applyBorder="1" applyAlignment="1">
      <alignment horizontal="center" vertical="center" wrapText="1"/>
    </xf>
    <xf numFmtId="4" fontId="10" fillId="0" borderId="58" xfId="0" applyNumberFormat="1" applyFont="1" applyBorder="1" applyAlignment="1">
      <alignment horizontal="center" vertical="center" wrapText="1"/>
    </xf>
    <xf numFmtId="0" fontId="10" fillId="0" borderId="33" xfId="0" applyFont="1" applyBorder="1" applyAlignment="1">
      <alignment horizontal="center" vertical="center" wrapText="1"/>
    </xf>
    <xf numFmtId="4" fontId="10" fillId="0" borderId="33"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7" borderId="32" xfId="0" applyFont="1" applyFill="1" applyBorder="1" applyAlignment="1">
      <alignment horizontal="center" vertical="center" wrapText="1"/>
    </xf>
    <xf numFmtId="0" fontId="10" fillId="7" borderId="34" xfId="0" applyFont="1" applyFill="1" applyBorder="1" applyAlignment="1">
      <alignment horizontal="center" vertical="center" wrapText="1"/>
    </xf>
    <xf numFmtId="4" fontId="10" fillId="7" borderId="58" xfId="0" applyNumberFormat="1" applyFont="1" applyFill="1" applyBorder="1" applyAlignment="1">
      <alignment horizontal="center" vertical="center" wrapText="1"/>
    </xf>
    <xf numFmtId="0" fontId="10" fillId="7" borderId="33" xfId="0" applyFont="1" applyFill="1" applyBorder="1" applyAlignment="1">
      <alignment horizontal="center" vertical="center" wrapText="1"/>
    </xf>
    <xf numFmtId="4" fontId="10" fillId="7" borderId="33"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4" fontId="10" fillId="7" borderId="32" xfId="0" applyNumberFormat="1" applyFont="1" applyFill="1" applyBorder="1" applyAlignment="1">
      <alignment horizontal="center" vertical="center" wrapText="1"/>
    </xf>
    <xf numFmtId="0" fontId="10" fillId="7" borderId="58" xfId="0" applyFont="1" applyFill="1" applyBorder="1" applyAlignment="1">
      <alignment horizontal="center" vertical="center" wrapText="1"/>
    </xf>
    <xf numFmtId="10" fontId="17" fillId="5" borderId="35" xfId="1" applyNumberFormat="1" applyFont="1" applyFill="1" applyBorder="1" applyAlignment="1">
      <alignment horizontal="center" vertical="center"/>
    </xf>
    <xf numFmtId="4" fontId="17" fillId="4" borderId="32" xfId="0" applyNumberFormat="1" applyFont="1" applyFill="1" applyBorder="1" applyAlignment="1">
      <alignment horizontal="center" vertical="center"/>
    </xf>
    <xf numFmtId="0" fontId="17" fillId="4" borderId="33" xfId="0" applyFont="1" applyFill="1" applyBorder="1" applyAlignment="1">
      <alignment horizontal="center" vertical="center"/>
    </xf>
    <xf numFmtId="4" fontId="10" fillId="6" borderId="58" xfId="0" applyNumberFormat="1" applyFont="1" applyFill="1" applyBorder="1" applyAlignment="1">
      <alignment horizontal="center" vertical="center" wrapText="1"/>
    </xf>
    <xf numFmtId="0" fontId="10" fillId="6" borderId="33" xfId="0" applyFont="1" applyFill="1" applyBorder="1" applyAlignment="1">
      <alignment horizontal="center" vertical="center" wrapText="1"/>
    </xf>
    <xf numFmtId="4" fontId="10" fillId="6" borderId="33" xfId="0" applyNumberFormat="1" applyFont="1" applyFill="1" applyBorder="1" applyAlignment="1">
      <alignment horizontal="center" vertical="center" wrapText="1"/>
    </xf>
    <xf numFmtId="0" fontId="16" fillId="6" borderId="57" xfId="0" applyFont="1" applyFill="1" applyBorder="1" applyAlignment="1">
      <alignment horizontal="center" vertical="center" wrapText="1"/>
    </xf>
    <xf numFmtId="4" fontId="10" fillId="0" borderId="20" xfId="0" applyNumberFormat="1" applyFont="1" applyBorder="1" applyAlignment="1">
      <alignment horizontal="center" vertical="center" wrapText="1"/>
    </xf>
    <xf numFmtId="0" fontId="10" fillId="0" borderId="22" xfId="0" applyFont="1" applyBorder="1" applyAlignment="1">
      <alignment horizontal="center" vertical="center" wrapText="1"/>
    </xf>
    <xf numFmtId="3" fontId="10" fillId="7" borderId="21" xfId="0" applyNumberFormat="1" applyFont="1" applyFill="1" applyBorder="1" applyAlignment="1">
      <alignment horizontal="center" vertical="center" wrapText="1"/>
    </xf>
    <xf numFmtId="3" fontId="17" fillId="4" borderId="21" xfId="0" applyNumberFormat="1" applyFont="1" applyFill="1" applyBorder="1" applyAlignment="1">
      <alignment horizontal="center" vertical="center"/>
    </xf>
    <xf numFmtId="0" fontId="5" fillId="4" borderId="59" xfId="0" applyFont="1" applyFill="1" applyBorder="1" applyAlignment="1">
      <alignment horizontal="right" vertical="center" wrapText="1"/>
    </xf>
    <xf numFmtId="4" fontId="18" fillId="4" borderId="60" xfId="0" applyNumberFormat="1" applyFont="1" applyFill="1" applyBorder="1" applyAlignment="1">
      <alignment horizontal="center" vertical="center" wrapText="1"/>
    </xf>
    <xf numFmtId="0" fontId="18" fillId="4" borderId="61" xfId="0" applyFont="1" applyFill="1" applyBorder="1" applyAlignment="1">
      <alignment horizontal="center" vertical="center" wrapText="1"/>
    </xf>
    <xf numFmtId="4" fontId="18" fillId="4" borderId="61" xfId="0" applyNumberFormat="1" applyFont="1" applyFill="1" applyBorder="1" applyAlignment="1">
      <alignment horizontal="center" vertical="center" wrapText="1"/>
    </xf>
    <xf numFmtId="0" fontId="18" fillId="4" borderId="62"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8" fillId="4" borderId="64" xfId="0" applyFont="1" applyFill="1" applyBorder="1" applyAlignment="1">
      <alignment horizontal="center" vertical="center" wrapText="1"/>
    </xf>
    <xf numFmtId="4" fontId="18" fillId="4" borderId="62" xfId="0" applyNumberFormat="1" applyFont="1" applyFill="1" applyBorder="1" applyAlignment="1">
      <alignment horizontal="center" vertical="center" wrapText="1"/>
    </xf>
    <xf numFmtId="3" fontId="18" fillId="4" borderId="61" xfId="0" applyNumberFormat="1" applyFont="1" applyFill="1" applyBorder="1" applyAlignment="1">
      <alignment horizontal="center" vertical="center" wrapText="1"/>
    </xf>
    <xf numFmtId="4" fontId="18" fillId="3" borderId="62" xfId="0" applyNumberFormat="1" applyFont="1" applyFill="1" applyBorder="1" applyAlignment="1">
      <alignment horizontal="center" vertical="center" wrapText="1"/>
    </xf>
    <xf numFmtId="3" fontId="18" fillId="3" borderId="61" xfId="0" applyNumberFormat="1" applyFont="1" applyFill="1" applyBorder="1" applyAlignment="1">
      <alignment horizontal="center" vertical="center" wrapText="1"/>
    </xf>
    <xf numFmtId="0" fontId="2" fillId="5" borderId="64" xfId="0" applyFont="1" applyFill="1" applyBorder="1" applyAlignment="1">
      <alignment horizontal="center" vertical="center"/>
    </xf>
    <xf numFmtId="4" fontId="2" fillId="4" borderId="65" xfId="0" applyNumberFormat="1" applyFont="1" applyFill="1" applyBorder="1" applyAlignment="1">
      <alignment horizontal="center" vertical="center"/>
    </xf>
    <xf numFmtId="3" fontId="2" fillId="4" borderId="66" xfId="0" applyNumberFormat="1" applyFont="1" applyFill="1" applyBorder="1" applyAlignment="1">
      <alignment horizontal="center" vertical="center"/>
    </xf>
    <xf numFmtId="10" fontId="2" fillId="4" borderId="67" xfId="1" applyNumberFormat="1" applyFont="1" applyFill="1" applyBorder="1" applyAlignment="1">
      <alignment horizontal="center" vertical="center"/>
    </xf>
    <xf numFmtId="0" fontId="16" fillId="0" borderId="11" xfId="0" applyFont="1" applyBorder="1" applyAlignment="1">
      <alignment horizontal="center" vertical="center" wrapText="1"/>
    </xf>
    <xf numFmtId="4" fontId="10" fillId="0" borderId="14" xfId="0" applyNumberFormat="1" applyFont="1" applyBorder="1" applyAlignment="1">
      <alignment horizontal="center" vertical="center" wrapText="1"/>
    </xf>
    <xf numFmtId="0" fontId="10" fillId="0" borderId="15" xfId="0" applyFont="1" applyBorder="1" applyAlignment="1">
      <alignment horizontal="center" vertical="center" wrapText="1"/>
    </xf>
    <xf numFmtId="4" fontId="10" fillId="0" borderId="15"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4" fontId="10" fillId="0" borderId="54" xfId="0" applyNumberFormat="1" applyFont="1" applyBorder="1" applyAlignment="1">
      <alignment horizontal="center" vertical="center" wrapText="1"/>
    </xf>
    <xf numFmtId="4" fontId="10" fillId="0" borderId="15" xfId="0" applyNumberFormat="1" applyFont="1" applyBorder="1" applyAlignment="1">
      <alignment horizontal="center" wrapText="1"/>
    </xf>
    <xf numFmtId="0" fontId="10" fillId="0" borderId="17" xfId="0" applyFont="1" applyBorder="1" applyAlignment="1">
      <alignment horizontal="center" vertical="center" wrapText="1"/>
    </xf>
    <xf numFmtId="4" fontId="16" fillId="3" borderId="23" xfId="0" applyNumberFormat="1" applyFont="1" applyFill="1" applyBorder="1" applyAlignment="1">
      <alignment horizontal="center" vertical="center" wrapText="1"/>
    </xf>
    <xf numFmtId="3" fontId="16" fillId="3" borderId="68" xfId="0" applyNumberFormat="1" applyFont="1" applyFill="1" applyBorder="1" applyAlignment="1">
      <alignment horizontal="center" vertical="center" wrapText="1"/>
    </xf>
    <xf numFmtId="10" fontId="17" fillId="5" borderId="23" xfId="1" applyNumberFormat="1" applyFont="1" applyFill="1" applyBorder="1" applyAlignment="1">
      <alignment horizontal="center" vertical="center"/>
    </xf>
    <xf numFmtId="4" fontId="17" fillId="4" borderId="14" xfId="0" applyNumberFormat="1" applyFont="1" applyFill="1" applyBorder="1" applyAlignment="1">
      <alignment horizontal="center" vertical="center"/>
    </xf>
    <xf numFmtId="3" fontId="17" fillId="4" borderId="15" xfId="0" applyNumberFormat="1" applyFont="1" applyFill="1" applyBorder="1" applyAlignment="1">
      <alignment horizontal="center" vertical="center"/>
    </xf>
    <xf numFmtId="10" fontId="17" fillId="4" borderId="16" xfId="1" applyNumberFormat="1" applyFont="1" applyFill="1" applyBorder="1" applyAlignment="1">
      <alignment horizontal="center" vertical="center"/>
    </xf>
    <xf numFmtId="0" fontId="16" fillId="6" borderId="25"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4" fontId="10" fillId="6" borderId="20" xfId="0" applyNumberFormat="1" applyFont="1" applyFill="1" applyBorder="1" applyAlignment="1">
      <alignment horizontal="center" vertical="center" wrapText="1"/>
    </xf>
    <xf numFmtId="4" fontId="10" fillId="6" borderId="21" xfId="0" applyNumberFormat="1" applyFont="1" applyFill="1" applyBorder="1" applyAlignment="1">
      <alignment horizontal="center" vertical="center" wrapText="1"/>
    </xf>
    <xf numFmtId="4" fontId="10" fillId="0" borderId="21" xfId="0" applyNumberFormat="1" applyFont="1" applyBorder="1" applyAlignment="1">
      <alignment horizontal="center" wrapText="1"/>
    </xf>
    <xf numFmtId="4" fontId="16" fillId="3" borderId="25"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10" fontId="17" fillId="5" borderId="25" xfId="1" applyNumberFormat="1" applyFont="1" applyFill="1" applyBorder="1" applyAlignment="1">
      <alignment horizontal="center" vertical="center"/>
    </xf>
    <xf numFmtId="10" fontId="17" fillId="4" borderId="22" xfId="1" applyNumberFormat="1" applyFont="1" applyFill="1" applyBorder="1" applyAlignment="1">
      <alignment horizontal="center" vertical="center"/>
    </xf>
    <xf numFmtId="0" fontId="16" fillId="0" borderId="25"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4" fontId="10" fillId="0" borderId="32" xfId="0" applyNumberFormat="1" applyFont="1" applyBorder="1" applyAlignment="1">
      <alignment horizontal="center" vertical="center" wrapText="1"/>
    </xf>
    <xf numFmtId="4" fontId="10" fillId="0" borderId="33" xfId="0" applyNumberFormat="1" applyFont="1" applyBorder="1" applyAlignment="1">
      <alignment horizontal="center" wrapText="1"/>
    </xf>
    <xf numFmtId="4" fontId="16" fillId="3" borderId="69" xfId="0" applyNumberFormat="1"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3" fontId="17" fillId="4" borderId="33" xfId="0" applyNumberFormat="1" applyFont="1" applyFill="1" applyBorder="1" applyAlignment="1">
      <alignment horizontal="center" vertical="center"/>
    </xf>
    <xf numFmtId="10" fontId="17" fillId="4" borderId="34" xfId="1" applyNumberFormat="1" applyFont="1" applyFill="1" applyBorder="1" applyAlignment="1">
      <alignment horizontal="center" vertical="center"/>
    </xf>
    <xf numFmtId="0" fontId="17" fillId="0" borderId="69" xfId="0" applyFont="1" applyBorder="1" applyAlignment="1">
      <alignment horizontal="center" vertical="center"/>
    </xf>
    <xf numFmtId="0" fontId="0" fillId="0" borderId="21" xfId="0" applyBorder="1"/>
    <xf numFmtId="0" fontId="0" fillId="0" borderId="32" xfId="0" applyBorder="1"/>
    <xf numFmtId="0" fontId="0" fillId="0" borderId="33" xfId="0" applyBorder="1"/>
    <xf numFmtId="4" fontId="19" fillId="0" borderId="33" xfId="0" applyNumberFormat="1" applyFont="1" applyBorder="1" applyAlignment="1">
      <alignment horizontal="center"/>
    </xf>
    <xf numFmtId="0" fontId="0" fillId="0" borderId="34" xfId="0" applyBorder="1"/>
    <xf numFmtId="10" fontId="17" fillId="5" borderId="69" xfId="1" applyNumberFormat="1" applyFont="1" applyFill="1" applyBorder="1" applyAlignment="1">
      <alignment horizontal="center" vertical="center"/>
    </xf>
    <xf numFmtId="0" fontId="17" fillId="0" borderId="70" xfId="0" applyFont="1" applyBorder="1" applyAlignment="1">
      <alignment horizontal="center" vertical="center"/>
    </xf>
    <xf numFmtId="4" fontId="10" fillId="0" borderId="41" xfId="0" applyNumberFormat="1" applyFont="1" applyBorder="1" applyAlignment="1">
      <alignment horizontal="center" vertical="center" wrapText="1"/>
    </xf>
    <xf numFmtId="0" fontId="10" fillId="0" borderId="42" xfId="0" applyFont="1" applyBorder="1" applyAlignment="1">
      <alignment horizontal="center" vertical="center" wrapText="1"/>
    </xf>
    <xf numFmtId="2" fontId="10" fillId="0" borderId="42" xfId="0" applyNumberFormat="1" applyFont="1" applyBorder="1" applyAlignment="1">
      <alignment horizontal="center" vertical="center" wrapText="1"/>
    </xf>
    <xf numFmtId="0" fontId="20" fillId="0" borderId="42" xfId="0" applyFont="1" applyBorder="1" applyAlignment="1">
      <alignment horizontal="center" vertical="center"/>
    </xf>
    <xf numFmtId="4" fontId="10" fillId="0" borderId="42" xfId="0" applyNumberFormat="1" applyFont="1" applyBorder="1" applyAlignment="1">
      <alignment horizontal="center" vertical="center" wrapText="1"/>
    </xf>
    <xf numFmtId="0" fontId="10" fillId="0" borderId="43" xfId="0" applyFont="1" applyBorder="1" applyAlignment="1">
      <alignment horizontal="center" vertical="center" wrapText="1"/>
    </xf>
    <xf numFmtId="4" fontId="21" fillId="0" borderId="41" xfId="0" applyNumberFormat="1" applyFont="1" applyBorder="1" applyAlignment="1">
      <alignment horizontal="center" vertical="center"/>
    </xf>
    <xf numFmtId="0" fontId="21" fillId="0" borderId="42" xfId="0" applyFont="1" applyBorder="1" applyAlignment="1">
      <alignment horizontal="center" vertical="center"/>
    </xf>
    <xf numFmtId="4" fontId="19" fillId="0" borderId="42" xfId="0" applyNumberFormat="1" applyFont="1" applyBorder="1" applyAlignment="1">
      <alignment horizontal="center"/>
    </xf>
    <xf numFmtId="3" fontId="21" fillId="0" borderId="42" xfId="0" applyNumberFormat="1" applyFont="1" applyBorder="1" applyAlignment="1">
      <alignment horizontal="center" vertical="center"/>
    </xf>
    <xf numFmtId="4" fontId="21" fillId="0" borderId="42" xfId="0" applyNumberFormat="1" applyFont="1" applyBorder="1" applyAlignment="1">
      <alignment horizontal="center" vertical="center"/>
    </xf>
    <xf numFmtId="0" fontId="21" fillId="0" borderId="43" xfId="0" applyFont="1" applyBorder="1" applyAlignment="1">
      <alignment horizontal="center" vertical="center"/>
    </xf>
    <xf numFmtId="4" fontId="17" fillId="4" borderId="41" xfId="0" applyNumberFormat="1" applyFont="1" applyFill="1" applyBorder="1" applyAlignment="1">
      <alignment horizontal="center" vertical="center"/>
    </xf>
    <xf numFmtId="3" fontId="17" fillId="4" borderId="42" xfId="0" applyNumberFormat="1" applyFont="1" applyFill="1" applyBorder="1" applyAlignment="1">
      <alignment horizontal="center" vertical="center"/>
    </xf>
    <xf numFmtId="10" fontId="17" fillId="4" borderId="43" xfId="1" applyNumberFormat="1" applyFont="1" applyFill="1" applyBorder="1" applyAlignment="1">
      <alignment horizontal="center" vertical="center"/>
    </xf>
    <xf numFmtId="0" fontId="0" fillId="0" borderId="71" xfId="0" applyBorder="1"/>
    <xf numFmtId="0" fontId="23" fillId="4" borderId="47" xfId="2" applyFont="1" applyFill="1" applyBorder="1" applyAlignment="1">
      <alignment horizontal="right" vertical="center" wrapText="1"/>
    </xf>
    <xf numFmtId="4" fontId="18" fillId="4" borderId="36" xfId="0" applyNumberFormat="1" applyFont="1" applyFill="1" applyBorder="1" applyAlignment="1">
      <alignment horizontal="center" vertical="center" wrapText="1"/>
    </xf>
    <xf numFmtId="1" fontId="18" fillId="4" borderId="48" xfId="0" applyNumberFormat="1" applyFont="1" applyFill="1" applyBorder="1" applyAlignment="1">
      <alignment horizontal="center" vertical="center" wrapText="1"/>
    </xf>
    <xf numFmtId="4" fontId="18" fillId="4" borderId="48" xfId="0" applyNumberFormat="1" applyFont="1" applyFill="1" applyBorder="1" applyAlignment="1">
      <alignment horizontal="center" vertical="center" wrapText="1"/>
    </xf>
    <xf numFmtId="2" fontId="18" fillId="4" borderId="61" xfId="0" applyNumberFormat="1" applyFont="1" applyFill="1" applyBorder="1" applyAlignment="1">
      <alignment horizontal="center" vertical="center" wrapText="1"/>
    </xf>
    <xf numFmtId="1" fontId="18" fillId="4" borderId="61" xfId="0" applyNumberFormat="1" applyFont="1" applyFill="1" applyBorder="1" applyAlignment="1">
      <alignment horizontal="center" vertical="center" wrapText="1"/>
    </xf>
    <xf numFmtId="1" fontId="18" fillId="4" borderId="64" xfId="0" applyNumberFormat="1" applyFont="1" applyFill="1" applyBorder="1" applyAlignment="1">
      <alignment horizontal="center" vertical="center" wrapText="1"/>
    </xf>
    <xf numFmtId="2" fontId="18" fillId="4" borderId="62" xfId="0" applyNumberFormat="1" applyFont="1" applyFill="1" applyBorder="1" applyAlignment="1">
      <alignment horizontal="center" vertical="center" wrapText="1"/>
    </xf>
    <xf numFmtId="1" fontId="18" fillId="4" borderId="63" xfId="0" applyNumberFormat="1" applyFont="1" applyFill="1" applyBorder="1" applyAlignment="1">
      <alignment horizontal="center" vertical="center" wrapText="1"/>
    </xf>
    <xf numFmtId="4" fontId="18" fillId="4" borderId="72" xfId="0" applyNumberFormat="1" applyFont="1" applyFill="1" applyBorder="1" applyAlignment="1">
      <alignment horizontal="center" vertical="center" wrapText="1"/>
    </xf>
    <xf numFmtId="3" fontId="18" fillId="4" borderId="48" xfId="0" applyNumberFormat="1" applyFont="1" applyFill="1" applyBorder="1" applyAlignment="1">
      <alignment horizontal="center" vertical="center" wrapText="1"/>
    </xf>
    <xf numFmtId="2" fontId="18" fillId="4" borderId="48" xfId="0" applyNumberFormat="1" applyFont="1" applyFill="1" applyBorder="1" applyAlignment="1">
      <alignment horizontal="center" vertical="center" wrapText="1"/>
    </xf>
    <xf numFmtId="1" fontId="18" fillId="4" borderId="37" xfId="0" applyNumberFormat="1"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3" fontId="18" fillId="3" borderId="19"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xf>
    <xf numFmtId="4" fontId="2" fillId="4" borderId="38" xfId="0" applyNumberFormat="1" applyFont="1" applyFill="1" applyBorder="1" applyAlignment="1">
      <alignment horizontal="center" vertical="center"/>
    </xf>
    <xf numFmtId="3" fontId="2" fillId="4" borderId="39" xfId="0" applyNumberFormat="1" applyFont="1" applyFill="1" applyBorder="1" applyAlignment="1">
      <alignment horizontal="center" vertical="center"/>
    </xf>
    <xf numFmtId="2" fontId="2" fillId="4" borderId="40" xfId="0" applyNumberFormat="1" applyFont="1" applyFill="1" applyBorder="1" applyAlignment="1">
      <alignment horizontal="center" vertical="center"/>
    </xf>
    <xf numFmtId="0" fontId="16" fillId="0" borderId="68" xfId="0" applyFont="1" applyBorder="1" applyAlignment="1">
      <alignment horizontal="center" vertical="center" wrapText="1"/>
    </xf>
    <xf numFmtId="2" fontId="10" fillId="0" borderId="51" xfId="0" applyNumberFormat="1" applyFont="1" applyBorder="1" applyAlignment="1">
      <alignment horizontal="center" vertical="center" wrapText="1"/>
    </xf>
    <xf numFmtId="3" fontId="10" fillId="0" borderId="52" xfId="0" applyNumberFormat="1" applyFont="1" applyBorder="1" applyAlignment="1">
      <alignment horizontal="center" vertical="center" wrapText="1"/>
    </xf>
    <xf numFmtId="4" fontId="16" fillId="5" borderId="68" xfId="0" applyNumberFormat="1" applyFont="1" applyFill="1" applyBorder="1" applyAlignment="1">
      <alignment horizontal="center" vertical="center" wrapText="1"/>
    </xf>
    <xf numFmtId="0" fontId="16" fillId="5" borderId="68" xfId="0" applyFont="1" applyFill="1" applyBorder="1" applyAlignment="1">
      <alignment horizontal="center" vertical="center" wrapText="1"/>
    </xf>
    <xf numFmtId="10" fontId="16" fillId="5" borderId="23" xfId="0" applyNumberFormat="1" applyFont="1" applyFill="1" applyBorder="1" applyAlignment="1">
      <alignment horizontal="center" vertical="center" wrapText="1"/>
    </xf>
    <xf numFmtId="0" fontId="17" fillId="4" borderId="15" xfId="0" applyFont="1" applyFill="1" applyBorder="1" applyAlignment="1">
      <alignment horizontal="center" vertical="center"/>
    </xf>
    <xf numFmtId="10" fontId="17" fillId="4" borderId="16" xfId="0" applyNumberFormat="1" applyFont="1" applyFill="1" applyBorder="1" applyAlignment="1">
      <alignment horizontal="center" vertical="center"/>
    </xf>
    <xf numFmtId="2" fontId="10" fillId="0" borderId="27"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4" fontId="16" fillId="5" borderId="56" xfId="0" applyNumberFormat="1" applyFont="1" applyFill="1" applyBorder="1" applyAlignment="1">
      <alignment horizontal="center" vertical="center" wrapText="1"/>
    </xf>
    <xf numFmtId="0" fontId="16" fillId="5" borderId="56" xfId="0" applyFont="1" applyFill="1" applyBorder="1" applyAlignment="1">
      <alignment horizontal="center" vertical="center" wrapText="1"/>
    </xf>
    <xf numFmtId="10" fontId="16" fillId="5" borderId="25" xfId="0" applyNumberFormat="1" applyFont="1" applyFill="1" applyBorder="1" applyAlignment="1">
      <alignment horizontal="center" vertical="center" wrapText="1"/>
    </xf>
    <xf numFmtId="10" fontId="17" fillId="4" borderId="22" xfId="0" applyNumberFormat="1" applyFont="1" applyFill="1" applyBorder="1" applyAlignment="1">
      <alignment horizontal="center" vertical="center"/>
    </xf>
    <xf numFmtId="2" fontId="10" fillId="0" borderId="58"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4" fontId="16" fillId="5" borderId="57" xfId="0" applyNumberFormat="1" applyFont="1" applyFill="1" applyBorder="1" applyAlignment="1">
      <alignment horizontal="center" vertical="center" wrapText="1"/>
    </xf>
    <xf numFmtId="0" fontId="16" fillId="5" borderId="57" xfId="0" applyFont="1" applyFill="1" applyBorder="1" applyAlignment="1">
      <alignment horizontal="center" vertical="center" wrapText="1"/>
    </xf>
    <xf numFmtId="10" fontId="16" fillId="5" borderId="69" xfId="0" applyNumberFormat="1" applyFont="1" applyFill="1" applyBorder="1" applyAlignment="1">
      <alignment horizontal="center" vertical="center" wrapText="1"/>
    </xf>
    <xf numFmtId="0" fontId="5" fillId="4" borderId="3" xfId="0" applyFont="1" applyFill="1" applyBorder="1" applyAlignment="1">
      <alignment horizontal="right" vertical="center" wrapText="1"/>
    </xf>
    <xf numFmtId="4" fontId="18" fillId="4" borderId="65" xfId="0" applyNumberFormat="1" applyFont="1" applyFill="1" applyBorder="1" applyAlignment="1">
      <alignment horizontal="center" vertical="center" wrapText="1"/>
    </xf>
    <xf numFmtId="3" fontId="18" fillId="4" borderId="66" xfId="0" applyNumberFormat="1" applyFont="1" applyFill="1" applyBorder="1" applyAlignment="1">
      <alignment horizontal="center" vertical="center" wrapText="1"/>
    </xf>
    <xf numFmtId="4" fontId="18" fillId="4" borderId="66" xfId="0" applyNumberFormat="1" applyFont="1" applyFill="1" applyBorder="1" applyAlignment="1">
      <alignment horizontal="center" vertical="center" wrapText="1"/>
    </xf>
    <xf numFmtId="3" fontId="18" fillId="4" borderId="67" xfId="0" applyNumberFormat="1" applyFont="1" applyFill="1" applyBorder="1" applyAlignment="1">
      <alignment horizontal="center" vertical="center" wrapText="1"/>
    </xf>
    <xf numFmtId="4" fontId="18" fillId="4" borderId="73" xfId="0" applyNumberFormat="1" applyFont="1" applyFill="1" applyBorder="1" applyAlignment="1">
      <alignment horizontal="center" vertical="center" wrapText="1"/>
    </xf>
    <xf numFmtId="3" fontId="18" fillId="4" borderId="74" xfId="0" applyNumberFormat="1" applyFont="1" applyFill="1" applyBorder="1" applyAlignment="1">
      <alignment horizontal="center" vertical="center" wrapText="1"/>
    </xf>
    <xf numFmtId="4" fontId="18" fillId="3" borderId="59" xfId="0" applyNumberFormat="1" applyFont="1" applyFill="1" applyBorder="1" applyAlignment="1">
      <alignment horizontal="center" vertical="center" wrapText="1"/>
    </xf>
    <xf numFmtId="3" fontId="18" fillId="3" borderId="59" xfId="0" applyNumberFormat="1" applyFont="1" applyFill="1" applyBorder="1" applyAlignment="1">
      <alignment horizontal="center" vertical="center" wrapText="1"/>
    </xf>
    <xf numFmtId="4" fontId="2" fillId="5" borderId="59" xfId="0" applyNumberFormat="1" applyFont="1" applyFill="1" applyBorder="1" applyAlignment="1">
      <alignment horizontal="center" vertical="center"/>
    </xf>
    <xf numFmtId="4" fontId="2" fillId="4" borderId="67" xfId="0" applyNumberFormat="1" applyFont="1" applyFill="1" applyBorder="1" applyAlignment="1">
      <alignment horizontal="center"/>
    </xf>
    <xf numFmtId="0" fontId="0" fillId="0" borderId="0" xfId="0" applyBorder="1"/>
    <xf numFmtId="0" fontId="24" fillId="0" borderId="0" xfId="2" applyFont="1" applyBorder="1" applyAlignment="1">
      <alignment vertical="center" wrapText="1"/>
    </xf>
    <xf numFmtId="0" fontId="3" fillId="0" borderId="0" xfId="0" applyFont="1"/>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24" fillId="0" borderId="0" xfId="2" applyFont="1" applyBorder="1" applyAlignment="1">
      <alignment horizontal="left" vertical="center" wrapText="1"/>
    </xf>
    <xf numFmtId="0" fontId="0" fillId="0" borderId="0" xfId="0" applyAlignment="1">
      <alignment horizontal="left" vertical="top" wrapText="1"/>
    </xf>
    <xf numFmtId="0" fontId="10" fillId="2" borderId="2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cellXfs>
  <cellStyles count="5">
    <cellStyle name="Comma 2" xfId="3"/>
    <cellStyle name="Hyperlink" xfId="2" builtinId="8"/>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62"/>
  <sheetViews>
    <sheetView tabSelected="1" zoomScale="50" zoomScaleNormal="50" workbookViewId="0">
      <pane xSplit="1" topLeftCell="B1" activePane="topRight" state="frozen"/>
      <selection pane="topRight" activeCell="A61" sqref="A61"/>
    </sheetView>
  </sheetViews>
  <sheetFormatPr defaultRowHeight="15.6" x14ac:dyDescent="0.3"/>
  <cols>
    <col min="1" max="1" width="38.69921875" customWidth="1"/>
    <col min="2" max="2" width="10.5" bestFit="1" customWidth="1"/>
    <col min="4" max="4" width="10.5" bestFit="1" customWidth="1"/>
    <col min="6" max="6" width="12.09765625" bestFit="1" customWidth="1"/>
    <col min="7" max="7" width="8.5" customWidth="1"/>
    <col min="8" max="8" width="4.8984375" hidden="1" customWidth="1"/>
    <col min="9" max="10" width="8.796875" hidden="1" customWidth="1"/>
    <col min="11" max="11" width="4.796875" hidden="1" customWidth="1"/>
    <col min="12" max="12" width="9.69921875" hidden="1" customWidth="1"/>
    <col min="13" max="13" width="4.796875" hidden="1" customWidth="1"/>
    <col min="14" max="14" width="12.09765625" bestFit="1" customWidth="1"/>
    <col min="16" max="16" width="12.09765625" bestFit="1" customWidth="1"/>
    <col min="18" max="18" width="9.5" bestFit="1" customWidth="1"/>
    <col min="20" max="20" width="10.5" bestFit="1" customWidth="1"/>
    <col min="24" max="24" width="10.5" bestFit="1" customWidth="1"/>
    <col min="28" max="28" width="9.5" bestFit="1" customWidth="1"/>
    <col min="30" max="30" width="10.5" bestFit="1" customWidth="1"/>
    <col min="32" max="32" width="12.09765625" bestFit="1" customWidth="1"/>
    <col min="34" max="34" width="9.5" bestFit="1" customWidth="1"/>
    <col min="36" max="36" width="8.796875" hidden="1" customWidth="1"/>
    <col min="37" max="37" width="4.796875" hidden="1" customWidth="1"/>
    <col min="38" max="42" width="8.796875" hidden="1" customWidth="1"/>
    <col min="43" max="43" width="0.59765625" hidden="1" customWidth="1"/>
    <col min="46" max="46" width="0.19921875" customWidth="1"/>
    <col min="47" max="49" width="8.796875" hidden="1" customWidth="1"/>
    <col min="50" max="50" width="13.296875" customWidth="1"/>
    <col min="51" max="51" width="11.3984375" customWidth="1"/>
    <col min="52" max="52" width="13.19921875" customWidth="1"/>
    <col min="53" max="53" width="17.09765625" bestFit="1" customWidth="1"/>
    <col min="54" max="54" width="12.3984375" customWidth="1"/>
    <col min="55" max="55" width="11.19921875" customWidth="1"/>
  </cols>
  <sheetData>
    <row r="1" spans="1:55" ht="16.2" customHeight="1" thickBot="1" x14ac:dyDescent="0.35">
      <c r="A1" s="265" t="s">
        <v>87</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1" t="s">
        <v>0</v>
      </c>
    </row>
    <row r="2" spans="1:55" ht="16.8" customHeight="1" thickBot="1" x14ac:dyDescent="0.35">
      <c r="A2" s="266"/>
      <c r="B2" s="269" t="s">
        <v>1</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1"/>
      <c r="AT2" s="2"/>
      <c r="AU2" s="2"/>
      <c r="AV2" s="2"/>
      <c r="AW2" s="2"/>
      <c r="AX2" s="272" t="s">
        <v>2</v>
      </c>
      <c r="AY2" s="273"/>
      <c r="AZ2" s="274"/>
      <c r="BA2" s="278" t="s">
        <v>3</v>
      </c>
      <c r="BB2" s="279"/>
      <c r="BC2" s="280"/>
    </row>
    <row r="3" spans="1:55" ht="16.2" customHeight="1" thickBot="1" x14ac:dyDescent="0.35">
      <c r="A3" s="267"/>
      <c r="B3" s="284" t="s">
        <v>4</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3"/>
      <c r="AX3" s="275"/>
      <c r="AY3" s="276"/>
      <c r="AZ3" s="277"/>
      <c r="BA3" s="281"/>
      <c r="BB3" s="282"/>
      <c r="BC3" s="283"/>
    </row>
    <row r="4" spans="1:55" ht="64.8" customHeight="1" x14ac:dyDescent="0.3">
      <c r="A4" s="267"/>
      <c r="B4" s="286" t="s">
        <v>5</v>
      </c>
      <c r="C4" s="287"/>
      <c r="D4" s="287"/>
      <c r="E4" s="287"/>
      <c r="F4" s="287"/>
      <c r="G4" s="287"/>
      <c r="H4" s="287"/>
      <c r="I4" s="287"/>
      <c r="J4" s="287"/>
      <c r="K4" s="288"/>
      <c r="L4" s="289" t="s">
        <v>6</v>
      </c>
      <c r="M4" s="290"/>
      <c r="N4" s="286" t="s">
        <v>7</v>
      </c>
      <c r="O4" s="287"/>
      <c r="P4" s="287"/>
      <c r="Q4" s="287"/>
      <c r="R4" s="287"/>
      <c r="S4" s="287"/>
      <c r="T4" s="287"/>
      <c r="U4" s="287"/>
      <c r="V4" s="287"/>
      <c r="W4" s="288"/>
      <c r="X4" s="262" t="s">
        <v>8</v>
      </c>
      <c r="Y4" s="263"/>
      <c r="Z4" s="263"/>
      <c r="AA4" s="264"/>
      <c r="AB4" s="299" t="s">
        <v>9</v>
      </c>
      <c r="AC4" s="300"/>
      <c r="AD4" s="303" t="s">
        <v>10</v>
      </c>
      <c r="AE4" s="304"/>
      <c r="AF4" s="304"/>
      <c r="AG4" s="304"/>
      <c r="AH4" s="304"/>
      <c r="AI4" s="305"/>
      <c r="AJ4" s="286" t="s">
        <v>11</v>
      </c>
      <c r="AK4" s="287"/>
      <c r="AL4" s="286" t="s">
        <v>12</v>
      </c>
      <c r="AM4" s="287"/>
      <c r="AN4" s="287"/>
      <c r="AO4" s="287"/>
      <c r="AP4" s="287"/>
      <c r="AQ4" s="288"/>
      <c r="AR4" s="306" t="s">
        <v>13</v>
      </c>
      <c r="AS4" s="307"/>
      <c r="AT4" s="262" t="s">
        <v>14</v>
      </c>
      <c r="AU4" s="263"/>
      <c r="AV4" s="263"/>
      <c r="AW4" s="264"/>
      <c r="AX4" s="250" t="s">
        <v>15</v>
      </c>
      <c r="AY4" s="250" t="s">
        <v>16</v>
      </c>
      <c r="AZ4" s="253" t="s">
        <v>17</v>
      </c>
      <c r="BA4" s="256" t="s">
        <v>18</v>
      </c>
      <c r="BB4" s="259" t="s">
        <v>19</v>
      </c>
      <c r="BC4" s="296" t="s">
        <v>20</v>
      </c>
    </row>
    <row r="5" spans="1:55" ht="33.6" customHeight="1" x14ac:dyDescent="0.3">
      <c r="A5" s="267"/>
      <c r="B5" s="232" t="s">
        <v>21</v>
      </c>
      <c r="C5" s="217"/>
      <c r="D5" s="217" t="s">
        <v>22</v>
      </c>
      <c r="E5" s="217"/>
      <c r="F5" s="217" t="s">
        <v>23</v>
      </c>
      <c r="G5" s="217"/>
      <c r="H5" s="217" t="s">
        <v>24</v>
      </c>
      <c r="I5" s="217"/>
      <c r="J5" s="217" t="s">
        <v>25</v>
      </c>
      <c r="K5" s="219"/>
      <c r="L5" s="291"/>
      <c r="M5" s="292"/>
      <c r="N5" s="245" t="s">
        <v>23</v>
      </c>
      <c r="O5" s="247"/>
      <c r="P5" s="247"/>
      <c r="Q5" s="247"/>
      <c r="R5" s="247"/>
      <c r="S5" s="246"/>
      <c r="T5" s="248" t="s">
        <v>24</v>
      </c>
      <c r="U5" s="247"/>
      <c r="V5" s="247"/>
      <c r="W5" s="249"/>
      <c r="X5" s="293"/>
      <c r="Y5" s="294"/>
      <c r="Z5" s="294"/>
      <c r="AA5" s="295"/>
      <c r="AB5" s="301"/>
      <c r="AC5" s="302"/>
      <c r="AD5" s="232" t="s">
        <v>26</v>
      </c>
      <c r="AE5" s="217"/>
      <c r="AF5" s="217" t="s">
        <v>27</v>
      </c>
      <c r="AG5" s="217"/>
      <c r="AH5" s="217" t="s">
        <v>28</v>
      </c>
      <c r="AI5" s="219"/>
      <c r="AJ5" s="245" t="s">
        <v>29</v>
      </c>
      <c r="AK5" s="247"/>
      <c r="AL5" s="245" t="s">
        <v>30</v>
      </c>
      <c r="AM5" s="246"/>
      <c r="AN5" s="248" t="s">
        <v>31</v>
      </c>
      <c r="AO5" s="246"/>
      <c r="AP5" s="248" t="s">
        <v>32</v>
      </c>
      <c r="AQ5" s="249"/>
      <c r="AR5" s="308"/>
      <c r="AS5" s="309"/>
      <c r="AT5" s="232" t="s">
        <v>33</v>
      </c>
      <c r="AU5" s="217"/>
      <c r="AV5" s="217" t="s">
        <v>34</v>
      </c>
      <c r="AW5" s="219"/>
      <c r="AX5" s="251"/>
      <c r="AY5" s="251"/>
      <c r="AZ5" s="254"/>
      <c r="BA5" s="257"/>
      <c r="BB5" s="260"/>
      <c r="BC5" s="297"/>
    </row>
    <row r="6" spans="1:55" ht="25.2" customHeight="1" x14ac:dyDescent="0.3">
      <c r="A6" s="267"/>
      <c r="B6" s="242" t="s">
        <v>35</v>
      </c>
      <c r="C6" s="243" t="s">
        <v>36</v>
      </c>
      <c r="D6" s="243" t="s">
        <v>35</v>
      </c>
      <c r="E6" s="243" t="s">
        <v>36</v>
      </c>
      <c r="F6" s="243" t="s">
        <v>35</v>
      </c>
      <c r="G6" s="243" t="s">
        <v>36</v>
      </c>
      <c r="H6" s="243" t="s">
        <v>35</v>
      </c>
      <c r="I6" s="243" t="s">
        <v>36</v>
      </c>
      <c r="J6" s="243" t="s">
        <v>35</v>
      </c>
      <c r="K6" s="240" t="s">
        <v>36</v>
      </c>
      <c r="L6" s="242" t="s">
        <v>35</v>
      </c>
      <c r="M6" s="240" t="s">
        <v>36</v>
      </c>
      <c r="N6" s="232" t="s">
        <v>37</v>
      </c>
      <c r="O6" s="217"/>
      <c r="P6" s="217" t="s">
        <v>38</v>
      </c>
      <c r="Q6" s="217"/>
      <c r="R6" s="217" t="s">
        <v>39</v>
      </c>
      <c r="S6" s="217"/>
      <c r="T6" s="217" t="s">
        <v>40</v>
      </c>
      <c r="U6" s="217"/>
      <c r="V6" s="217" t="s">
        <v>41</v>
      </c>
      <c r="W6" s="219"/>
      <c r="X6" s="232" t="s">
        <v>38</v>
      </c>
      <c r="Y6" s="217"/>
      <c r="Z6" s="217" t="s">
        <v>42</v>
      </c>
      <c r="AA6" s="219"/>
      <c r="AB6" s="234" t="s">
        <v>35</v>
      </c>
      <c r="AC6" s="236" t="s">
        <v>36</v>
      </c>
      <c r="AD6" s="238" t="s">
        <v>35</v>
      </c>
      <c r="AE6" s="224" t="s">
        <v>36</v>
      </c>
      <c r="AF6" s="224" t="s">
        <v>35</v>
      </c>
      <c r="AG6" s="224" t="s">
        <v>36</v>
      </c>
      <c r="AH6" s="224" t="s">
        <v>35</v>
      </c>
      <c r="AI6" s="226" t="s">
        <v>36</v>
      </c>
      <c r="AJ6" s="228" t="s">
        <v>35</v>
      </c>
      <c r="AK6" s="230" t="s">
        <v>36</v>
      </c>
      <c r="AL6" s="232" t="s">
        <v>35</v>
      </c>
      <c r="AM6" s="217" t="s">
        <v>36</v>
      </c>
      <c r="AN6" s="217" t="s">
        <v>35</v>
      </c>
      <c r="AO6" s="217" t="s">
        <v>36</v>
      </c>
      <c r="AP6" s="217" t="s">
        <v>35</v>
      </c>
      <c r="AQ6" s="219" t="s">
        <v>36</v>
      </c>
      <c r="AR6" s="308"/>
      <c r="AS6" s="309"/>
      <c r="AT6" s="232"/>
      <c r="AU6" s="217"/>
      <c r="AV6" s="217"/>
      <c r="AW6" s="219"/>
      <c r="AX6" s="251"/>
      <c r="AY6" s="251"/>
      <c r="AZ6" s="254"/>
      <c r="BA6" s="257"/>
      <c r="BB6" s="260"/>
      <c r="BC6" s="297"/>
    </row>
    <row r="7" spans="1:55" ht="24.6" customHeight="1" thickBot="1" x14ac:dyDescent="0.35">
      <c r="A7" s="268"/>
      <c r="B7" s="229"/>
      <c r="C7" s="244"/>
      <c r="D7" s="244"/>
      <c r="E7" s="244"/>
      <c r="F7" s="244"/>
      <c r="G7" s="244"/>
      <c r="H7" s="244"/>
      <c r="I7" s="244"/>
      <c r="J7" s="244"/>
      <c r="K7" s="241"/>
      <c r="L7" s="229"/>
      <c r="M7" s="241"/>
      <c r="N7" s="4" t="s">
        <v>35</v>
      </c>
      <c r="O7" s="5" t="s">
        <v>36</v>
      </c>
      <c r="P7" s="5" t="s">
        <v>35</v>
      </c>
      <c r="Q7" s="5" t="s">
        <v>36</v>
      </c>
      <c r="R7" s="5" t="s">
        <v>35</v>
      </c>
      <c r="S7" s="5" t="s">
        <v>36</v>
      </c>
      <c r="T7" s="5" t="s">
        <v>35</v>
      </c>
      <c r="U7" s="5" t="s">
        <v>36</v>
      </c>
      <c r="V7" s="5" t="s">
        <v>35</v>
      </c>
      <c r="W7" s="6" t="s">
        <v>36</v>
      </c>
      <c r="X7" s="7" t="s">
        <v>35</v>
      </c>
      <c r="Y7" s="8" t="s">
        <v>36</v>
      </c>
      <c r="Z7" s="8" t="s">
        <v>35</v>
      </c>
      <c r="AA7" s="9" t="s">
        <v>36</v>
      </c>
      <c r="AB7" s="235"/>
      <c r="AC7" s="237"/>
      <c r="AD7" s="239"/>
      <c r="AE7" s="225"/>
      <c r="AF7" s="225"/>
      <c r="AG7" s="225"/>
      <c r="AH7" s="225"/>
      <c r="AI7" s="227"/>
      <c r="AJ7" s="229"/>
      <c r="AK7" s="231"/>
      <c r="AL7" s="233"/>
      <c r="AM7" s="218"/>
      <c r="AN7" s="218"/>
      <c r="AO7" s="218"/>
      <c r="AP7" s="218"/>
      <c r="AQ7" s="220"/>
      <c r="AR7" s="10" t="s">
        <v>35</v>
      </c>
      <c r="AS7" s="11" t="s">
        <v>36</v>
      </c>
      <c r="AT7" s="7" t="s">
        <v>35</v>
      </c>
      <c r="AU7" s="8" t="s">
        <v>36</v>
      </c>
      <c r="AV7" s="8" t="s">
        <v>35</v>
      </c>
      <c r="AW7" s="9" t="s">
        <v>36</v>
      </c>
      <c r="AX7" s="252"/>
      <c r="AY7" s="252"/>
      <c r="AZ7" s="255"/>
      <c r="BA7" s="258"/>
      <c r="BB7" s="261"/>
      <c r="BC7" s="298"/>
    </row>
    <row r="8" spans="1:55" ht="16.2" thickBot="1" x14ac:dyDescent="0.35">
      <c r="A8" s="12"/>
      <c r="B8" s="13">
        <v>1</v>
      </c>
      <c r="C8" s="13">
        <v>2</v>
      </c>
      <c r="D8" s="13">
        <v>3</v>
      </c>
      <c r="E8" s="13">
        <v>4</v>
      </c>
      <c r="F8" s="13">
        <v>5</v>
      </c>
      <c r="G8" s="13">
        <v>6</v>
      </c>
      <c r="H8" s="13">
        <v>7</v>
      </c>
      <c r="I8" s="13">
        <v>9</v>
      </c>
      <c r="J8" s="13">
        <v>10</v>
      </c>
      <c r="K8" s="13">
        <v>11</v>
      </c>
      <c r="L8" s="13">
        <v>12</v>
      </c>
      <c r="M8" s="13">
        <v>13</v>
      </c>
      <c r="N8" s="13">
        <v>14</v>
      </c>
      <c r="O8" s="13">
        <v>15</v>
      </c>
      <c r="P8" s="13">
        <v>16</v>
      </c>
      <c r="Q8" s="13">
        <v>17</v>
      </c>
      <c r="R8" s="13">
        <v>18</v>
      </c>
      <c r="S8" s="13">
        <v>19</v>
      </c>
      <c r="T8" s="13">
        <v>20</v>
      </c>
      <c r="U8" s="13">
        <v>21</v>
      </c>
      <c r="V8" s="13">
        <v>22</v>
      </c>
      <c r="W8" s="13">
        <v>23</v>
      </c>
      <c r="X8" s="13">
        <v>24</v>
      </c>
      <c r="Y8" s="13">
        <v>25</v>
      </c>
      <c r="Z8" s="13">
        <v>26</v>
      </c>
      <c r="AA8" s="13">
        <v>27</v>
      </c>
      <c r="AB8" s="13">
        <v>28</v>
      </c>
      <c r="AC8" s="13">
        <v>29</v>
      </c>
      <c r="AD8" s="13">
        <v>30</v>
      </c>
      <c r="AE8" s="13">
        <v>31</v>
      </c>
      <c r="AF8" s="13">
        <v>32</v>
      </c>
      <c r="AG8" s="13">
        <v>34</v>
      </c>
      <c r="AH8" s="13">
        <v>35</v>
      </c>
      <c r="AI8" s="13">
        <v>36</v>
      </c>
      <c r="AJ8" s="13">
        <v>37</v>
      </c>
      <c r="AK8" s="13">
        <v>38</v>
      </c>
      <c r="AL8" s="13">
        <v>39</v>
      </c>
      <c r="AM8" s="13">
        <v>40</v>
      </c>
      <c r="AN8" s="13">
        <v>41</v>
      </c>
      <c r="AO8" s="13">
        <v>42</v>
      </c>
      <c r="AP8" s="13">
        <v>43</v>
      </c>
      <c r="AQ8" s="13">
        <v>44</v>
      </c>
      <c r="AR8" s="13">
        <v>45</v>
      </c>
      <c r="AS8" s="13">
        <v>46</v>
      </c>
      <c r="AT8" s="13">
        <v>47</v>
      </c>
      <c r="AU8" s="13">
        <v>48</v>
      </c>
      <c r="AV8" s="13">
        <v>49</v>
      </c>
      <c r="AW8" s="13">
        <v>50</v>
      </c>
      <c r="AX8" s="14">
        <v>51</v>
      </c>
      <c r="AY8" s="14">
        <v>52</v>
      </c>
      <c r="AZ8" s="15">
        <v>53</v>
      </c>
      <c r="BA8" s="15">
        <v>54</v>
      </c>
      <c r="BB8" s="15">
        <v>55</v>
      </c>
      <c r="BC8" s="16">
        <v>56</v>
      </c>
    </row>
    <row r="9" spans="1:55" ht="16.8" thickBot="1" x14ac:dyDescent="0.35">
      <c r="A9" s="221" t="s">
        <v>43</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3"/>
    </row>
    <row r="10" spans="1:55" x14ac:dyDescent="0.3">
      <c r="A10" s="17" t="s">
        <v>44</v>
      </c>
      <c r="B10" s="18">
        <v>187933.58</v>
      </c>
      <c r="C10" s="19">
        <v>3</v>
      </c>
      <c r="D10" s="19"/>
      <c r="E10" s="19"/>
      <c r="F10" s="20">
        <v>122459.36</v>
      </c>
      <c r="G10" s="19">
        <v>1</v>
      </c>
      <c r="H10" s="19"/>
      <c r="I10" s="19"/>
      <c r="J10" s="19"/>
      <c r="K10" s="21"/>
      <c r="L10" s="22"/>
      <c r="M10" s="23"/>
      <c r="N10" s="24">
        <v>594126.1</v>
      </c>
      <c r="O10" s="25">
        <v>10</v>
      </c>
      <c r="P10" s="26">
        <v>622278.41000000027</v>
      </c>
      <c r="Q10" s="25">
        <v>58</v>
      </c>
      <c r="R10" s="26"/>
      <c r="S10" s="25"/>
      <c r="T10" s="26">
        <v>13888.830000000002</v>
      </c>
      <c r="U10" s="25">
        <v>24</v>
      </c>
      <c r="V10" s="26"/>
      <c r="W10" s="27"/>
      <c r="X10" s="28">
        <v>0</v>
      </c>
      <c r="Y10" s="25">
        <v>1</v>
      </c>
      <c r="Z10" s="26"/>
      <c r="AA10" s="23"/>
      <c r="AB10" s="29">
        <v>445.79</v>
      </c>
      <c r="AC10" s="27">
        <v>2</v>
      </c>
      <c r="AD10" s="22"/>
      <c r="AE10" s="25"/>
      <c r="AF10" s="26"/>
      <c r="AG10" s="25"/>
      <c r="AH10" s="25">
        <v>679.62</v>
      </c>
      <c r="AI10" s="25">
        <v>1</v>
      </c>
      <c r="AJ10" s="25"/>
      <c r="AK10" s="23"/>
      <c r="AL10" s="22"/>
      <c r="AM10" s="25"/>
      <c r="AN10" s="25"/>
      <c r="AO10" s="25"/>
      <c r="AP10" s="25"/>
      <c r="AQ10" s="23"/>
      <c r="AR10" s="28"/>
      <c r="AS10" s="23"/>
      <c r="AT10" s="22"/>
      <c r="AU10" s="25"/>
      <c r="AV10" s="25"/>
      <c r="AW10" s="27"/>
      <c r="AX10" s="30">
        <f>B10+D10+F10+H10+J10+L10+N10+P10+R10+T10+V10+X10+Z10+AB10+AD10+AF10+AH10+AJ10+AL10+AN10+AP10+AR10+AT10+AV10</f>
        <v>1541811.6900000004</v>
      </c>
      <c r="AY10" s="31">
        <f>C10+E10+G10+I10+K10+M10+O10+Q10+S10+U10+W10+Y10+AA10+AC10+AE10+AG10+AI10+AK10+AM10+AO10+AQ10+AS10+AU10+AW10</f>
        <v>100</v>
      </c>
      <c r="AZ10" s="32">
        <f t="shared" ref="AZ10:AZ15" si="0">AX10/$AX$29*100%</f>
        <v>8.794847088446052E-2</v>
      </c>
      <c r="BA10" s="33">
        <f>3398299.05+3546.47+AB10+680</f>
        <v>3402971.31</v>
      </c>
      <c r="BB10" s="34">
        <f>148+8+AC10+1</f>
        <v>159</v>
      </c>
      <c r="BC10" s="35">
        <f t="shared" ref="BC10:BC15" si="1">BA10/$BA$29*100%</f>
        <v>0.11250550967835327</v>
      </c>
    </row>
    <row r="11" spans="1:55" ht="27.6" x14ac:dyDescent="0.3">
      <c r="A11" s="36" t="s">
        <v>45</v>
      </c>
      <c r="B11" s="37"/>
      <c r="C11" s="38"/>
      <c r="D11" s="38"/>
      <c r="E11" s="38"/>
      <c r="F11" s="39"/>
      <c r="G11" s="38"/>
      <c r="H11" s="38"/>
      <c r="I11" s="38"/>
      <c r="J11" s="38"/>
      <c r="K11" s="40"/>
      <c r="L11" s="41"/>
      <c r="M11" s="42"/>
      <c r="N11" s="43">
        <v>33961.94</v>
      </c>
      <c r="O11" s="44">
        <v>3</v>
      </c>
      <c r="P11" s="45">
        <v>205519.25</v>
      </c>
      <c r="Q11" s="44">
        <v>25</v>
      </c>
      <c r="R11" s="45"/>
      <c r="S11" s="44"/>
      <c r="T11" s="45">
        <v>113022.52</v>
      </c>
      <c r="U11" s="44">
        <v>51</v>
      </c>
      <c r="V11" s="45"/>
      <c r="W11" s="46"/>
      <c r="X11" s="47"/>
      <c r="Y11" s="44"/>
      <c r="Z11" s="45"/>
      <c r="AA11" s="42"/>
      <c r="AB11" s="48">
        <v>0.21</v>
      </c>
      <c r="AC11" s="46">
        <v>1</v>
      </c>
      <c r="AD11" s="41"/>
      <c r="AE11" s="44"/>
      <c r="AF11" s="45"/>
      <c r="AG11" s="44"/>
      <c r="AH11" s="44"/>
      <c r="AI11" s="44"/>
      <c r="AJ11" s="44"/>
      <c r="AK11" s="42"/>
      <c r="AL11" s="41"/>
      <c r="AM11" s="44"/>
      <c r="AN11" s="44"/>
      <c r="AO11" s="44"/>
      <c r="AP11" s="44"/>
      <c r="AQ11" s="42"/>
      <c r="AR11" s="47">
        <v>1580.5148314799999</v>
      </c>
      <c r="AS11" s="42">
        <v>1</v>
      </c>
      <c r="AT11" s="41"/>
      <c r="AU11" s="44"/>
      <c r="AV11" s="44"/>
      <c r="AW11" s="46"/>
      <c r="AX11" s="49">
        <f t="shared" ref="AX11:AY28" si="2">B11+D11+F11+H11+J11+L11+N11+P11+R11+T11+V11+X11+Z11+AB11+AD11+AF11+AH11+AJ11+AL11+AN11+AP11+AR11+AT11+AV11</f>
        <v>354084.43483148003</v>
      </c>
      <c r="AY11" s="50">
        <f t="shared" si="2"/>
        <v>81</v>
      </c>
      <c r="AZ11" s="51">
        <f t="shared" si="0"/>
        <v>2.0197787323442247E-2</v>
      </c>
      <c r="BA11" s="52">
        <f>650222.57+AB11+(1034+AR11)</f>
        <v>652837.2948314799</v>
      </c>
      <c r="BB11" s="53">
        <f>132+AC11+(1+AS11)</f>
        <v>135</v>
      </c>
      <c r="BC11" s="35">
        <f t="shared" si="1"/>
        <v>2.1583429862079274E-2</v>
      </c>
    </row>
    <row r="12" spans="1:55" x14ac:dyDescent="0.3">
      <c r="A12" s="36" t="s">
        <v>46</v>
      </c>
      <c r="B12" s="37"/>
      <c r="C12" s="38"/>
      <c r="D12" s="38"/>
      <c r="E12" s="38"/>
      <c r="F12" s="39"/>
      <c r="G12" s="38"/>
      <c r="H12" s="38"/>
      <c r="I12" s="38"/>
      <c r="J12" s="38"/>
      <c r="K12" s="40"/>
      <c r="L12" s="41"/>
      <c r="M12" s="42"/>
      <c r="N12" s="43">
        <v>1242.99</v>
      </c>
      <c r="O12" s="44">
        <v>1</v>
      </c>
      <c r="P12" s="45"/>
      <c r="Q12" s="44"/>
      <c r="R12" s="45"/>
      <c r="S12" s="44"/>
      <c r="T12" s="45">
        <v>15.82</v>
      </c>
      <c r="U12" s="44">
        <v>1</v>
      </c>
      <c r="V12" s="45">
        <v>111.38</v>
      </c>
      <c r="W12" s="46">
        <v>1</v>
      </c>
      <c r="X12" s="47"/>
      <c r="Y12" s="44"/>
      <c r="Z12" s="45"/>
      <c r="AA12" s="42"/>
      <c r="AB12" s="48"/>
      <c r="AC12" s="46"/>
      <c r="AD12" s="41"/>
      <c r="AE12" s="44"/>
      <c r="AF12" s="45"/>
      <c r="AG12" s="44"/>
      <c r="AH12" s="44"/>
      <c r="AI12" s="44"/>
      <c r="AJ12" s="44"/>
      <c r="AK12" s="42"/>
      <c r="AL12" s="41"/>
      <c r="AM12" s="44"/>
      <c r="AN12" s="44"/>
      <c r="AO12" s="44"/>
      <c r="AP12" s="44"/>
      <c r="AQ12" s="42"/>
      <c r="AR12" s="47"/>
      <c r="AS12" s="42"/>
      <c r="AT12" s="41"/>
      <c r="AU12" s="44"/>
      <c r="AV12" s="44"/>
      <c r="AW12" s="46"/>
      <c r="AX12" s="49">
        <f t="shared" si="2"/>
        <v>1370.19</v>
      </c>
      <c r="AY12" s="50">
        <f t="shared" si="2"/>
        <v>3</v>
      </c>
      <c r="AZ12" s="51">
        <f t="shared" si="0"/>
        <v>7.8158776524245275E-5</v>
      </c>
      <c r="BA12" s="52">
        <v>1369.81</v>
      </c>
      <c r="BB12" s="53">
        <v>3</v>
      </c>
      <c r="BC12" s="35">
        <f t="shared" si="1"/>
        <v>4.5287238173190793E-5</v>
      </c>
    </row>
    <row r="13" spans="1:55" x14ac:dyDescent="0.3">
      <c r="A13" s="36" t="s">
        <v>47</v>
      </c>
      <c r="B13" s="37"/>
      <c r="C13" s="38"/>
      <c r="D13" s="38"/>
      <c r="E13" s="38"/>
      <c r="F13" s="39"/>
      <c r="G13" s="38"/>
      <c r="H13" s="38"/>
      <c r="I13" s="38"/>
      <c r="J13" s="38"/>
      <c r="K13" s="40"/>
      <c r="L13" s="41"/>
      <c r="M13" s="42"/>
      <c r="N13" s="43"/>
      <c r="O13" s="44"/>
      <c r="P13" s="45"/>
      <c r="Q13" s="44"/>
      <c r="R13" s="45">
        <v>2613.3799999999997</v>
      </c>
      <c r="S13" s="44">
        <v>2</v>
      </c>
      <c r="T13" s="45"/>
      <c r="U13" s="44"/>
      <c r="V13" s="45"/>
      <c r="W13" s="46"/>
      <c r="X13" s="47"/>
      <c r="Y13" s="44"/>
      <c r="Z13" s="45">
        <v>77.739999999999995</v>
      </c>
      <c r="AA13" s="42">
        <v>1</v>
      </c>
      <c r="AB13" s="48"/>
      <c r="AC13" s="46"/>
      <c r="AD13" s="41"/>
      <c r="AE13" s="44"/>
      <c r="AF13" s="45"/>
      <c r="AG13" s="44"/>
      <c r="AH13" s="44"/>
      <c r="AI13" s="44"/>
      <c r="AJ13" s="44"/>
      <c r="AK13" s="42"/>
      <c r="AL13" s="41"/>
      <c r="AM13" s="44"/>
      <c r="AN13" s="44"/>
      <c r="AO13" s="44"/>
      <c r="AP13" s="44"/>
      <c r="AQ13" s="42"/>
      <c r="AR13" s="47"/>
      <c r="AS13" s="42"/>
      <c r="AT13" s="41"/>
      <c r="AU13" s="44"/>
      <c r="AV13" s="44"/>
      <c r="AW13" s="46"/>
      <c r="AX13" s="49">
        <f t="shared" si="2"/>
        <v>2691.1199999999994</v>
      </c>
      <c r="AY13" s="50">
        <f t="shared" si="2"/>
        <v>3</v>
      </c>
      <c r="AZ13" s="51">
        <f t="shared" si="0"/>
        <v>1.5350764980033929E-4</v>
      </c>
      <c r="BA13" s="52">
        <v>2802.5</v>
      </c>
      <c r="BB13" s="53">
        <v>4</v>
      </c>
      <c r="BC13" s="35">
        <f t="shared" si="1"/>
        <v>9.2653349720302233E-5</v>
      </c>
    </row>
    <row r="14" spans="1:55" ht="27.6" x14ac:dyDescent="0.3">
      <c r="A14" s="36" t="s">
        <v>48</v>
      </c>
      <c r="B14" s="37"/>
      <c r="C14" s="38"/>
      <c r="D14" s="54">
        <v>3864.05</v>
      </c>
      <c r="E14" s="38">
        <v>3</v>
      </c>
      <c r="F14" s="39"/>
      <c r="G14" s="38"/>
      <c r="H14" s="38"/>
      <c r="I14" s="38"/>
      <c r="J14" s="38"/>
      <c r="K14" s="40"/>
      <c r="L14" s="41"/>
      <c r="M14" s="42"/>
      <c r="N14" s="43"/>
      <c r="O14" s="44"/>
      <c r="P14" s="45"/>
      <c r="Q14" s="44"/>
      <c r="R14" s="45"/>
      <c r="S14" s="44"/>
      <c r="T14" s="45"/>
      <c r="U14" s="44"/>
      <c r="V14" s="45"/>
      <c r="W14" s="46"/>
      <c r="X14" s="47"/>
      <c r="Y14" s="44"/>
      <c r="Z14" s="45"/>
      <c r="AA14" s="42"/>
      <c r="AB14" s="48"/>
      <c r="AC14" s="46"/>
      <c r="AD14" s="47">
        <v>2550.09</v>
      </c>
      <c r="AE14" s="44">
        <v>10</v>
      </c>
      <c r="AF14" s="45">
        <v>313229.02</v>
      </c>
      <c r="AG14" s="44">
        <v>319</v>
      </c>
      <c r="AH14" s="44"/>
      <c r="AI14" s="44"/>
      <c r="AJ14" s="44"/>
      <c r="AK14" s="42"/>
      <c r="AL14" s="41"/>
      <c r="AM14" s="44"/>
      <c r="AN14" s="44"/>
      <c r="AO14" s="44"/>
      <c r="AP14" s="44"/>
      <c r="AQ14" s="42"/>
      <c r="AR14" s="47">
        <v>527.07488783999997</v>
      </c>
      <c r="AS14" s="42">
        <v>1</v>
      </c>
      <c r="AT14" s="41"/>
      <c r="AU14" s="44"/>
      <c r="AV14" s="44"/>
      <c r="AW14" s="46"/>
      <c r="AX14" s="49">
        <f t="shared" si="2"/>
        <v>320170.23488784005</v>
      </c>
      <c r="AY14" s="50">
        <f t="shared" si="2"/>
        <v>333</v>
      </c>
      <c r="AZ14" s="51">
        <f t="shared" si="0"/>
        <v>1.8263243665706076E-2</v>
      </c>
      <c r="BA14" s="52">
        <f>527.07+810894</f>
        <v>811421.07</v>
      </c>
      <c r="BB14" s="53">
        <f>AS14+1943</f>
        <v>1944</v>
      </c>
      <c r="BC14" s="35">
        <f t="shared" si="1"/>
        <v>2.6826362236978353E-2</v>
      </c>
    </row>
    <row r="15" spans="1:55" x14ac:dyDescent="0.3">
      <c r="A15" s="55" t="s">
        <v>49</v>
      </c>
      <c r="B15" s="37"/>
      <c r="C15" s="38"/>
      <c r="D15" s="38"/>
      <c r="E15" s="38"/>
      <c r="F15" s="39"/>
      <c r="G15" s="38"/>
      <c r="H15" s="38"/>
      <c r="I15" s="38"/>
      <c r="J15" s="38"/>
      <c r="K15" s="40"/>
      <c r="L15" s="41"/>
      <c r="M15" s="42"/>
      <c r="N15" s="56">
        <f>3025083.19-15575.23</f>
        <v>3009507.96</v>
      </c>
      <c r="O15" s="57">
        <f>372-1</f>
        <v>371</v>
      </c>
      <c r="P15" s="45">
        <v>3485387.1100000031</v>
      </c>
      <c r="Q15" s="44">
        <v>335</v>
      </c>
      <c r="R15" s="45">
        <v>1282.56</v>
      </c>
      <c r="S15" s="44">
        <v>38</v>
      </c>
      <c r="T15" s="45">
        <v>512394.25000000006</v>
      </c>
      <c r="U15" s="44">
        <v>406</v>
      </c>
      <c r="V15" s="45">
        <v>305.98</v>
      </c>
      <c r="W15" s="46">
        <v>22</v>
      </c>
      <c r="X15" s="47">
        <v>305126.88</v>
      </c>
      <c r="Y15" s="44">
        <v>48</v>
      </c>
      <c r="Z15" s="45">
        <v>13.97</v>
      </c>
      <c r="AA15" s="42">
        <v>12</v>
      </c>
      <c r="AB15" s="48"/>
      <c r="AC15" s="46"/>
      <c r="AD15" s="41"/>
      <c r="AE15" s="44"/>
      <c r="AF15" s="45"/>
      <c r="AG15" s="44"/>
      <c r="AH15" s="44"/>
      <c r="AI15" s="44"/>
      <c r="AJ15" s="44"/>
      <c r="AK15" s="42"/>
      <c r="AL15" s="41"/>
      <c r="AM15" s="44"/>
      <c r="AN15" s="44"/>
      <c r="AO15" s="44"/>
      <c r="AP15" s="44"/>
      <c r="AQ15" s="42"/>
      <c r="AR15" s="47"/>
      <c r="AS15" s="42"/>
      <c r="AT15" s="41"/>
      <c r="AU15" s="44"/>
      <c r="AV15" s="44"/>
      <c r="AW15" s="46"/>
      <c r="AX15" s="49">
        <f t="shared" si="2"/>
        <v>7314018.7100000028</v>
      </c>
      <c r="AY15" s="50">
        <f t="shared" si="2"/>
        <v>1232</v>
      </c>
      <c r="AZ15" s="51">
        <f t="shared" si="0"/>
        <v>0.41720838266885529</v>
      </c>
      <c r="BA15" s="52">
        <f>11980029.5+205734-15575.23</f>
        <v>12170188.27</v>
      </c>
      <c r="BB15" s="53">
        <f>2719+647</f>
        <v>3366</v>
      </c>
      <c r="BC15" s="35">
        <f t="shared" si="1"/>
        <v>0.40235814806145587</v>
      </c>
    </row>
    <row r="16" spans="1:55" x14ac:dyDescent="0.3">
      <c r="A16" s="36" t="s">
        <v>50</v>
      </c>
      <c r="B16" s="37"/>
      <c r="C16" s="38"/>
      <c r="D16" s="38"/>
      <c r="E16" s="38"/>
      <c r="F16" s="39"/>
      <c r="G16" s="38"/>
      <c r="H16" s="38"/>
      <c r="I16" s="38"/>
      <c r="J16" s="38"/>
      <c r="K16" s="40"/>
      <c r="L16" s="41"/>
      <c r="M16" s="42"/>
      <c r="N16" s="43"/>
      <c r="O16" s="44"/>
      <c r="P16" s="45"/>
      <c r="Q16" s="44"/>
      <c r="R16" s="45"/>
      <c r="S16" s="44"/>
      <c r="T16" s="45"/>
      <c r="U16" s="44"/>
      <c r="V16" s="45"/>
      <c r="W16" s="46"/>
      <c r="X16" s="47"/>
      <c r="Y16" s="44"/>
      <c r="Z16" s="45"/>
      <c r="AA16" s="42"/>
      <c r="AB16" s="48"/>
      <c r="AC16" s="46"/>
      <c r="AD16" s="41"/>
      <c r="AE16" s="44"/>
      <c r="AF16" s="45"/>
      <c r="AG16" s="44"/>
      <c r="AH16" s="44"/>
      <c r="AI16" s="44"/>
      <c r="AJ16" s="44"/>
      <c r="AK16" s="42"/>
      <c r="AL16" s="41"/>
      <c r="AM16" s="44"/>
      <c r="AN16" s="44"/>
      <c r="AO16" s="44"/>
      <c r="AP16" s="44"/>
      <c r="AQ16" s="42"/>
      <c r="AR16" s="47"/>
      <c r="AS16" s="42"/>
      <c r="AT16" s="41"/>
      <c r="AU16" s="44"/>
      <c r="AV16" s="44"/>
      <c r="AW16" s="46"/>
      <c r="AX16" s="49">
        <f t="shared" si="2"/>
        <v>0</v>
      </c>
      <c r="AY16" s="50">
        <f t="shared" si="2"/>
        <v>0</v>
      </c>
      <c r="AZ16" s="51"/>
      <c r="BA16" s="52"/>
      <c r="BB16" s="53"/>
      <c r="BC16" s="35"/>
    </row>
    <row r="17" spans="1:55" ht="27.6" x14ac:dyDescent="0.3">
      <c r="A17" s="36" t="s">
        <v>51</v>
      </c>
      <c r="B17" s="37"/>
      <c r="C17" s="38"/>
      <c r="D17" s="38"/>
      <c r="E17" s="38"/>
      <c r="F17" s="39"/>
      <c r="G17" s="38"/>
      <c r="H17" s="38"/>
      <c r="I17" s="38"/>
      <c r="J17" s="38"/>
      <c r="K17" s="40"/>
      <c r="L17" s="41"/>
      <c r="M17" s="42"/>
      <c r="N17" s="43"/>
      <c r="O17" s="44"/>
      <c r="P17" s="45"/>
      <c r="Q17" s="44"/>
      <c r="R17" s="45"/>
      <c r="S17" s="44"/>
      <c r="T17" s="45">
        <v>728.78</v>
      </c>
      <c r="U17" s="44">
        <v>1</v>
      </c>
      <c r="V17" s="45"/>
      <c r="W17" s="46"/>
      <c r="X17" s="47"/>
      <c r="Y17" s="44"/>
      <c r="Z17" s="45"/>
      <c r="AA17" s="42"/>
      <c r="AB17" s="48">
        <v>8171.9</v>
      </c>
      <c r="AC17" s="46">
        <v>19</v>
      </c>
      <c r="AD17" s="41"/>
      <c r="AE17" s="44"/>
      <c r="AF17" s="45"/>
      <c r="AG17" s="44"/>
      <c r="AH17" s="44"/>
      <c r="AI17" s="44"/>
      <c r="AJ17" s="44"/>
      <c r="AK17" s="42"/>
      <c r="AL17" s="41"/>
      <c r="AM17" s="44"/>
      <c r="AN17" s="44"/>
      <c r="AO17" s="44"/>
      <c r="AP17" s="44"/>
      <c r="AQ17" s="42"/>
      <c r="AR17" s="47"/>
      <c r="AS17" s="42"/>
      <c r="AT17" s="41"/>
      <c r="AU17" s="44"/>
      <c r="AV17" s="44"/>
      <c r="AW17" s="46"/>
      <c r="AX17" s="49">
        <f t="shared" si="2"/>
        <v>8900.68</v>
      </c>
      <c r="AY17" s="50">
        <f t="shared" si="2"/>
        <v>20</v>
      </c>
      <c r="AZ17" s="51">
        <f>AX17/$AX$29*100%</f>
        <v>5.0771517748182324E-4</v>
      </c>
      <c r="BA17" s="52">
        <f>728.78+(21627.46+AB17)</f>
        <v>30528.14</v>
      </c>
      <c r="BB17" s="53">
        <f>1+(34+19)</f>
        <v>54</v>
      </c>
      <c r="BC17" s="35">
        <f>BA17/$BA$29*100%</f>
        <v>1.00928971694214E-3</v>
      </c>
    </row>
    <row r="18" spans="1:55" x14ac:dyDescent="0.3">
      <c r="A18" s="36" t="s">
        <v>52</v>
      </c>
      <c r="B18" s="37"/>
      <c r="C18" s="38"/>
      <c r="D18" s="38"/>
      <c r="E18" s="38"/>
      <c r="F18" s="39"/>
      <c r="G18" s="38"/>
      <c r="H18" s="38"/>
      <c r="I18" s="38"/>
      <c r="J18" s="38"/>
      <c r="K18" s="40"/>
      <c r="L18" s="41"/>
      <c r="M18" s="42"/>
      <c r="N18" s="43"/>
      <c r="O18" s="44"/>
      <c r="P18" s="45"/>
      <c r="Q18" s="44"/>
      <c r="R18" s="45"/>
      <c r="S18" s="44"/>
      <c r="T18" s="45">
        <v>15.34</v>
      </c>
      <c r="U18" s="44">
        <v>1</v>
      </c>
      <c r="V18" s="45"/>
      <c r="W18" s="46"/>
      <c r="X18" s="47"/>
      <c r="Y18" s="44"/>
      <c r="Z18" s="45"/>
      <c r="AA18" s="42"/>
      <c r="AB18" s="48"/>
      <c r="AC18" s="46"/>
      <c r="AD18" s="41"/>
      <c r="AE18" s="44"/>
      <c r="AF18" s="45"/>
      <c r="AG18" s="44"/>
      <c r="AH18" s="44"/>
      <c r="AI18" s="44"/>
      <c r="AJ18" s="44"/>
      <c r="AK18" s="42"/>
      <c r="AL18" s="41"/>
      <c r="AM18" s="44"/>
      <c r="AN18" s="44"/>
      <c r="AO18" s="44"/>
      <c r="AP18" s="44"/>
      <c r="AQ18" s="42"/>
      <c r="AR18" s="47"/>
      <c r="AS18" s="42"/>
      <c r="AT18" s="41"/>
      <c r="AU18" s="44"/>
      <c r="AV18" s="44"/>
      <c r="AW18" s="46"/>
      <c r="AX18" s="49">
        <f t="shared" si="2"/>
        <v>15.34</v>
      </c>
      <c r="AY18" s="50">
        <f t="shared" si="2"/>
        <v>1</v>
      </c>
      <c r="AZ18" s="51"/>
      <c r="BA18" s="52">
        <v>15.34</v>
      </c>
      <c r="BB18" s="53">
        <v>1</v>
      </c>
      <c r="BC18" s="35"/>
    </row>
    <row r="19" spans="1:55" x14ac:dyDescent="0.3">
      <c r="A19" s="36" t="s">
        <v>53</v>
      </c>
      <c r="B19" s="37"/>
      <c r="C19" s="38"/>
      <c r="D19" s="38"/>
      <c r="E19" s="38"/>
      <c r="F19" s="39"/>
      <c r="G19" s="38"/>
      <c r="H19" s="38"/>
      <c r="I19" s="38"/>
      <c r="J19" s="38"/>
      <c r="K19" s="40"/>
      <c r="L19" s="41"/>
      <c r="M19" s="42"/>
      <c r="N19" s="43"/>
      <c r="O19" s="44"/>
      <c r="P19" s="45">
        <v>13000.93</v>
      </c>
      <c r="Q19" s="44">
        <v>1</v>
      </c>
      <c r="R19" s="45"/>
      <c r="S19" s="44"/>
      <c r="T19" s="45">
        <v>1683.6</v>
      </c>
      <c r="U19" s="44">
        <v>1</v>
      </c>
      <c r="V19" s="45"/>
      <c r="W19" s="46"/>
      <c r="X19" s="47">
        <v>59184.46</v>
      </c>
      <c r="Y19" s="44">
        <v>8</v>
      </c>
      <c r="Z19" s="45"/>
      <c r="AA19" s="42"/>
      <c r="AB19" s="48"/>
      <c r="AC19" s="46"/>
      <c r="AD19" s="41"/>
      <c r="AE19" s="44"/>
      <c r="AF19" s="45"/>
      <c r="AG19" s="44"/>
      <c r="AH19" s="44"/>
      <c r="AI19" s="44"/>
      <c r="AJ19" s="44"/>
      <c r="AK19" s="42"/>
      <c r="AL19" s="41"/>
      <c r="AM19" s="44"/>
      <c r="AN19" s="44"/>
      <c r="AO19" s="44"/>
      <c r="AP19" s="44"/>
      <c r="AQ19" s="42"/>
      <c r="AR19" s="47"/>
      <c r="AS19" s="42"/>
      <c r="AT19" s="41"/>
      <c r="AU19" s="44"/>
      <c r="AV19" s="44"/>
      <c r="AW19" s="46"/>
      <c r="AX19" s="49">
        <f>B19+D19+F19+H19+J19+L19+N19+P19+R19+T19+V19+X19+Z19+AB19+AD19+AF19+AH19+AJ19+AL19+AN19+AP19+AR19+AT19+AV19</f>
        <v>73868.990000000005</v>
      </c>
      <c r="AY19" s="50">
        <f t="shared" si="2"/>
        <v>10</v>
      </c>
      <c r="AZ19" s="51">
        <f t="shared" ref="AZ19:AZ28" si="3">AX19/$AX$29*100%</f>
        <v>4.213656413695698E-3</v>
      </c>
      <c r="BA19" s="52">
        <v>103454.37</v>
      </c>
      <c r="BB19" s="53">
        <v>14</v>
      </c>
      <c r="BC19" s="35">
        <f t="shared" ref="BC19:BC28" si="4">BA19/$BA$29*100%</f>
        <v>3.4203011324544313E-3</v>
      </c>
    </row>
    <row r="20" spans="1:55" x14ac:dyDescent="0.3">
      <c r="A20" s="58" t="s">
        <v>54</v>
      </c>
      <c r="B20" s="59"/>
      <c r="C20" s="60"/>
      <c r="D20" s="60"/>
      <c r="E20" s="60"/>
      <c r="F20" s="61"/>
      <c r="G20" s="60"/>
      <c r="H20" s="60"/>
      <c r="I20" s="60"/>
      <c r="J20" s="60"/>
      <c r="K20" s="62"/>
      <c r="L20" s="63"/>
      <c r="M20" s="64"/>
      <c r="N20" s="65"/>
      <c r="O20" s="66"/>
      <c r="P20" s="67"/>
      <c r="Q20" s="66"/>
      <c r="R20" s="67"/>
      <c r="S20" s="66"/>
      <c r="T20" s="67"/>
      <c r="U20" s="66"/>
      <c r="V20" s="67"/>
      <c r="W20" s="68"/>
      <c r="X20" s="69"/>
      <c r="Y20" s="66"/>
      <c r="Z20" s="67"/>
      <c r="AA20" s="64"/>
      <c r="AB20" s="70"/>
      <c r="AC20" s="68"/>
      <c r="AD20" s="63"/>
      <c r="AE20" s="66"/>
      <c r="AF20" s="67"/>
      <c r="AG20" s="66"/>
      <c r="AH20" s="66"/>
      <c r="AI20" s="66"/>
      <c r="AJ20" s="66"/>
      <c r="AK20" s="64"/>
      <c r="AL20" s="63"/>
      <c r="AM20" s="66"/>
      <c r="AN20" s="66"/>
      <c r="AO20" s="66"/>
      <c r="AP20" s="66"/>
      <c r="AQ20" s="64"/>
      <c r="AR20" s="69"/>
      <c r="AS20" s="64"/>
      <c r="AT20" s="63"/>
      <c r="AU20" s="66"/>
      <c r="AV20" s="66"/>
      <c r="AW20" s="68"/>
      <c r="AX20" s="49">
        <f t="shared" si="2"/>
        <v>0</v>
      </c>
      <c r="AY20" s="50">
        <f t="shared" si="2"/>
        <v>0</v>
      </c>
      <c r="AZ20" s="71">
        <f t="shared" si="3"/>
        <v>0</v>
      </c>
      <c r="BA20" s="72">
        <v>32912.239999999998</v>
      </c>
      <c r="BB20" s="73">
        <v>1</v>
      </c>
      <c r="BC20" s="35">
        <f t="shared" si="4"/>
        <v>1.0881103596069651E-3</v>
      </c>
    </row>
    <row r="21" spans="1:55" ht="27.6" x14ac:dyDescent="0.3">
      <c r="A21" s="58" t="s">
        <v>55</v>
      </c>
      <c r="B21" s="59"/>
      <c r="C21" s="60"/>
      <c r="D21" s="60"/>
      <c r="E21" s="60"/>
      <c r="F21" s="61"/>
      <c r="G21" s="60"/>
      <c r="H21" s="60"/>
      <c r="I21" s="60"/>
      <c r="J21" s="60"/>
      <c r="K21" s="62"/>
      <c r="L21" s="63"/>
      <c r="M21" s="64"/>
      <c r="N21" s="74"/>
      <c r="O21" s="75"/>
      <c r="P21" s="76"/>
      <c r="Q21" s="75"/>
      <c r="R21" s="67"/>
      <c r="S21" s="66"/>
      <c r="T21" s="67"/>
      <c r="U21" s="66"/>
      <c r="V21" s="67"/>
      <c r="W21" s="68"/>
      <c r="X21" s="69"/>
      <c r="Y21" s="66"/>
      <c r="Z21" s="67"/>
      <c r="AA21" s="64"/>
      <c r="AB21" s="70">
        <v>3836.58</v>
      </c>
      <c r="AC21" s="68">
        <v>10</v>
      </c>
      <c r="AD21" s="63"/>
      <c r="AE21" s="66"/>
      <c r="AF21" s="67"/>
      <c r="AG21" s="66"/>
      <c r="AH21" s="66"/>
      <c r="AI21" s="66"/>
      <c r="AJ21" s="66"/>
      <c r="AK21" s="64"/>
      <c r="AL21" s="63"/>
      <c r="AM21" s="66"/>
      <c r="AN21" s="66"/>
      <c r="AO21" s="66"/>
      <c r="AP21" s="66"/>
      <c r="AQ21" s="64"/>
      <c r="AR21" s="69"/>
      <c r="AS21" s="64"/>
      <c r="AT21" s="63"/>
      <c r="AU21" s="66"/>
      <c r="AV21" s="66"/>
      <c r="AW21" s="68"/>
      <c r="AX21" s="49">
        <f t="shared" si="2"/>
        <v>3836.58</v>
      </c>
      <c r="AY21" s="50">
        <f t="shared" si="2"/>
        <v>10</v>
      </c>
      <c r="AZ21" s="71">
        <f t="shared" si="3"/>
        <v>2.188473122978484E-4</v>
      </c>
      <c r="BA21" s="72">
        <f>11507.5+AB21</f>
        <v>15344.08</v>
      </c>
      <c r="BB21" s="73">
        <f>39+AC21</f>
        <v>49</v>
      </c>
      <c r="BC21" s="35">
        <f t="shared" si="4"/>
        <v>5.0729006614676003E-4</v>
      </c>
    </row>
    <row r="22" spans="1:55" x14ac:dyDescent="0.3">
      <c r="A22" s="77" t="s">
        <v>56</v>
      </c>
      <c r="B22" s="59"/>
      <c r="C22" s="60"/>
      <c r="D22" s="60"/>
      <c r="E22" s="60"/>
      <c r="F22" s="61"/>
      <c r="G22" s="60"/>
      <c r="H22" s="60"/>
      <c r="I22" s="60"/>
      <c r="J22" s="60"/>
      <c r="K22" s="62"/>
      <c r="L22" s="63"/>
      <c r="M22" s="64"/>
      <c r="N22" s="74">
        <f>2483436.03-1097279.98</f>
        <v>1386156.0499999998</v>
      </c>
      <c r="O22" s="75">
        <f>18-1</f>
        <v>17</v>
      </c>
      <c r="P22" s="76">
        <f>4867240.16-6370.96</f>
        <v>4860869.2</v>
      </c>
      <c r="Q22" s="75">
        <f>117-1</f>
        <v>116</v>
      </c>
      <c r="R22" s="67"/>
      <c r="S22" s="66"/>
      <c r="T22" s="67">
        <v>55553.719999999994</v>
      </c>
      <c r="U22" s="66">
        <v>42</v>
      </c>
      <c r="V22" s="67"/>
      <c r="W22" s="68"/>
      <c r="X22" s="69"/>
      <c r="Y22" s="66"/>
      <c r="Z22" s="67"/>
      <c r="AA22" s="64"/>
      <c r="AB22" s="70"/>
      <c r="AC22" s="68"/>
      <c r="AD22" s="63"/>
      <c r="AE22" s="66"/>
      <c r="AF22" s="67"/>
      <c r="AG22" s="66"/>
      <c r="AH22" s="66"/>
      <c r="AI22" s="66"/>
      <c r="AJ22" s="66"/>
      <c r="AK22" s="64"/>
      <c r="AL22" s="63"/>
      <c r="AM22" s="66"/>
      <c r="AN22" s="66"/>
      <c r="AO22" s="66"/>
      <c r="AP22" s="66"/>
      <c r="AQ22" s="64"/>
      <c r="AR22" s="69"/>
      <c r="AS22" s="64"/>
      <c r="AT22" s="63"/>
      <c r="AU22" s="66"/>
      <c r="AV22" s="66"/>
      <c r="AW22" s="68"/>
      <c r="AX22" s="49">
        <f t="shared" si="2"/>
        <v>6302578.9699999997</v>
      </c>
      <c r="AY22" s="50">
        <f t="shared" si="2"/>
        <v>175</v>
      </c>
      <c r="AZ22" s="71">
        <f t="shared" si="3"/>
        <v>0.35951354282445347</v>
      </c>
      <c r="BA22" s="72">
        <f>9685341.3-6370.96-1097279.98</f>
        <v>8581690.3599999994</v>
      </c>
      <c r="BB22" s="73">
        <f>302-3</f>
        <v>299</v>
      </c>
      <c r="BC22" s="35">
        <f t="shared" si="4"/>
        <v>0.2837189502645589</v>
      </c>
    </row>
    <row r="23" spans="1:55" x14ac:dyDescent="0.3">
      <c r="A23" s="58" t="s">
        <v>57</v>
      </c>
      <c r="B23" s="59"/>
      <c r="C23" s="60"/>
      <c r="D23" s="60"/>
      <c r="E23" s="60"/>
      <c r="F23" s="61">
        <v>147062.13</v>
      </c>
      <c r="G23" s="60">
        <v>1</v>
      </c>
      <c r="H23" s="60"/>
      <c r="I23" s="60"/>
      <c r="J23" s="60"/>
      <c r="K23" s="62"/>
      <c r="L23" s="63"/>
      <c r="M23" s="64"/>
      <c r="N23" s="65"/>
      <c r="O23" s="66"/>
      <c r="P23" s="67">
        <v>165759.4</v>
      </c>
      <c r="Q23" s="66">
        <v>3</v>
      </c>
      <c r="R23" s="67"/>
      <c r="S23" s="66"/>
      <c r="T23" s="67">
        <v>4303.12</v>
      </c>
      <c r="U23" s="66">
        <v>9</v>
      </c>
      <c r="V23" s="67"/>
      <c r="W23" s="68"/>
      <c r="X23" s="69">
        <v>120115</v>
      </c>
      <c r="Y23" s="66">
        <v>1</v>
      </c>
      <c r="Z23" s="67"/>
      <c r="AA23" s="64"/>
      <c r="AB23" s="70"/>
      <c r="AC23" s="68"/>
      <c r="AD23" s="63"/>
      <c r="AE23" s="66"/>
      <c r="AF23" s="67"/>
      <c r="AG23" s="66"/>
      <c r="AH23" s="66"/>
      <c r="AI23" s="66"/>
      <c r="AJ23" s="66"/>
      <c r="AK23" s="64"/>
      <c r="AL23" s="63"/>
      <c r="AM23" s="66"/>
      <c r="AN23" s="66"/>
      <c r="AO23" s="66"/>
      <c r="AP23" s="66"/>
      <c r="AQ23" s="64"/>
      <c r="AR23" s="69"/>
      <c r="AS23" s="64"/>
      <c r="AT23" s="63"/>
      <c r="AU23" s="66"/>
      <c r="AV23" s="66"/>
      <c r="AW23" s="68"/>
      <c r="AX23" s="49">
        <f t="shared" si="2"/>
        <v>437239.65</v>
      </c>
      <c r="AY23" s="50">
        <f t="shared" si="2"/>
        <v>14</v>
      </c>
      <c r="AZ23" s="71">
        <f t="shared" si="3"/>
        <v>2.4941151294265187E-2</v>
      </c>
      <c r="BA23" s="72">
        <v>1773042.73</v>
      </c>
      <c r="BB23" s="73">
        <v>20</v>
      </c>
      <c r="BC23" s="35">
        <f t="shared" si="4"/>
        <v>5.8618500671446715E-2</v>
      </c>
    </row>
    <row r="24" spans="1:55" x14ac:dyDescent="0.3">
      <c r="A24" s="58" t="s">
        <v>58</v>
      </c>
      <c r="B24" s="59"/>
      <c r="C24" s="60"/>
      <c r="D24" s="60"/>
      <c r="E24" s="60"/>
      <c r="F24" s="61"/>
      <c r="G24" s="60"/>
      <c r="H24" s="60"/>
      <c r="I24" s="60"/>
      <c r="J24" s="60"/>
      <c r="K24" s="62"/>
      <c r="L24" s="63"/>
      <c r="M24" s="64"/>
      <c r="N24" s="65"/>
      <c r="O24" s="66"/>
      <c r="P24" s="67"/>
      <c r="Q24" s="66"/>
      <c r="R24" s="67"/>
      <c r="S24" s="66"/>
      <c r="T24" s="67"/>
      <c r="U24" s="66"/>
      <c r="V24" s="67"/>
      <c r="W24" s="68"/>
      <c r="X24" s="69"/>
      <c r="Y24" s="66"/>
      <c r="Z24" s="67"/>
      <c r="AA24" s="64"/>
      <c r="AB24" s="70"/>
      <c r="AC24" s="68"/>
      <c r="AD24" s="63"/>
      <c r="AE24" s="66"/>
      <c r="AF24" s="67"/>
      <c r="AG24" s="66"/>
      <c r="AH24" s="66"/>
      <c r="AI24" s="66"/>
      <c r="AJ24" s="66"/>
      <c r="AK24" s="64"/>
      <c r="AL24" s="63"/>
      <c r="AM24" s="66"/>
      <c r="AN24" s="66"/>
      <c r="AO24" s="66"/>
      <c r="AP24" s="66"/>
      <c r="AQ24" s="64"/>
      <c r="AR24" s="69"/>
      <c r="AS24" s="64"/>
      <c r="AT24" s="63"/>
      <c r="AU24" s="66"/>
      <c r="AV24" s="66"/>
      <c r="AW24" s="68"/>
      <c r="AX24" s="49">
        <f t="shared" si="2"/>
        <v>0</v>
      </c>
      <c r="AY24" s="50">
        <f t="shared" si="2"/>
        <v>0</v>
      </c>
      <c r="AZ24" s="71">
        <f t="shared" si="3"/>
        <v>0</v>
      </c>
      <c r="BA24" s="72"/>
      <c r="BB24" s="73"/>
      <c r="BC24" s="35">
        <f t="shared" si="4"/>
        <v>0</v>
      </c>
    </row>
    <row r="25" spans="1:55" x14ac:dyDescent="0.3">
      <c r="A25" s="58" t="s">
        <v>59</v>
      </c>
      <c r="B25" s="59"/>
      <c r="C25" s="60"/>
      <c r="D25" s="60"/>
      <c r="E25" s="60"/>
      <c r="F25" s="61"/>
      <c r="G25" s="60"/>
      <c r="H25" s="60"/>
      <c r="I25" s="60"/>
      <c r="J25" s="60"/>
      <c r="K25" s="62"/>
      <c r="L25" s="63"/>
      <c r="M25" s="64"/>
      <c r="N25" s="65"/>
      <c r="O25" s="66"/>
      <c r="P25" s="67"/>
      <c r="Q25" s="66"/>
      <c r="R25" s="67"/>
      <c r="S25" s="66"/>
      <c r="T25" s="67"/>
      <c r="U25" s="66"/>
      <c r="V25" s="67"/>
      <c r="W25" s="68"/>
      <c r="X25" s="69"/>
      <c r="Y25" s="66"/>
      <c r="Z25" s="67"/>
      <c r="AA25" s="64"/>
      <c r="AB25" s="70"/>
      <c r="AC25" s="68"/>
      <c r="AD25" s="63"/>
      <c r="AE25" s="66"/>
      <c r="AF25" s="67"/>
      <c r="AG25" s="66"/>
      <c r="AH25" s="66"/>
      <c r="AI25" s="66"/>
      <c r="AJ25" s="66"/>
      <c r="AK25" s="64"/>
      <c r="AL25" s="63"/>
      <c r="AM25" s="66"/>
      <c r="AN25" s="66"/>
      <c r="AO25" s="66"/>
      <c r="AP25" s="66"/>
      <c r="AQ25" s="64"/>
      <c r="AR25" s="69"/>
      <c r="AS25" s="64"/>
      <c r="AT25" s="63"/>
      <c r="AU25" s="66"/>
      <c r="AV25" s="66"/>
      <c r="AW25" s="68"/>
      <c r="AX25" s="49">
        <f t="shared" si="2"/>
        <v>0</v>
      </c>
      <c r="AY25" s="50">
        <f t="shared" si="2"/>
        <v>0</v>
      </c>
      <c r="AZ25" s="71">
        <f t="shared" si="3"/>
        <v>0</v>
      </c>
      <c r="BA25" s="72"/>
      <c r="BB25" s="73"/>
      <c r="BC25" s="35">
        <f t="shared" si="4"/>
        <v>0</v>
      </c>
    </row>
    <row r="26" spans="1:55" ht="28.8" customHeight="1" x14ac:dyDescent="0.3">
      <c r="A26" s="58" t="s">
        <v>60</v>
      </c>
      <c r="B26" s="59"/>
      <c r="C26" s="60"/>
      <c r="D26" s="60"/>
      <c r="E26" s="60"/>
      <c r="F26" s="61"/>
      <c r="G26" s="60"/>
      <c r="H26" s="60"/>
      <c r="I26" s="60"/>
      <c r="J26" s="60"/>
      <c r="K26" s="62"/>
      <c r="L26" s="63"/>
      <c r="M26" s="64"/>
      <c r="N26" s="65"/>
      <c r="O26" s="66"/>
      <c r="P26" s="67"/>
      <c r="Q26" s="66"/>
      <c r="R26" s="67"/>
      <c r="S26" s="66"/>
      <c r="T26" s="67"/>
      <c r="U26" s="66"/>
      <c r="V26" s="67"/>
      <c r="W26" s="68"/>
      <c r="X26" s="69"/>
      <c r="Y26" s="66"/>
      <c r="Z26" s="67"/>
      <c r="AA26" s="64"/>
      <c r="AB26" s="70"/>
      <c r="AC26" s="68"/>
      <c r="AD26" s="63"/>
      <c r="AE26" s="66"/>
      <c r="AF26" s="67"/>
      <c r="AG26" s="66"/>
      <c r="AH26" s="66"/>
      <c r="AI26" s="66"/>
      <c r="AJ26" s="66"/>
      <c r="AK26" s="64"/>
      <c r="AL26" s="63"/>
      <c r="AM26" s="66"/>
      <c r="AN26" s="66"/>
      <c r="AO26" s="66"/>
      <c r="AP26" s="66"/>
      <c r="AQ26" s="64"/>
      <c r="AR26" s="69"/>
      <c r="AS26" s="64"/>
      <c r="AT26" s="63"/>
      <c r="AU26" s="66"/>
      <c r="AV26" s="66"/>
      <c r="AW26" s="68"/>
      <c r="AX26" s="49">
        <f t="shared" si="2"/>
        <v>0</v>
      </c>
      <c r="AY26" s="50">
        <f t="shared" si="2"/>
        <v>0</v>
      </c>
      <c r="AZ26" s="71">
        <f t="shared" si="3"/>
        <v>0</v>
      </c>
      <c r="BA26" s="72"/>
      <c r="BB26" s="73"/>
      <c r="BC26" s="35">
        <f t="shared" si="4"/>
        <v>0</v>
      </c>
    </row>
    <row r="27" spans="1:55" x14ac:dyDescent="0.3">
      <c r="A27" s="58" t="s">
        <v>61</v>
      </c>
      <c r="B27" s="59"/>
      <c r="C27" s="60"/>
      <c r="D27" s="60"/>
      <c r="E27" s="60"/>
      <c r="F27" s="61"/>
      <c r="G27" s="60"/>
      <c r="H27" s="60"/>
      <c r="I27" s="60"/>
      <c r="J27" s="60"/>
      <c r="K27" s="62"/>
      <c r="L27" s="63"/>
      <c r="M27" s="64"/>
      <c r="N27" s="65"/>
      <c r="O27" s="66"/>
      <c r="P27" s="67"/>
      <c r="Q27" s="66"/>
      <c r="R27" s="67"/>
      <c r="S27" s="66"/>
      <c r="T27" s="67"/>
      <c r="U27" s="66"/>
      <c r="V27" s="67"/>
      <c r="W27" s="68"/>
      <c r="X27" s="69"/>
      <c r="Y27" s="66"/>
      <c r="Z27" s="67"/>
      <c r="AA27" s="64"/>
      <c r="AB27" s="70"/>
      <c r="AC27" s="68"/>
      <c r="AD27" s="63"/>
      <c r="AE27" s="66"/>
      <c r="AF27" s="67"/>
      <c r="AG27" s="66"/>
      <c r="AH27" s="66"/>
      <c r="AI27" s="66"/>
      <c r="AJ27" s="66"/>
      <c r="AK27" s="64"/>
      <c r="AL27" s="63"/>
      <c r="AM27" s="66"/>
      <c r="AN27" s="66"/>
      <c r="AO27" s="66"/>
      <c r="AP27" s="66"/>
      <c r="AQ27" s="64"/>
      <c r="AR27" s="69"/>
      <c r="AS27" s="64"/>
      <c r="AT27" s="63"/>
      <c r="AU27" s="66"/>
      <c r="AV27" s="66"/>
      <c r="AW27" s="68"/>
      <c r="AX27" s="49">
        <f t="shared" si="2"/>
        <v>0</v>
      </c>
      <c r="AY27" s="50">
        <f t="shared" si="2"/>
        <v>0</v>
      </c>
      <c r="AZ27" s="71">
        <f t="shared" si="3"/>
        <v>0</v>
      </c>
      <c r="BA27" s="72"/>
      <c r="BB27" s="73"/>
      <c r="BC27" s="35">
        <f t="shared" si="4"/>
        <v>0</v>
      </c>
    </row>
    <row r="28" spans="1:55" ht="76.8" customHeight="1" thickBot="1" x14ac:dyDescent="0.35">
      <c r="A28" s="36" t="s">
        <v>62</v>
      </c>
      <c r="B28" s="78"/>
      <c r="C28" s="38"/>
      <c r="D28" s="54">
        <v>1732.32</v>
      </c>
      <c r="E28" s="38">
        <v>10</v>
      </c>
      <c r="F28" s="39"/>
      <c r="G28" s="38"/>
      <c r="H28" s="38"/>
      <c r="I28" s="38"/>
      <c r="J28" s="38"/>
      <c r="K28" s="79"/>
      <c r="L28" s="41"/>
      <c r="M28" s="42"/>
      <c r="N28" s="43"/>
      <c r="O28" s="44"/>
      <c r="P28" s="45"/>
      <c r="Q28" s="44"/>
      <c r="R28" s="45"/>
      <c r="S28" s="44"/>
      <c r="T28" s="45"/>
      <c r="U28" s="44"/>
      <c r="V28" s="45"/>
      <c r="W28" s="46"/>
      <c r="X28" s="47"/>
      <c r="Y28" s="44"/>
      <c r="Z28" s="45"/>
      <c r="AA28" s="42"/>
      <c r="AB28" s="48"/>
      <c r="AC28" s="46"/>
      <c r="AD28" s="47">
        <v>441895.92</v>
      </c>
      <c r="AE28" s="80">
        <v>1175</v>
      </c>
      <c r="AF28" s="45">
        <v>704162</v>
      </c>
      <c r="AG28" s="44">
        <v>886</v>
      </c>
      <c r="AH28" s="45">
        <v>22475.89</v>
      </c>
      <c r="AI28" s="44">
        <v>4</v>
      </c>
      <c r="AJ28" s="44"/>
      <c r="AK28" s="42"/>
      <c r="AL28" s="41"/>
      <c r="AM28" s="44"/>
      <c r="AN28" s="44"/>
      <c r="AO28" s="44"/>
      <c r="AP28" s="44"/>
      <c r="AQ28" s="42"/>
      <c r="AR28" s="47"/>
      <c r="AS28" s="42"/>
      <c r="AT28" s="41"/>
      <c r="AU28" s="44"/>
      <c r="AV28" s="44"/>
      <c r="AW28" s="46"/>
      <c r="AX28" s="49">
        <f t="shared" si="2"/>
        <v>1170266.1299999999</v>
      </c>
      <c r="AY28" s="50">
        <f t="shared" si="2"/>
        <v>2075</v>
      </c>
      <c r="AZ28" s="51">
        <f t="shared" si="3"/>
        <v>6.6754660980275257E-2</v>
      </c>
      <c r="BA28" s="52">
        <v>2668575</v>
      </c>
      <c r="BB28" s="81">
        <v>6240</v>
      </c>
      <c r="BC28" s="35">
        <f t="shared" si="4"/>
        <v>8.8225660206906531E-2</v>
      </c>
    </row>
    <row r="29" spans="1:55" ht="16.2" thickBot="1" x14ac:dyDescent="0.35">
      <c r="A29" s="82" t="s">
        <v>63</v>
      </c>
      <c r="B29" s="83">
        <f t="shared" ref="B29:AG29" si="5">SUM(B10:B28)</f>
        <v>187933.58</v>
      </c>
      <c r="C29" s="84">
        <f t="shared" si="5"/>
        <v>3</v>
      </c>
      <c r="D29" s="85">
        <f t="shared" si="5"/>
        <v>5596.37</v>
      </c>
      <c r="E29" s="84">
        <f t="shared" si="5"/>
        <v>13</v>
      </c>
      <c r="F29" s="85">
        <f t="shared" si="5"/>
        <v>269521.49</v>
      </c>
      <c r="G29" s="84">
        <f t="shared" si="5"/>
        <v>2</v>
      </c>
      <c r="H29" s="84">
        <f t="shared" si="5"/>
        <v>0</v>
      </c>
      <c r="I29" s="84">
        <f t="shared" si="5"/>
        <v>0</v>
      </c>
      <c r="J29" s="84">
        <f t="shared" si="5"/>
        <v>0</v>
      </c>
      <c r="K29" s="84">
        <f t="shared" si="5"/>
        <v>0</v>
      </c>
      <c r="L29" s="86">
        <f t="shared" si="5"/>
        <v>0</v>
      </c>
      <c r="M29" s="87">
        <f t="shared" si="5"/>
        <v>0</v>
      </c>
      <c r="N29" s="83">
        <f>SUM(N10:N28)</f>
        <v>5024995.04</v>
      </c>
      <c r="O29" s="84">
        <f t="shared" si="5"/>
        <v>402</v>
      </c>
      <c r="P29" s="85">
        <f t="shared" si="5"/>
        <v>9352814.3000000026</v>
      </c>
      <c r="Q29" s="84">
        <f t="shared" si="5"/>
        <v>538</v>
      </c>
      <c r="R29" s="85">
        <f t="shared" si="5"/>
        <v>3895.9399999999996</v>
      </c>
      <c r="S29" s="84">
        <f t="shared" si="5"/>
        <v>40</v>
      </c>
      <c r="T29" s="85">
        <f t="shared" si="5"/>
        <v>701605.98</v>
      </c>
      <c r="U29" s="84">
        <f t="shared" si="5"/>
        <v>536</v>
      </c>
      <c r="V29" s="85">
        <f t="shared" si="5"/>
        <v>417.36</v>
      </c>
      <c r="W29" s="88">
        <f t="shared" si="5"/>
        <v>23</v>
      </c>
      <c r="X29" s="89">
        <f>SUM(X10:X28)</f>
        <v>484426.34</v>
      </c>
      <c r="Y29" s="84">
        <f>SUM(Y10:Y28)</f>
        <v>58</v>
      </c>
      <c r="Z29" s="85">
        <f t="shared" si="5"/>
        <v>91.71</v>
      </c>
      <c r="AA29" s="87">
        <f t="shared" si="5"/>
        <v>13</v>
      </c>
      <c r="AB29" s="83">
        <f t="shared" si="5"/>
        <v>12454.48</v>
      </c>
      <c r="AC29" s="88">
        <f t="shared" si="5"/>
        <v>32</v>
      </c>
      <c r="AD29" s="89">
        <f t="shared" si="5"/>
        <v>444446.01</v>
      </c>
      <c r="AE29" s="84">
        <f t="shared" si="5"/>
        <v>1185</v>
      </c>
      <c r="AF29" s="85">
        <f t="shared" si="5"/>
        <v>1017391.02</v>
      </c>
      <c r="AG29" s="90">
        <f t="shared" si="5"/>
        <v>1205</v>
      </c>
      <c r="AH29" s="85">
        <f t="shared" ref="AH29:AW29" si="6">SUM(AH10:AH28)</f>
        <v>23155.51</v>
      </c>
      <c r="AI29" s="84">
        <f t="shared" si="6"/>
        <v>5</v>
      </c>
      <c r="AJ29" s="84">
        <f t="shared" si="6"/>
        <v>0</v>
      </c>
      <c r="AK29" s="87">
        <f t="shared" si="6"/>
        <v>0</v>
      </c>
      <c r="AL29" s="86">
        <f t="shared" si="6"/>
        <v>0</v>
      </c>
      <c r="AM29" s="84">
        <f t="shared" si="6"/>
        <v>0</v>
      </c>
      <c r="AN29" s="84">
        <f t="shared" si="6"/>
        <v>0</v>
      </c>
      <c r="AO29" s="84">
        <f t="shared" si="6"/>
        <v>0</v>
      </c>
      <c r="AP29" s="84">
        <f t="shared" si="6"/>
        <v>0</v>
      </c>
      <c r="AQ29" s="87">
        <f t="shared" si="6"/>
        <v>0</v>
      </c>
      <c r="AR29" s="89">
        <f t="shared" si="6"/>
        <v>2107.5897193199999</v>
      </c>
      <c r="AS29" s="87">
        <f t="shared" si="6"/>
        <v>2</v>
      </c>
      <c r="AT29" s="86">
        <f t="shared" si="6"/>
        <v>0</v>
      </c>
      <c r="AU29" s="84">
        <f t="shared" si="6"/>
        <v>0</v>
      </c>
      <c r="AV29" s="84">
        <f t="shared" si="6"/>
        <v>0</v>
      </c>
      <c r="AW29" s="88">
        <f t="shared" si="6"/>
        <v>0</v>
      </c>
      <c r="AX29" s="91">
        <f>SUM(AX10:AX28)</f>
        <v>17530852.719719324</v>
      </c>
      <c r="AY29" s="92">
        <f>SUM(AY10:AY28)</f>
        <v>4057</v>
      </c>
      <c r="AZ29" s="93" t="s">
        <v>64</v>
      </c>
      <c r="BA29" s="94">
        <f>SUM(BA10:BA28)</f>
        <v>30247152.514831476</v>
      </c>
      <c r="BB29" s="95">
        <f>SUM(BB10:BB28)</f>
        <v>12289</v>
      </c>
      <c r="BC29" s="96" t="s">
        <v>64</v>
      </c>
    </row>
    <row r="30" spans="1:55" ht="16.8" thickBot="1" x14ac:dyDescent="0.35">
      <c r="A30" s="210" t="s">
        <v>65</v>
      </c>
      <c r="B30" s="211"/>
      <c r="C30" s="211"/>
      <c r="D30" s="211"/>
      <c r="E30" s="211"/>
      <c r="F30" s="211"/>
      <c r="G30" s="211"/>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3"/>
    </row>
    <row r="31" spans="1:55" x14ac:dyDescent="0.3">
      <c r="A31" s="97" t="s">
        <v>66</v>
      </c>
      <c r="B31" s="98"/>
      <c r="C31" s="99"/>
      <c r="D31" s="99">
        <v>997.05</v>
      </c>
      <c r="E31" s="99">
        <v>3</v>
      </c>
      <c r="F31" s="100"/>
      <c r="G31" s="101"/>
      <c r="H31" s="102"/>
      <c r="I31" s="19"/>
      <c r="J31" s="19"/>
      <c r="K31" s="21"/>
      <c r="L31" s="103"/>
      <c r="M31" s="104"/>
      <c r="N31" s="105">
        <v>35541.089999999997</v>
      </c>
      <c r="O31" s="19">
        <v>6</v>
      </c>
      <c r="P31" s="20">
        <v>4.9499999999999993</v>
      </c>
      <c r="Q31" s="19">
        <v>5</v>
      </c>
      <c r="R31" s="20">
        <v>1.49</v>
      </c>
      <c r="S31" s="19">
        <v>2</v>
      </c>
      <c r="T31" s="20">
        <v>6225.1399999999994</v>
      </c>
      <c r="U31" s="19">
        <v>21</v>
      </c>
      <c r="V31" s="20">
        <v>7.0000000000000007E-2</v>
      </c>
      <c r="W31" s="104">
        <v>1</v>
      </c>
      <c r="X31" s="105">
        <v>120115.05</v>
      </c>
      <c r="Y31" s="19">
        <v>3</v>
      </c>
      <c r="Z31" s="20">
        <v>0</v>
      </c>
      <c r="AA31" s="104">
        <v>1</v>
      </c>
      <c r="AB31" s="105"/>
      <c r="AC31" s="21"/>
      <c r="AD31" s="98">
        <v>41832.44</v>
      </c>
      <c r="AE31" s="99">
        <v>179</v>
      </c>
      <c r="AF31" s="106">
        <v>56179.99</v>
      </c>
      <c r="AG31" s="99">
        <v>107</v>
      </c>
      <c r="AH31" s="99"/>
      <c r="AI31" s="101"/>
      <c r="AJ31" s="107"/>
      <c r="AK31" s="101"/>
      <c r="AL31" s="103"/>
      <c r="AM31" s="19"/>
      <c r="AN31" s="19"/>
      <c r="AO31" s="19"/>
      <c r="AP31" s="19"/>
      <c r="AQ31" s="104"/>
      <c r="AR31" s="105"/>
      <c r="AS31" s="104"/>
      <c r="AT31" s="103"/>
      <c r="AU31" s="19"/>
      <c r="AV31" s="19"/>
      <c r="AW31" s="104"/>
      <c r="AX31" s="108">
        <f>B31+D31+F31+H31+J31+L31+N31+P31+R31+T31+V31+X31+Z31+AB31+AD31+AF31+AH31+AJ31+AL31+AN31+AP31+AR31+AT31+AV31</f>
        <v>260897.27</v>
      </c>
      <c r="AY31" s="109">
        <f>C31+E31+G31+I31+K31+M31+O31+Q31+S31+U31+W31+Y31+AA31+AC31+AE31+AG31+AI31+AK31+AM31+AO31+AQ31+AS31+AU31+AW31</f>
        <v>328</v>
      </c>
      <c r="AZ31" s="110">
        <f t="shared" ref="AZ31:AZ38" si="7">AX31/$AX$39*100%</f>
        <v>1.4882177961734654E-2</v>
      </c>
      <c r="BA31" s="111">
        <f>292325.4+15053.97+1034+946523.12</f>
        <v>1254936.49</v>
      </c>
      <c r="BB31" s="112">
        <f>183+47+1+3705</f>
        <v>3936</v>
      </c>
      <c r="BC31" s="113">
        <f t="shared" ref="BC31:BC38" si="8">BA31/$BA$39*100%</f>
        <v>4.1489409278612464E-2</v>
      </c>
    </row>
    <row r="32" spans="1:55" x14ac:dyDescent="0.3">
      <c r="A32" s="114" t="s">
        <v>67</v>
      </c>
      <c r="B32" s="78"/>
      <c r="C32" s="38"/>
      <c r="D32" s="38"/>
      <c r="E32" s="38"/>
      <c r="F32" s="39"/>
      <c r="G32" s="79"/>
      <c r="H32" s="115"/>
      <c r="I32" s="38"/>
      <c r="J32" s="38"/>
      <c r="K32" s="40"/>
      <c r="L32" s="116"/>
      <c r="M32" s="79"/>
      <c r="N32" s="117">
        <f>3701518.6-1112855.21</f>
        <v>2588663.39</v>
      </c>
      <c r="O32" s="57">
        <f>5-2</f>
        <v>3</v>
      </c>
      <c r="P32" s="118">
        <f>122067.75-6370.96</f>
        <v>115696.79</v>
      </c>
      <c r="Q32" s="57">
        <f>2-1</f>
        <v>1</v>
      </c>
      <c r="R32" s="39"/>
      <c r="S32" s="38"/>
      <c r="T32" s="39">
        <v>10423.620000000001</v>
      </c>
      <c r="U32" s="38">
        <v>2</v>
      </c>
      <c r="V32" s="39"/>
      <c r="W32" s="79"/>
      <c r="X32" s="78"/>
      <c r="Y32" s="38"/>
      <c r="Z32" s="39"/>
      <c r="AA32" s="79"/>
      <c r="AB32" s="116"/>
      <c r="AC32" s="40"/>
      <c r="AD32" s="78"/>
      <c r="AE32" s="38"/>
      <c r="AF32" s="119"/>
      <c r="AG32" s="38"/>
      <c r="AH32" s="38"/>
      <c r="AI32" s="79"/>
      <c r="AJ32" s="115"/>
      <c r="AK32" s="79"/>
      <c r="AL32" s="116"/>
      <c r="AM32" s="38"/>
      <c r="AN32" s="38"/>
      <c r="AO32" s="38"/>
      <c r="AP32" s="38"/>
      <c r="AQ32" s="79"/>
      <c r="AR32" s="78"/>
      <c r="AS32" s="79"/>
      <c r="AT32" s="116"/>
      <c r="AU32" s="38"/>
      <c r="AV32" s="38"/>
      <c r="AW32" s="79"/>
      <c r="AX32" s="120">
        <f>B32+D32+F32+H32+J32+L32+N32+P32+R32+T32+V32+X32+Z32+AB32+AD32+AF32+AH32+AJ32+AL32+AN32+AP32+AR32+AT32+AV32</f>
        <v>2714783.8000000003</v>
      </c>
      <c r="AY32" s="121">
        <f t="shared" ref="AX32:AY38" si="9">C32+E32+G32+I32+K32+M32+O32+Q32+S32+U32+W32+Y32+AA32+AC32+AE32+AG32+AI32+AK32+AM32+AO32+AQ32+AS32+AU32+AW32</f>
        <v>6</v>
      </c>
      <c r="AZ32" s="122">
        <f t="shared" si="7"/>
        <v>0.15485748716049907</v>
      </c>
      <c r="BA32" s="52">
        <f>3991629.07-1119226.17</f>
        <v>2872402.9</v>
      </c>
      <c r="BB32" s="81">
        <f>12-3</f>
        <v>9</v>
      </c>
      <c r="BC32" s="123">
        <f t="shared" si="8"/>
        <v>9.4964406948731997E-2</v>
      </c>
    </row>
    <row r="33" spans="1:55" x14ac:dyDescent="0.3">
      <c r="A33" s="124" t="s">
        <v>68</v>
      </c>
      <c r="B33" s="78"/>
      <c r="C33" s="38"/>
      <c r="D33" s="38"/>
      <c r="E33" s="38"/>
      <c r="F33" s="39"/>
      <c r="G33" s="79"/>
      <c r="H33" s="115"/>
      <c r="I33" s="38"/>
      <c r="J33" s="38"/>
      <c r="K33" s="40"/>
      <c r="L33" s="116"/>
      <c r="M33" s="79"/>
      <c r="N33" s="78">
        <v>127092.32</v>
      </c>
      <c r="O33" s="38">
        <v>86</v>
      </c>
      <c r="P33" s="39">
        <v>2690564.9999999991</v>
      </c>
      <c r="Q33" s="38">
        <v>215</v>
      </c>
      <c r="R33" s="39">
        <v>2680.6400000000003</v>
      </c>
      <c r="S33" s="38">
        <v>6</v>
      </c>
      <c r="T33" s="39">
        <v>317959.70000000007</v>
      </c>
      <c r="U33" s="38">
        <v>180</v>
      </c>
      <c r="V33" s="39">
        <v>119.89</v>
      </c>
      <c r="W33" s="79">
        <v>3</v>
      </c>
      <c r="X33" s="78">
        <v>297638.43</v>
      </c>
      <c r="Y33" s="38">
        <v>19</v>
      </c>
      <c r="Z33" s="39">
        <v>77.739999999999995</v>
      </c>
      <c r="AA33" s="79">
        <v>1</v>
      </c>
      <c r="AB33" s="116"/>
      <c r="AC33" s="40"/>
      <c r="AD33" s="78"/>
      <c r="AE33" s="38"/>
      <c r="AF33" s="119"/>
      <c r="AG33" s="38"/>
      <c r="AH33" s="38"/>
      <c r="AI33" s="79"/>
      <c r="AJ33" s="115"/>
      <c r="AK33" s="79"/>
      <c r="AL33" s="116"/>
      <c r="AM33" s="38"/>
      <c r="AN33" s="38"/>
      <c r="AO33" s="38"/>
      <c r="AP33" s="38"/>
      <c r="AQ33" s="79"/>
      <c r="AR33" s="78"/>
      <c r="AS33" s="79"/>
      <c r="AT33" s="116"/>
      <c r="AU33" s="38"/>
      <c r="AV33" s="38"/>
      <c r="AW33" s="79"/>
      <c r="AX33" s="120">
        <f t="shared" si="9"/>
        <v>3436133.7199999997</v>
      </c>
      <c r="AY33" s="121">
        <f t="shared" si="9"/>
        <v>510</v>
      </c>
      <c r="AZ33" s="122">
        <f t="shared" si="7"/>
        <v>0.19600493911399422</v>
      </c>
      <c r="BA33" s="52">
        <v>6960840.5699999966</v>
      </c>
      <c r="BB33" s="81">
        <v>885</v>
      </c>
      <c r="BC33" s="123">
        <f t="shared" si="8"/>
        <v>0.23013209483764388</v>
      </c>
    </row>
    <row r="34" spans="1:55" x14ac:dyDescent="0.3">
      <c r="A34" s="124" t="s">
        <v>69</v>
      </c>
      <c r="B34" s="78"/>
      <c r="C34" s="38"/>
      <c r="D34" s="38"/>
      <c r="E34" s="38"/>
      <c r="F34" s="39"/>
      <c r="G34" s="79"/>
      <c r="H34" s="115"/>
      <c r="I34" s="38"/>
      <c r="J34" s="38"/>
      <c r="K34" s="40"/>
      <c r="L34" s="116"/>
      <c r="M34" s="79"/>
      <c r="N34" s="78">
        <v>5516.9500000000007</v>
      </c>
      <c r="O34" s="38">
        <v>2</v>
      </c>
      <c r="P34" s="39">
        <v>1928.7</v>
      </c>
      <c r="Q34" s="38">
        <v>2</v>
      </c>
      <c r="R34" s="39"/>
      <c r="S34" s="38"/>
      <c r="T34" s="39">
        <v>9053.49</v>
      </c>
      <c r="U34" s="38">
        <v>12</v>
      </c>
      <c r="V34" s="39"/>
      <c r="W34" s="79"/>
      <c r="X34" s="78"/>
      <c r="Y34" s="38"/>
      <c r="Z34" s="39"/>
      <c r="AA34" s="79"/>
      <c r="AB34" s="116"/>
      <c r="AC34" s="40"/>
      <c r="AD34" s="78"/>
      <c r="AE34" s="38"/>
      <c r="AF34" s="119"/>
      <c r="AG34" s="38"/>
      <c r="AH34" s="38"/>
      <c r="AI34" s="79"/>
      <c r="AJ34" s="115"/>
      <c r="AK34" s="79"/>
      <c r="AL34" s="116"/>
      <c r="AM34" s="38"/>
      <c r="AN34" s="38"/>
      <c r="AO34" s="38"/>
      <c r="AP34" s="38"/>
      <c r="AQ34" s="79"/>
      <c r="AR34" s="78"/>
      <c r="AS34" s="79"/>
      <c r="AT34" s="116"/>
      <c r="AU34" s="38"/>
      <c r="AV34" s="38"/>
      <c r="AW34" s="79"/>
      <c r="AX34" s="120">
        <f t="shared" si="9"/>
        <v>16499.14</v>
      </c>
      <c r="AY34" s="121">
        <f t="shared" si="9"/>
        <v>16</v>
      </c>
      <c r="AZ34" s="122">
        <f t="shared" si="7"/>
        <v>9.4114874293462208E-4</v>
      </c>
      <c r="BA34" s="52">
        <v>25513.279999999999</v>
      </c>
      <c r="BB34" s="81">
        <v>23</v>
      </c>
      <c r="BC34" s="123">
        <f t="shared" si="8"/>
        <v>8.4349361453330419E-4</v>
      </c>
    </row>
    <row r="35" spans="1:55" x14ac:dyDescent="0.3">
      <c r="A35" s="124" t="s">
        <v>70</v>
      </c>
      <c r="B35" s="78"/>
      <c r="C35" s="38"/>
      <c r="D35" s="38"/>
      <c r="E35" s="38"/>
      <c r="F35" s="39">
        <v>122459.36</v>
      </c>
      <c r="G35" s="79">
        <v>1</v>
      </c>
      <c r="H35" s="125"/>
      <c r="I35" s="60"/>
      <c r="J35" s="60"/>
      <c r="K35" s="62"/>
      <c r="L35" s="126"/>
      <c r="M35" s="127"/>
      <c r="N35" s="128">
        <v>2267666.98</v>
      </c>
      <c r="O35" s="60">
        <v>304</v>
      </c>
      <c r="P35" s="61">
        <v>6377752.6099999947</v>
      </c>
      <c r="Q35" s="60">
        <v>309</v>
      </c>
      <c r="R35" s="61">
        <v>1213.81</v>
      </c>
      <c r="S35" s="60">
        <v>32</v>
      </c>
      <c r="T35" s="61">
        <v>353623.08000000007</v>
      </c>
      <c r="U35" s="60">
        <v>317</v>
      </c>
      <c r="V35" s="61">
        <v>297.40000000000003</v>
      </c>
      <c r="W35" s="127">
        <v>19</v>
      </c>
      <c r="X35" s="128">
        <v>66672.86</v>
      </c>
      <c r="Y35" s="60">
        <v>36</v>
      </c>
      <c r="Z35" s="61">
        <v>13.97</v>
      </c>
      <c r="AA35" s="127">
        <v>11</v>
      </c>
      <c r="AB35" s="126">
        <v>8171.9</v>
      </c>
      <c r="AC35" s="62">
        <v>19</v>
      </c>
      <c r="AD35" s="128"/>
      <c r="AE35" s="60"/>
      <c r="AF35" s="129"/>
      <c r="AG35" s="60"/>
      <c r="AH35" s="61"/>
      <c r="AI35" s="127"/>
      <c r="AJ35" s="125"/>
      <c r="AK35" s="127"/>
      <c r="AL35" s="126"/>
      <c r="AM35" s="60"/>
      <c r="AN35" s="60"/>
      <c r="AO35" s="60"/>
      <c r="AP35" s="60"/>
      <c r="AQ35" s="127"/>
      <c r="AR35" s="128"/>
      <c r="AS35" s="127"/>
      <c r="AT35" s="126"/>
      <c r="AU35" s="60"/>
      <c r="AV35" s="60"/>
      <c r="AW35" s="127"/>
      <c r="AX35" s="130">
        <f>B35+D35+F35+H35+J35+L35+N35+P35+R35+T35+V35+X35+Z35+AB35+AD35+AF35+AH35+AJ35+AL35+AN35+AP35+AR35+AT35+AV35</f>
        <v>9197871.9699999969</v>
      </c>
      <c r="AY35" s="131">
        <f t="shared" si="9"/>
        <v>1048</v>
      </c>
      <c r="AZ35" s="122">
        <f t="shared" si="7"/>
        <v>0.52466768826975796</v>
      </c>
      <c r="BA35" s="72">
        <f>16185124.54+(21627.46+8171.9)</f>
        <v>16214923.899999999</v>
      </c>
      <c r="BB35" s="132">
        <f>2229+(34+19)</f>
        <v>2282</v>
      </c>
      <c r="BC35" s="133">
        <f t="shared" si="8"/>
        <v>0.53608100447270834</v>
      </c>
    </row>
    <row r="36" spans="1:55" x14ac:dyDescent="0.3">
      <c r="A36" s="134" t="s">
        <v>71</v>
      </c>
      <c r="B36" s="78"/>
      <c r="C36" s="38"/>
      <c r="D36" s="38"/>
      <c r="E36" s="135"/>
      <c r="F36" s="39"/>
      <c r="G36" s="79"/>
      <c r="H36" s="125"/>
      <c r="I36" s="60"/>
      <c r="J36" s="60"/>
      <c r="K36" s="62"/>
      <c r="L36" s="126"/>
      <c r="M36" s="127"/>
      <c r="N36" s="128"/>
      <c r="O36" s="60"/>
      <c r="P36" s="61">
        <v>145503.82</v>
      </c>
      <c r="Q36" s="60">
        <v>2</v>
      </c>
      <c r="R36" s="61"/>
      <c r="S36" s="60"/>
      <c r="T36" s="61"/>
      <c r="U36" s="60"/>
      <c r="V36" s="61"/>
      <c r="W36" s="127"/>
      <c r="X36" s="128"/>
      <c r="Y36" s="60"/>
      <c r="Z36" s="61"/>
      <c r="AA36" s="127"/>
      <c r="AB36" s="126"/>
      <c r="AC36" s="62"/>
      <c r="AD36" s="136"/>
      <c r="AE36" s="137"/>
      <c r="AF36" s="138"/>
      <c r="AG36" s="137"/>
      <c r="AH36" s="137"/>
      <c r="AI36" s="139"/>
      <c r="AJ36" s="125"/>
      <c r="AK36" s="127"/>
      <c r="AL36" s="126"/>
      <c r="AM36" s="60"/>
      <c r="AN36" s="60"/>
      <c r="AO36" s="60"/>
      <c r="AP36" s="60"/>
      <c r="AQ36" s="127"/>
      <c r="AR36" s="128"/>
      <c r="AS36" s="127"/>
      <c r="AT36" s="126"/>
      <c r="AU36" s="60"/>
      <c r="AV36" s="60"/>
      <c r="AW36" s="127"/>
      <c r="AX36" s="130">
        <f>B36+D36+F36+H36+J36+L36+N36+P36+R36+T36+V36+X36+Z36+AB36+AD36+AF36+AH36+AJ36+AL36+AN36+AP36+AR36+AT36+AV36</f>
        <v>145503.82</v>
      </c>
      <c r="AY36" s="131">
        <f t="shared" si="9"/>
        <v>2</v>
      </c>
      <c r="AZ36" s="140">
        <f t="shared" si="7"/>
        <v>8.2998712226931542E-3</v>
      </c>
      <c r="BA36" s="72">
        <v>145503.82</v>
      </c>
      <c r="BB36" s="132">
        <v>2</v>
      </c>
      <c r="BC36" s="133">
        <f t="shared" si="8"/>
        <v>4.8104964575391047E-3</v>
      </c>
    </row>
    <row r="37" spans="1:55" x14ac:dyDescent="0.3">
      <c r="A37" s="134" t="s">
        <v>72</v>
      </c>
      <c r="B37" s="78">
        <v>187933.58</v>
      </c>
      <c r="C37" s="38">
        <v>3</v>
      </c>
      <c r="D37" s="38"/>
      <c r="E37" s="135"/>
      <c r="F37" s="39">
        <v>147062.13</v>
      </c>
      <c r="G37" s="79">
        <v>1</v>
      </c>
      <c r="H37" s="125"/>
      <c r="I37" s="60"/>
      <c r="J37" s="60"/>
      <c r="K37" s="62"/>
      <c r="L37" s="126"/>
      <c r="M37" s="127"/>
      <c r="N37" s="128">
        <v>514.30999999999995</v>
      </c>
      <c r="O37" s="60">
        <v>1</v>
      </c>
      <c r="P37" s="61">
        <v>21362.43</v>
      </c>
      <c r="Q37" s="60">
        <v>4</v>
      </c>
      <c r="R37" s="61"/>
      <c r="S37" s="60"/>
      <c r="T37" s="61">
        <v>4320.9500000000007</v>
      </c>
      <c r="U37" s="60">
        <v>4</v>
      </c>
      <c r="V37" s="61"/>
      <c r="W37" s="127"/>
      <c r="X37" s="128"/>
      <c r="Y37" s="60"/>
      <c r="Z37" s="61"/>
      <c r="AA37" s="127"/>
      <c r="AB37" s="126"/>
      <c r="AC37" s="62"/>
      <c r="AD37" s="136"/>
      <c r="AE37" s="137"/>
      <c r="AF37" s="138"/>
      <c r="AG37" s="137"/>
      <c r="AH37" s="137"/>
      <c r="AI37" s="139"/>
      <c r="AJ37" s="125"/>
      <c r="AK37" s="62"/>
      <c r="AL37" s="126"/>
      <c r="AM37" s="60"/>
      <c r="AN37" s="60"/>
      <c r="AO37" s="60"/>
      <c r="AP37" s="60"/>
      <c r="AQ37" s="127"/>
      <c r="AR37" s="128"/>
      <c r="AS37" s="127"/>
      <c r="AT37" s="126"/>
      <c r="AU37" s="60"/>
      <c r="AV37" s="60"/>
      <c r="AW37" s="127"/>
      <c r="AX37" s="130">
        <f>B37+D37+F37+H37+J37+L37+N37+P37+R37+T37+V37+X37+Z37+AB37+AD37+AF37+AH37+AJ37+AL37+AN37+AP37+AR37+AT37+AV37</f>
        <v>361193.39999999997</v>
      </c>
      <c r="AY37" s="131">
        <f t="shared" si="9"/>
        <v>13</v>
      </c>
      <c r="AZ37" s="140">
        <f t="shared" si="7"/>
        <v>2.0603298982024645E-2</v>
      </c>
      <c r="BA37" s="72">
        <v>27281.53</v>
      </c>
      <c r="BB37" s="132">
        <v>11</v>
      </c>
      <c r="BC37" s="133">
        <f t="shared" si="8"/>
        <v>9.0195366294332886E-4</v>
      </c>
    </row>
    <row r="38" spans="1:55" s="157" customFormat="1" ht="16.2" thickBot="1" x14ac:dyDescent="0.35">
      <c r="A38" s="141" t="s">
        <v>73</v>
      </c>
      <c r="B38" s="142"/>
      <c r="C38" s="143"/>
      <c r="D38" s="144">
        <v>4599.32</v>
      </c>
      <c r="E38" s="145">
        <v>10</v>
      </c>
      <c r="F38" s="146"/>
      <c r="G38" s="147"/>
      <c r="H38" s="125"/>
      <c r="I38" s="60"/>
      <c r="J38" s="60"/>
      <c r="K38" s="62"/>
      <c r="L38" s="126"/>
      <c r="M38" s="127"/>
      <c r="N38" s="128"/>
      <c r="O38" s="60"/>
      <c r="P38" s="61"/>
      <c r="Q38" s="60"/>
      <c r="R38" s="61"/>
      <c r="S38" s="60"/>
      <c r="T38" s="61"/>
      <c r="U38" s="60"/>
      <c r="V38" s="61"/>
      <c r="W38" s="127"/>
      <c r="X38" s="128"/>
      <c r="Y38" s="60"/>
      <c r="Z38" s="61"/>
      <c r="AA38" s="127"/>
      <c r="AB38" s="126">
        <v>4282.58</v>
      </c>
      <c r="AC38" s="62">
        <v>13</v>
      </c>
      <c r="AD38" s="148">
        <v>402613.57</v>
      </c>
      <c r="AE38" s="149">
        <v>1006</v>
      </c>
      <c r="AF38" s="150">
        <v>961211.03</v>
      </c>
      <c r="AG38" s="151">
        <v>1098</v>
      </c>
      <c r="AH38" s="152">
        <v>23155.51</v>
      </c>
      <c r="AI38" s="153">
        <v>5</v>
      </c>
      <c r="AJ38" s="125"/>
      <c r="AK38" s="62"/>
      <c r="AL38" s="126"/>
      <c r="AM38" s="60"/>
      <c r="AN38" s="60"/>
      <c r="AO38" s="60"/>
      <c r="AP38" s="60"/>
      <c r="AQ38" s="127"/>
      <c r="AR38" s="128">
        <v>2107.59</v>
      </c>
      <c r="AS38" s="127">
        <v>2</v>
      </c>
      <c r="AT38" s="126"/>
      <c r="AU38" s="60"/>
      <c r="AV38" s="60"/>
      <c r="AW38" s="127"/>
      <c r="AX38" s="130">
        <f>B38+D38+F38+H38+J38+L38+N38+P38+R38+T38+V38+X38+Z38+AB38+AD38+AF38+AH38+AJ38+AL38+AN38+AP38+AR38+AT38+AV38</f>
        <v>1397969.6</v>
      </c>
      <c r="AY38" s="131">
        <f t="shared" si="9"/>
        <v>2134</v>
      </c>
      <c r="AZ38" s="140">
        <f t="shared" si="7"/>
        <v>7.9743388546361607E-2</v>
      </c>
      <c r="BA38" s="154">
        <f>4282.58+AR38+2739359.85</f>
        <v>2745750.02</v>
      </c>
      <c r="BB38" s="155">
        <f>13+AS38+5126</f>
        <v>5141</v>
      </c>
      <c r="BC38" s="156">
        <f t="shared" si="8"/>
        <v>9.0777140727287611E-2</v>
      </c>
    </row>
    <row r="39" spans="1:55" ht="16.2" thickBot="1" x14ac:dyDescent="0.35">
      <c r="A39" s="158" t="s">
        <v>63</v>
      </c>
      <c r="B39" s="159">
        <f t="shared" ref="B39:G39" si="10">SUM(B31:B38)</f>
        <v>187933.58</v>
      </c>
      <c r="C39" s="160">
        <f t="shared" si="10"/>
        <v>3</v>
      </c>
      <c r="D39" s="161">
        <f t="shared" si="10"/>
        <v>5596.37</v>
      </c>
      <c r="E39" s="160">
        <f t="shared" si="10"/>
        <v>13</v>
      </c>
      <c r="F39" s="161">
        <f t="shared" si="10"/>
        <v>269521.49</v>
      </c>
      <c r="G39" s="160">
        <f t="shared" si="10"/>
        <v>2</v>
      </c>
      <c r="H39" s="162">
        <f t="shared" ref="H39:M39" si="11">SUM(H31:H36)</f>
        <v>0</v>
      </c>
      <c r="I39" s="163">
        <f t="shared" si="11"/>
        <v>0</v>
      </c>
      <c r="J39" s="162">
        <f t="shared" si="11"/>
        <v>0</v>
      </c>
      <c r="K39" s="164">
        <f t="shared" si="11"/>
        <v>0</v>
      </c>
      <c r="L39" s="165">
        <f t="shared" si="11"/>
        <v>0</v>
      </c>
      <c r="M39" s="166">
        <f t="shared" si="11"/>
        <v>0</v>
      </c>
      <c r="N39" s="89">
        <f t="shared" ref="N39:AI39" si="12">SUM(N31:N38)</f>
        <v>5024995.04</v>
      </c>
      <c r="O39" s="163">
        <f t="shared" si="12"/>
        <v>402</v>
      </c>
      <c r="P39" s="85">
        <f t="shared" si="12"/>
        <v>9352814.2999999933</v>
      </c>
      <c r="Q39" s="163">
        <f t="shared" si="12"/>
        <v>538</v>
      </c>
      <c r="R39" s="85">
        <f t="shared" si="12"/>
        <v>3895.94</v>
      </c>
      <c r="S39" s="163">
        <f t="shared" si="12"/>
        <v>40</v>
      </c>
      <c r="T39" s="85">
        <f t="shared" si="12"/>
        <v>701605.9800000001</v>
      </c>
      <c r="U39" s="163">
        <f t="shared" si="12"/>
        <v>536</v>
      </c>
      <c r="V39" s="85">
        <f t="shared" si="12"/>
        <v>417.36</v>
      </c>
      <c r="W39" s="166">
        <f t="shared" si="12"/>
        <v>23</v>
      </c>
      <c r="X39" s="89">
        <f t="shared" si="12"/>
        <v>484426.33999999997</v>
      </c>
      <c r="Y39" s="163">
        <f t="shared" si="12"/>
        <v>58</v>
      </c>
      <c r="Z39" s="85">
        <f t="shared" si="12"/>
        <v>91.71</v>
      </c>
      <c r="AA39" s="166">
        <f t="shared" si="12"/>
        <v>13</v>
      </c>
      <c r="AB39" s="89">
        <f t="shared" si="12"/>
        <v>12454.48</v>
      </c>
      <c r="AC39" s="166">
        <f t="shared" si="12"/>
        <v>32</v>
      </c>
      <c r="AD39" s="167">
        <f t="shared" si="12"/>
        <v>444446.01</v>
      </c>
      <c r="AE39" s="160">
        <f t="shared" si="12"/>
        <v>1185</v>
      </c>
      <c r="AF39" s="161">
        <f t="shared" si="12"/>
        <v>1017391.02</v>
      </c>
      <c r="AG39" s="168">
        <f t="shared" si="12"/>
        <v>1205</v>
      </c>
      <c r="AH39" s="161">
        <f t="shared" si="12"/>
        <v>23155.51</v>
      </c>
      <c r="AI39" s="160">
        <f t="shared" si="12"/>
        <v>5</v>
      </c>
      <c r="AJ39" s="169">
        <f t="shared" ref="AJ39:AW39" si="13">SUM(AJ31:AJ36)</f>
        <v>0</v>
      </c>
      <c r="AK39" s="170">
        <f t="shared" si="13"/>
        <v>0</v>
      </c>
      <c r="AL39" s="165">
        <f t="shared" si="13"/>
        <v>0</v>
      </c>
      <c r="AM39" s="163">
        <f t="shared" si="13"/>
        <v>0</v>
      </c>
      <c r="AN39" s="162">
        <f t="shared" si="13"/>
        <v>0</v>
      </c>
      <c r="AO39" s="163">
        <f t="shared" si="13"/>
        <v>0</v>
      </c>
      <c r="AP39" s="162">
        <f t="shared" si="13"/>
        <v>0</v>
      </c>
      <c r="AQ39" s="166">
        <f t="shared" si="13"/>
        <v>0</v>
      </c>
      <c r="AR39" s="165">
        <f>SUM(AR31:AR38)</f>
        <v>2107.59</v>
      </c>
      <c r="AS39" s="166">
        <f>SUM(AS31:AS38)</f>
        <v>2</v>
      </c>
      <c r="AT39" s="165">
        <f t="shared" si="13"/>
        <v>0</v>
      </c>
      <c r="AU39" s="163">
        <f t="shared" si="13"/>
        <v>0</v>
      </c>
      <c r="AV39" s="162">
        <f t="shared" si="13"/>
        <v>0</v>
      </c>
      <c r="AW39" s="166">
        <f t="shared" si="13"/>
        <v>0</v>
      </c>
      <c r="AX39" s="171">
        <f>SUM(AX31:AX38)</f>
        <v>17530852.719999999</v>
      </c>
      <c r="AY39" s="172">
        <f>SUM(AY31:AY38)</f>
        <v>4057</v>
      </c>
      <c r="AZ39" s="173" t="s">
        <v>64</v>
      </c>
      <c r="BA39" s="174">
        <f>SUM(BA31:BA38)</f>
        <v>30247152.509999994</v>
      </c>
      <c r="BB39" s="175">
        <f>SUM(BB31:BB38)</f>
        <v>12289</v>
      </c>
      <c r="BC39" s="176" t="s">
        <v>64</v>
      </c>
    </row>
    <row r="40" spans="1:55" ht="16.8" customHeight="1" thickBot="1" x14ac:dyDescent="0.35">
      <c r="A40" s="214" t="s">
        <v>74</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3"/>
    </row>
    <row r="41" spans="1:55" x14ac:dyDescent="0.3">
      <c r="A41" s="177" t="s">
        <v>75</v>
      </c>
      <c r="B41" s="18"/>
      <c r="C41" s="19"/>
      <c r="D41" s="20"/>
      <c r="E41" s="19"/>
      <c r="F41" s="20"/>
      <c r="G41" s="19"/>
      <c r="H41" s="19"/>
      <c r="I41" s="19"/>
      <c r="J41" s="19"/>
      <c r="K41" s="21"/>
      <c r="L41" s="103"/>
      <c r="M41" s="104"/>
      <c r="N41" s="18">
        <v>72383.95</v>
      </c>
      <c r="O41" s="19">
        <v>8</v>
      </c>
      <c r="P41" s="20">
        <v>980577.66</v>
      </c>
      <c r="Q41" s="19">
        <v>50</v>
      </c>
      <c r="R41" s="20">
        <v>3895.94</v>
      </c>
      <c r="S41" s="19">
        <v>40</v>
      </c>
      <c r="T41" s="20">
        <v>208949.92000000007</v>
      </c>
      <c r="U41" s="19">
        <v>146</v>
      </c>
      <c r="V41" s="20">
        <v>417.36</v>
      </c>
      <c r="W41" s="21">
        <v>23</v>
      </c>
      <c r="X41" s="105">
        <v>120357.2</v>
      </c>
      <c r="Y41" s="19">
        <v>3</v>
      </c>
      <c r="Z41" s="20">
        <v>91.71</v>
      </c>
      <c r="AA41" s="104">
        <v>13</v>
      </c>
      <c r="AB41" s="178">
        <f>448.57+967.82</f>
        <v>1416.39</v>
      </c>
      <c r="AC41" s="104">
        <f>10+2</f>
        <v>12</v>
      </c>
      <c r="AD41" s="103"/>
      <c r="AE41" s="179"/>
      <c r="AF41" s="19"/>
      <c r="AG41" s="179"/>
      <c r="AH41" s="19"/>
      <c r="AI41" s="19"/>
      <c r="AJ41" s="19"/>
      <c r="AK41" s="104"/>
      <c r="AL41" s="103"/>
      <c r="AM41" s="19"/>
      <c r="AN41" s="19"/>
      <c r="AO41" s="19"/>
      <c r="AP41" s="19"/>
      <c r="AQ41" s="104"/>
      <c r="AR41" s="105"/>
      <c r="AS41" s="19"/>
      <c r="AT41" s="19"/>
      <c r="AU41" s="19"/>
      <c r="AV41" s="19"/>
      <c r="AW41" s="104"/>
      <c r="AX41" s="180">
        <f>B41+D41+F41+H41+J41+L41+N41+P41+R41+T41+V41+X41+Z41+AB41+AD41+AF41+AH41+AJ41+AL41+AN41+AP41+AR41+AT41+AV41</f>
        <v>1388090.1300000001</v>
      </c>
      <c r="AY41" s="181">
        <f t="shared" ref="AX41:AY47" si="14">C41+E41+G41+I41+K41+M41+O41+Q41+S41+U41+W41+Y41+AA41+AC41+AE41+AG41+AI41+AK41+AM41+AO41+AQ41+AS41+AU41+AW41</f>
        <v>295</v>
      </c>
      <c r="AZ41" s="182">
        <f t="shared" ref="AZ41:AZ47" si="15">AX41/$AX$48*100%</f>
        <v>7.917984094627796E-2</v>
      </c>
      <c r="BA41" s="111">
        <f>2392636.13+(4677.65+7422.44+1416.39)+28530</f>
        <v>2434682.61</v>
      </c>
      <c r="BB41" s="183">
        <f>921+(31+4+12)+3</f>
        <v>971</v>
      </c>
      <c r="BC41" s="184">
        <f t="shared" ref="BC41:BC47" si="16">BA41/$BA$48*100%</f>
        <v>8.0492952492558251E-2</v>
      </c>
    </row>
    <row r="42" spans="1:55" x14ac:dyDescent="0.3">
      <c r="A42" s="55" t="s">
        <v>76</v>
      </c>
      <c r="B42" s="37"/>
      <c r="C42" s="38"/>
      <c r="D42" s="39"/>
      <c r="E42" s="38"/>
      <c r="F42" s="39">
        <v>147062.13</v>
      </c>
      <c r="G42" s="38">
        <v>1</v>
      </c>
      <c r="H42" s="38"/>
      <c r="I42" s="38"/>
      <c r="J42" s="38"/>
      <c r="K42" s="40"/>
      <c r="L42" s="116"/>
      <c r="M42" s="79"/>
      <c r="N42" s="56">
        <v>2727.04</v>
      </c>
      <c r="O42" s="57">
        <v>3</v>
      </c>
      <c r="P42" s="118">
        <f>3534934.62-6370.96</f>
        <v>3528563.66</v>
      </c>
      <c r="Q42" s="57">
        <f>234-1</f>
        <v>233</v>
      </c>
      <c r="R42" s="39"/>
      <c r="S42" s="38"/>
      <c r="T42" s="39">
        <v>115255.70999999998</v>
      </c>
      <c r="U42" s="38">
        <v>94</v>
      </c>
      <c r="V42" s="39"/>
      <c r="W42" s="40"/>
      <c r="X42" s="78">
        <v>82865.899999999994</v>
      </c>
      <c r="Y42" s="38">
        <v>12</v>
      </c>
      <c r="Z42" s="39"/>
      <c r="AA42" s="79"/>
      <c r="AB42" s="185"/>
      <c r="AC42" s="79"/>
      <c r="AD42" s="78">
        <v>690.35</v>
      </c>
      <c r="AE42" s="186">
        <v>1</v>
      </c>
      <c r="AF42" s="39">
        <v>1301.3800000000001</v>
      </c>
      <c r="AG42" s="186">
        <v>1</v>
      </c>
      <c r="AH42" s="39"/>
      <c r="AI42" s="39"/>
      <c r="AJ42" s="38"/>
      <c r="AK42" s="79"/>
      <c r="AL42" s="116"/>
      <c r="AM42" s="38"/>
      <c r="AN42" s="38"/>
      <c r="AO42" s="38"/>
      <c r="AP42" s="38"/>
      <c r="AQ42" s="79"/>
      <c r="AR42" s="78"/>
      <c r="AS42" s="38"/>
      <c r="AT42" s="38"/>
      <c r="AU42" s="38"/>
      <c r="AV42" s="38"/>
      <c r="AW42" s="79"/>
      <c r="AX42" s="187">
        <f t="shared" si="14"/>
        <v>3878466.17</v>
      </c>
      <c r="AY42" s="188">
        <f t="shared" si="14"/>
        <v>345</v>
      </c>
      <c r="AZ42" s="189">
        <f t="shared" si="15"/>
        <v>0.22123659539032944</v>
      </c>
      <c r="BA42" s="52">
        <f>8190080.34999999+6804.91-6370.96</f>
        <v>8190514.2999999905</v>
      </c>
      <c r="BB42" s="53">
        <f>731+10-1</f>
        <v>740</v>
      </c>
      <c r="BC42" s="190">
        <f t="shared" si="16"/>
        <v>0.27078629293676937</v>
      </c>
    </row>
    <row r="43" spans="1:55" x14ac:dyDescent="0.3">
      <c r="A43" s="55" t="s">
        <v>77</v>
      </c>
      <c r="B43" s="37">
        <v>187933.58</v>
      </c>
      <c r="C43" s="38">
        <v>3</v>
      </c>
      <c r="D43" s="39">
        <v>2513.67</v>
      </c>
      <c r="E43" s="38">
        <v>3</v>
      </c>
      <c r="F43" s="39">
        <v>122459.36</v>
      </c>
      <c r="G43" s="38">
        <v>1</v>
      </c>
      <c r="H43" s="38"/>
      <c r="I43" s="38"/>
      <c r="J43" s="38"/>
      <c r="K43" s="40"/>
      <c r="L43" s="116"/>
      <c r="M43" s="79"/>
      <c r="N43" s="56">
        <f>5927375.53-1097279.98</f>
        <v>4830095.5500000007</v>
      </c>
      <c r="O43" s="57">
        <f>222-1</f>
        <v>221</v>
      </c>
      <c r="P43" s="118">
        <v>1204704.9700000004</v>
      </c>
      <c r="Q43" s="57">
        <v>112</v>
      </c>
      <c r="R43" s="39"/>
      <c r="S43" s="38"/>
      <c r="T43" s="39">
        <v>47834.39</v>
      </c>
      <c r="U43" s="38">
        <v>27</v>
      </c>
      <c r="V43" s="39"/>
      <c r="W43" s="40"/>
      <c r="X43" s="78">
        <v>281203.24</v>
      </c>
      <c r="Y43" s="38">
        <v>43</v>
      </c>
      <c r="Z43" s="39"/>
      <c r="AA43" s="79"/>
      <c r="AB43" s="185">
        <v>137.81</v>
      </c>
      <c r="AC43" s="79">
        <v>1</v>
      </c>
      <c r="AD43" s="78">
        <v>123847.71</v>
      </c>
      <c r="AE43" s="186">
        <v>179</v>
      </c>
      <c r="AF43" s="39">
        <f>622721</f>
        <v>622721</v>
      </c>
      <c r="AG43" s="186">
        <f>311</f>
        <v>311</v>
      </c>
      <c r="AH43" s="39">
        <v>679.62</v>
      </c>
      <c r="AI43" s="39">
        <v>1</v>
      </c>
      <c r="AJ43" s="38"/>
      <c r="AK43" s="79"/>
      <c r="AL43" s="116"/>
      <c r="AM43" s="38"/>
      <c r="AN43" s="38"/>
      <c r="AO43" s="38"/>
      <c r="AP43" s="38"/>
      <c r="AQ43" s="79"/>
      <c r="AR43" s="78"/>
      <c r="AS43" s="38"/>
      <c r="AT43" s="38"/>
      <c r="AU43" s="38"/>
      <c r="AV43" s="38"/>
      <c r="AW43" s="79"/>
      <c r="AX43" s="187">
        <f t="shared" si="14"/>
        <v>7424130.9000000013</v>
      </c>
      <c r="AY43" s="188">
        <f t="shared" si="14"/>
        <v>902</v>
      </c>
      <c r="AZ43" s="189">
        <f t="shared" si="15"/>
        <v>0.42348943423893337</v>
      </c>
      <c r="BA43" s="52">
        <f>11370288.26+(68.54+137.81)+2117167.13-1097279.98</f>
        <v>12390381.759999998</v>
      </c>
      <c r="BB43" s="53">
        <f>817+(3+1)+2735-1</f>
        <v>3555</v>
      </c>
      <c r="BC43" s="190">
        <f t="shared" si="16"/>
        <v>0.40963795702814015</v>
      </c>
    </row>
    <row r="44" spans="1:55" x14ac:dyDescent="0.3">
      <c r="A44" s="55" t="s">
        <v>78</v>
      </c>
      <c r="B44" s="37"/>
      <c r="C44" s="38"/>
      <c r="D44" s="39">
        <v>3082.7</v>
      </c>
      <c r="E44" s="38">
        <v>10</v>
      </c>
      <c r="F44" s="39"/>
      <c r="G44" s="38"/>
      <c r="H44" s="38"/>
      <c r="I44" s="38"/>
      <c r="J44" s="38"/>
      <c r="K44" s="40"/>
      <c r="L44" s="116"/>
      <c r="M44" s="79"/>
      <c r="N44" s="56"/>
      <c r="O44" s="57"/>
      <c r="P44" s="118"/>
      <c r="Q44" s="57"/>
      <c r="R44" s="39"/>
      <c r="S44" s="38"/>
      <c r="T44" s="39"/>
      <c r="U44" s="38"/>
      <c r="V44" s="39"/>
      <c r="W44" s="40"/>
      <c r="X44" s="78"/>
      <c r="Y44" s="38"/>
      <c r="Z44" s="39"/>
      <c r="AA44" s="79"/>
      <c r="AB44" s="185"/>
      <c r="AC44" s="79"/>
      <c r="AD44" s="78">
        <v>278146.64</v>
      </c>
      <c r="AE44" s="186">
        <v>999</v>
      </c>
      <c r="AF44" s="39">
        <v>392420.41</v>
      </c>
      <c r="AG44" s="186">
        <v>890</v>
      </c>
      <c r="AH44" s="39">
        <v>22475.89</v>
      </c>
      <c r="AI44" s="39">
        <v>4</v>
      </c>
      <c r="AJ44" s="38"/>
      <c r="AK44" s="79"/>
      <c r="AL44" s="116"/>
      <c r="AM44" s="38"/>
      <c r="AN44" s="38"/>
      <c r="AO44" s="38"/>
      <c r="AP44" s="38"/>
      <c r="AQ44" s="79"/>
      <c r="AR44" s="78"/>
      <c r="AS44" s="38"/>
      <c r="AT44" s="38"/>
      <c r="AU44" s="38"/>
      <c r="AV44" s="38"/>
      <c r="AW44" s="79"/>
      <c r="AX44" s="187">
        <f t="shared" si="14"/>
        <v>696125.64</v>
      </c>
      <c r="AY44" s="188">
        <f t="shared" si="14"/>
        <v>1903</v>
      </c>
      <c r="AZ44" s="189">
        <f t="shared" si="15"/>
        <v>3.9708601237461394E-2</v>
      </c>
      <c r="BA44" s="52">
        <v>1482669.13</v>
      </c>
      <c r="BB44" s="53">
        <v>6059</v>
      </c>
      <c r="BC44" s="190">
        <f t="shared" si="16"/>
        <v>4.9018469739377103E-2</v>
      </c>
    </row>
    <row r="45" spans="1:55" x14ac:dyDescent="0.3">
      <c r="A45" s="55" t="s">
        <v>79</v>
      </c>
      <c r="B45" s="37"/>
      <c r="C45" s="38"/>
      <c r="D45" s="39"/>
      <c r="E45" s="38"/>
      <c r="F45" s="39"/>
      <c r="G45" s="38"/>
      <c r="H45" s="38"/>
      <c r="I45" s="38"/>
      <c r="J45" s="38"/>
      <c r="K45" s="40"/>
      <c r="L45" s="116"/>
      <c r="M45" s="79"/>
      <c r="N45" s="56">
        <f>19070.74-15575.23</f>
        <v>3495.510000000002</v>
      </c>
      <c r="O45" s="57">
        <f>10-1</f>
        <v>9</v>
      </c>
      <c r="P45" s="118">
        <v>5986.3800000000019</v>
      </c>
      <c r="Q45" s="57">
        <v>19</v>
      </c>
      <c r="R45" s="39"/>
      <c r="S45" s="38"/>
      <c r="T45" s="39">
        <v>56828.530000000013</v>
      </c>
      <c r="U45" s="38">
        <v>87</v>
      </c>
      <c r="V45" s="39"/>
      <c r="W45" s="40"/>
      <c r="X45" s="78"/>
      <c r="Y45" s="38"/>
      <c r="Z45" s="39"/>
      <c r="AA45" s="79"/>
      <c r="AB45" s="185">
        <f>7723.33+1255.17</f>
        <v>8978.5</v>
      </c>
      <c r="AC45" s="79">
        <f>17+1</f>
        <v>18</v>
      </c>
      <c r="AD45" s="78">
        <v>41761.31</v>
      </c>
      <c r="AE45" s="186">
        <v>6</v>
      </c>
      <c r="AF45" s="186">
        <v>948.23</v>
      </c>
      <c r="AG45" s="186">
        <v>3</v>
      </c>
      <c r="AH45" s="39"/>
      <c r="AI45" s="39"/>
      <c r="AJ45" s="38"/>
      <c r="AK45" s="79"/>
      <c r="AL45" s="116"/>
      <c r="AM45" s="38"/>
      <c r="AN45" s="38"/>
      <c r="AO45" s="38"/>
      <c r="AP45" s="38"/>
      <c r="AQ45" s="79"/>
      <c r="AR45" s="78">
        <v>1580.5148314799999</v>
      </c>
      <c r="AS45" s="38">
        <v>1</v>
      </c>
      <c r="AT45" s="38"/>
      <c r="AU45" s="38"/>
      <c r="AV45" s="38"/>
      <c r="AW45" s="79"/>
      <c r="AX45" s="187">
        <f>B45+D45+F45+H45+J45+L45+N45+P45+R45+T45+V45+X45+Z45+AB45+AD45+AF45+AH45+AJ45+AL45+AN45+AP45+AR45+AT45+AV45</f>
        <v>119578.97483148001</v>
      </c>
      <c r="AY45" s="188">
        <f t="shared" si="14"/>
        <v>143</v>
      </c>
      <c r="AZ45" s="189">
        <f t="shared" si="15"/>
        <v>6.8210586640188569E-3</v>
      </c>
      <c r="BA45" s="52">
        <f>136281.9+(1134.62+14205.02+8978.5)+(1034+AR45)+50685.41-15575.23</f>
        <v>198324.73483147996</v>
      </c>
      <c r="BB45" s="53">
        <f>164+(30+5+18)+(1+AS45)+22-1</f>
        <v>240</v>
      </c>
      <c r="BC45" s="190">
        <f t="shared" si="16"/>
        <v>6.5568067859529044E-3</v>
      </c>
    </row>
    <row r="46" spans="1:55" x14ac:dyDescent="0.3">
      <c r="A46" s="58" t="s">
        <v>80</v>
      </c>
      <c r="B46" s="59"/>
      <c r="C46" s="60"/>
      <c r="D46" s="61"/>
      <c r="E46" s="60"/>
      <c r="F46" s="61"/>
      <c r="G46" s="60"/>
      <c r="H46" s="60"/>
      <c r="I46" s="60"/>
      <c r="J46" s="60"/>
      <c r="K46" s="62"/>
      <c r="L46" s="126"/>
      <c r="M46" s="127"/>
      <c r="N46" s="59"/>
      <c r="O46" s="60"/>
      <c r="P46" s="61"/>
      <c r="Q46" s="60"/>
      <c r="R46" s="61"/>
      <c r="S46" s="60"/>
      <c r="T46" s="61"/>
      <c r="U46" s="60"/>
      <c r="V46" s="61"/>
      <c r="W46" s="62"/>
      <c r="X46" s="128"/>
      <c r="Y46" s="60"/>
      <c r="Z46" s="61"/>
      <c r="AA46" s="127"/>
      <c r="AB46" s="191">
        <v>1921.78</v>
      </c>
      <c r="AC46" s="127">
        <v>1</v>
      </c>
      <c r="AD46" s="128"/>
      <c r="AE46" s="192"/>
      <c r="AF46" s="61"/>
      <c r="AG46" s="192"/>
      <c r="AH46" s="61"/>
      <c r="AI46" s="61"/>
      <c r="AJ46" s="60"/>
      <c r="AK46" s="127"/>
      <c r="AL46" s="126"/>
      <c r="AM46" s="60"/>
      <c r="AN46" s="60"/>
      <c r="AO46" s="60"/>
      <c r="AP46" s="60"/>
      <c r="AQ46" s="127"/>
      <c r="AR46" s="128"/>
      <c r="AS46" s="60"/>
      <c r="AT46" s="60"/>
      <c r="AU46" s="60"/>
      <c r="AV46" s="60"/>
      <c r="AW46" s="127"/>
      <c r="AX46" s="193">
        <f t="shared" si="14"/>
        <v>1921.78</v>
      </c>
      <c r="AY46" s="194">
        <f t="shared" si="14"/>
        <v>1</v>
      </c>
      <c r="AZ46" s="195">
        <f t="shared" si="15"/>
        <v>1.0962273374405308E-4</v>
      </c>
      <c r="BA46" s="72">
        <f>9173.16+1921.78</f>
        <v>11094.94</v>
      </c>
      <c r="BB46" s="73">
        <f>8+1</f>
        <v>9</v>
      </c>
      <c r="BC46" s="190">
        <f t="shared" si="16"/>
        <v>3.6680940450294845E-4</v>
      </c>
    </row>
    <row r="47" spans="1:55" ht="16.2" thickBot="1" x14ac:dyDescent="0.35">
      <c r="A47" s="58" t="s">
        <v>81</v>
      </c>
      <c r="B47" s="59"/>
      <c r="C47" s="60"/>
      <c r="D47" s="61"/>
      <c r="E47" s="60"/>
      <c r="F47" s="61"/>
      <c r="G47" s="60"/>
      <c r="H47" s="60"/>
      <c r="I47" s="60"/>
      <c r="J47" s="60"/>
      <c r="K47" s="62"/>
      <c r="L47" s="126"/>
      <c r="M47" s="127"/>
      <c r="N47" s="59">
        <v>116292.99000000002</v>
      </c>
      <c r="O47" s="60">
        <v>161</v>
      </c>
      <c r="P47" s="61">
        <v>3632981.63</v>
      </c>
      <c r="Q47" s="60">
        <v>124</v>
      </c>
      <c r="R47" s="61"/>
      <c r="S47" s="60"/>
      <c r="T47" s="61">
        <v>272737.43000000005</v>
      </c>
      <c r="U47" s="60">
        <v>182</v>
      </c>
      <c r="V47" s="61"/>
      <c r="W47" s="62"/>
      <c r="X47" s="128"/>
      <c r="Y47" s="60"/>
      <c r="Z47" s="61"/>
      <c r="AA47" s="127"/>
      <c r="AB47" s="191"/>
      <c r="AC47" s="127"/>
      <c r="AD47" s="128"/>
      <c r="AE47" s="192"/>
      <c r="AF47" s="61"/>
      <c r="AG47" s="192"/>
      <c r="AH47" s="61"/>
      <c r="AI47" s="61"/>
      <c r="AJ47" s="60"/>
      <c r="AK47" s="127"/>
      <c r="AL47" s="126"/>
      <c r="AM47" s="60"/>
      <c r="AN47" s="60"/>
      <c r="AO47" s="60"/>
      <c r="AP47" s="60"/>
      <c r="AQ47" s="127"/>
      <c r="AR47" s="128">
        <v>527.07488783999997</v>
      </c>
      <c r="AS47" s="60">
        <v>1</v>
      </c>
      <c r="AT47" s="60"/>
      <c r="AU47" s="60"/>
      <c r="AV47" s="60"/>
      <c r="AW47" s="127"/>
      <c r="AX47" s="193">
        <f>B47+D47+F47+H47+J47+L47+N47+P47+R47+T47+V47+X47+Z47+AB47+AD47+AF47+AH47+AJ47+AL47+AN47+AP47+AR47+AT47+AV47</f>
        <v>4022539.1248878404</v>
      </c>
      <c r="AY47" s="194">
        <f t="shared" si="14"/>
        <v>468</v>
      </c>
      <c r="AZ47" s="195">
        <f t="shared" si="15"/>
        <v>0.229454846789235</v>
      </c>
      <c r="BA47" s="72">
        <f>5538931.57+AR47+26.39</f>
        <v>5539485.03488784</v>
      </c>
      <c r="BB47" s="73">
        <f>712+AS47+2</f>
        <v>715</v>
      </c>
      <c r="BC47" s="190">
        <f t="shared" si="16"/>
        <v>0.1831407116126994</v>
      </c>
    </row>
    <row r="48" spans="1:55" ht="16.2" thickBot="1" x14ac:dyDescent="0.35">
      <c r="A48" s="196" t="s">
        <v>63</v>
      </c>
      <c r="B48" s="197">
        <f>SUM(B41:B47)</f>
        <v>187933.58</v>
      </c>
      <c r="C48" s="198">
        <f t="shared" ref="C48:AY48" si="17">SUM(C41:C47)</f>
        <v>3</v>
      </c>
      <c r="D48" s="199">
        <f t="shared" si="17"/>
        <v>5596.37</v>
      </c>
      <c r="E48" s="198">
        <f t="shared" si="17"/>
        <v>13</v>
      </c>
      <c r="F48" s="199">
        <f t="shared" si="17"/>
        <v>269521.49</v>
      </c>
      <c r="G48" s="198">
        <f t="shared" si="17"/>
        <v>2</v>
      </c>
      <c r="H48" s="199">
        <f t="shared" si="17"/>
        <v>0</v>
      </c>
      <c r="I48" s="198">
        <f t="shared" si="17"/>
        <v>0</v>
      </c>
      <c r="J48" s="199">
        <f t="shared" si="17"/>
        <v>0</v>
      </c>
      <c r="K48" s="200">
        <f t="shared" si="17"/>
        <v>0</v>
      </c>
      <c r="L48" s="201">
        <f t="shared" si="17"/>
        <v>0</v>
      </c>
      <c r="M48" s="200">
        <f t="shared" si="17"/>
        <v>0</v>
      </c>
      <c r="N48" s="201">
        <f>SUM(N41:N47)</f>
        <v>5024995.040000001</v>
      </c>
      <c r="O48" s="198">
        <f t="shared" si="17"/>
        <v>402</v>
      </c>
      <c r="P48" s="199">
        <f t="shared" si="17"/>
        <v>9352814.3000000007</v>
      </c>
      <c r="Q48" s="198">
        <f t="shared" si="17"/>
        <v>538</v>
      </c>
      <c r="R48" s="199">
        <f t="shared" si="17"/>
        <v>3895.94</v>
      </c>
      <c r="S48" s="198">
        <f t="shared" si="17"/>
        <v>40</v>
      </c>
      <c r="T48" s="199">
        <f t="shared" si="17"/>
        <v>701605.98000000021</v>
      </c>
      <c r="U48" s="198">
        <f t="shared" si="17"/>
        <v>536</v>
      </c>
      <c r="V48" s="199">
        <f t="shared" si="17"/>
        <v>417.36</v>
      </c>
      <c r="W48" s="202">
        <f t="shared" si="17"/>
        <v>23</v>
      </c>
      <c r="X48" s="197">
        <f>SUM(X41:X47)</f>
        <v>484426.33999999997</v>
      </c>
      <c r="Y48" s="198">
        <f t="shared" si="17"/>
        <v>58</v>
      </c>
      <c r="Z48" s="199">
        <f t="shared" si="17"/>
        <v>91.71</v>
      </c>
      <c r="AA48" s="200">
        <f t="shared" si="17"/>
        <v>13</v>
      </c>
      <c r="AB48" s="197">
        <f t="shared" si="17"/>
        <v>12454.480000000001</v>
      </c>
      <c r="AC48" s="200">
        <f t="shared" si="17"/>
        <v>32</v>
      </c>
      <c r="AD48" s="197">
        <f t="shared" si="17"/>
        <v>444446.01</v>
      </c>
      <c r="AE48" s="198">
        <f t="shared" si="17"/>
        <v>1185</v>
      </c>
      <c r="AF48" s="199">
        <f t="shared" si="17"/>
        <v>1017391.02</v>
      </c>
      <c r="AG48" s="198">
        <f>SUM(AG41:AG47)</f>
        <v>1205</v>
      </c>
      <c r="AH48" s="199">
        <f t="shared" si="17"/>
        <v>23155.51</v>
      </c>
      <c r="AI48" s="198">
        <f t="shared" si="17"/>
        <v>5</v>
      </c>
      <c r="AJ48" s="199">
        <f t="shared" si="17"/>
        <v>0</v>
      </c>
      <c r="AK48" s="200">
        <f t="shared" si="17"/>
        <v>0</v>
      </c>
      <c r="AL48" s="197">
        <f t="shared" si="17"/>
        <v>0</v>
      </c>
      <c r="AM48" s="198">
        <f t="shared" si="17"/>
        <v>0</v>
      </c>
      <c r="AN48" s="199">
        <f t="shared" si="17"/>
        <v>0</v>
      </c>
      <c r="AO48" s="198">
        <f t="shared" si="17"/>
        <v>0</v>
      </c>
      <c r="AP48" s="199">
        <f t="shared" si="17"/>
        <v>0</v>
      </c>
      <c r="AQ48" s="200">
        <f t="shared" si="17"/>
        <v>0</v>
      </c>
      <c r="AR48" s="201">
        <f t="shared" si="17"/>
        <v>2107.5897193199999</v>
      </c>
      <c r="AS48" s="198">
        <f t="shared" si="17"/>
        <v>2</v>
      </c>
      <c r="AT48" s="199">
        <f t="shared" si="17"/>
        <v>0</v>
      </c>
      <c r="AU48" s="198">
        <f t="shared" si="17"/>
        <v>0</v>
      </c>
      <c r="AV48" s="199">
        <f t="shared" si="17"/>
        <v>0</v>
      </c>
      <c r="AW48" s="198">
        <f t="shared" si="17"/>
        <v>0</v>
      </c>
      <c r="AX48" s="203">
        <f>SUM(AX41:AX47)</f>
        <v>17530852.719719321</v>
      </c>
      <c r="AY48" s="204">
        <f t="shared" si="17"/>
        <v>4057</v>
      </c>
      <c r="AZ48" s="205" t="s">
        <v>64</v>
      </c>
      <c r="BA48" s="94">
        <f>SUM(BA41:BA47)</f>
        <v>30247152.509719305</v>
      </c>
      <c r="BB48" s="95">
        <f>SUM(BB41:BB47)</f>
        <v>12289</v>
      </c>
      <c r="BC48" s="206" t="s">
        <v>64</v>
      </c>
    </row>
    <row r="49" spans="1:55" x14ac:dyDescent="0.3">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row>
    <row r="50" spans="1:55" ht="15.6" customHeight="1" x14ac:dyDescent="0.3">
      <c r="A50" s="215" t="s">
        <v>82</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08"/>
      <c r="BC50" s="208"/>
    </row>
    <row r="51" spans="1:55" x14ac:dyDescent="0.3">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08"/>
      <c r="BC51" s="208"/>
    </row>
    <row r="52" spans="1:55" x14ac:dyDescent="0.3">
      <c r="A52" t="s">
        <v>83</v>
      </c>
    </row>
    <row r="53" spans="1:55" ht="35.4" customHeight="1" x14ac:dyDescent="0.3">
      <c r="A53" s="216" t="s">
        <v>84</v>
      </c>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row>
    <row r="56" spans="1:55" ht="18" x14ac:dyDescent="0.35">
      <c r="A56" t="s">
        <v>89</v>
      </c>
      <c r="O56" s="209" t="s">
        <v>88</v>
      </c>
    </row>
    <row r="57" spans="1:55" x14ac:dyDescent="0.3">
      <c r="A57" t="s">
        <v>90</v>
      </c>
    </row>
    <row r="60" spans="1:55" x14ac:dyDescent="0.3">
      <c r="A60" t="s">
        <v>91</v>
      </c>
    </row>
    <row r="61" spans="1:55" x14ac:dyDescent="0.3">
      <c r="A61" t="s">
        <v>85</v>
      </c>
    </row>
    <row r="62" spans="1:55" x14ac:dyDescent="0.3">
      <c r="A62" t="s">
        <v>86</v>
      </c>
    </row>
  </sheetData>
  <mergeCells count="78">
    <mergeCell ref="A1:BA1"/>
    <mergeCell ref="A2:A7"/>
    <mergeCell ref="B2:AS2"/>
    <mergeCell ref="AX2:AZ3"/>
    <mergeCell ref="BA2:BC3"/>
    <mergeCell ref="B3:AV3"/>
    <mergeCell ref="B4:K4"/>
    <mergeCell ref="L4:M5"/>
    <mergeCell ref="N4:W4"/>
    <mergeCell ref="X4:AA5"/>
    <mergeCell ref="BC4:BC7"/>
    <mergeCell ref="AB4:AC5"/>
    <mergeCell ref="AD4:AI4"/>
    <mergeCell ref="AJ4:AK4"/>
    <mergeCell ref="AL4:AQ4"/>
    <mergeCell ref="AR4:AS6"/>
    <mergeCell ref="AT4:AW4"/>
    <mergeCell ref="AN5:AO5"/>
    <mergeCell ref="AP5:AQ5"/>
    <mergeCell ref="AT5:AU6"/>
    <mergeCell ref="AV5:AW6"/>
    <mergeCell ref="AX4:AX7"/>
    <mergeCell ref="AY4:AY7"/>
    <mergeCell ref="AZ4:AZ7"/>
    <mergeCell ref="BA4:BA7"/>
    <mergeCell ref="BB4:BB7"/>
    <mergeCell ref="AL5:AM5"/>
    <mergeCell ref="B5:C5"/>
    <mergeCell ref="D5:E5"/>
    <mergeCell ref="F5:G5"/>
    <mergeCell ref="H5:I5"/>
    <mergeCell ref="J5:K5"/>
    <mergeCell ref="N5:S5"/>
    <mergeCell ref="T5:W5"/>
    <mergeCell ref="AD5:AE5"/>
    <mergeCell ref="AF5:AG5"/>
    <mergeCell ref="AH5:AI5"/>
    <mergeCell ref="AJ5:AK5"/>
    <mergeCell ref="M6:M7"/>
    <mergeCell ref="B6:B7"/>
    <mergeCell ref="C6:C7"/>
    <mergeCell ref="D6:D7"/>
    <mergeCell ref="E6:E7"/>
    <mergeCell ref="F6:F7"/>
    <mergeCell ref="G6:G7"/>
    <mergeCell ref="H6:H7"/>
    <mergeCell ref="I6:I7"/>
    <mergeCell ref="J6:J7"/>
    <mergeCell ref="K6:K7"/>
    <mergeCell ref="L6:L7"/>
    <mergeCell ref="AF6:AF7"/>
    <mergeCell ref="N6:O6"/>
    <mergeCell ref="P6:Q6"/>
    <mergeCell ref="R6:S6"/>
    <mergeCell ref="T6:U6"/>
    <mergeCell ref="V6:W6"/>
    <mergeCell ref="X6:Y6"/>
    <mergeCell ref="Z6:AA6"/>
    <mergeCell ref="AB6:AB7"/>
    <mergeCell ref="AC6:AC7"/>
    <mergeCell ref="AD6:AD7"/>
    <mergeCell ref="AE6:AE7"/>
    <mergeCell ref="A30:BC30"/>
    <mergeCell ref="A40:BC40"/>
    <mergeCell ref="A50:BA51"/>
    <mergeCell ref="A53:BA53"/>
    <mergeCell ref="AM6:AM7"/>
    <mergeCell ref="AN6:AN7"/>
    <mergeCell ref="AO6:AO7"/>
    <mergeCell ref="AP6:AP7"/>
    <mergeCell ref="AQ6:AQ7"/>
    <mergeCell ref="A9:BC9"/>
    <mergeCell ref="AG6:AG7"/>
    <mergeCell ref="AH6:AH7"/>
    <mergeCell ref="AI6:AI7"/>
    <mergeCell ref="AJ6:AJ7"/>
    <mergeCell ref="AK6:AK7"/>
    <mergeCell ref="AL6:AL7"/>
  </mergeCells>
  <pageMargins left="0.25" right="0.25" top="0.75" bottom="0.75" header="0.3" footer="0.3"/>
  <pageSetup paperSize="8"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4.pielikums</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informatīvo ziņojumu par konstatētajiem neatbilstoši veiktajiem izdevumiem Eiropas Savienības politikas instrumentu, Eiropas Savienības iniciatīvu, Pirmsiestāšanās fondu un Pārejas perioda palīdzības ietvaros līdz 2012.gada 31.decembrim</dc:title>
  <dc:subject>4.pielikums</dc:subject>
  <dc:creator>au-avota</dc:creator>
  <dc:description>67083954; aiva.avota@fm.gov.lv</dc:description>
  <cp:lastModifiedBy>au-avota</cp:lastModifiedBy>
  <cp:lastPrinted>2013-05-30T06:28:40Z</cp:lastPrinted>
  <dcterms:created xsi:type="dcterms:W3CDTF">2013-05-14T11:01:52Z</dcterms:created>
  <dcterms:modified xsi:type="dcterms:W3CDTF">2013-06-11T09:01:39Z</dcterms:modified>
</cp:coreProperties>
</file>