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30" windowWidth="15360" windowHeight="12780" tabRatio="663"/>
  </bookViews>
  <sheets>
    <sheet name="Tabula Nr.1." sheetId="11" r:id="rId1"/>
    <sheet name="Tabula Nr.2." sheetId="12" r:id="rId2"/>
  </sheets>
  <definedNames>
    <definedName name="_xlnm._FilterDatabase" localSheetId="0" hidden="1">'Tabula Nr.1.'!$A$28:$BX$203</definedName>
    <definedName name="_xlnm.Print_Area" localSheetId="0">'Tabula Nr.1.'!$A$1:$BQ$211</definedName>
    <definedName name="_xlnm.Print_Area" localSheetId="1">'Tabula Nr.2.'!$A$1:$O$38</definedName>
    <definedName name="_xlnm.Print_Titles" localSheetId="0">'Tabula Nr.1.'!$A:$BI,'Tabula Nr.1.'!$6:$10</definedName>
    <definedName name="_xlnm.Print_Titles" localSheetId="1">'Tabula Nr.2.'!$4:$8</definedName>
  </definedNames>
  <calcPr calcId="145621"/>
  <customWorkbookViews>
    <customWorkbookView name="fud-pieki - Personal View" guid="{BAE71775-BAF7-4075-956D-79F2B4C83DF2}" mergeInterval="0" personalView="1" maximized="1" xWindow="1" yWindow="1" windowWidth="1152" windowHeight="564" activeSheetId="2"/>
    <customWorkbookView name="fud-albin - Personal View" guid="{9BD5A339-659D-4DB6-9EE5-D64F079FAB4B}" mergeInterval="0" personalView="1" maximized="1" xWindow="1" yWindow="1" windowWidth="1280" windowHeight="740" activeSheetId="1"/>
    <customWorkbookView name="es-sparn - Personal View" guid="{5ECD4D5C-9A15-4126-AFD4-D8586884C9F1}" mergeInterval="0" personalView="1" maximized="1" xWindow="1" yWindow="1" windowWidth="1280" windowHeight="726" activeSheetId="1"/>
    <customWorkbookView name="es-murni - Personal View" guid="{E8B5ACD1-AF4F-425C-BC8F-24601639C119}" mergeInterval="0" personalView="1" maximized="1" xWindow="1" yWindow="1" windowWidth="1280" windowHeight="761" activeSheetId="4"/>
    <customWorkbookView name="it-berna - Personal View" guid="{266D37BA-F70B-4670-AA39-BEBF94364F31}" mergeInterval="0" personalView="1" maximized="1" xWindow="1" yWindow="1" windowWidth="1280" windowHeight="756" activeSheetId="2"/>
    <customWorkbookView name="es-muran - Personal View" guid="{A3B0767E-DE12-41A5-8D6F-9C6156DF23D4}" mergeInterval="0" personalView="1" maximized="1" xWindow="1" yWindow="1" windowWidth="1280" windowHeight="756" activeSheetId="2" showComments="commIndAndComment"/>
    <customWorkbookView name="ti - Personal View" guid="{7C04B03D-2B05-4C90-AA24-752095681C44}" mergeInterval="0" personalView="1" maximized="1" xWindow="1" yWindow="1" windowWidth="1152" windowHeight="600" activeSheetId="1"/>
  </customWorkbookViews>
</workbook>
</file>

<file path=xl/calcChain.xml><?xml version="1.0" encoding="utf-8"?>
<calcChain xmlns="http://schemas.openxmlformats.org/spreadsheetml/2006/main">
  <c r="AX72" i="11" l="1"/>
  <c r="BB72" i="11"/>
  <c r="AX71" i="11"/>
  <c r="BB71" i="11"/>
  <c r="BN71" i="11"/>
  <c r="AX176" i="11" l="1"/>
  <c r="O21" i="12" l="1"/>
  <c r="O22" i="12"/>
  <c r="O23" i="12"/>
  <c r="O20" i="12"/>
  <c r="C20" i="12" l="1"/>
  <c r="C24" i="12"/>
  <c r="BJ140" i="11" l="1"/>
  <c r="F10" i="12" l="1"/>
  <c r="G10" i="12"/>
  <c r="C10" i="12"/>
  <c r="D16" i="12"/>
  <c r="L16" i="12"/>
  <c r="N16" i="12"/>
  <c r="C16" i="12"/>
  <c r="N28" i="12"/>
  <c r="L28" i="12"/>
  <c r="E25" i="12"/>
  <c r="E16" i="12" s="1"/>
  <c r="L25" i="12"/>
  <c r="N25" i="12"/>
  <c r="D25" i="12"/>
  <c r="BJ190" i="11" l="1"/>
  <c r="BN190" i="11" l="1"/>
  <c r="BN191" i="11"/>
  <c r="BN192" i="11"/>
  <c r="BN193" i="11"/>
  <c r="BN194" i="11"/>
  <c r="BN195" i="11"/>
  <c r="I15" i="12" l="1"/>
  <c r="H15" i="12"/>
  <c r="I14" i="12"/>
  <c r="K14" i="12" s="1"/>
  <c r="O14" i="12" s="1"/>
  <c r="H14" i="12"/>
  <c r="J14" i="12" s="1"/>
  <c r="N14" i="12" s="1"/>
  <c r="I13" i="12"/>
  <c r="K13" i="12" s="1"/>
  <c r="O13" i="12" s="1"/>
  <c r="H13" i="12"/>
  <c r="J13" i="12" s="1"/>
  <c r="N13" i="12" s="1"/>
  <c r="G12" i="12"/>
  <c r="I12" i="12" s="1"/>
  <c r="K12" i="12" s="1"/>
  <c r="O12" i="12" s="1"/>
  <c r="H12" i="12"/>
  <c r="J12" i="12" s="1"/>
  <c r="N12" i="12" s="1"/>
  <c r="F11" i="12"/>
  <c r="O18" i="12"/>
  <c r="O19" i="12"/>
  <c r="K15" i="12" l="1"/>
  <c r="I10" i="12"/>
  <c r="J15" i="12"/>
  <c r="H10" i="12"/>
  <c r="H11" i="12"/>
  <c r="BF85" i="11"/>
  <c r="N15" i="12" l="1"/>
  <c r="J10" i="12"/>
  <c r="O15" i="12"/>
  <c r="K10" i="12"/>
  <c r="BJ203" i="11"/>
  <c r="BJ136" i="11"/>
  <c r="BJ138" i="11"/>
  <c r="BJ83" i="11"/>
  <c r="C53" i="11" l="1"/>
  <c r="BK90" i="11" l="1"/>
  <c r="BJ90" i="11"/>
  <c r="BF151" i="11" l="1"/>
  <c r="BF150" i="11"/>
  <c r="BJ159" i="11"/>
  <c r="BJ158" i="11"/>
  <c r="BN144" i="11"/>
  <c r="C62" i="11" l="1"/>
  <c r="BB157" i="11" l="1"/>
  <c r="BB156" i="11"/>
  <c r="E11" i="12" l="1"/>
  <c r="E10" i="12" s="1"/>
  <c r="G11" i="12"/>
  <c r="I11" i="12"/>
  <c r="J11" i="12"/>
  <c r="K11" i="12"/>
  <c r="L11" i="12"/>
  <c r="L10" i="12" s="1"/>
  <c r="M11" i="12"/>
  <c r="M10" i="12" s="1"/>
  <c r="D11" i="12"/>
  <c r="D10" i="12" s="1"/>
  <c r="K28" i="12"/>
  <c r="I28" i="12"/>
  <c r="G28" i="12"/>
  <c r="M27" i="12"/>
  <c r="K27" i="12"/>
  <c r="I27" i="12"/>
  <c r="H27" i="12" s="1"/>
  <c r="G27" i="12"/>
  <c r="K26" i="12"/>
  <c r="I26" i="12"/>
  <c r="G26" i="12"/>
  <c r="M24" i="12"/>
  <c r="K24" i="12"/>
  <c r="I24" i="12"/>
  <c r="G24" i="12"/>
  <c r="E24" i="12"/>
  <c r="O24" i="12" s="1"/>
  <c r="L23" i="12"/>
  <c r="J23" i="12"/>
  <c r="H23" i="12"/>
  <c r="F23" i="12"/>
  <c r="D23" i="12"/>
  <c r="N23" i="12" s="1"/>
  <c r="L22" i="12"/>
  <c r="J22" i="12"/>
  <c r="H22" i="12"/>
  <c r="F22" i="12"/>
  <c r="D22" i="12"/>
  <c r="N22" i="12" s="1"/>
  <c r="L21" i="12"/>
  <c r="J21" i="12"/>
  <c r="H21" i="12"/>
  <c r="F21" i="12"/>
  <c r="D21" i="12"/>
  <c r="N21" i="12" s="1"/>
  <c r="M20" i="12"/>
  <c r="M17" i="12" s="1"/>
  <c r="K20" i="12"/>
  <c r="K17" i="12" s="1"/>
  <c r="I20" i="12"/>
  <c r="I17" i="12" s="1"/>
  <c r="G20" i="12"/>
  <c r="G17" i="12" s="1"/>
  <c r="E20" i="12"/>
  <c r="E17" i="12" s="1"/>
  <c r="L19" i="12"/>
  <c r="J19" i="12"/>
  <c r="H19" i="12"/>
  <c r="F19" i="12"/>
  <c r="D19" i="12"/>
  <c r="N19" i="12" s="1"/>
  <c r="L18" i="12"/>
  <c r="J18" i="12"/>
  <c r="H18" i="12"/>
  <c r="F18" i="12"/>
  <c r="D18" i="12"/>
  <c r="N18" i="12" s="1"/>
  <c r="O26" i="12" l="1"/>
  <c r="M25" i="12"/>
  <c r="M16" i="12" s="1"/>
  <c r="H26" i="12"/>
  <c r="H25" i="12" s="1"/>
  <c r="H16" i="12" s="1"/>
  <c r="I25" i="12"/>
  <c r="I16" i="12" s="1"/>
  <c r="J26" i="12"/>
  <c r="K25" i="12"/>
  <c r="K16" i="12" s="1"/>
  <c r="F26" i="12"/>
  <c r="G25" i="12"/>
  <c r="G16" i="12" s="1"/>
  <c r="C9" i="12"/>
  <c r="O27" i="12"/>
  <c r="O17" i="12"/>
  <c r="O11" i="12"/>
  <c r="O10" i="12" s="1"/>
  <c r="N11" i="12"/>
  <c r="N10" i="12" s="1"/>
  <c r="J28" i="12"/>
  <c r="F20" i="12"/>
  <c r="F17" i="12" s="1"/>
  <c r="F24" i="12"/>
  <c r="J24" i="12"/>
  <c r="H28" i="12"/>
  <c r="H20" i="12"/>
  <c r="D24" i="12"/>
  <c r="L24" i="12"/>
  <c r="J20" i="12"/>
  <c r="J17" i="12" s="1"/>
  <c r="F28" i="12"/>
  <c r="L20" i="12"/>
  <c r="H24" i="12"/>
  <c r="F27" i="12"/>
  <c r="J27" i="12"/>
  <c r="D20" i="12"/>
  <c r="D17" i="12" s="1"/>
  <c r="BK108" i="11"/>
  <c r="BJ108" i="11" s="1"/>
  <c r="BF108" i="11"/>
  <c r="BB108" i="11"/>
  <c r="M108" i="11"/>
  <c r="Q108" i="11" s="1"/>
  <c r="H108" i="11"/>
  <c r="G108" i="11"/>
  <c r="F108" i="11" s="1"/>
  <c r="BK107" i="11"/>
  <c r="BJ107" i="11" s="1"/>
  <c r="BF107" i="11"/>
  <c r="BB107" i="11"/>
  <c r="M107" i="11"/>
  <c r="Q107" i="11" s="1"/>
  <c r="G107" i="11"/>
  <c r="H107" i="11" s="1"/>
  <c r="F25" i="12" l="1"/>
  <c r="F16" i="12" s="1"/>
  <c r="L17" i="12"/>
  <c r="J25" i="12"/>
  <c r="J16" i="12" s="1"/>
  <c r="O25" i="12"/>
  <c r="O16" i="12" s="1"/>
  <c r="H17" i="12"/>
  <c r="N24" i="12"/>
  <c r="N20" i="12"/>
  <c r="N17" i="12" s="1"/>
  <c r="L108" i="11"/>
  <c r="I9" i="12"/>
  <c r="K9" i="12"/>
  <c r="G9" i="12"/>
  <c r="M9" i="12"/>
  <c r="F107" i="11"/>
  <c r="K107" i="11"/>
  <c r="L107" i="11" s="1"/>
  <c r="U107" i="11"/>
  <c r="U108" i="11"/>
  <c r="P108" i="11"/>
  <c r="O108" i="11"/>
  <c r="N108" i="11" s="1"/>
  <c r="K108" i="11"/>
  <c r="J108" i="11" s="1"/>
  <c r="J9" i="12" l="1"/>
  <c r="J107" i="11"/>
  <c r="D9" i="12"/>
  <c r="O9" i="12"/>
  <c r="E9" i="12"/>
  <c r="H9" i="12"/>
  <c r="O107" i="11"/>
  <c r="P107" i="11" s="1"/>
  <c r="Y107" i="11"/>
  <c r="Y108" i="11"/>
  <c r="S108" i="11"/>
  <c r="R108" i="11" s="1"/>
  <c r="T108" i="11"/>
  <c r="L9" i="12" l="1"/>
  <c r="S107" i="11"/>
  <c r="T107" i="11" s="1"/>
  <c r="N107" i="11"/>
  <c r="AC107" i="11"/>
  <c r="AC108" i="11"/>
  <c r="W108" i="11"/>
  <c r="V108" i="11" s="1"/>
  <c r="X108" i="11"/>
  <c r="F9" i="12" l="1"/>
  <c r="N9" i="12"/>
  <c r="R107" i="11"/>
  <c r="W107" i="11"/>
  <c r="V107" i="11" s="1"/>
  <c r="AG107" i="11"/>
  <c r="AG108" i="11"/>
  <c r="AA108" i="11"/>
  <c r="Z108" i="11" s="1"/>
  <c r="AB108" i="11"/>
  <c r="X107" i="11" l="1"/>
  <c r="AA107" i="11"/>
  <c r="Z107" i="11" s="1"/>
  <c r="AK108" i="11"/>
  <c r="AE108" i="11"/>
  <c r="AD108" i="11" s="1"/>
  <c r="AF108" i="11"/>
  <c r="AE107" i="11"/>
  <c r="AK107" i="11"/>
  <c r="AB107" i="11" l="1"/>
  <c r="AO108" i="11"/>
  <c r="AI108" i="11"/>
  <c r="AH108" i="11" s="1"/>
  <c r="AJ108" i="11"/>
  <c r="AD107" i="11"/>
  <c r="AI107" i="11"/>
  <c r="AO107" i="11"/>
  <c r="AF107" i="11"/>
  <c r="AM107" i="11" l="1"/>
  <c r="AH107" i="11"/>
  <c r="AS108" i="11"/>
  <c r="AM108" i="11"/>
  <c r="AL108" i="11" s="1"/>
  <c r="AN108" i="11"/>
  <c r="AS107" i="11"/>
  <c r="AJ107" i="11"/>
  <c r="AL107" i="11" l="1"/>
  <c r="AQ107" i="11"/>
  <c r="AR107" i="11" s="1"/>
  <c r="AW107" i="11"/>
  <c r="AW108" i="11"/>
  <c r="AQ108" i="11"/>
  <c r="AP108" i="11" s="1"/>
  <c r="AR108" i="11"/>
  <c r="AN107" i="11"/>
  <c r="BA108" i="11" l="1"/>
  <c r="AU108" i="11"/>
  <c r="AT108" i="11" s="1"/>
  <c r="AV108" i="11"/>
  <c r="BA107" i="11"/>
  <c r="AU107" i="11"/>
  <c r="AV107" i="11" s="1"/>
  <c r="AP107" i="11"/>
  <c r="AY108" i="11" l="1"/>
  <c r="AZ108" i="11"/>
  <c r="BP108" i="11" s="1"/>
  <c r="AT107" i="11"/>
  <c r="AY107" i="11"/>
  <c r="AX107" i="11" l="1"/>
  <c r="BO107" i="11"/>
  <c r="AZ107" i="11"/>
  <c r="BP107" i="11" s="1"/>
  <c r="BO108" i="11"/>
  <c r="BQ108" i="11" s="1"/>
  <c r="AX108" i="11"/>
  <c r="BN108" i="11" l="1"/>
  <c r="BN107" i="11"/>
  <c r="BQ107" i="11"/>
  <c r="BP158" i="11" l="1"/>
  <c r="BN158" i="11"/>
  <c r="BO158" i="11"/>
  <c r="BQ158" i="11" l="1"/>
  <c r="K203" i="11"/>
  <c r="BP203" i="11" l="1"/>
  <c r="O203" i="11"/>
  <c r="S203" i="11" s="1"/>
  <c r="W203" i="11" s="1"/>
  <c r="AA203" i="11" s="1"/>
  <c r="AE203" i="11" s="1"/>
  <c r="AI203" i="11" s="1"/>
  <c r="AM203" i="11" s="1"/>
  <c r="AQ203" i="11" s="1"/>
  <c r="AU203" i="11" s="1"/>
  <c r="AY203" i="11" s="1"/>
  <c r="BO203" i="11" s="1"/>
  <c r="N203" i="11"/>
  <c r="R203" i="11" s="1"/>
  <c r="V203" i="11" s="1"/>
  <c r="Z203" i="11" s="1"/>
  <c r="AD203" i="11" s="1"/>
  <c r="AH203" i="11" s="1"/>
  <c r="AL203" i="11" s="1"/>
  <c r="AP203" i="11" s="1"/>
  <c r="AT203" i="11" s="1"/>
  <c r="AX203" i="11" s="1"/>
  <c r="BP138" i="11"/>
  <c r="N138" i="11"/>
  <c r="R138" i="11" s="1"/>
  <c r="V138" i="11" s="1"/>
  <c r="Z138" i="11" s="1"/>
  <c r="AD138" i="11" s="1"/>
  <c r="AH138" i="11" s="1"/>
  <c r="AL138" i="11" s="1"/>
  <c r="AP138" i="11" s="1"/>
  <c r="AT138" i="11" s="1"/>
  <c r="AX138" i="11" s="1"/>
  <c r="K138" i="11"/>
  <c r="O138" i="11" s="1"/>
  <c r="S138" i="11" s="1"/>
  <c r="W138" i="11" s="1"/>
  <c r="AA138" i="11" s="1"/>
  <c r="AE138" i="11" s="1"/>
  <c r="AI138" i="11" s="1"/>
  <c r="AM138" i="11" s="1"/>
  <c r="AQ138" i="11" s="1"/>
  <c r="AU138" i="11" s="1"/>
  <c r="AY138" i="11" s="1"/>
  <c r="BO138" i="11" s="1"/>
  <c r="BP136" i="11"/>
  <c r="N136" i="11"/>
  <c r="R136" i="11" s="1"/>
  <c r="V136" i="11" s="1"/>
  <c r="Z136" i="11" s="1"/>
  <c r="AD136" i="11" s="1"/>
  <c r="AH136" i="11" s="1"/>
  <c r="AL136" i="11" s="1"/>
  <c r="AP136" i="11" s="1"/>
  <c r="AT136" i="11" s="1"/>
  <c r="AX136" i="11" s="1"/>
  <c r="K136" i="11"/>
  <c r="O136" i="11" s="1"/>
  <c r="S136" i="11" s="1"/>
  <c r="W136" i="11" s="1"/>
  <c r="AA136" i="11" s="1"/>
  <c r="AE136" i="11" s="1"/>
  <c r="AI136" i="11" s="1"/>
  <c r="AM136" i="11" s="1"/>
  <c r="AQ136" i="11" s="1"/>
  <c r="AU136" i="11" s="1"/>
  <c r="AY136" i="11" s="1"/>
  <c r="BO136" i="11" s="1"/>
  <c r="BP83" i="11"/>
  <c r="N83" i="11"/>
  <c r="R83" i="11" s="1"/>
  <c r="V83" i="11" s="1"/>
  <c r="Z83" i="11" s="1"/>
  <c r="AD83" i="11" s="1"/>
  <c r="AH83" i="11" s="1"/>
  <c r="AL83" i="11" s="1"/>
  <c r="AP83" i="11" s="1"/>
  <c r="AT83" i="11" s="1"/>
  <c r="AX83" i="11" s="1"/>
  <c r="K83" i="11"/>
  <c r="O83" i="11" s="1"/>
  <c r="S83" i="11" s="1"/>
  <c r="W83" i="11" s="1"/>
  <c r="AA83" i="11" s="1"/>
  <c r="AE83" i="11" s="1"/>
  <c r="AI83" i="11" s="1"/>
  <c r="AM83" i="11" s="1"/>
  <c r="AQ83" i="11" s="1"/>
  <c r="AU83" i="11" s="1"/>
  <c r="AY83" i="11" s="1"/>
  <c r="BO83" i="11" s="1"/>
  <c r="BN83" i="11" l="1"/>
  <c r="BN136" i="11"/>
  <c r="BN203" i="11"/>
  <c r="BN138" i="11"/>
  <c r="BQ138" i="11"/>
  <c r="BQ203" i="11"/>
  <c r="BQ136" i="11"/>
  <c r="BQ83" i="11"/>
  <c r="BM202" i="11"/>
  <c r="BL202" i="11"/>
  <c r="BK202" i="11"/>
  <c r="BJ202" i="11"/>
  <c r="BI202" i="11"/>
  <c r="BH202" i="11"/>
  <c r="BG202"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H202" i="11"/>
  <c r="G202" i="11"/>
  <c r="F202" i="11"/>
  <c r="E202" i="11"/>
  <c r="C202" i="11"/>
  <c r="BM196" i="11"/>
  <c r="BL196" i="11"/>
  <c r="BK196" i="11"/>
  <c r="BJ196" i="11"/>
  <c r="BI196" i="11"/>
  <c r="BH196" i="11"/>
  <c r="BG196" i="11"/>
  <c r="BF196" i="11"/>
  <c r="BE196" i="11"/>
  <c r="BD196" i="11"/>
  <c r="BC196" i="11"/>
  <c r="BB196" i="11"/>
  <c r="BA196" i="11"/>
  <c r="AZ196" i="11"/>
  <c r="BP196" i="11" s="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H196" i="11"/>
  <c r="G196" i="11"/>
  <c r="F196" i="11"/>
  <c r="E196" i="11"/>
  <c r="C196" i="11"/>
  <c r="BP195" i="11"/>
  <c r="BK189" i="11"/>
  <c r="BJ189" i="11"/>
  <c r="BO194" i="11"/>
  <c r="BP193" i="11"/>
  <c r="BO193" i="11"/>
  <c r="BH189" i="11"/>
  <c r="BM189" i="11"/>
  <c r="BL189" i="11"/>
  <c r="BI189" i="11"/>
  <c r="BE189" i="11"/>
  <c r="AX189" i="11"/>
  <c r="G189" i="11"/>
  <c r="F189" i="11"/>
  <c r="E189" i="11"/>
  <c r="C189" i="11"/>
  <c r="M188" i="11"/>
  <c r="Q188" i="11" s="1"/>
  <c r="U188" i="11" s="1"/>
  <c r="Y188" i="11" s="1"/>
  <c r="AC188" i="11" s="1"/>
  <c r="AG188" i="11" s="1"/>
  <c r="AK188" i="11" s="1"/>
  <c r="AO188" i="11" s="1"/>
  <c r="AS188" i="11" s="1"/>
  <c r="AW188" i="11" s="1"/>
  <c r="BA188" i="11" s="1"/>
  <c r="L188" i="11"/>
  <c r="P188" i="11" s="1"/>
  <c r="T188" i="11" s="1"/>
  <c r="X188" i="11" s="1"/>
  <c r="AB188" i="11" s="1"/>
  <c r="AF188" i="11" s="1"/>
  <c r="AJ188" i="11" s="1"/>
  <c r="AN188" i="11" s="1"/>
  <c r="AR188" i="11" s="1"/>
  <c r="AV188" i="11" s="1"/>
  <c r="AZ188" i="11" s="1"/>
  <c r="BP188" i="11" s="1"/>
  <c r="K188" i="11"/>
  <c r="O188" i="11" s="1"/>
  <c r="S188" i="11" s="1"/>
  <c r="W188" i="11" s="1"/>
  <c r="AA188" i="11" s="1"/>
  <c r="AE188" i="11" s="1"/>
  <c r="AI188" i="11" s="1"/>
  <c r="AM188" i="11" s="1"/>
  <c r="AQ188" i="11" s="1"/>
  <c r="AU188" i="11" s="1"/>
  <c r="AY188" i="11" s="1"/>
  <c r="BO188" i="11" s="1"/>
  <c r="J188" i="11"/>
  <c r="N188" i="11" s="1"/>
  <c r="R188" i="11" s="1"/>
  <c r="V188" i="11" s="1"/>
  <c r="Z188" i="11" s="1"/>
  <c r="AD188" i="11" s="1"/>
  <c r="AH188" i="11" s="1"/>
  <c r="AL188" i="11" s="1"/>
  <c r="AP188" i="11" s="1"/>
  <c r="AT188" i="11" s="1"/>
  <c r="AX188" i="11" s="1"/>
  <c r="M187" i="11"/>
  <c r="Q187" i="11" s="1"/>
  <c r="U187" i="11" s="1"/>
  <c r="Y187" i="11" s="1"/>
  <c r="AC187" i="11" s="1"/>
  <c r="AG187" i="11" s="1"/>
  <c r="AK187" i="11" s="1"/>
  <c r="AO187" i="11" s="1"/>
  <c r="AS187" i="11" s="1"/>
  <c r="AW187" i="11" s="1"/>
  <c r="BA187" i="11" s="1"/>
  <c r="L187" i="11"/>
  <c r="P187" i="11" s="1"/>
  <c r="T187" i="11" s="1"/>
  <c r="X187" i="11" s="1"/>
  <c r="AB187" i="11" s="1"/>
  <c r="AF187" i="11" s="1"/>
  <c r="AJ187" i="11" s="1"/>
  <c r="AN187" i="11" s="1"/>
  <c r="AR187" i="11" s="1"/>
  <c r="AV187" i="11" s="1"/>
  <c r="AZ187" i="11" s="1"/>
  <c r="BP187" i="11" s="1"/>
  <c r="K187" i="11"/>
  <c r="O187" i="11" s="1"/>
  <c r="S187" i="11" s="1"/>
  <c r="W187" i="11" s="1"/>
  <c r="AA187" i="11" s="1"/>
  <c r="AE187" i="11" s="1"/>
  <c r="AI187" i="11" s="1"/>
  <c r="AM187" i="11" s="1"/>
  <c r="AQ187" i="11" s="1"/>
  <c r="AU187" i="11" s="1"/>
  <c r="AY187" i="11" s="1"/>
  <c r="BO187" i="11" s="1"/>
  <c r="J187" i="11"/>
  <c r="BP186" i="11"/>
  <c r="BC186" i="11"/>
  <c r="BC181" i="11" s="1"/>
  <c r="BB186" i="11"/>
  <c r="BB181" i="11" s="1"/>
  <c r="K186" i="11"/>
  <c r="J186" i="11"/>
  <c r="N186" i="11" s="1"/>
  <c r="R186" i="11" s="1"/>
  <c r="V186" i="11" s="1"/>
  <c r="Z186" i="11" s="1"/>
  <c r="AD186" i="11" s="1"/>
  <c r="AH186" i="11" s="1"/>
  <c r="AL186" i="11" s="1"/>
  <c r="AP186" i="11" s="1"/>
  <c r="AT186" i="11" s="1"/>
  <c r="AX186" i="11" s="1"/>
  <c r="I186" i="11"/>
  <c r="I181" i="11" s="1"/>
  <c r="BP185" i="11"/>
  <c r="S185" i="11"/>
  <c r="W185" i="11" s="1"/>
  <c r="AA185" i="11" s="1"/>
  <c r="AE185" i="11" s="1"/>
  <c r="AI185" i="11" s="1"/>
  <c r="AM185" i="11" s="1"/>
  <c r="AQ185" i="11" s="1"/>
  <c r="AU185" i="11" s="1"/>
  <c r="AY185" i="11" s="1"/>
  <c r="BO185" i="11" s="1"/>
  <c r="R185" i="11"/>
  <c r="V185" i="11" s="1"/>
  <c r="Z185" i="11" s="1"/>
  <c r="AD185" i="11" s="1"/>
  <c r="AH185" i="11" s="1"/>
  <c r="AL185" i="11" s="1"/>
  <c r="AP185" i="11" s="1"/>
  <c r="AT185" i="11" s="1"/>
  <c r="AX185" i="11" s="1"/>
  <c r="M185" i="11"/>
  <c r="Q185" i="11" s="1"/>
  <c r="U185" i="11" s="1"/>
  <c r="Y185" i="11" s="1"/>
  <c r="AC185" i="11" s="1"/>
  <c r="AG185" i="11" s="1"/>
  <c r="AK185" i="11" s="1"/>
  <c r="AO185" i="11" s="1"/>
  <c r="AS185" i="11" s="1"/>
  <c r="AW185" i="11" s="1"/>
  <c r="BA185" i="11" s="1"/>
  <c r="BP184" i="11"/>
  <c r="O184" i="11"/>
  <c r="S184" i="11" s="1"/>
  <c r="W184" i="11" s="1"/>
  <c r="AA184" i="11" s="1"/>
  <c r="AE184" i="11" s="1"/>
  <c r="AI184" i="11" s="1"/>
  <c r="AM184" i="11" s="1"/>
  <c r="AQ184" i="11" s="1"/>
  <c r="AU184" i="11" s="1"/>
  <c r="AY184" i="11" s="1"/>
  <c r="BO184" i="11" s="1"/>
  <c r="N184" i="11"/>
  <c r="M184" i="11"/>
  <c r="Q184" i="11" s="1"/>
  <c r="U184" i="11" s="1"/>
  <c r="Y184" i="11" s="1"/>
  <c r="AC184" i="11" s="1"/>
  <c r="AG184" i="11" s="1"/>
  <c r="AK184" i="11" s="1"/>
  <c r="AO184" i="11" s="1"/>
  <c r="AS184" i="11" s="1"/>
  <c r="AW184" i="11" s="1"/>
  <c r="BA184" i="11" s="1"/>
  <c r="M183" i="11"/>
  <c r="Q183" i="11" s="1"/>
  <c r="U183" i="11" s="1"/>
  <c r="Y183" i="11" s="1"/>
  <c r="AC183" i="11" s="1"/>
  <c r="AG183" i="11" s="1"/>
  <c r="AK183" i="11" s="1"/>
  <c r="AO183" i="11" s="1"/>
  <c r="AS183" i="11" s="1"/>
  <c r="AW183" i="11" s="1"/>
  <c r="BA183" i="11" s="1"/>
  <c r="L183" i="11"/>
  <c r="K183" i="11"/>
  <c r="O183" i="11" s="1"/>
  <c r="S183" i="11" s="1"/>
  <c r="J183" i="11"/>
  <c r="N183" i="11" s="1"/>
  <c r="R183" i="11" s="1"/>
  <c r="V183" i="11" s="1"/>
  <c r="Z183" i="11" s="1"/>
  <c r="AD183" i="11" s="1"/>
  <c r="AH183" i="11" s="1"/>
  <c r="AL183" i="11" s="1"/>
  <c r="AP183" i="11" s="1"/>
  <c r="AT183" i="11" s="1"/>
  <c r="AX183" i="11" s="1"/>
  <c r="BP182" i="11"/>
  <c r="BO182" i="11"/>
  <c r="BN182" i="11"/>
  <c r="M182" i="11"/>
  <c r="BM181" i="11"/>
  <c r="BL181" i="11"/>
  <c r="BK181" i="11"/>
  <c r="BJ181" i="11"/>
  <c r="BI181" i="11"/>
  <c r="BH181" i="11"/>
  <c r="BG181" i="11"/>
  <c r="BF181" i="11"/>
  <c r="BE181" i="11"/>
  <c r="BD181" i="11"/>
  <c r="H181" i="11"/>
  <c r="G181" i="11"/>
  <c r="F181" i="11"/>
  <c r="E181" i="11"/>
  <c r="C181" i="11"/>
  <c r="BP179" i="11"/>
  <c r="BO179" i="11"/>
  <c r="BN179" i="11"/>
  <c r="BP178" i="11"/>
  <c r="BO178" i="11"/>
  <c r="BN178" i="11"/>
  <c r="BP177" i="11"/>
  <c r="BO177" i="11"/>
  <c r="BN177" i="11"/>
  <c r="BP176" i="11"/>
  <c r="BO176" i="11"/>
  <c r="BN176" i="11"/>
  <c r="BP175" i="11"/>
  <c r="BO175" i="11"/>
  <c r="BN175" i="11"/>
  <c r="BP174" i="11"/>
  <c r="BO174" i="11"/>
  <c r="BN174" i="11"/>
  <c r="BM173" i="11"/>
  <c r="BL173" i="11"/>
  <c r="BK173" i="11"/>
  <c r="BJ173" i="11"/>
  <c r="BI173" i="11"/>
  <c r="BH173" i="11"/>
  <c r="BG173" i="11"/>
  <c r="BF173" i="11"/>
  <c r="BE173" i="11"/>
  <c r="BD173" i="11"/>
  <c r="BC173" i="11"/>
  <c r="BB173" i="11"/>
  <c r="BA173" i="11"/>
  <c r="AZ173" i="11"/>
  <c r="BP173" i="11" s="1"/>
  <c r="AY173" i="11"/>
  <c r="BO173" i="11" s="1"/>
  <c r="AX173" i="11"/>
  <c r="AW173" i="11"/>
  <c r="AV173" i="11"/>
  <c r="AU173" i="11"/>
  <c r="AT173" i="11"/>
  <c r="AS173" i="11"/>
  <c r="AR173" i="11"/>
  <c r="AQ173" i="11"/>
  <c r="AP173" i="11"/>
  <c r="AO173" i="11"/>
  <c r="AN173" i="11"/>
  <c r="AM173" i="11"/>
  <c r="AL173" i="11"/>
  <c r="AK173" i="11"/>
  <c r="AJ173" i="11"/>
  <c r="AI173" i="11"/>
  <c r="AH173" i="11"/>
  <c r="AG173" i="11"/>
  <c r="AF173" i="11"/>
  <c r="AE173" i="11"/>
  <c r="AD173" i="11"/>
  <c r="AC173" i="11"/>
  <c r="AB173" i="11"/>
  <c r="AA173" i="11"/>
  <c r="Z173" i="11"/>
  <c r="Y173" i="11"/>
  <c r="X173" i="11"/>
  <c r="W173" i="11"/>
  <c r="V173" i="11"/>
  <c r="U173" i="11"/>
  <c r="T173" i="11"/>
  <c r="S173" i="11"/>
  <c r="R173" i="11"/>
  <c r="Q173" i="11"/>
  <c r="P173" i="11"/>
  <c r="O173" i="11"/>
  <c r="N173" i="11"/>
  <c r="M173" i="11"/>
  <c r="L173" i="11"/>
  <c r="K173" i="11"/>
  <c r="J173" i="11"/>
  <c r="I173" i="11"/>
  <c r="H173" i="11"/>
  <c r="G173" i="11"/>
  <c r="F173" i="11"/>
  <c r="E173" i="11"/>
  <c r="C173" i="11"/>
  <c r="BP172" i="11"/>
  <c r="BC172" i="11"/>
  <c r="BC169" i="11" s="1"/>
  <c r="BB172" i="11"/>
  <c r="BB169" i="11" s="1"/>
  <c r="O172" i="11"/>
  <c r="S172" i="11" s="1"/>
  <c r="W172" i="11" s="1"/>
  <c r="AA172" i="11" s="1"/>
  <c r="AC172" i="11" s="1"/>
  <c r="M172" i="11"/>
  <c r="J172" i="11"/>
  <c r="N172" i="11" s="1"/>
  <c r="R172" i="11" s="1"/>
  <c r="V172" i="11" s="1"/>
  <c r="Z172" i="11" s="1"/>
  <c r="AD172" i="11" s="1"/>
  <c r="AH172" i="11" s="1"/>
  <c r="AL172" i="11" s="1"/>
  <c r="AP172" i="11" s="1"/>
  <c r="AT172" i="11" s="1"/>
  <c r="I172" i="11"/>
  <c r="J171" i="11"/>
  <c r="N171" i="11" s="1"/>
  <c r="R171" i="11" s="1"/>
  <c r="V171" i="11" s="1"/>
  <c r="Z171" i="11" s="1"/>
  <c r="AD171" i="11" s="1"/>
  <c r="AH171" i="11" s="1"/>
  <c r="AL171" i="11" s="1"/>
  <c r="AP171" i="11" s="1"/>
  <c r="AT171" i="11" s="1"/>
  <c r="AX171" i="11" s="1"/>
  <c r="H171" i="11"/>
  <c r="G171" i="11"/>
  <c r="K171" i="11" s="1"/>
  <c r="L170" i="11"/>
  <c r="K170" i="11"/>
  <c r="J170" i="11"/>
  <c r="N170" i="11" s="1"/>
  <c r="I170" i="11"/>
  <c r="BM169" i="11"/>
  <c r="BL169" i="11"/>
  <c r="BK169" i="11"/>
  <c r="BJ169" i="11"/>
  <c r="BI169" i="11"/>
  <c r="BH169" i="11"/>
  <c r="BG169" i="11"/>
  <c r="BF169" i="11"/>
  <c r="BE169" i="11"/>
  <c r="BD169" i="11"/>
  <c r="F169" i="11"/>
  <c r="E169" i="11"/>
  <c r="C169" i="11"/>
  <c r="BP168" i="11"/>
  <c r="BO168" i="11"/>
  <c r="BN168" i="11"/>
  <c r="I168" i="11"/>
  <c r="BJ167" i="11"/>
  <c r="BF167" i="11"/>
  <c r="BF163" i="11" s="1"/>
  <c r="BE167" i="11"/>
  <c r="BD167" i="11"/>
  <c r="BD163" i="11" s="1"/>
  <c r="BC167" i="11"/>
  <c r="BC163" i="11" s="1"/>
  <c r="AZ167" i="11"/>
  <c r="AZ163" i="11" s="1"/>
  <c r="AY167" i="11"/>
  <c r="AY163" i="11" s="1"/>
  <c r="AV167" i="11"/>
  <c r="AV163" i="11" s="1"/>
  <c r="AU167" i="11"/>
  <c r="AR167" i="11"/>
  <c r="AQ167" i="11"/>
  <c r="AQ163" i="11" s="1"/>
  <c r="AN167" i="11"/>
  <c r="AN163" i="11" s="1"/>
  <c r="AM167" i="11"/>
  <c r="AM163" i="11" s="1"/>
  <c r="AJ167" i="11"/>
  <c r="AJ163" i="11" s="1"/>
  <c r="AI167" i="11"/>
  <c r="AF167" i="11"/>
  <c r="AF163" i="11" s="1"/>
  <c r="AE167" i="11"/>
  <c r="AE163" i="11" s="1"/>
  <c r="AB167" i="11"/>
  <c r="AA167" i="11"/>
  <c r="AA163" i="11" s="1"/>
  <c r="X167" i="11"/>
  <c r="X163" i="11" s="1"/>
  <c r="W167" i="11"/>
  <c r="T167" i="11"/>
  <c r="T163" i="11" s="1"/>
  <c r="S167" i="11"/>
  <c r="P167" i="11"/>
  <c r="P163" i="11" s="1"/>
  <c r="O167" i="11"/>
  <c r="O163" i="11" s="1"/>
  <c r="L167" i="11"/>
  <c r="K167" i="11"/>
  <c r="K163" i="11" s="1"/>
  <c r="H167" i="11"/>
  <c r="H163" i="11" s="1"/>
  <c r="G167" i="11"/>
  <c r="E167" i="11"/>
  <c r="BP166" i="11"/>
  <c r="BO166" i="11"/>
  <c r="BN166" i="11"/>
  <c r="BE166" i="11"/>
  <c r="BA166" i="11"/>
  <c r="AW166" i="11"/>
  <c r="AS166" i="11"/>
  <c r="AO166" i="11"/>
  <c r="AK166" i="11"/>
  <c r="AG166" i="11"/>
  <c r="AC166" i="11"/>
  <c r="Y166" i="11"/>
  <c r="U166" i="11"/>
  <c r="Q166" i="11"/>
  <c r="M166" i="11"/>
  <c r="I166" i="11"/>
  <c r="BP165" i="11"/>
  <c r="BO165" i="11"/>
  <c r="BN165" i="11"/>
  <c r="BA165" i="11"/>
  <c r="AW165" i="11"/>
  <c r="AS165" i="11"/>
  <c r="AO165" i="11"/>
  <c r="AK165" i="11"/>
  <c r="AG165" i="11"/>
  <c r="AC165" i="11"/>
  <c r="Y165" i="11"/>
  <c r="U165" i="11"/>
  <c r="Q165" i="11"/>
  <c r="M165" i="11"/>
  <c r="I165" i="11"/>
  <c r="BP164" i="11"/>
  <c r="BO164" i="11"/>
  <c r="BJ164" i="11"/>
  <c r="BN164" i="11" s="1"/>
  <c r="BA164" i="11"/>
  <c r="AW164" i="11"/>
  <c r="AS164" i="11"/>
  <c r="AO164" i="11"/>
  <c r="AK164" i="11"/>
  <c r="AG164" i="11"/>
  <c r="AC164" i="11"/>
  <c r="Y164" i="11"/>
  <c r="U164" i="11"/>
  <c r="Q164" i="11"/>
  <c r="M164" i="11"/>
  <c r="I164" i="11"/>
  <c r="BM163" i="11"/>
  <c r="BL163" i="11"/>
  <c r="BK163" i="11"/>
  <c r="BI163" i="11"/>
  <c r="BH163" i="11"/>
  <c r="BG163" i="11"/>
  <c r="AX163" i="11"/>
  <c r="AT163" i="11"/>
  <c r="AP163" i="11"/>
  <c r="AL163" i="11"/>
  <c r="AH163" i="11"/>
  <c r="AD163" i="11"/>
  <c r="Z163" i="11"/>
  <c r="V163" i="11"/>
  <c r="R163" i="11"/>
  <c r="N163" i="11"/>
  <c r="J163" i="11"/>
  <c r="F163" i="11"/>
  <c r="C163" i="11"/>
  <c r="BH162" i="11"/>
  <c r="BH149" i="11" s="1"/>
  <c r="BF162" i="11"/>
  <c r="BC162" i="11"/>
  <c r="BD162" i="11" s="1"/>
  <c r="P162" i="11"/>
  <c r="T162" i="11" s="1"/>
  <c r="X162" i="11" s="1"/>
  <c r="O162" i="11"/>
  <c r="S162" i="11" s="1"/>
  <c r="W162" i="11" s="1"/>
  <c r="BJ161" i="11"/>
  <c r="BF161" i="11"/>
  <c r="BB161" i="11"/>
  <c r="AK161" i="11"/>
  <c r="AO161" i="11" s="1"/>
  <c r="AS161" i="11" s="1"/>
  <c r="AW161" i="11" s="1"/>
  <c r="AJ161" i="11"/>
  <c r="AN161" i="11" s="1"/>
  <c r="AR161" i="11" s="1"/>
  <c r="AV161" i="11" s="1"/>
  <c r="AZ161" i="11" s="1"/>
  <c r="BP161" i="11" s="1"/>
  <c r="AI161" i="11"/>
  <c r="AM161" i="11" s="1"/>
  <c r="AQ161" i="11" s="1"/>
  <c r="AU161" i="11" s="1"/>
  <c r="AY161" i="11" s="1"/>
  <c r="AD161" i="11"/>
  <c r="AH161" i="11" s="1"/>
  <c r="AL161" i="11" s="1"/>
  <c r="AP161" i="11" s="1"/>
  <c r="AT161" i="11" s="1"/>
  <c r="BD160" i="11"/>
  <c r="BP160" i="11" s="1"/>
  <c r="BC160" i="11"/>
  <c r="BB160" i="11" s="1"/>
  <c r="BN160" i="11" s="1"/>
  <c r="BP159" i="11"/>
  <c r="BO159" i="11"/>
  <c r="BN159" i="11"/>
  <c r="BJ157" i="11"/>
  <c r="BF157" i="11"/>
  <c r="M157" i="11"/>
  <c r="Q157" i="11" s="1"/>
  <c r="U157" i="11" s="1"/>
  <c r="Y157" i="11" s="1"/>
  <c r="AC157" i="11" s="1"/>
  <c r="AG157" i="11" s="1"/>
  <c r="AK157" i="11" s="1"/>
  <c r="AO157" i="11" s="1"/>
  <c r="AS157" i="11" s="1"/>
  <c r="AW157" i="11" s="1"/>
  <c r="BA157" i="11" s="1"/>
  <c r="L157" i="11"/>
  <c r="P157" i="11" s="1"/>
  <c r="T157" i="11" s="1"/>
  <c r="X157" i="11" s="1"/>
  <c r="AB157" i="11" s="1"/>
  <c r="AF157" i="11" s="1"/>
  <c r="AJ157" i="11" s="1"/>
  <c r="AN157" i="11" s="1"/>
  <c r="AR157" i="11" s="1"/>
  <c r="AV157" i="11" s="1"/>
  <c r="AZ157" i="11" s="1"/>
  <c r="BP157" i="11" s="1"/>
  <c r="K157" i="11"/>
  <c r="F157" i="11"/>
  <c r="BJ156" i="11"/>
  <c r="BF156" i="11"/>
  <c r="M156" i="11"/>
  <c r="Q156" i="11" s="1"/>
  <c r="L156" i="11"/>
  <c r="P156" i="11" s="1"/>
  <c r="T156" i="11" s="1"/>
  <c r="X156" i="11" s="1"/>
  <c r="AB156" i="11" s="1"/>
  <c r="AF156" i="11" s="1"/>
  <c r="AJ156" i="11" s="1"/>
  <c r="AN156" i="11" s="1"/>
  <c r="AR156" i="11" s="1"/>
  <c r="AV156" i="11" s="1"/>
  <c r="AZ156" i="11" s="1"/>
  <c r="BP156" i="11" s="1"/>
  <c r="K156" i="11"/>
  <c r="F156" i="11"/>
  <c r="BP155" i="11"/>
  <c r="BO155" i="11"/>
  <c r="BN155" i="11"/>
  <c r="M155" i="11"/>
  <c r="Q155" i="11" s="1"/>
  <c r="U155" i="11" s="1"/>
  <c r="Y155" i="11" s="1"/>
  <c r="AC155" i="11" s="1"/>
  <c r="AG155" i="11" s="1"/>
  <c r="AK155" i="11" s="1"/>
  <c r="AO155" i="11" s="1"/>
  <c r="AS155" i="11" s="1"/>
  <c r="AW155" i="11" s="1"/>
  <c r="BA155" i="11" s="1"/>
  <c r="N154" i="11"/>
  <c r="R154" i="11" s="1"/>
  <c r="V154" i="11" s="1"/>
  <c r="Z154" i="11" s="1"/>
  <c r="AD154" i="11" s="1"/>
  <c r="AH154" i="11" s="1"/>
  <c r="AL154" i="11" s="1"/>
  <c r="AP154" i="11" s="1"/>
  <c r="AT154" i="11" s="1"/>
  <c r="AX154" i="11" s="1"/>
  <c r="L154" i="11"/>
  <c r="K154" i="11"/>
  <c r="O154" i="11" s="1"/>
  <c r="I154" i="11"/>
  <c r="P153" i="11"/>
  <c r="T153" i="11" s="1"/>
  <c r="X153" i="11" s="1"/>
  <c r="AB153" i="11" s="1"/>
  <c r="AF153" i="11" s="1"/>
  <c r="AJ153" i="11" s="1"/>
  <c r="AN153" i="11" s="1"/>
  <c r="AR153" i="11" s="1"/>
  <c r="AV153" i="11" s="1"/>
  <c r="AZ153" i="11" s="1"/>
  <c r="BP153" i="11" s="1"/>
  <c r="O153" i="11"/>
  <c r="S153" i="11" s="1"/>
  <c r="W153" i="11" s="1"/>
  <c r="AA153" i="11" s="1"/>
  <c r="AE153" i="11" s="1"/>
  <c r="AI153" i="11" s="1"/>
  <c r="AM153" i="11" s="1"/>
  <c r="AQ153" i="11" s="1"/>
  <c r="AU153" i="11" s="1"/>
  <c r="AY153" i="11" s="1"/>
  <c r="BO153" i="11" s="1"/>
  <c r="N153" i="11"/>
  <c r="R153" i="11" s="1"/>
  <c r="V153" i="11" s="1"/>
  <c r="Z153" i="11" s="1"/>
  <c r="AD153" i="11" s="1"/>
  <c r="AH153" i="11" s="1"/>
  <c r="AL153" i="11" s="1"/>
  <c r="AP153" i="11" s="1"/>
  <c r="AT153" i="11" s="1"/>
  <c r="AX153" i="11" s="1"/>
  <c r="M153" i="11"/>
  <c r="Q153" i="11" s="1"/>
  <c r="U153" i="11" s="1"/>
  <c r="Y153" i="11" s="1"/>
  <c r="AC153" i="11" s="1"/>
  <c r="AG153" i="11" s="1"/>
  <c r="AK153" i="11" s="1"/>
  <c r="AO153" i="11" s="1"/>
  <c r="AS153" i="11" s="1"/>
  <c r="AW153" i="11" s="1"/>
  <c r="BA153" i="11" s="1"/>
  <c r="P152" i="11"/>
  <c r="T152" i="11" s="1"/>
  <c r="X152" i="11" s="1"/>
  <c r="AB152" i="11" s="1"/>
  <c r="AF152" i="11" s="1"/>
  <c r="AJ152" i="11" s="1"/>
  <c r="AN152" i="11" s="1"/>
  <c r="AR152" i="11" s="1"/>
  <c r="AV152" i="11" s="1"/>
  <c r="AZ152" i="11" s="1"/>
  <c r="BP152" i="11" s="1"/>
  <c r="O152" i="11"/>
  <c r="S152" i="11" s="1"/>
  <c r="W152" i="11" s="1"/>
  <c r="AA152" i="11" s="1"/>
  <c r="AE152" i="11" s="1"/>
  <c r="AI152" i="11" s="1"/>
  <c r="AM152" i="11" s="1"/>
  <c r="AQ152" i="11" s="1"/>
  <c r="AU152" i="11" s="1"/>
  <c r="AY152" i="11" s="1"/>
  <c r="BO152" i="11" s="1"/>
  <c r="N152" i="11"/>
  <c r="R152" i="11" s="1"/>
  <c r="V152" i="11" s="1"/>
  <c r="Z152" i="11" s="1"/>
  <c r="AD152" i="11" s="1"/>
  <c r="AH152" i="11" s="1"/>
  <c r="AL152" i="11" s="1"/>
  <c r="AP152" i="11" s="1"/>
  <c r="AT152" i="11" s="1"/>
  <c r="AX152" i="11" s="1"/>
  <c r="M152" i="11"/>
  <c r="Q152" i="11" s="1"/>
  <c r="U152" i="11" s="1"/>
  <c r="Y152" i="11" s="1"/>
  <c r="AC152" i="11" s="1"/>
  <c r="AG152" i="11" s="1"/>
  <c r="AK152" i="11" s="1"/>
  <c r="AO152" i="11" s="1"/>
  <c r="AS152" i="11" s="1"/>
  <c r="AW151" i="11"/>
  <c r="BA151" i="11" s="1"/>
  <c r="AV151" i="11"/>
  <c r="AZ151" i="11" s="1"/>
  <c r="BP151" i="11" s="1"/>
  <c r="AT151" i="11"/>
  <c r="AX151" i="11" s="1"/>
  <c r="AQ151" i="11"/>
  <c r="AU151" i="11" s="1"/>
  <c r="AY151" i="11" s="1"/>
  <c r="BO151" i="11" s="1"/>
  <c r="M151" i="11"/>
  <c r="Q151" i="11" s="1"/>
  <c r="U151" i="11" s="1"/>
  <c r="Y151" i="11" s="1"/>
  <c r="AC151" i="11" s="1"/>
  <c r="AG151" i="11" s="1"/>
  <c r="AK151" i="11" s="1"/>
  <c r="L151" i="11"/>
  <c r="P151" i="11" s="1"/>
  <c r="T151" i="11" s="1"/>
  <c r="X151" i="11" s="1"/>
  <c r="AB151" i="11" s="1"/>
  <c r="AF151" i="11" s="1"/>
  <c r="AJ151" i="11" s="1"/>
  <c r="K151" i="11"/>
  <c r="O151" i="11" s="1"/>
  <c r="S151" i="11" s="1"/>
  <c r="W151" i="11" s="1"/>
  <c r="AA151" i="11" s="1"/>
  <c r="AE151" i="11" s="1"/>
  <c r="AI151" i="11" s="1"/>
  <c r="J151" i="11"/>
  <c r="N151" i="11" s="1"/>
  <c r="BG150" i="11"/>
  <c r="BG149" i="11" s="1"/>
  <c r="BC150" i="11"/>
  <c r="BB150" i="11"/>
  <c r="N150" i="11"/>
  <c r="R150" i="11" s="1"/>
  <c r="V150" i="11" s="1"/>
  <c r="Z150" i="11" s="1"/>
  <c r="H150" i="11"/>
  <c r="G150" i="11"/>
  <c r="K150" i="11" s="1"/>
  <c r="BM149" i="11"/>
  <c r="BL149" i="11"/>
  <c r="BK149" i="11"/>
  <c r="BI149" i="11"/>
  <c r="BE149" i="11"/>
  <c r="E149" i="11"/>
  <c r="C149" i="11"/>
  <c r="BP148" i="11"/>
  <c r="BO148" i="11"/>
  <c r="BN148" i="11"/>
  <c r="BP147" i="11"/>
  <c r="BO147" i="11"/>
  <c r="BN147" i="11"/>
  <c r="BP146" i="11"/>
  <c r="BF139" i="11"/>
  <c r="BP145" i="11"/>
  <c r="BP144" i="11"/>
  <c r="BO144" i="11"/>
  <c r="BO143" i="11"/>
  <c r="BP142" i="11"/>
  <c r="BP141" i="11"/>
  <c r="BD139" i="11"/>
  <c r="BM139" i="11"/>
  <c r="BL139" i="11"/>
  <c r="BK139" i="11"/>
  <c r="BJ139" i="11"/>
  <c r="BH139" i="11"/>
  <c r="F139" i="11"/>
  <c r="E139" i="11"/>
  <c r="C139" i="11"/>
  <c r="BM137" i="11"/>
  <c r="BL137" i="11"/>
  <c r="BK137" i="11"/>
  <c r="BJ137" i="11"/>
  <c r="BI137" i="11"/>
  <c r="BH137" i="11"/>
  <c r="BG137"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H137" i="11"/>
  <c r="G137" i="11"/>
  <c r="F137" i="11"/>
  <c r="E137" i="11"/>
  <c r="C137" i="11"/>
  <c r="BM135" i="11"/>
  <c r="BM134" i="11" s="1"/>
  <c r="BL135" i="11"/>
  <c r="BK135" i="11"/>
  <c r="BJ135" i="11"/>
  <c r="BI135" i="11"/>
  <c r="BI134" i="11" s="1"/>
  <c r="BH135" i="11"/>
  <c r="BG135" i="11"/>
  <c r="BF135" i="11"/>
  <c r="BE135" i="11"/>
  <c r="BD135" i="11"/>
  <c r="BC135" i="11"/>
  <c r="BB135" i="11"/>
  <c r="BA135" i="11"/>
  <c r="AZ135" i="11"/>
  <c r="BP135" i="11" s="1"/>
  <c r="AY135" i="11"/>
  <c r="AX135" i="11"/>
  <c r="AW135" i="11"/>
  <c r="AV135" i="11"/>
  <c r="AU135" i="11"/>
  <c r="AT135" i="11"/>
  <c r="AS135" i="11"/>
  <c r="AS134" i="11" s="1"/>
  <c r="AR135" i="11"/>
  <c r="AQ135" i="11"/>
  <c r="AP135" i="11"/>
  <c r="AO135" i="11"/>
  <c r="AO134" i="11" s="1"/>
  <c r="AN135" i="11"/>
  <c r="AM135" i="11"/>
  <c r="AL135" i="11"/>
  <c r="AK135" i="11"/>
  <c r="AK134" i="11" s="1"/>
  <c r="AJ135" i="11"/>
  <c r="AI135" i="11"/>
  <c r="AH135" i="11"/>
  <c r="AG135" i="11"/>
  <c r="AG134" i="11" s="1"/>
  <c r="AF135" i="11"/>
  <c r="AE135" i="11"/>
  <c r="AD135" i="11"/>
  <c r="AC135" i="11"/>
  <c r="AC134" i="11" s="1"/>
  <c r="AB135" i="11"/>
  <c r="AA135" i="11"/>
  <c r="Z135" i="11"/>
  <c r="Y135" i="11"/>
  <c r="X135" i="11"/>
  <c r="W135" i="11"/>
  <c r="V135" i="11"/>
  <c r="U135" i="11"/>
  <c r="U134" i="11" s="1"/>
  <c r="T135" i="11"/>
  <c r="S135" i="11"/>
  <c r="R135" i="11"/>
  <c r="Q135" i="11"/>
  <c r="Q134" i="11" s="1"/>
  <c r="P135" i="11"/>
  <c r="O135" i="11"/>
  <c r="N135" i="11"/>
  <c r="M135" i="11"/>
  <c r="M134" i="11" s="1"/>
  <c r="L135" i="11"/>
  <c r="K135" i="11"/>
  <c r="J135" i="11"/>
  <c r="I135" i="11"/>
  <c r="I134" i="11" s="1"/>
  <c r="H135" i="11"/>
  <c r="G135" i="11"/>
  <c r="F135" i="11"/>
  <c r="E135" i="11"/>
  <c r="C135" i="11"/>
  <c r="AX133" i="11"/>
  <c r="BN133" i="11" s="1"/>
  <c r="O133" i="11"/>
  <c r="S133" i="11" s="1"/>
  <c r="W133" i="11" s="1"/>
  <c r="AA133" i="11" s="1"/>
  <c r="AE133" i="11" s="1"/>
  <c r="AI133" i="11" s="1"/>
  <c r="AM133" i="11" s="1"/>
  <c r="AQ133" i="11" s="1"/>
  <c r="L133" i="11"/>
  <c r="I133" i="11"/>
  <c r="E133" i="11"/>
  <c r="BE132" i="11"/>
  <c r="T132" i="11"/>
  <c r="X132" i="11" s="1"/>
  <c r="AB132" i="11" s="1"/>
  <c r="AF132" i="11" s="1"/>
  <c r="AJ132" i="11" s="1"/>
  <c r="AN132" i="11" s="1"/>
  <c r="AR132" i="11" s="1"/>
  <c r="AV132" i="11" s="1"/>
  <c r="AZ132" i="11" s="1"/>
  <c r="BP132" i="11" s="1"/>
  <c r="S132" i="11"/>
  <c r="W132" i="11" s="1"/>
  <c r="AA132" i="11" s="1"/>
  <c r="AE132" i="11" s="1"/>
  <c r="R132" i="11"/>
  <c r="V132" i="11" s="1"/>
  <c r="Z132" i="11" s="1"/>
  <c r="AD132" i="11" s="1"/>
  <c r="AH132" i="11" s="1"/>
  <c r="AL132" i="11" s="1"/>
  <c r="AP132" i="11" s="1"/>
  <c r="AT132" i="11" s="1"/>
  <c r="AX132" i="11" s="1"/>
  <c r="Q132" i="11"/>
  <c r="I132" i="11"/>
  <c r="BP131" i="11"/>
  <c r="O131" i="11"/>
  <c r="S131" i="11" s="1"/>
  <c r="U131" i="11" s="1"/>
  <c r="N131" i="11"/>
  <c r="R131" i="11" s="1"/>
  <c r="V131" i="11" s="1"/>
  <c r="Z131" i="11" s="1"/>
  <c r="AD131" i="11" s="1"/>
  <c r="AH131" i="11" s="1"/>
  <c r="AL131" i="11" s="1"/>
  <c r="AP131" i="11" s="1"/>
  <c r="AT131" i="11" s="1"/>
  <c r="AX131" i="11" s="1"/>
  <c r="M131" i="11"/>
  <c r="I131" i="11"/>
  <c r="BP130" i="11"/>
  <c r="BE130" i="11"/>
  <c r="AA130" i="11"/>
  <c r="AC130" i="11" s="1"/>
  <c r="Z130" i="11"/>
  <c r="AD130" i="11" s="1"/>
  <c r="AH130" i="11" s="1"/>
  <c r="AL130" i="11" s="1"/>
  <c r="AP130" i="11" s="1"/>
  <c r="AT130" i="11" s="1"/>
  <c r="AX130" i="11" s="1"/>
  <c r="Y130" i="11"/>
  <c r="P129" i="11"/>
  <c r="T129" i="11" s="1"/>
  <c r="X129" i="11" s="1"/>
  <c r="AB129" i="11" s="1"/>
  <c r="AF129" i="11" s="1"/>
  <c r="AJ129" i="11" s="1"/>
  <c r="AN129" i="11" s="1"/>
  <c r="AR129" i="11" s="1"/>
  <c r="AV129" i="11" s="1"/>
  <c r="AZ129" i="11" s="1"/>
  <c r="BP129" i="11" s="1"/>
  <c r="O129" i="11"/>
  <c r="N129" i="11"/>
  <c r="R129" i="11" s="1"/>
  <c r="V129" i="11" s="1"/>
  <c r="Z129" i="11" s="1"/>
  <c r="AD129" i="11" s="1"/>
  <c r="AH129" i="11" s="1"/>
  <c r="AL129" i="11" s="1"/>
  <c r="AP129" i="11" s="1"/>
  <c r="M129" i="11"/>
  <c r="I129" i="11"/>
  <c r="BP128" i="11"/>
  <c r="BO128" i="11"/>
  <c r="BN128" i="11"/>
  <c r="I128" i="11"/>
  <c r="BH127" i="11"/>
  <c r="BH124" i="11" s="1"/>
  <c r="BG127" i="11"/>
  <c r="BG124" i="11" s="1"/>
  <c r="BF127" i="11"/>
  <c r="BF124" i="11" s="1"/>
  <c r="BB127" i="11"/>
  <c r="N127" i="11"/>
  <c r="L127" i="11"/>
  <c r="K127" i="11"/>
  <c r="O127" i="11" s="1"/>
  <c r="S127" i="11" s="1"/>
  <c r="W127" i="11" s="1"/>
  <c r="AA127" i="11" s="1"/>
  <c r="I127" i="11"/>
  <c r="E127" i="11"/>
  <c r="R126" i="11"/>
  <c r="V126" i="11" s="1"/>
  <c r="Z126" i="11" s="1"/>
  <c r="AD126" i="11" s="1"/>
  <c r="AH126" i="11" s="1"/>
  <c r="AL126" i="11" s="1"/>
  <c r="AP126" i="11" s="1"/>
  <c r="AT126" i="11" s="1"/>
  <c r="AX126" i="11" s="1"/>
  <c r="L126" i="11"/>
  <c r="K126" i="11"/>
  <c r="I126" i="11"/>
  <c r="BC125" i="11"/>
  <c r="BC124" i="11" s="1"/>
  <c r="BB125" i="11"/>
  <c r="T125" i="11"/>
  <c r="S125" i="11"/>
  <c r="R125" i="11"/>
  <c r="V125" i="11" s="1"/>
  <c r="Q125" i="11"/>
  <c r="I125" i="11"/>
  <c r="E125" i="11"/>
  <c r="BM124" i="11"/>
  <c r="BL124" i="11"/>
  <c r="BK124" i="11"/>
  <c r="BJ124" i="11"/>
  <c r="BI124" i="11"/>
  <c r="BD124" i="11"/>
  <c r="J124" i="11"/>
  <c r="H124" i="11"/>
  <c r="G124" i="11"/>
  <c r="F124" i="11"/>
  <c r="C124" i="11"/>
  <c r="BC123" i="11"/>
  <c r="BC119" i="11" s="1"/>
  <c r="R123" i="11"/>
  <c r="V123" i="11" s="1"/>
  <c r="Z123" i="11" s="1"/>
  <c r="AD123" i="11" s="1"/>
  <c r="AH123" i="11" s="1"/>
  <c r="AL123" i="11" s="1"/>
  <c r="AP123" i="11" s="1"/>
  <c r="AT123" i="11" s="1"/>
  <c r="AX123" i="11" s="1"/>
  <c r="O123" i="11"/>
  <c r="L123" i="11"/>
  <c r="M123" i="11" s="1"/>
  <c r="I123" i="11"/>
  <c r="BP122" i="11"/>
  <c r="BK122" i="11"/>
  <c r="BK119" i="11" s="1"/>
  <c r="BJ122" i="11"/>
  <c r="BJ119" i="11" s="1"/>
  <c r="K122" i="11"/>
  <c r="J122" i="11"/>
  <c r="N122" i="11" s="1"/>
  <c r="R122" i="11" s="1"/>
  <c r="V122" i="11" s="1"/>
  <c r="Z122" i="11" s="1"/>
  <c r="AD122" i="11" s="1"/>
  <c r="AH122" i="11" s="1"/>
  <c r="AL122" i="11" s="1"/>
  <c r="AP122" i="11" s="1"/>
  <c r="AT122" i="11" s="1"/>
  <c r="AX122" i="11" s="1"/>
  <c r="I122" i="11"/>
  <c r="BP121" i="11"/>
  <c r="BE121" i="11"/>
  <c r="K121" i="11"/>
  <c r="O121" i="11" s="1"/>
  <c r="J121" i="11"/>
  <c r="N121" i="11" s="1"/>
  <c r="R121" i="11" s="1"/>
  <c r="V121" i="11" s="1"/>
  <c r="Z121" i="11" s="1"/>
  <c r="AD121" i="11" s="1"/>
  <c r="AH121" i="11" s="1"/>
  <c r="AL121" i="11" s="1"/>
  <c r="AP121" i="11" s="1"/>
  <c r="AT121" i="11" s="1"/>
  <c r="AX121" i="11" s="1"/>
  <c r="I121" i="11"/>
  <c r="BP120" i="11"/>
  <c r="BE120" i="11"/>
  <c r="K120" i="11"/>
  <c r="M120" i="11" s="1"/>
  <c r="J120" i="11"/>
  <c r="N120" i="11" s="1"/>
  <c r="I120" i="11"/>
  <c r="BM119" i="11"/>
  <c r="BL119" i="11"/>
  <c r="BI119" i="11"/>
  <c r="BH119" i="11"/>
  <c r="BG119" i="11"/>
  <c r="BF119" i="11"/>
  <c r="BD119" i="11"/>
  <c r="BB119" i="11"/>
  <c r="H119" i="11"/>
  <c r="G119" i="11"/>
  <c r="F119" i="11"/>
  <c r="E119" i="11"/>
  <c r="C119" i="11"/>
  <c r="BP117" i="11"/>
  <c r="M117" i="11"/>
  <c r="Q117" i="11" s="1"/>
  <c r="U117" i="11" s="1"/>
  <c r="Y117" i="11" s="1"/>
  <c r="AC117" i="11" s="1"/>
  <c r="AG117" i="11" s="1"/>
  <c r="AK117" i="11" s="1"/>
  <c r="AO117" i="11" s="1"/>
  <c r="AS117" i="11" s="1"/>
  <c r="AW117" i="11" s="1"/>
  <c r="BA117" i="11" s="1"/>
  <c r="K117" i="11"/>
  <c r="O117" i="11" s="1"/>
  <c r="S117" i="11" s="1"/>
  <c r="W117" i="11" s="1"/>
  <c r="AA117" i="11" s="1"/>
  <c r="AE117" i="11" s="1"/>
  <c r="AI117" i="11" s="1"/>
  <c r="AM117" i="11" s="1"/>
  <c r="AQ117" i="11" s="1"/>
  <c r="AU117" i="11" s="1"/>
  <c r="AY117" i="11" s="1"/>
  <c r="BO117" i="11" s="1"/>
  <c r="J117" i="11"/>
  <c r="N117" i="11" s="1"/>
  <c r="R117" i="11" s="1"/>
  <c r="V117" i="11" s="1"/>
  <c r="Z117" i="11" s="1"/>
  <c r="AD117" i="11" s="1"/>
  <c r="AH117" i="11" s="1"/>
  <c r="AL117" i="11" s="1"/>
  <c r="AP117" i="11" s="1"/>
  <c r="AT117" i="11" s="1"/>
  <c r="AX117" i="11" s="1"/>
  <c r="BP116" i="11"/>
  <c r="BG116" i="11"/>
  <c r="BG111" i="11" s="1"/>
  <c r="BF116" i="11"/>
  <c r="BC116" i="11"/>
  <c r="BC111" i="11" s="1"/>
  <c r="BB116" i="11"/>
  <c r="BB111" i="11" s="1"/>
  <c r="M116" i="11"/>
  <c r="Q116" i="11" s="1"/>
  <c r="U116" i="11" s="1"/>
  <c r="Y116" i="11" s="1"/>
  <c r="AC116" i="11" s="1"/>
  <c r="AG116" i="11" s="1"/>
  <c r="AK116" i="11" s="1"/>
  <c r="AO116" i="11" s="1"/>
  <c r="AS116" i="11" s="1"/>
  <c r="AW116" i="11" s="1"/>
  <c r="BA116" i="11" s="1"/>
  <c r="K116" i="11"/>
  <c r="O116" i="11" s="1"/>
  <c r="J116" i="11"/>
  <c r="N116" i="11" s="1"/>
  <c r="R116" i="11" s="1"/>
  <c r="V116" i="11" s="1"/>
  <c r="Z116" i="11" s="1"/>
  <c r="AD116" i="11" s="1"/>
  <c r="AH116" i="11" s="1"/>
  <c r="AL116" i="11" s="1"/>
  <c r="AP116" i="11" s="1"/>
  <c r="AT116" i="11" s="1"/>
  <c r="AX116" i="11" s="1"/>
  <c r="BP115" i="11"/>
  <c r="BO115" i="11"/>
  <c r="BN115" i="11"/>
  <c r="BP114" i="11"/>
  <c r="BO114" i="11"/>
  <c r="BN114" i="11"/>
  <c r="BP113" i="11"/>
  <c r="BO113" i="11"/>
  <c r="BN113" i="11"/>
  <c r="AF113" i="11"/>
  <c r="AJ113" i="11" s="1"/>
  <c r="AN113" i="11" s="1"/>
  <c r="AR113" i="11" s="1"/>
  <c r="AV113" i="11" s="1"/>
  <c r="AE113" i="11"/>
  <c r="AI113" i="11" s="1"/>
  <c r="AM113" i="11" s="1"/>
  <c r="AQ113" i="11" s="1"/>
  <c r="AU113" i="11" s="1"/>
  <c r="AD113" i="11"/>
  <c r="AH113" i="11" s="1"/>
  <c r="AL113" i="11" s="1"/>
  <c r="AP113" i="11" s="1"/>
  <c r="AT113" i="11" s="1"/>
  <c r="U113" i="11"/>
  <c r="Y113" i="11" s="1"/>
  <c r="AC113" i="11" s="1"/>
  <c r="AG113" i="11" s="1"/>
  <c r="AK113" i="11" s="1"/>
  <c r="AO113" i="11" s="1"/>
  <c r="AS113" i="11" s="1"/>
  <c r="AW113" i="11" s="1"/>
  <c r="BA113" i="11" s="1"/>
  <c r="T113" i="11"/>
  <c r="X113" i="11" s="1"/>
  <c r="S113" i="11"/>
  <c r="W113" i="11" s="1"/>
  <c r="R113" i="11"/>
  <c r="V113" i="11" s="1"/>
  <c r="M113" i="11"/>
  <c r="K113" i="11"/>
  <c r="J113" i="11"/>
  <c r="F113" i="11"/>
  <c r="F111" i="11" s="1"/>
  <c r="M112" i="11"/>
  <c r="L112" i="11"/>
  <c r="K112" i="11"/>
  <c r="O112" i="11" s="1"/>
  <c r="S112" i="11" s="1"/>
  <c r="J112" i="11"/>
  <c r="BM111" i="11"/>
  <c r="BL111" i="11"/>
  <c r="BK111" i="11"/>
  <c r="BJ111" i="11"/>
  <c r="BI111" i="11"/>
  <c r="BH111" i="11"/>
  <c r="BF111" i="11"/>
  <c r="BE111" i="11"/>
  <c r="BD111" i="11"/>
  <c r="I111" i="11"/>
  <c r="H111" i="11"/>
  <c r="G111" i="11"/>
  <c r="E111" i="11"/>
  <c r="C111" i="11"/>
  <c r="BP110" i="11"/>
  <c r="BK110" i="11"/>
  <c r="BJ110" i="11" s="1"/>
  <c r="BG110" i="11"/>
  <c r="BF110" i="11" s="1"/>
  <c r="BC110" i="11"/>
  <c r="BB110" i="11" s="1"/>
  <c r="O110" i="11"/>
  <c r="BP109" i="11"/>
  <c r="BK109" i="11"/>
  <c r="BJ109" i="11"/>
  <c r="BG109" i="11"/>
  <c r="BF109" i="11"/>
  <c r="BC109" i="11"/>
  <c r="BB109" i="11"/>
  <c r="M109" i="11"/>
  <c r="Q109" i="11" s="1"/>
  <c r="U109" i="11" s="1"/>
  <c r="Y109" i="11" s="1"/>
  <c r="AC109" i="11" s="1"/>
  <c r="K109" i="11"/>
  <c r="O109" i="11" s="1"/>
  <c r="S109" i="11" s="1"/>
  <c r="W109" i="11" s="1"/>
  <c r="AA109" i="11" s="1"/>
  <c r="J109" i="11"/>
  <c r="N109" i="11" s="1"/>
  <c r="R109" i="11" s="1"/>
  <c r="V109" i="11" s="1"/>
  <c r="Z109" i="11" s="1"/>
  <c r="AD109" i="11" s="1"/>
  <c r="AH109" i="11" s="1"/>
  <c r="BP106" i="11"/>
  <c r="BK106" i="11"/>
  <c r="BF106" i="11"/>
  <c r="BB106" i="11"/>
  <c r="AX106" i="11"/>
  <c r="M106" i="11"/>
  <c r="Q106" i="11" s="1"/>
  <c r="U106" i="11" s="1"/>
  <c r="Y106" i="11" s="1"/>
  <c r="AC106" i="11" s="1"/>
  <c r="AG106" i="11" s="1"/>
  <c r="AK106" i="11" s="1"/>
  <c r="AO106" i="11" s="1"/>
  <c r="AS106" i="11" s="1"/>
  <c r="AW106" i="11" s="1"/>
  <c r="BA106" i="11" s="1"/>
  <c r="H106" i="11"/>
  <c r="H89" i="11" s="1"/>
  <c r="G106" i="11"/>
  <c r="F106" i="11" s="1"/>
  <c r="BP105" i="11"/>
  <c r="BK105" i="11"/>
  <c r="BJ105" i="11"/>
  <c r="BG105" i="11"/>
  <c r="BF105" i="11"/>
  <c r="BC105" i="11"/>
  <c r="BB105" i="11"/>
  <c r="I105" i="11"/>
  <c r="G105" i="11"/>
  <c r="K105" i="11" s="1"/>
  <c r="O105" i="11" s="1"/>
  <c r="S105" i="11" s="1"/>
  <c r="W105" i="11" s="1"/>
  <c r="AA105" i="11" s="1"/>
  <c r="AE105" i="11" s="1"/>
  <c r="AI105" i="11" s="1"/>
  <c r="AM105" i="11" s="1"/>
  <c r="AQ105" i="11" s="1"/>
  <c r="AU105" i="11" s="1"/>
  <c r="AY105" i="11" s="1"/>
  <c r="F105" i="11"/>
  <c r="J105" i="11" s="1"/>
  <c r="N105" i="11" s="1"/>
  <c r="R105" i="11" s="1"/>
  <c r="V105" i="11" s="1"/>
  <c r="Z105" i="11" s="1"/>
  <c r="AD105" i="11" s="1"/>
  <c r="AH105" i="11" s="1"/>
  <c r="AL105" i="11" s="1"/>
  <c r="AP105" i="11" s="1"/>
  <c r="AT105" i="11" s="1"/>
  <c r="AX105" i="11" s="1"/>
  <c r="BP104" i="11"/>
  <c r="BO104" i="11"/>
  <c r="BN104" i="11"/>
  <c r="BP103" i="11"/>
  <c r="BO103" i="11"/>
  <c r="BN103" i="11"/>
  <c r="BP102" i="11"/>
  <c r="BO102" i="11"/>
  <c r="BN102" i="11"/>
  <c r="BP101" i="11"/>
  <c r="BO101" i="11"/>
  <c r="BN101" i="11"/>
  <c r="BP100" i="11"/>
  <c r="BO100" i="11"/>
  <c r="BN100" i="11"/>
  <c r="BP99" i="11"/>
  <c r="BO99" i="11"/>
  <c r="BN99" i="11"/>
  <c r="BP98" i="11"/>
  <c r="BK98" i="11"/>
  <c r="BJ98" i="11" s="1"/>
  <c r="BG98" i="11"/>
  <c r="BF98" i="11" s="1"/>
  <c r="BC98" i="11"/>
  <c r="BB98" i="11" s="1"/>
  <c r="M98" i="11"/>
  <c r="Q98" i="11" s="1"/>
  <c r="K98" i="11"/>
  <c r="O98" i="11" s="1"/>
  <c r="S98" i="11" s="1"/>
  <c r="W98" i="11" s="1"/>
  <c r="AA98" i="11" s="1"/>
  <c r="AE98" i="11" s="1"/>
  <c r="AI98" i="11" s="1"/>
  <c r="AM98" i="11" s="1"/>
  <c r="AQ98" i="11" s="1"/>
  <c r="AU98" i="11" s="1"/>
  <c r="AY98" i="11" s="1"/>
  <c r="J98" i="11"/>
  <c r="N98" i="11" s="1"/>
  <c r="R98" i="11" s="1"/>
  <c r="V98" i="11" s="1"/>
  <c r="Z98" i="11" s="1"/>
  <c r="AD98" i="11" s="1"/>
  <c r="AH98" i="11" s="1"/>
  <c r="AL98" i="11" s="1"/>
  <c r="AP98" i="11" s="1"/>
  <c r="AT98" i="11" s="1"/>
  <c r="AX98" i="11" s="1"/>
  <c r="BP97" i="11"/>
  <c r="BO97" i="11"/>
  <c r="BN97" i="11"/>
  <c r="BP96" i="11"/>
  <c r="BG96" i="11"/>
  <c r="BF96" i="11" s="1"/>
  <c r="BC96" i="11"/>
  <c r="O96" i="11"/>
  <c r="AA96" i="11" s="1"/>
  <c r="Z96" i="11" s="1"/>
  <c r="BP95" i="11"/>
  <c r="BJ95" i="11"/>
  <c r="BF95" i="11"/>
  <c r="BB95" i="11"/>
  <c r="AG95" i="11"/>
  <c r="AK95" i="11" s="1"/>
  <c r="AO95" i="11" s="1"/>
  <c r="AS95" i="11" s="1"/>
  <c r="AW95" i="11" s="1"/>
  <c r="BA95" i="11" s="1"/>
  <c r="AE95" i="11"/>
  <c r="AI95" i="11" s="1"/>
  <c r="AM95" i="11" s="1"/>
  <c r="AQ95" i="11" s="1"/>
  <c r="AU95" i="11" s="1"/>
  <c r="AY95" i="11" s="1"/>
  <c r="BO95" i="11" s="1"/>
  <c r="Z95" i="11"/>
  <c r="AD95" i="11" s="1"/>
  <c r="AH95" i="11" s="1"/>
  <c r="AL95" i="11" s="1"/>
  <c r="AP95" i="11" s="1"/>
  <c r="AT95" i="11" s="1"/>
  <c r="AX95" i="11" s="1"/>
  <c r="Y95" i="11"/>
  <c r="W95" i="11"/>
  <c r="V95" i="11"/>
  <c r="N95" i="11"/>
  <c r="BP94" i="11"/>
  <c r="BJ94" i="11"/>
  <c r="BG94" i="11"/>
  <c r="BC94" i="11"/>
  <c r="BB94" i="11" s="1"/>
  <c r="M94" i="11"/>
  <c r="Q94" i="11" s="1"/>
  <c r="U94" i="11" s="1"/>
  <c r="Y94" i="11" s="1"/>
  <c r="AC94" i="11" s="1"/>
  <c r="AG94" i="11" s="1"/>
  <c r="AK94" i="11" s="1"/>
  <c r="AO94" i="11" s="1"/>
  <c r="AS94" i="11" s="1"/>
  <c r="AW94" i="11" s="1"/>
  <c r="BA94" i="11" s="1"/>
  <c r="K94" i="11"/>
  <c r="O94" i="11" s="1"/>
  <c r="S94" i="11" s="1"/>
  <c r="W94" i="11" s="1"/>
  <c r="AA94" i="11" s="1"/>
  <c r="AE94" i="11" s="1"/>
  <c r="AI94" i="11" s="1"/>
  <c r="AM94" i="11" s="1"/>
  <c r="AQ94" i="11" s="1"/>
  <c r="AU94" i="11" s="1"/>
  <c r="AY94" i="11" s="1"/>
  <c r="J94" i="11"/>
  <c r="N94" i="11" s="1"/>
  <c r="R94" i="11" s="1"/>
  <c r="V94" i="11" s="1"/>
  <c r="Z94" i="11" s="1"/>
  <c r="AD94" i="11" s="1"/>
  <c r="AH94" i="11" s="1"/>
  <c r="AL94" i="11" s="1"/>
  <c r="AP94" i="11" s="1"/>
  <c r="AT94" i="11" s="1"/>
  <c r="AX94" i="11" s="1"/>
  <c r="BP93" i="11"/>
  <c r="BJ93" i="11"/>
  <c r="BF93" i="11"/>
  <c r="BB93" i="11"/>
  <c r="M93" i="11"/>
  <c r="Q93" i="11" s="1"/>
  <c r="U93" i="11" s="1"/>
  <c r="K93" i="11"/>
  <c r="O93" i="11" s="1"/>
  <c r="S93" i="11" s="1"/>
  <c r="W93" i="11" s="1"/>
  <c r="AA93" i="11" s="1"/>
  <c r="AE93" i="11" s="1"/>
  <c r="AI93" i="11" s="1"/>
  <c r="AM93" i="11" s="1"/>
  <c r="AQ93" i="11" s="1"/>
  <c r="AU93" i="11" s="1"/>
  <c r="AY93" i="11" s="1"/>
  <c r="BO93" i="11" s="1"/>
  <c r="J93" i="11"/>
  <c r="N93" i="11" s="1"/>
  <c r="R93" i="11" s="1"/>
  <c r="V93" i="11" s="1"/>
  <c r="Z93" i="11" s="1"/>
  <c r="AD93" i="11" s="1"/>
  <c r="AH93" i="11" s="1"/>
  <c r="AL93" i="11" s="1"/>
  <c r="AP93" i="11" s="1"/>
  <c r="AT93" i="11" s="1"/>
  <c r="AX93" i="11" s="1"/>
  <c r="BP92" i="11"/>
  <c r="BO92" i="11"/>
  <c r="BN92" i="11"/>
  <c r="BP91" i="11"/>
  <c r="BJ91" i="11"/>
  <c r="BG91" i="11"/>
  <c r="BF91" i="11" s="1"/>
  <c r="M91" i="11"/>
  <c r="Q91" i="11" s="1"/>
  <c r="U91" i="11" s="1"/>
  <c r="Y91" i="11" s="1"/>
  <c r="AC91" i="11" s="1"/>
  <c r="AG91" i="11" s="1"/>
  <c r="K91" i="11"/>
  <c r="O91" i="11" s="1"/>
  <c r="J91" i="11"/>
  <c r="BP90" i="11"/>
  <c r="BF90" i="11"/>
  <c r="BB90" i="11"/>
  <c r="U90" i="11"/>
  <c r="Y90" i="11" s="1"/>
  <c r="AC90" i="11" s="1"/>
  <c r="AG90" i="11" s="1"/>
  <c r="AK90" i="11" s="1"/>
  <c r="S90" i="11"/>
  <c r="R90" i="11"/>
  <c r="V90" i="11" s="1"/>
  <c r="N90" i="11"/>
  <c r="BM89" i="11"/>
  <c r="BL89" i="11"/>
  <c r="BI89" i="11"/>
  <c r="BH89" i="11"/>
  <c r="BE89" i="11"/>
  <c r="BD89" i="11"/>
  <c r="E89" i="11"/>
  <c r="C89" i="11"/>
  <c r="BP86" i="11"/>
  <c r="BJ86" i="11"/>
  <c r="BJ84" i="11" s="1"/>
  <c r="BF86" i="11"/>
  <c r="BC86" i="11"/>
  <c r="M86" i="11"/>
  <c r="Q86" i="11" s="1"/>
  <c r="U86" i="11" s="1"/>
  <c r="Y86" i="11" s="1"/>
  <c r="AC86" i="11" s="1"/>
  <c r="AG86" i="11" s="1"/>
  <c r="AK86" i="11" s="1"/>
  <c r="AO86" i="11" s="1"/>
  <c r="AS86" i="11" s="1"/>
  <c r="AW86" i="11" s="1"/>
  <c r="BA86" i="11" s="1"/>
  <c r="K86" i="11"/>
  <c r="F86" i="11"/>
  <c r="BP85" i="11"/>
  <c r="BB85" i="11"/>
  <c r="M85" i="11"/>
  <c r="Q85" i="11" s="1"/>
  <c r="U85" i="11" s="1"/>
  <c r="K85" i="11"/>
  <c r="F85" i="11"/>
  <c r="BM84" i="11"/>
  <c r="BL84" i="11"/>
  <c r="BK84" i="11"/>
  <c r="BI84" i="11"/>
  <c r="BH84" i="11"/>
  <c r="BG84" i="11"/>
  <c r="BE84" i="11"/>
  <c r="BD84" i="11"/>
  <c r="AZ84" i="11"/>
  <c r="AV84" i="11"/>
  <c r="AR84" i="11"/>
  <c r="AN84" i="11"/>
  <c r="AJ84" i="11"/>
  <c r="AF84" i="11"/>
  <c r="AB84" i="11"/>
  <c r="X84" i="11"/>
  <c r="T84" i="11"/>
  <c r="P84" i="11"/>
  <c r="L84" i="11"/>
  <c r="I84" i="11"/>
  <c r="H84" i="11"/>
  <c r="G84" i="11"/>
  <c r="E84" i="11"/>
  <c r="C84" i="11"/>
  <c r="BM81" i="11"/>
  <c r="BL81" i="11"/>
  <c r="BK81" i="11"/>
  <c r="BJ81" i="11"/>
  <c r="BI81" i="11"/>
  <c r="BH81" i="11"/>
  <c r="BG8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1" i="11"/>
  <c r="I81" i="11"/>
  <c r="H81" i="11"/>
  <c r="G81" i="11"/>
  <c r="F81" i="11"/>
  <c r="E81" i="11"/>
  <c r="C81" i="11"/>
  <c r="BP80" i="11"/>
  <c r="BO80" i="11"/>
  <c r="BN80" i="11"/>
  <c r="BE80" i="11"/>
  <c r="BE77" i="11" s="1"/>
  <c r="BA80" i="11"/>
  <c r="BA77" i="11" s="1"/>
  <c r="AW80" i="11"/>
  <c r="AW77" i="11" s="1"/>
  <c r="AS80" i="11"/>
  <c r="AS77" i="11" s="1"/>
  <c r="AO80" i="11"/>
  <c r="AO77" i="11" s="1"/>
  <c r="AK80" i="11"/>
  <c r="AK77" i="11" s="1"/>
  <c r="AG80" i="11"/>
  <c r="AG77" i="11" s="1"/>
  <c r="AC80" i="11"/>
  <c r="AC77" i="11" s="1"/>
  <c r="Y80" i="11"/>
  <c r="Y77" i="11" s="1"/>
  <c r="U80" i="11"/>
  <c r="U77" i="11" s="1"/>
  <c r="Q80" i="11"/>
  <c r="Q77" i="11" s="1"/>
  <c r="M80" i="11"/>
  <c r="M77" i="11" s="1"/>
  <c r="I80" i="11"/>
  <c r="I77" i="11" s="1"/>
  <c r="BP79" i="11"/>
  <c r="BO79" i="11"/>
  <c r="BN79" i="11"/>
  <c r="BP78" i="11"/>
  <c r="BO78" i="11"/>
  <c r="BN78" i="11"/>
  <c r="BM77" i="11"/>
  <c r="BL77" i="11"/>
  <c r="BK77" i="11"/>
  <c r="BJ77" i="11"/>
  <c r="BI77" i="11"/>
  <c r="BH77" i="11"/>
  <c r="BG77" i="11"/>
  <c r="BF77" i="11"/>
  <c r="BD77" i="11"/>
  <c r="BC77" i="11"/>
  <c r="BB77" i="11"/>
  <c r="AZ77" i="11"/>
  <c r="AY77" i="11"/>
  <c r="AX77" i="11"/>
  <c r="AV77" i="11"/>
  <c r="AU77" i="11"/>
  <c r="AT77" i="11"/>
  <c r="AR77" i="11"/>
  <c r="AQ77" i="11"/>
  <c r="AP77" i="11"/>
  <c r="AN77" i="11"/>
  <c r="AM77" i="11"/>
  <c r="AL77" i="11"/>
  <c r="AJ77" i="11"/>
  <c r="AI77" i="11"/>
  <c r="AH77" i="11"/>
  <c r="AF77" i="11"/>
  <c r="AE77" i="11"/>
  <c r="AD77" i="11"/>
  <c r="AB77" i="11"/>
  <c r="AA77" i="11"/>
  <c r="Z77" i="11"/>
  <c r="X77" i="11"/>
  <c r="W77" i="11"/>
  <c r="V77" i="11"/>
  <c r="T77" i="11"/>
  <c r="S77" i="11"/>
  <c r="R77" i="11"/>
  <c r="P77" i="11"/>
  <c r="O77" i="11"/>
  <c r="N77" i="11"/>
  <c r="L77" i="11"/>
  <c r="K77" i="11"/>
  <c r="J77" i="11"/>
  <c r="H77" i="11"/>
  <c r="G77" i="11"/>
  <c r="F77" i="11"/>
  <c r="E77" i="11"/>
  <c r="C77" i="11"/>
  <c r="BP76" i="11"/>
  <c r="BB76" i="11"/>
  <c r="BC76" i="11" s="1"/>
  <c r="BC68" i="11" s="1"/>
  <c r="W76" i="11"/>
  <c r="J76" i="11"/>
  <c r="I76" i="11"/>
  <c r="E76" i="11"/>
  <c r="E68" i="11" s="1"/>
  <c r="BP75" i="11"/>
  <c r="BA75" i="11"/>
  <c r="AY75" i="11"/>
  <c r="BO75" i="11" s="1"/>
  <c r="J75" i="11"/>
  <c r="I75" i="11"/>
  <c r="BP74" i="11"/>
  <c r="BO74" i="11"/>
  <c r="BJ74" i="11"/>
  <c r="BM74" i="11" s="1"/>
  <c r="BM68" i="11" s="1"/>
  <c r="BF74" i="11"/>
  <c r="BI74" i="11" s="1"/>
  <c r="BI68" i="11" s="1"/>
  <c r="BB74" i="11"/>
  <c r="BE74" i="11" s="1"/>
  <c r="J74" i="11"/>
  <c r="I74" i="11"/>
  <c r="BP73" i="11"/>
  <c r="BO73" i="11"/>
  <c r="BN73" i="11"/>
  <c r="BP72" i="11"/>
  <c r="BO72" i="11"/>
  <c r="J72" i="11"/>
  <c r="I72" i="11"/>
  <c r="BP71" i="11"/>
  <c r="BO71" i="11"/>
  <c r="N71" i="11"/>
  <c r="R71" i="11" s="1"/>
  <c r="V71" i="11" s="1"/>
  <c r="Z71" i="11" s="1"/>
  <c r="AD71" i="11" s="1"/>
  <c r="AH71" i="11" s="1"/>
  <c r="AL71" i="11" s="1"/>
  <c r="AP71" i="11" s="1"/>
  <c r="AT71" i="11" s="1"/>
  <c r="BP70" i="11"/>
  <c r="BO70" i="11"/>
  <c r="BF70" i="11"/>
  <c r="BE70" i="11"/>
  <c r="BB70" i="11"/>
  <c r="J70" i="11"/>
  <c r="M70" i="11" s="1"/>
  <c r="I70" i="11"/>
  <c r="BP69" i="11"/>
  <c r="BO69" i="11"/>
  <c r="BN69" i="11"/>
  <c r="BL68" i="11"/>
  <c r="BK68" i="11"/>
  <c r="BH68" i="11"/>
  <c r="BG68" i="11"/>
  <c r="BD68" i="11"/>
  <c r="AZ68" i="11"/>
  <c r="AV68" i="11"/>
  <c r="AR68" i="11"/>
  <c r="AN68" i="11"/>
  <c r="AJ68" i="11"/>
  <c r="AF68" i="11"/>
  <c r="AB68" i="11"/>
  <c r="X68" i="11"/>
  <c r="T68" i="11"/>
  <c r="S68" i="11"/>
  <c r="P68" i="11"/>
  <c r="O68" i="11"/>
  <c r="L68" i="11"/>
  <c r="K68" i="11"/>
  <c r="H68" i="11"/>
  <c r="G68" i="11"/>
  <c r="F68" i="11"/>
  <c r="C68" i="11"/>
  <c r="BP67" i="11"/>
  <c r="BO67" i="11"/>
  <c r="BN67" i="11"/>
  <c r="BP66" i="11"/>
  <c r="BO66" i="11"/>
  <c r="BN66" i="11"/>
  <c r="BP65" i="11"/>
  <c r="BO65" i="11"/>
  <c r="BF65" i="11"/>
  <c r="BB65" i="11"/>
  <c r="BB62" i="11" s="1"/>
  <c r="AX65" i="11"/>
  <c r="AL65" i="11"/>
  <c r="Z65" i="11"/>
  <c r="N65" i="11"/>
  <c r="BP64" i="11"/>
  <c r="BO64" i="11"/>
  <c r="BN64" i="11"/>
  <c r="BP63" i="11"/>
  <c r="BI63" i="11"/>
  <c r="BI62" i="11" s="1"/>
  <c r="BF63" i="11"/>
  <c r="BE63" i="11"/>
  <c r="BE62" i="11" s="1"/>
  <c r="M63" i="11"/>
  <c r="Q63" i="11" s="1"/>
  <c r="K63" i="11"/>
  <c r="J63" i="11"/>
  <c r="J62" i="11" s="1"/>
  <c r="BM62" i="11"/>
  <c r="BL62" i="11"/>
  <c r="BK62" i="11"/>
  <c r="BJ62" i="11"/>
  <c r="BH62" i="11"/>
  <c r="BG62" i="11"/>
  <c r="BD62" i="11"/>
  <c r="BC62" i="11"/>
  <c r="AZ62" i="11"/>
  <c r="AV62" i="11"/>
  <c r="AR62" i="11"/>
  <c r="AN62" i="11"/>
  <c r="AJ62" i="11"/>
  <c r="AF62" i="11"/>
  <c r="AB62" i="11"/>
  <c r="X62" i="11"/>
  <c r="T62" i="11"/>
  <c r="P62" i="11"/>
  <c r="L62" i="11"/>
  <c r="I62" i="11"/>
  <c r="H62" i="11"/>
  <c r="G62" i="11"/>
  <c r="F62" i="11"/>
  <c r="E62" i="11"/>
  <c r="BP61" i="11"/>
  <c r="BO61" i="11"/>
  <c r="BN61" i="11"/>
  <c r="BP60" i="11"/>
  <c r="BO60" i="11"/>
  <c r="BN60" i="11"/>
  <c r="BP59" i="11"/>
  <c r="BO59" i="11"/>
  <c r="BN59" i="11"/>
  <c r="BP58" i="11"/>
  <c r="BO58" i="11"/>
  <c r="BN58" i="11"/>
  <c r="BP57" i="11"/>
  <c r="BO57" i="11"/>
  <c r="BN57" i="11"/>
  <c r="BP56" i="11"/>
  <c r="BO56" i="11"/>
  <c r="BN56" i="11"/>
  <c r="BP55" i="11"/>
  <c r="BO55" i="11"/>
  <c r="BN55" i="11"/>
  <c r="BP54" i="11"/>
  <c r="BO54" i="11"/>
  <c r="BN54" i="11"/>
  <c r="BP53" i="11"/>
  <c r="BO53" i="11"/>
  <c r="BN53" i="11"/>
  <c r="BP52" i="11"/>
  <c r="BO52" i="11"/>
  <c r="BN52" i="11"/>
  <c r="BP51" i="11"/>
  <c r="BO51" i="11"/>
  <c r="BN51" i="11"/>
  <c r="BP50" i="11"/>
  <c r="BO50" i="11"/>
  <c r="BN50" i="11"/>
  <c r="BP49" i="11"/>
  <c r="BO49" i="11"/>
  <c r="BN49" i="11"/>
  <c r="BP48" i="11"/>
  <c r="BO48" i="11"/>
  <c r="BN48" i="11"/>
  <c r="BP47" i="11"/>
  <c r="BO47" i="11"/>
  <c r="BN47" i="11"/>
  <c r="BM46" i="11"/>
  <c r="BL46" i="11"/>
  <c r="BK46" i="11"/>
  <c r="BJ46" i="11"/>
  <c r="BI46" i="11"/>
  <c r="BH46" i="11"/>
  <c r="BG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T46" i="11"/>
  <c r="S46" i="11"/>
  <c r="R46" i="11"/>
  <c r="Q46" i="11"/>
  <c r="P46" i="11"/>
  <c r="O46" i="11"/>
  <c r="N46" i="11"/>
  <c r="M46" i="11"/>
  <c r="L46" i="11"/>
  <c r="K46" i="11"/>
  <c r="J46" i="11"/>
  <c r="I46" i="11"/>
  <c r="H46" i="11"/>
  <c r="G46" i="11"/>
  <c r="F46" i="11"/>
  <c r="E46" i="11"/>
  <c r="C46" i="11"/>
  <c r="AR45" i="11"/>
  <c r="AV45" i="11" s="1"/>
  <c r="AZ45" i="11" s="1"/>
  <c r="BP45" i="11" s="1"/>
  <c r="X45" i="11"/>
  <c r="AB45" i="11" s="1"/>
  <c r="AF45" i="11" s="1"/>
  <c r="AJ45" i="11" s="1"/>
  <c r="AN45" i="11" s="1"/>
  <c r="R45" i="11"/>
  <c r="V45" i="11" s="1"/>
  <c r="Z45" i="11" s="1"/>
  <c r="AD45" i="11" s="1"/>
  <c r="AH45" i="11" s="1"/>
  <c r="AL45" i="11" s="1"/>
  <c r="AP45" i="11" s="1"/>
  <c r="AT45" i="11" s="1"/>
  <c r="AX45" i="11" s="1"/>
  <c r="K45" i="11"/>
  <c r="M45" i="11" s="1"/>
  <c r="I45" i="11"/>
  <c r="E45" i="11"/>
  <c r="BI44" i="11"/>
  <c r="BF44" i="11"/>
  <c r="BF22" i="11" s="1"/>
  <c r="BE44" i="11"/>
  <c r="BD44" i="11"/>
  <c r="BC44" i="11"/>
  <c r="BB44" i="11"/>
  <c r="L44" i="11"/>
  <c r="P44" i="11" s="1"/>
  <c r="T44" i="11" s="1"/>
  <c r="X44" i="11" s="1"/>
  <c r="AB44" i="11" s="1"/>
  <c r="AF44" i="11" s="1"/>
  <c r="AJ44" i="11" s="1"/>
  <c r="AN44" i="11" s="1"/>
  <c r="AR44" i="11" s="1"/>
  <c r="AV44" i="11" s="1"/>
  <c r="AZ44" i="11" s="1"/>
  <c r="K44" i="11"/>
  <c r="O44" i="11" s="1"/>
  <c r="J44" i="11"/>
  <c r="N44" i="11" s="1"/>
  <c r="R44" i="11" s="1"/>
  <c r="V44" i="11" s="1"/>
  <c r="Z44" i="11" s="1"/>
  <c r="AD44" i="11" s="1"/>
  <c r="AH44" i="11" s="1"/>
  <c r="AL44" i="11" s="1"/>
  <c r="AP44" i="11" s="1"/>
  <c r="AT44" i="11" s="1"/>
  <c r="AX44" i="11" s="1"/>
  <c r="I44" i="11"/>
  <c r="E44" i="11"/>
  <c r="BP43" i="11"/>
  <c r="BN43" i="11"/>
  <c r="BI43" i="11"/>
  <c r="BE43" i="11"/>
  <c r="K43" i="11"/>
  <c r="O43" i="11" s="1"/>
  <c r="I43" i="11"/>
  <c r="BP42" i="11"/>
  <c r="BO42" i="11"/>
  <c r="BN42" i="11"/>
  <c r="I42" i="11"/>
  <c r="BP41" i="11"/>
  <c r="BO41" i="11"/>
  <c r="BN41" i="11"/>
  <c r="I41" i="11"/>
  <c r="BP40" i="11"/>
  <c r="BO40" i="11"/>
  <c r="BN40" i="11"/>
  <c r="I40" i="11"/>
  <c r="V39" i="11"/>
  <c r="Z39" i="11" s="1"/>
  <c r="AD39" i="11" s="1"/>
  <c r="AH39" i="11" s="1"/>
  <c r="AL39" i="11" s="1"/>
  <c r="AP39" i="11" s="1"/>
  <c r="AT39" i="11" s="1"/>
  <c r="AX39" i="11" s="1"/>
  <c r="L39" i="11"/>
  <c r="P39" i="11" s="1"/>
  <c r="T39" i="11" s="1"/>
  <c r="X39" i="11" s="1"/>
  <c r="AB39" i="11" s="1"/>
  <c r="AF39" i="11" s="1"/>
  <c r="AJ39" i="11" s="1"/>
  <c r="AN39" i="11" s="1"/>
  <c r="AR39" i="11" s="1"/>
  <c r="AV39" i="11" s="1"/>
  <c r="AZ39" i="11" s="1"/>
  <c r="BP39" i="11" s="1"/>
  <c r="K39" i="11"/>
  <c r="O39" i="11" s="1"/>
  <c r="S39" i="11" s="1"/>
  <c r="I39" i="11"/>
  <c r="BP38" i="11"/>
  <c r="BO38" i="11"/>
  <c r="BN38" i="11"/>
  <c r="I38" i="11"/>
  <c r="BP37" i="11"/>
  <c r="BO37" i="11"/>
  <c r="BN37" i="11"/>
  <c r="I37" i="11"/>
  <c r="BE36" i="11"/>
  <c r="BD36" i="11"/>
  <c r="BC36" i="11"/>
  <c r="BB36" i="11"/>
  <c r="N36" i="11"/>
  <c r="R36" i="11" s="1"/>
  <c r="V36" i="11" s="1"/>
  <c r="Z36" i="11" s="1"/>
  <c r="AD36" i="11" s="1"/>
  <c r="AH36" i="11" s="1"/>
  <c r="AL36" i="11" s="1"/>
  <c r="AP36" i="11" s="1"/>
  <c r="AT36" i="11" s="1"/>
  <c r="AX36" i="11" s="1"/>
  <c r="L36" i="11"/>
  <c r="P36" i="11" s="1"/>
  <c r="T36" i="11" s="1"/>
  <c r="X36" i="11" s="1"/>
  <c r="AB36" i="11" s="1"/>
  <c r="AF36" i="11" s="1"/>
  <c r="AJ36" i="11" s="1"/>
  <c r="AN36" i="11" s="1"/>
  <c r="AR36" i="11" s="1"/>
  <c r="AV36" i="11" s="1"/>
  <c r="AZ36" i="11" s="1"/>
  <c r="BP36" i="11" s="1"/>
  <c r="K36" i="11"/>
  <c r="I36" i="11"/>
  <c r="E36" i="11"/>
  <c r="AD35" i="11"/>
  <c r="AH35" i="11" s="1"/>
  <c r="AL35" i="11" s="1"/>
  <c r="AP35" i="11" s="1"/>
  <c r="AT35" i="11" s="1"/>
  <c r="AX35" i="11" s="1"/>
  <c r="L35" i="11"/>
  <c r="P35" i="11" s="1"/>
  <c r="T35" i="11" s="1"/>
  <c r="X35" i="11" s="1"/>
  <c r="AB35" i="11" s="1"/>
  <c r="AF35" i="11" s="1"/>
  <c r="AJ35" i="11" s="1"/>
  <c r="AN35" i="11" s="1"/>
  <c r="AR35" i="11" s="1"/>
  <c r="AV35" i="11" s="1"/>
  <c r="AZ35" i="11" s="1"/>
  <c r="BP35" i="11" s="1"/>
  <c r="K35" i="11"/>
  <c r="O35" i="11" s="1"/>
  <c r="S35" i="11" s="1"/>
  <c r="I35" i="11"/>
  <c r="N34" i="11"/>
  <c r="R34" i="11" s="1"/>
  <c r="V34" i="11" s="1"/>
  <c r="Z34" i="11" s="1"/>
  <c r="AD34" i="11" s="1"/>
  <c r="AH34" i="11" s="1"/>
  <c r="AL34" i="11" s="1"/>
  <c r="AP34" i="11" s="1"/>
  <c r="AT34" i="11" s="1"/>
  <c r="AX34" i="11" s="1"/>
  <c r="L34" i="11"/>
  <c r="K34" i="11"/>
  <c r="O34" i="11" s="1"/>
  <c r="S34" i="11" s="1"/>
  <c r="W34" i="11" s="1"/>
  <c r="AA34" i="11" s="1"/>
  <c r="AE34" i="11" s="1"/>
  <c r="AI34" i="11" s="1"/>
  <c r="AM34" i="11" s="1"/>
  <c r="AQ34" i="11" s="1"/>
  <c r="AU34" i="11" s="1"/>
  <c r="AY34" i="11" s="1"/>
  <c r="BO34" i="11" s="1"/>
  <c r="I34" i="11"/>
  <c r="BE33" i="11"/>
  <c r="AH33" i="11"/>
  <c r="AL33" i="11" s="1"/>
  <c r="AP33" i="11" s="1"/>
  <c r="AT33" i="11" s="1"/>
  <c r="AX33" i="11" s="1"/>
  <c r="L33" i="11"/>
  <c r="P33" i="11" s="1"/>
  <c r="T33" i="11" s="1"/>
  <c r="X33" i="11" s="1"/>
  <c r="AB33" i="11" s="1"/>
  <c r="AF33" i="11" s="1"/>
  <c r="AJ33" i="11" s="1"/>
  <c r="AN33" i="11" s="1"/>
  <c r="AR33" i="11" s="1"/>
  <c r="AV33" i="11" s="1"/>
  <c r="AZ33" i="11" s="1"/>
  <c r="BP33" i="11" s="1"/>
  <c r="K33" i="11"/>
  <c r="O33" i="11" s="1"/>
  <c r="I33" i="11"/>
  <c r="L32" i="11"/>
  <c r="P32" i="11" s="1"/>
  <c r="T32" i="11" s="1"/>
  <c r="K32" i="11"/>
  <c r="O32" i="11" s="1"/>
  <c r="S32" i="11" s="1"/>
  <c r="W32" i="11" s="1"/>
  <c r="AA32" i="11" s="1"/>
  <c r="AE32" i="11" s="1"/>
  <c r="AI32" i="11" s="1"/>
  <c r="AM32" i="11" s="1"/>
  <c r="AQ32" i="11" s="1"/>
  <c r="AU32" i="11" s="1"/>
  <c r="AY32" i="11" s="1"/>
  <c r="BO32" i="11" s="1"/>
  <c r="J32" i="11"/>
  <c r="I32" i="11"/>
  <c r="E32" i="11"/>
  <c r="BI31" i="11"/>
  <c r="BE31" i="11"/>
  <c r="BB31" i="11"/>
  <c r="N31" i="11"/>
  <c r="R31" i="11" s="1"/>
  <c r="V31" i="11" s="1"/>
  <c r="Z31" i="11" s="1"/>
  <c r="AD31" i="11" s="1"/>
  <c r="AH31" i="11" s="1"/>
  <c r="AL31" i="11" s="1"/>
  <c r="AP31" i="11" s="1"/>
  <c r="AT31" i="11" s="1"/>
  <c r="AX31" i="11" s="1"/>
  <c r="L31" i="11"/>
  <c r="P31" i="11" s="1"/>
  <c r="T31" i="11" s="1"/>
  <c r="X31" i="11" s="1"/>
  <c r="AB31" i="11" s="1"/>
  <c r="AF31" i="11" s="1"/>
  <c r="AJ31" i="11" s="1"/>
  <c r="AN31" i="11" s="1"/>
  <c r="AR31" i="11" s="1"/>
  <c r="AV31" i="11" s="1"/>
  <c r="AZ31" i="11" s="1"/>
  <c r="BP31" i="11" s="1"/>
  <c r="K31" i="11"/>
  <c r="O31" i="11" s="1"/>
  <c r="S31" i="11" s="1"/>
  <c r="W31" i="11" s="1"/>
  <c r="AA31" i="11" s="1"/>
  <c r="AE31" i="11" s="1"/>
  <c r="AI31" i="11" s="1"/>
  <c r="AM31" i="11" s="1"/>
  <c r="AQ31" i="11" s="1"/>
  <c r="AU31" i="11" s="1"/>
  <c r="AY31" i="11" s="1"/>
  <c r="BO31" i="11" s="1"/>
  <c r="I31" i="11"/>
  <c r="E31" i="11"/>
  <c r="BP30" i="11"/>
  <c r="R30" i="11"/>
  <c r="V30" i="11" s="1"/>
  <c r="Z30" i="11" s="1"/>
  <c r="AD30" i="11" s="1"/>
  <c r="AH30" i="11" s="1"/>
  <c r="AL30" i="11" s="1"/>
  <c r="AP30" i="11" s="1"/>
  <c r="AT30" i="11" s="1"/>
  <c r="AX30" i="11" s="1"/>
  <c r="K30" i="11"/>
  <c r="O30" i="11" s="1"/>
  <c r="S30" i="11" s="1"/>
  <c r="W30" i="11" s="1"/>
  <c r="AA30" i="11" s="1"/>
  <c r="AE30" i="11" s="1"/>
  <c r="AI30" i="11" s="1"/>
  <c r="AM30" i="11" s="1"/>
  <c r="AQ30" i="11" s="1"/>
  <c r="AU30" i="11" s="1"/>
  <c r="AY30" i="11" s="1"/>
  <c r="BO30" i="11" s="1"/>
  <c r="BP29" i="11"/>
  <c r="BO29" i="11"/>
  <c r="BN29" i="11"/>
  <c r="I29" i="11"/>
  <c r="BP28" i="11"/>
  <c r="N28" i="11"/>
  <c r="R28" i="11" s="1"/>
  <c r="V28" i="11" s="1"/>
  <c r="Z28" i="11" s="1"/>
  <c r="AD28" i="11" s="1"/>
  <c r="AH28" i="11" s="1"/>
  <c r="AL28" i="11" s="1"/>
  <c r="AP28" i="11" s="1"/>
  <c r="AT28" i="11" s="1"/>
  <c r="AX28" i="11" s="1"/>
  <c r="K28" i="11"/>
  <c r="O28" i="11" s="1"/>
  <c r="S28" i="11" s="1"/>
  <c r="W28" i="11" s="1"/>
  <c r="AA28" i="11" s="1"/>
  <c r="AE28" i="11" s="1"/>
  <c r="AI28" i="11" s="1"/>
  <c r="AM28" i="11" s="1"/>
  <c r="AQ28" i="11" s="1"/>
  <c r="AU28" i="11" s="1"/>
  <c r="AY28" i="11" s="1"/>
  <c r="BO28" i="11" s="1"/>
  <c r="I28" i="11"/>
  <c r="BE27" i="11"/>
  <c r="L27" i="11"/>
  <c r="P27" i="11" s="1"/>
  <c r="T27" i="11" s="1"/>
  <c r="X27" i="11" s="1"/>
  <c r="AB27" i="11" s="1"/>
  <c r="AF27" i="11" s="1"/>
  <c r="AJ27" i="11" s="1"/>
  <c r="AN27" i="11" s="1"/>
  <c r="AR27" i="11" s="1"/>
  <c r="AV27" i="11" s="1"/>
  <c r="AZ27" i="11" s="1"/>
  <c r="BP27" i="11" s="1"/>
  <c r="K27" i="11"/>
  <c r="J27" i="11"/>
  <c r="N27" i="11" s="1"/>
  <c r="R27" i="11" s="1"/>
  <c r="V27" i="11" s="1"/>
  <c r="Z27" i="11" s="1"/>
  <c r="AD27" i="11" s="1"/>
  <c r="AH27" i="11" s="1"/>
  <c r="AL27" i="11" s="1"/>
  <c r="AP27" i="11" s="1"/>
  <c r="AT27" i="11" s="1"/>
  <c r="AX27" i="11" s="1"/>
  <c r="I27" i="11"/>
  <c r="BE26" i="11"/>
  <c r="P26" i="11"/>
  <c r="T26" i="11" s="1"/>
  <c r="X26" i="11" s="1"/>
  <c r="AB26" i="11" s="1"/>
  <c r="AF26" i="11" s="1"/>
  <c r="AJ26" i="11" s="1"/>
  <c r="AN26" i="11" s="1"/>
  <c r="AR26" i="11" s="1"/>
  <c r="AV26" i="11" s="1"/>
  <c r="AZ26" i="11" s="1"/>
  <c r="BP26" i="11" s="1"/>
  <c r="O26" i="11"/>
  <c r="S26" i="11" s="1"/>
  <c r="W26" i="11" s="1"/>
  <c r="AA26" i="11" s="1"/>
  <c r="AE26" i="11" s="1"/>
  <c r="AI26" i="11" s="1"/>
  <c r="AM26" i="11" s="1"/>
  <c r="AQ26" i="11" s="1"/>
  <c r="AU26" i="11" s="1"/>
  <c r="AY26" i="11" s="1"/>
  <c r="BO26" i="11" s="1"/>
  <c r="N26" i="11"/>
  <c r="R26" i="11" s="1"/>
  <c r="V26" i="11" s="1"/>
  <c r="Z26" i="11" s="1"/>
  <c r="AD26" i="11" s="1"/>
  <c r="AH26" i="11" s="1"/>
  <c r="AL26" i="11" s="1"/>
  <c r="AP26" i="11" s="1"/>
  <c r="AT26" i="11" s="1"/>
  <c r="AX26" i="11" s="1"/>
  <c r="M26" i="11"/>
  <c r="I26" i="11"/>
  <c r="BP25" i="11"/>
  <c r="BO25" i="11"/>
  <c r="BN25" i="11"/>
  <c r="M25" i="11"/>
  <c r="I25" i="11"/>
  <c r="L24" i="11"/>
  <c r="K24" i="11"/>
  <c r="O24" i="11" s="1"/>
  <c r="S24" i="11" s="1"/>
  <c r="W24" i="11" s="1"/>
  <c r="AA24" i="11" s="1"/>
  <c r="AE24" i="11" s="1"/>
  <c r="AI24" i="11" s="1"/>
  <c r="AM24" i="11" s="1"/>
  <c r="AQ24" i="11" s="1"/>
  <c r="AU24" i="11" s="1"/>
  <c r="AY24" i="11" s="1"/>
  <c r="BO24" i="11" s="1"/>
  <c r="J24" i="11"/>
  <c r="N24" i="11" s="1"/>
  <c r="R24" i="11" s="1"/>
  <c r="V24" i="11" s="1"/>
  <c r="Z24" i="11" s="1"/>
  <c r="AD24" i="11" s="1"/>
  <c r="AH24" i="11" s="1"/>
  <c r="AL24" i="11" s="1"/>
  <c r="AP24" i="11" s="1"/>
  <c r="AT24" i="11" s="1"/>
  <c r="AX24" i="11" s="1"/>
  <c r="I24" i="11"/>
  <c r="BP23" i="11"/>
  <c r="BO23" i="11"/>
  <c r="BN23" i="11"/>
  <c r="I23" i="11"/>
  <c r="BM22" i="11"/>
  <c r="BL22" i="11"/>
  <c r="BK22" i="11"/>
  <c r="BJ22" i="11"/>
  <c r="BH22" i="11"/>
  <c r="BG22" i="11"/>
  <c r="H22" i="11"/>
  <c r="G22" i="11"/>
  <c r="F22" i="11"/>
  <c r="D22" i="11"/>
  <c r="C22" i="11"/>
  <c r="F134" i="11" l="1"/>
  <c r="J134" i="11"/>
  <c r="N134" i="11"/>
  <c r="R134" i="11"/>
  <c r="V134" i="11"/>
  <c r="Z134" i="11"/>
  <c r="AD134" i="11"/>
  <c r="AH134" i="11"/>
  <c r="AL134" i="11"/>
  <c r="AP134" i="11"/>
  <c r="AT134" i="11"/>
  <c r="BB134" i="11"/>
  <c r="BF134" i="11"/>
  <c r="BJ134" i="11"/>
  <c r="BO196" i="11"/>
  <c r="BQ196" i="11" s="1"/>
  <c r="BO46" i="11"/>
  <c r="G134" i="11"/>
  <c r="S134" i="11"/>
  <c r="AA134" i="11"/>
  <c r="AE134" i="11"/>
  <c r="AM134" i="11"/>
  <c r="AU134" i="11"/>
  <c r="BG134" i="11"/>
  <c r="E134" i="11"/>
  <c r="C134" i="11"/>
  <c r="O134" i="11"/>
  <c r="W134" i="11"/>
  <c r="AI134" i="11"/>
  <c r="AQ134" i="11"/>
  <c r="BK134" i="11"/>
  <c r="K134" i="11"/>
  <c r="G169" i="11"/>
  <c r="BP202" i="11"/>
  <c r="C21" i="11"/>
  <c r="BB22" i="11"/>
  <c r="BM88" i="11"/>
  <c r="BQ117" i="11"/>
  <c r="BJ68" i="11"/>
  <c r="BJ149" i="11"/>
  <c r="F149" i="11"/>
  <c r="BP46" i="11"/>
  <c r="N63" i="11"/>
  <c r="R63" i="11" s="1"/>
  <c r="BQ67" i="11"/>
  <c r="BF62" i="11"/>
  <c r="BQ65" i="11"/>
  <c r="BQ148" i="11"/>
  <c r="L119" i="11"/>
  <c r="BQ95" i="11"/>
  <c r="N70" i="11"/>
  <c r="Q70" i="11" s="1"/>
  <c r="I124" i="11"/>
  <c r="G149" i="11"/>
  <c r="BN121" i="11"/>
  <c r="BN34" i="11"/>
  <c r="AX134" i="11"/>
  <c r="BN152" i="11"/>
  <c r="BN24" i="11"/>
  <c r="BN30" i="11"/>
  <c r="BP44" i="11"/>
  <c r="BQ48" i="11"/>
  <c r="BQ52" i="11"/>
  <c r="BQ56" i="11"/>
  <c r="BQ60" i="11"/>
  <c r="BQ79" i="11"/>
  <c r="BH88" i="11"/>
  <c r="BN132" i="11"/>
  <c r="BN141" i="11"/>
  <c r="BN142" i="11"/>
  <c r="BN143" i="11"/>
  <c r="BQ153" i="11"/>
  <c r="BQ164" i="11"/>
  <c r="BN188" i="11"/>
  <c r="BN35" i="11"/>
  <c r="BN153" i="11"/>
  <c r="BN28" i="11"/>
  <c r="BE119" i="11"/>
  <c r="BN126" i="11"/>
  <c r="BN130" i="11"/>
  <c r="BN154" i="11"/>
  <c r="BN171" i="11"/>
  <c r="BN27" i="11"/>
  <c r="BN45" i="11"/>
  <c r="BN131" i="11"/>
  <c r="BN151" i="11"/>
  <c r="BN185" i="11"/>
  <c r="BN39" i="11"/>
  <c r="BQ23" i="11"/>
  <c r="BN26" i="11"/>
  <c r="BN33" i="11"/>
  <c r="BN44" i="11"/>
  <c r="O45" i="11"/>
  <c r="Q45" i="11" s="1"/>
  <c r="BQ50" i="11"/>
  <c r="BQ54" i="11"/>
  <c r="BQ58" i="11"/>
  <c r="BO77" i="11"/>
  <c r="BQ92" i="11"/>
  <c r="BE88" i="11"/>
  <c r="BN117" i="11"/>
  <c r="BN122" i="11"/>
  <c r="BN123" i="11"/>
  <c r="Q129" i="11"/>
  <c r="BQ166" i="11"/>
  <c r="Q172" i="11"/>
  <c r="BN183" i="11"/>
  <c r="J189" i="11"/>
  <c r="BD149" i="11"/>
  <c r="I169" i="11"/>
  <c r="BO191" i="11"/>
  <c r="BP194" i="11"/>
  <c r="BQ194" i="11" s="1"/>
  <c r="BI22" i="11"/>
  <c r="BQ41" i="11"/>
  <c r="M43" i="11"/>
  <c r="BQ66" i="11"/>
  <c r="BQ71" i="11"/>
  <c r="BQ72" i="11"/>
  <c r="N96" i="11"/>
  <c r="P123" i="11"/>
  <c r="T123" i="11" s="1"/>
  <c r="U132" i="11"/>
  <c r="BQ144" i="11"/>
  <c r="BQ168" i="11"/>
  <c r="BN172" i="11"/>
  <c r="U172" i="11"/>
  <c r="L189" i="11"/>
  <c r="BO81" i="11"/>
  <c r="BD118" i="11"/>
  <c r="BQ30" i="11"/>
  <c r="M39" i="11"/>
  <c r="BB68" i="11"/>
  <c r="BQ78" i="11"/>
  <c r="M84" i="11"/>
  <c r="F84" i="11"/>
  <c r="C88" i="11"/>
  <c r="BO98" i="11"/>
  <c r="BQ98" i="11" s="1"/>
  <c r="BN105" i="11"/>
  <c r="M121" i="11"/>
  <c r="G139" i="11"/>
  <c r="AO167" i="11"/>
  <c r="AO163" i="11" s="1"/>
  <c r="BH180" i="11"/>
  <c r="BQ80" i="11"/>
  <c r="E88" i="11"/>
  <c r="BL88" i="11"/>
  <c r="BO94" i="11"/>
  <c r="BQ94" i="11" s="1"/>
  <c r="K106" i="11"/>
  <c r="J106" i="11" s="1"/>
  <c r="J89" i="11" s="1"/>
  <c r="S106" i="11"/>
  <c r="R106" i="11" s="1"/>
  <c r="AN106" i="11"/>
  <c r="BQ115" i="11"/>
  <c r="H118" i="11"/>
  <c r="BF118" i="11"/>
  <c r="BL118" i="11"/>
  <c r="BJ118" i="11"/>
  <c r="BC118" i="11"/>
  <c r="F118" i="11"/>
  <c r="AE130" i="11"/>
  <c r="AI130" i="11" s="1"/>
  <c r="BE124" i="11"/>
  <c r="BN137" i="11"/>
  <c r="BO160" i="11"/>
  <c r="BQ160" i="11" s="1"/>
  <c r="AA162" i="11"/>
  <c r="AB162" i="11" s="1"/>
  <c r="AG167" i="11"/>
  <c r="AG163" i="11" s="1"/>
  <c r="BJ163" i="11"/>
  <c r="BQ185" i="11"/>
  <c r="BA189" i="11"/>
  <c r="G180" i="11"/>
  <c r="BK180" i="11"/>
  <c r="BQ26" i="11"/>
  <c r="BN31" i="11"/>
  <c r="BQ49" i="11"/>
  <c r="BQ53" i="11"/>
  <c r="BQ57" i="11"/>
  <c r="BQ61" i="11"/>
  <c r="BP62" i="11"/>
  <c r="BQ69" i="11"/>
  <c r="BQ93" i="11"/>
  <c r="L106" i="11"/>
  <c r="L89" i="11" s="1"/>
  <c r="AA106" i="11"/>
  <c r="Z106" i="11" s="1"/>
  <c r="AV106" i="11"/>
  <c r="BQ114" i="11"/>
  <c r="BG118" i="11"/>
  <c r="BI139" i="11"/>
  <c r="BB162" i="11"/>
  <c r="BB149" i="11" s="1"/>
  <c r="BE163" i="11"/>
  <c r="BC22" i="11"/>
  <c r="AE106" i="11"/>
  <c r="AD106" i="11" s="1"/>
  <c r="Q33" i="11"/>
  <c r="BN36" i="11"/>
  <c r="BQ47" i="11"/>
  <c r="BQ51" i="11"/>
  <c r="BQ55" i="11"/>
  <c r="BQ59" i="11"/>
  <c r="BE68" i="11"/>
  <c r="BF84" i="11"/>
  <c r="H88" i="11"/>
  <c r="BO105" i="11"/>
  <c r="BQ105" i="11" s="1"/>
  <c r="P106" i="11"/>
  <c r="AM106" i="11"/>
  <c r="AL106" i="11" s="1"/>
  <c r="W131" i="11"/>
  <c r="AA131" i="11" s="1"/>
  <c r="BC149" i="11"/>
  <c r="V156" i="11"/>
  <c r="BQ184" i="11"/>
  <c r="F180" i="11"/>
  <c r="BQ104" i="11"/>
  <c r="BQ102" i="11"/>
  <c r="BQ100" i="11"/>
  <c r="BI88" i="11"/>
  <c r="N32" i="11"/>
  <c r="R32" i="11" s="1"/>
  <c r="V32" i="11" s="1"/>
  <c r="Z32" i="11" s="1"/>
  <c r="AD32" i="11" s="1"/>
  <c r="AH32" i="11" s="1"/>
  <c r="AL32" i="11" s="1"/>
  <c r="AP32" i="11" s="1"/>
  <c r="AT32" i="11" s="1"/>
  <c r="AX32" i="11" s="1"/>
  <c r="AX22" i="11" s="1"/>
  <c r="J22" i="11"/>
  <c r="BQ38" i="11"/>
  <c r="O63" i="11"/>
  <c r="O62" i="11" s="1"/>
  <c r="K62" i="11"/>
  <c r="BP77" i="11"/>
  <c r="BB86" i="11"/>
  <c r="BB84" i="11" s="1"/>
  <c r="BC84" i="11"/>
  <c r="M105" i="11"/>
  <c r="I89" i="11"/>
  <c r="I88" i="11" s="1"/>
  <c r="M27" i="11"/>
  <c r="O27" i="11"/>
  <c r="S27" i="11" s="1"/>
  <c r="W27" i="11" s="1"/>
  <c r="BQ28" i="11"/>
  <c r="J86" i="11"/>
  <c r="O86" i="11"/>
  <c r="N86" i="11" s="1"/>
  <c r="AA90" i="11"/>
  <c r="AE90" i="11" s="1"/>
  <c r="Z90" i="11"/>
  <c r="AD90" i="11" s="1"/>
  <c r="AH90" i="11" s="1"/>
  <c r="K22" i="11"/>
  <c r="M36" i="11"/>
  <c r="O36" i="11"/>
  <c r="Q36" i="11" s="1"/>
  <c r="E22" i="11"/>
  <c r="BN65" i="11"/>
  <c r="BF68" i="11"/>
  <c r="M72" i="11"/>
  <c r="N72" i="11"/>
  <c r="Q72" i="11" s="1"/>
  <c r="BN77" i="11"/>
  <c r="K84" i="11"/>
  <c r="Q84" i="11"/>
  <c r="O85" i="11"/>
  <c r="J85" i="11"/>
  <c r="J84" i="11" s="1"/>
  <c r="M126" i="11"/>
  <c r="K124" i="11"/>
  <c r="O126" i="11"/>
  <c r="O170" i="11"/>
  <c r="S170" i="11" s="1"/>
  <c r="W170" i="11" s="1"/>
  <c r="AA170" i="11" s="1"/>
  <c r="K169" i="11"/>
  <c r="BO202" i="11"/>
  <c r="BQ202" i="11" s="1"/>
  <c r="M24" i="11"/>
  <c r="BQ25" i="11"/>
  <c r="M34" i="11"/>
  <c r="BD22" i="11"/>
  <c r="BQ37" i="11"/>
  <c r="BQ40" i="11"/>
  <c r="BP68" i="11"/>
  <c r="BQ75" i="11"/>
  <c r="BP84" i="11"/>
  <c r="BQ99" i="11"/>
  <c r="BQ103" i="11"/>
  <c r="R127" i="11"/>
  <c r="R124" i="11" s="1"/>
  <c r="N124" i="11"/>
  <c r="BQ128" i="11"/>
  <c r="BC134" i="11"/>
  <c r="I150" i="11"/>
  <c r="I149" i="11" s="1"/>
  <c r="H149" i="11"/>
  <c r="BF149" i="11"/>
  <c r="N162" i="11"/>
  <c r="R162" i="11" s="1"/>
  <c r="V162" i="11" s="1"/>
  <c r="U167" i="11"/>
  <c r="U163" i="11" s="1"/>
  <c r="S163" i="11"/>
  <c r="AW167" i="11"/>
  <c r="AW163" i="11" s="1"/>
  <c r="AU163" i="11"/>
  <c r="BB167" i="11"/>
  <c r="BL180" i="11"/>
  <c r="BN98" i="11"/>
  <c r="BN116" i="11"/>
  <c r="H139" i="11"/>
  <c r="O156" i="11"/>
  <c r="N156" i="11" s="1"/>
  <c r="J156" i="11"/>
  <c r="BA167" i="11"/>
  <c r="BA163" i="11" s="1"/>
  <c r="E163" i="11"/>
  <c r="AK167" i="11"/>
  <c r="AK163" i="11" s="1"/>
  <c r="AI163" i="11"/>
  <c r="N187" i="11"/>
  <c r="R187" i="11" s="1"/>
  <c r="V187" i="11" s="1"/>
  <c r="Z187" i="11" s="1"/>
  <c r="AD187" i="11" s="1"/>
  <c r="AH187" i="11" s="1"/>
  <c r="AL187" i="11" s="1"/>
  <c r="AP187" i="11" s="1"/>
  <c r="AT187" i="11" s="1"/>
  <c r="AX187" i="11" s="1"/>
  <c r="J181" i="11"/>
  <c r="BG189" i="11"/>
  <c r="BG180" i="11" s="1"/>
  <c r="BO195" i="11"/>
  <c r="BQ195" i="11" s="1"/>
  <c r="Q26" i="11"/>
  <c r="BQ29" i="11"/>
  <c r="M31" i="11"/>
  <c r="M32" i="11"/>
  <c r="P34" i="11"/>
  <c r="T34" i="11" s="1"/>
  <c r="X34" i="11" s="1"/>
  <c r="AB34" i="11" s="1"/>
  <c r="AF34" i="11" s="1"/>
  <c r="AJ34" i="11" s="1"/>
  <c r="AN34" i="11" s="1"/>
  <c r="AR34" i="11" s="1"/>
  <c r="AV34" i="11" s="1"/>
  <c r="AZ34" i="11" s="1"/>
  <c r="BP34" i="11" s="1"/>
  <c r="BQ34" i="11" s="1"/>
  <c r="BQ42" i="11"/>
  <c r="BN46" i="11"/>
  <c r="BQ73" i="11"/>
  <c r="BQ74" i="11"/>
  <c r="BD88" i="11"/>
  <c r="BQ101" i="11"/>
  <c r="L111" i="11"/>
  <c r="P112" i="11"/>
  <c r="S129" i="11"/>
  <c r="W129" i="11" s="1"/>
  <c r="Q131" i="11"/>
  <c r="I139" i="11"/>
  <c r="BQ151" i="11"/>
  <c r="BQ152" i="11"/>
  <c r="BQ155" i="11"/>
  <c r="I167" i="11"/>
  <c r="I163" i="11" s="1"/>
  <c r="G163" i="11"/>
  <c r="BQ177" i="11"/>
  <c r="BF189" i="11"/>
  <c r="BF180" i="11" s="1"/>
  <c r="I189" i="11"/>
  <c r="I180" i="11" s="1"/>
  <c r="H189" i="11"/>
  <c r="H180" i="11" s="1"/>
  <c r="G89" i="11"/>
  <c r="G88" i="11" s="1"/>
  <c r="W106" i="11"/>
  <c r="V106" i="11" s="1"/>
  <c r="AF106" i="11"/>
  <c r="AQ106" i="11"/>
  <c r="AP106" i="11" s="1"/>
  <c r="J111" i="11"/>
  <c r="K111" i="11"/>
  <c r="BH118" i="11"/>
  <c r="J119" i="11"/>
  <c r="J118" i="11" s="1"/>
  <c r="C118" i="11"/>
  <c r="G118" i="11"/>
  <c r="BI118" i="11"/>
  <c r="BB124" i="11"/>
  <c r="BB118" i="11" s="1"/>
  <c r="AC132" i="11"/>
  <c r="T134" i="11"/>
  <c r="X134" i="11"/>
  <c r="BQ165" i="11"/>
  <c r="Q167" i="11"/>
  <c r="Q163" i="11" s="1"/>
  <c r="BO167" i="11"/>
  <c r="Y172" i="11"/>
  <c r="BN173" i="11"/>
  <c r="BQ182" i="11"/>
  <c r="BQ187" i="11"/>
  <c r="BP190" i="11"/>
  <c r="BO192" i="11"/>
  <c r="BN196" i="11"/>
  <c r="BN93" i="11"/>
  <c r="BN95" i="11"/>
  <c r="AM96" i="11"/>
  <c r="AY96" i="11" s="1"/>
  <c r="O106" i="11"/>
  <c r="N106" i="11" s="1"/>
  <c r="X106" i="11"/>
  <c r="AI106" i="11"/>
  <c r="AH106" i="11" s="1"/>
  <c r="AU106" i="11"/>
  <c r="AT106" i="11" s="1"/>
  <c r="BK118" i="11"/>
  <c r="E124" i="11"/>
  <c r="E118" i="11" s="1"/>
  <c r="Y134" i="11"/>
  <c r="AW134" i="11"/>
  <c r="J169" i="11"/>
  <c r="BQ173" i="11"/>
  <c r="BQ174" i="11"/>
  <c r="BQ178" i="11"/>
  <c r="C180" i="11"/>
  <c r="BJ180" i="11"/>
  <c r="BN186" i="11"/>
  <c r="AY189" i="11"/>
  <c r="BQ193" i="11"/>
  <c r="BP81" i="11"/>
  <c r="BE134" i="11"/>
  <c r="BA134" i="11"/>
  <c r="BN202" i="11"/>
  <c r="E180" i="11"/>
  <c r="BO137" i="11"/>
  <c r="BL134" i="11"/>
  <c r="BH134" i="11"/>
  <c r="BO135" i="11"/>
  <c r="BQ135" i="11" s="1"/>
  <c r="BD134" i="11"/>
  <c r="AY134" i="11"/>
  <c r="AV134" i="11"/>
  <c r="AR134" i="11"/>
  <c r="AN134" i="11"/>
  <c r="AJ134" i="11"/>
  <c r="AF134" i="11"/>
  <c r="AB134" i="11"/>
  <c r="P134" i="11"/>
  <c r="L134" i="11"/>
  <c r="H134" i="11"/>
  <c r="BN81" i="11"/>
  <c r="U35" i="11"/>
  <c r="W35" i="11"/>
  <c r="U32" i="11"/>
  <c r="X32" i="11"/>
  <c r="AB32" i="11" s="1"/>
  <c r="AK91" i="11"/>
  <c r="AO91" i="11" s="1"/>
  <c r="AS91" i="11" s="1"/>
  <c r="AW91" i="11" s="1"/>
  <c r="BA91" i="11" s="1"/>
  <c r="AO109" i="11"/>
  <c r="AG109" i="11"/>
  <c r="AK109" i="11" s="1"/>
  <c r="I22" i="11"/>
  <c r="AK26" i="11"/>
  <c r="BA26" i="11"/>
  <c r="BE22" i="11"/>
  <c r="M35" i="11"/>
  <c r="BN135" i="11"/>
  <c r="BQ31" i="11"/>
  <c r="Q32" i="11"/>
  <c r="M33" i="11"/>
  <c r="Q35" i="11"/>
  <c r="S43" i="11"/>
  <c r="Q43" i="11"/>
  <c r="I68" i="11"/>
  <c r="N75" i="11"/>
  <c r="M75" i="11"/>
  <c r="J68" i="11"/>
  <c r="AA76" i="11"/>
  <c r="W68" i="11"/>
  <c r="U84" i="11"/>
  <c r="Y85" i="11"/>
  <c r="Y93" i="11"/>
  <c r="N110" i="11"/>
  <c r="AA110" i="11"/>
  <c r="Q112" i="11"/>
  <c r="M111" i="11"/>
  <c r="AU133" i="11"/>
  <c r="AY133" i="11" s="1"/>
  <c r="BO133" i="11" s="1"/>
  <c r="R170" i="11"/>
  <c r="N169" i="11"/>
  <c r="S33" i="11"/>
  <c r="U39" i="11"/>
  <c r="U63" i="11"/>
  <c r="Q62" i="11"/>
  <c r="L22" i="11"/>
  <c r="U26" i="11"/>
  <c r="AC26" i="11"/>
  <c r="AS26" i="11"/>
  <c r="U31" i="11"/>
  <c r="AC31" i="11"/>
  <c r="AK31" i="11"/>
  <c r="AS31" i="11"/>
  <c r="BA31" i="11"/>
  <c r="M62" i="11"/>
  <c r="N76" i="11"/>
  <c r="M76" i="11"/>
  <c r="U98" i="11"/>
  <c r="Y98" i="11" s="1"/>
  <c r="AC98" i="11" s="1"/>
  <c r="AG98" i="11" s="1"/>
  <c r="AK98" i="11" s="1"/>
  <c r="AO98" i="11" s="1"/>
  <c r="AS98" i="11" s="1"/>
  <c r="AW98" i="11" s="1"/>
  <c r="BA98" i="11" s="1"/>
  <c r="AM109" i="11"/>
  <c r="AE109" i="11"/>
  <c r="AI109" i="11" s="1"/>
  <c r="P24" i="11"/>
  <c r="Q24" i="11" s="1"/>
  <c r="Y26" i="11"/>
  <c r="AG26" i="11"/>
  <c r="AO26" i="11"/>
  <c r="AW26" i="11"/>
  <c r="Q31" i="11"/>
  <c r="Y31" i="11"/>
  <c r="AG31" i="11"/>
  <c r="AO31" i="11"/>
  <c r="AW31" i="11"/>
  <c r="Q39" i="11"/>
  <c r="W39" i="11"/>
  <c r="Q44" i="11"/>
  <c r="S44" i="11"/>
  <c r="AO90" i="11"/>
  <c r="S91" i="11"/>
  <c r="W91" i="11" s="1"/>
  <c r="AA91" i="11" s="1"/>
  <c r="AE91" i="11" s="1"/>
  <c r="AI91" i="11" s="1"/>
  <c r="AM91" i="11" s="1"/>
  <c r="AQ91" i="11" s="1"/>
  <c r="AU91" i="11" s="1"/>
  <c r="AY91" i="11" s="1"/>
  <c r="BO91" i="11" s="1"/>
  <c r="BQ91" i="11" s="1"/>
  <c r="BF94" i="11"/>
  <c r="BN94" i="11" s="1"/>
  <c r="BG89" i="11"/>
  <c r="BG88" i="11" s="1"/>
  <c r="N112" i="11"/>
  <c r="Z125" i="11"/>
  <c r="M44" i="11"/>
  <c r="N74" i="11"/>
  <c r="M74" i="11"/>
  <c r="W90" i="11"/>
  <c r="N91" i="11"/>
  <c r="BK89" i="11"/>
  <c r="BK88" i="11" s="1"/>
  <c r="F89" i="11"/>
  <c r="F88" i="11" s="1"/>
  <c r="BJ106" i="11"/>
  <c r="BJ89" i="11" s="1"/>
  <c r="BJ88" i="11" s="1"/>
  <c r="BO106" i="11"/>
  <c r="BQ106" i="11" s="1"/>
  <c r="AU129" i="11"/>
  <c r="AT129" i="11"/>
  <c r="AX129" i="11" s="1"/>
  <c r="BB96" i="11"/>
  <c r="BB89" i="11" s="1"/>
  <c r="BB88" i="11" s="1"/>
  <c r="BC89" i="11"/>
  <c r="BC88" i="11" s="1"/>
  <c r="BQ64" i="11"/>
  <c r="BQ70" i="11"/>
  <c r="BQ97" i="11"/>
  <c r="T106" i="11"/>
  <c r="AB106" i="11"/>
  <c r="AJ106" i="11"/>
  <c r="AR106" i="11"/>
  <c r="S116" i="11"/>
  <c r="W116" i="11" s="1"/>
  <c r="AA116" i="11" s="1"/>
  <c r="AE116" i="11" s="1"/>
  <c r="AI116" i="11" s="1"/>
  <c r="AM116" i="11" s="1"/>
  <c r="AQ116" i="11" s="1"/>
  <c r="AU116" i="11" s="1"/>
  <c r="AY116" i="11" s="1"/>
  <c r="BO116" i="11" s="1"/>
  <c r="BQ116" i="11" s="1"/>
  <c r="O111" i="11"/>
  <c r="BM118" i="11"/>
  <c r="M154" i="11"/>
  <c r="P154" i="11"/>
  <c r="T154" i="11" s="1"/>
  <c r="X154" i="11" s="1"/>
  <c r="AB154" i="11" s="1"/>
  <c r="AF154" i="11" s="1"/>
  <c r="AJ154" i="11" s="1"/>
  <c r="AN154" i="11" s="1"/>
  <c r="AR154" i="11" s="1"/>
  <c r="AV154" i="11" s="1"/>
  <c r="AZ154" i="11" s="1"/>
  <c r="BP154" i="11" s="1"/>
  <c r="W112" i="11"/>
  <c r="I119" i="11"/>
  <c r="R120" i="11"/>
  <c r="N119" i="11"/>
  <c r="Q121" i="11"/>
  <c r="S121" i="11"/>
  <c r="M127" i="11"/>
  <c r="P127" i="11"/>
  <c r="T127" i="11" s="1"/>
  <c r="M133" i="11"/>
  <c r="P133" i="11"/>
  <c r="T133" i="11" s="1"/>
  <c r="X133" i="11" s="1"/>
  <c r="AB133" i="11" s="1"/>
  <c r="AF133" i="11" s="1"/>
  <c r="AJ133" i="11" s="1"/>
  <c r="AN133" i="11" s="1"/>
  <c r="AR133" i="11" s="1"/>
  <c r="AV133" i="11" s="1"/>
  <c r="AZ133" i="11" s="1"/>
  <c r="BP133" i="11" s="1"/>
  <c r="K139" i="11"/>
  <c r="R151" i="11"/>
  <c r="M122" i="11"/>
  <c r="O122" i="11"/>
  <c r="S123" i="11"/>
  <c r="X125" i="11"/>
  <c r="N139" i="11"/>
  <c r="BQ113" i="11"/>
  <c r="P126" i="11"/>
  <c r="L124" i="11"/>
  <c r="J157" i="11"/>
  <c r="O157" i="11"/>
  <c r="K149" i="11"/>
  <c r="AC167" i="11"/>
  <c r="AC163" i="11" s="1"/>
  <c r="AB163" i="11"/>
  <c r="O120" i="11"/>
  <c r="K119" i="11"/>
  <c r="U125" i="11"/>
  <c r="W125" i="11"/>
  <c r="AE127" i="11"/>
  <c r="AI132" i="11"/>
  <c r="AG132" i="11"/>
  <c r="Y132" i="11"/>
  <c r="BO163" i="11"/>
  <c r="W163" i="11"/>
  <c r="Y167" i="11"/>
  <c r="Y163" i="11" s="1"/>
  <c r="AZ134" i="11"/>
  <c r="BP137" i="11"/>
  <c r="AD150" i="11"/>
  <c r="AW152" i="11"/>
  <c r="Y156" i="11"/>
  <c r="AC156" i="11" s="1"/>
  <c r="AG156" i="11" s="1"/>
  <c r="AK156" i="11" s="1"/>
  <c r="AO156" i="11" s="1"/>
  <c r="AS156" i="11" s="1"/>
  <c r="AW156" i="11" s="1"/>
  <c r="BA156" i="11" s="1"/>
  <c r="U156" i="11"/>
  <c r="BO161" i="11"/>
  <c r="BQ161" i="11" s="1"/>
  <c r="AX161" i="11"/>
  <c r="AS167" i="11"/>
  <c r="AS163" i="11" s="1"/>
  <c r="AR163" i="11"/>
  <c r="AE172" i="11"/>
  <c r="P183" i="11"/>
  <c r="L181" i="11"/>
  <c r="BQ188" i="11"/>
  <c r="L150" i="11"/>
  <c r="M167" i="11"/>
  <c r="M163" i="11" s="1"/>
  <c r="L163" i="11"/>
  <c r="M170" i="11"/>
  <c r="P170" i="11"/>
  <c r="R184" i="11"/>
  <c r="V184" i="11" s="1"/>
  <c r="BP191" i="11"/>
  <c r="BD189" i="11"/>
  <c r="BD180" i="11" s="1"/>
  <c r="J139" i="11"/>
  <c r="BB139" i="11"/>
  <c r="BN146" i="11"/>
  <c r="BQ147" i="11"/>
  <c r="M150" i="11"/>
  <c r="O150" i="11"/>
  <c r="S154" i="11"/>
  <c r="L171" i="11"/>
  <c r="P171" i="11" s="1"/>
  <c r="T171" i="11" s="1"/>
  <c r="X171" i="11" s="1"/>
  <c r="AB171" i="11" s="1"/>
  <c r="AF171" i="11" s="1"/>
  <c r="AJ171" i="11" s="1"/>
  <c r="AN171" i="11" s="1"/>
  <c r="AR171" i="11" s="1"/>
  <c r="AV171" i="11" s="1"/>
  <c r="AZ171" i="11" s="1"/>
  <c r="BP171" i="11" s="1"/>
  <c r="H169" i="11"/>
  <c r="BQ159" i="11"/>
  <c r="BP163" i="11"/>
  <c r="BP167" i="11"/>
  <c r="O171" i="11"/>
  <c r="W183" i="11"/>
  <c r="BI180" i="11"/>
  <c r="BQ175" i="11"/>
  <c r="BQ179" i="11"/>
  <c r="O186" i="11"/>
  <c r="M186" i="11"/>
  <c r="M181" i="11" s="1"/>
  <c r="K181" i="11"/>
  <c r="BE180" i="11"/>
  <c r="Q182" i="11"/>
  <c r="P189" i="11"/>
  <c r="BB189" i="11"/>
  <c r="BQ176" i="11"/>
  <c r="BM180" i="11"/>
  <c r="N189" i="11"/>
  <c r="K189" i="11"/>
  <c r="BO190" i="11"/>
  <c r="BC189" i="11"/>
  <c r="BC180" i="11" s="1"/>
  <c r="N181" i="11" l="1"/>
  <c r="BM87" i="11"/>
  <c r="BQ46" i="11"/>
  <c r="I118" i="11"/>
  <c r="I87" i="11" s="1"/>
  <c r="BG139" i="11"/>
  <c r="BG87" i="11" s="1"/>
  <c r="J180" i="11"/>
  <c r="S156" i="11"/>
  <c r="R156" i="11" s="1"/>
  <c r="Q27" i="11"/>
  <c r="R70" i="11"/>
  <c r="U70" i="11" s="1"/>
  <c r="V127" i="11"/>
  <c r="Z127" i="11" s="1"/>
  <c r="AD127" i="11" s="1"/>
  <c r="AH127" i="11" s="1"/>
  <c r="AL127" i="11" s="1"/>
  <c r="AP127" i="11" s="1"/>
  <c r="AT127" i="11" s="1"/>
  <c r="AX127" i="11" s="1"/>
  <c r="BN127" i="11" s="1"/>
  <c r="P119" i="11"/>
  <c r="N62" i="11"/>
  <c r="AT22" i="11"/>
  <c r="L139" i="11"/>
  <c r="AM162" i="11"/>
  <c r="AL162" i="11" s="1"/>
  <c r="L118" i="11"/>
  <c r="AG130" i="11"/>
  <c r="Q127" i="11"/>
  <c r="K118" i="11"/>
  <c r="C87" i="11"/>
  <c r="BE118" i="11"/>
  <c r="M189" i="11"/>
  <c r="M180" i="11" s="1"/>
  <c r="BK87" i="11"/>
  <c r="BA34" i="11"/>
  <c r="S45" i="11"/>
  <c r="U45" i="11" s="1"/>
  <c r="S86" i="11"/>
  <c r="R86" i="11" s="1"/>
  <c r="Z22" i="11"/>
  <c r="K89" i="11"/>
  <c r="K88" i="11" s="1"/>
  <c r="BJ87" i="11"/>
  <c r="AL22" i="11"/>
  <c r="BQ77" i="11"/>
  <c r="BN22" i="11"/>
  <c r="M149" i="11"/>
  <c r="BN161" i="11"/>
  <c r="M119" i="11"/>
  <c r="BN129" i="11"/>
  <c r="AK34" i="11"/>
  <c r="R22" i="11"/>
  <c r="AD22" i="11"/>
  <c r="V22" i="11"/>
  <c r="N22" i="11"/>
  <c r="BN187" i="11"/>
  <c r="BN32" i="11"/>
  <c r="BQ167" i="11"/>
  <c r="L180" i="11"/>
  <c r="U34" i="11"/>
  <c r="AP22" i="11"/>
  <c r="Y34" i="11"/>
  <c r="AW34" i="11"/>
  <c r="O84" i="11"/>
  <c r="N118" i="11"/>
  <c r="AH22" i="11"/>
  <c r="Q34" i="11"/>
  <c r="BH87" i="11"/>
  <c r="G87" i="11"/>
  <c r="L88" i="11"/>
  <c r="BQ191" i="11"/>
  <c r="BQ137" i="11"/>
  <c r="U129" i="11"/>
  <c r="F87" i="11"/>
  <c r="Y32" i="11"/>
  <c r="BQ81" i="11"/>
  <c r="E87" i="11"/>
  <c r="Q123" i="11"/>
  <c r="J149" i="11"/>
  <c r="S36" i="11"/>
  <c r="W36" i="11" s="1"/>
  <c r="R72" i="11"/>
  <c r="U72" i="11" s="1"/>
  <c r="BI87" i="11"/>
  <c r="AK130" i="11"/>
  <c r="AM130" i="11"/>
  <c r="AQ130" i="11" s="1"/>
  <c r="K180" i="11"/>
  <c r="Z162" i="11"/>
  <c r="S63" i="11"/>
  <c r="W63" i="11" s="1"/>
  <c r="U27" i="11"/>
  <c r="Q189" i="11"/>
  <c r="AE162" i="11"/>
  <c r="AD162" i="11" s="1"/>
  <c r="Y131" i="11"/>
  <c r="BO134" i="11"/>
  <c r="BL87" i="11"/>
  <c r="Q154" i="11"/>
  <c r="BD87" i="11"/>
  <c r="M139" i="11"/>
  <c r="N85" i="11"/>
  <c r="N84" i="11" s="1"/>
  <c r="S85" i="11"/>
  <c r="R181" i="11"/>
  <c r="AS34" i="11"/>
  <c r="AO34" i="11"/>
  <c r="M68" i="11"/>
  <c r="M22" i="11"/>
  <c r="AG34" i="11"/>
  <c r="BO96" i="11"/>
  <c r="BQ96" i="11" s="1"/>
  <c r="AX96" i="11"/>
  <c r="V124" i="11"/>
  <c r="BQ133" i="11"/>
  <c r="P111" i="11"/>
  <c r="T112" i="11"/>
  <c r="BB163" i="11"/>
  <c r="BN163" i="11" s="1"/>
  <c r="BN167" i="11"/>
  <c r="S126" i="11"/>
  <c r="O124" i="11"/>
  <c r="BQ190" i="11"/>
  <c r="H87" i="11"/>
  <c r="P89" i="11"/>
  <c r="P88" i="11" s="1"/>
  <c r="J88" i="11"/>
  <c r="N68" i="11"/>
  <c r="AC34" i="11"/>
  <c r="O22" i="11"/>
  <c r="Q105" i="11"/>
  <c r="M89" i="11"/>
  <c r="M88" i="11" s="1"/>
  <c r="BN134" i="11"/>
  <c r="BP134" i="11"/>
  <c r="S186" i="11"/>
  <c r="Q186" i="11"/>
  <c r="Q181" i="11" s="1"/>
  <c r="O181" i="11"/>
  <c r="BO189" i="11"/>
  <c r="T189" i="11"/>
  <c r="M171" i="11"/>
  <c r="M169" i="11" s="1"/>
  <c r="Z184" i="11"/>
  <c r="V181" i="11"/>
  <c r="T183" i="11"/>
  <c r="P181" i="11"/>
  <c r="P180" i="11" s="1"/>
  <c r="AM132" i="11"/>
  <c r="AK132" i="11"/>
  <c r="AI127" i="11"/>
  <c r="V151" i="11"/>
  <c r="P139" i="11"/>
  <c r="AY129" i="11"/>
  <c r="AW129" i="11"/>
  <c r="X123" i="11"/>
  <c r="T119" i="11"/>
  <c r="U44" i="11"/>
  <c r="W44" i="11"/>
  <c r="AM110" i="11"/>
  <c r="Z110" i="11"/>
  <c r="BF89" i="11"/>
  <c r="BF88" i="11" s="1"/>
  <c r="BF87" i="11" s="1"/>
  <c r="AE76" i="11"/>
  <c r="AA68" i="11"/>
  <c r="U43" i="11"/>
  <c r="W43" i="11"/>
  <c r="AE131" i="11"/>
  <c r="AC131" i="11"/>
  <c r="BN106" i="11"/>
  <c r="R189" i="11"/>
  <c r="BN189" i="11"/>
  <c r="BB180" i="11"/>
  <c r="O189" i="11"/>
  <c r="U182" i="11"/>
  <c r="Q171" i="11"/>
  <c r="O169" i="11"/>
  <c r="S171" i="11"/>
  <c r="S150" i="11"/>
  <c r="O149" i="11"/>
  <c r="P169" i="11"/>
  <c r="T170" i="11"/>
  <c r="Q170" i="11"/>
  <c r="L149" i="11"/>
  <c r="P150" i="11"/>
  <c r="AG172" i="11"/>
  <c r="AI172" i="11"/>
  <c r="AN162" i="11"/>
  <c r="AR162" i="11" s="1"/>
  <c r="AV162" i="11" s="1"/>
  <c r="AZ162" i="11" s="1"/>
  <c r="BP162" i="11" s="1"/>
  <c r="AF162" i="11"/>
  <c r="AJ162" i="11" s="1"/>
  <c r="BQ163" i="11"/>
  <c r="O119" i="11"/>
  <c r="Q120" i="11"/>
  <c r="S120" i="11"/>
  <c r="N157" i="11"/>
  <c r="N149" i="11" s="1"/>
  <c r="S157" i="11"/>
  <c r="R139" i="11"/>
  <c r="AB125" i="11"/>
  <c r="Q122" i="11"/>
  <c r="S122" i="11"/>
  <c r="X127" i="11"/>
  <c r="U127" i="11"/>
  <c r="S111" i="11"/>
  <c r="T89" i="11"/>
  <c r="S89" i="11"/>
  <c r="O89" i="11"/>
  <c r="O88" i="11" s="1"/>
  <c r="V63" i="11"/>
  <c r="R62" i="11"/>
  <c r="AS133" i="11"/>
  <c r="AI90" i="11"/>
  <c r="AC85" i="11"/>
  <c r="Y84" i="11"/>
  <c r="BE139" i="11"/>
  <c r="BO146" i="11"/>
  <c r="BQ146" i="11" s="1"/>
  <c r="L169" i="11"/>
  <c r="AH150" i="11"/>
  <c r="Y125" i="11"/>
  <c r="AA125" i="11"/>
  <c r="BC139" i="11"/>
  <c r="BC87" i="11" s="1"/>
  <c r="M124" i="11"/>
  <c r="AA112" i="11"/>
  <c r="W111" i="11"/>
  <c r="W89" i="11"/>
  <c r="Q74" i="11"/>
  <c r="R74" i="11"/>
  <c r="R112" i="11"/>
  <c r="N111" i="11"/>
  <c r="Y39" i="11"/>
  <c r="AA39" i="11"/>
  <c r="P22" i="11"/>
  <c r="T24" i="11"/>
  <c r="AY109" i="11"/>
  <c r="AL109" i="11"/>
  <c r="AP109" i="11" s="1"/>
  <c r="AT109" i="11" s="1"/>
  <c r="AQ109" i="11"/>
  <c r="AU109" i="11" s="1"/>
  <c r="Y63" i="11"/>
  <c r="U62" i="11"/>
  <c r="U33" i="11"/>
  <c r="W33" i="11"/>
  <c r="AA89" i="11"/>
  <c r="Y27" i="11"/>
  <c r="AA27" i="11"/>
  <c r="AA35" i="11"/>
  <c r="Y35" i="11"/>
  <c r="AA183" i="11"/>
  <c r="U154" i="11"/>
  <c r="W154" i="11"/>
  <c r="N180" i="11"/>
  <c r="AE170" i="11"/>
  <c r="AW149" i="11"/>
  <c r="BA152" i="11"/>
  <c r="BA149" i="11" s="1"/>
  <c r="T126" i="11"/>
  <c r="P124" i="11"/>
  <c r="Q126" i="11"/>
  <c r="U123" i="11"/>
  <c r="W123" i="11"/>
  <c r="O139" i="11"/>
  <c r="Y129" i="11"/>
  <c r="AA129" i="11"/>
  <c r="U121" i="11"/>
  <c r="W121" i="11"/>
  <c r="R119" i="11"/>
  <c r="R118" i="11" s="1"/>
  <c r="V120" i="11"/>
  <c r="AL90" i="11"/>
  <c r="R91" i="11"/>
  <c r="N89" i="11"/>
  <c r="Z124" i="11"/>
  <c r="AD125" i="11"/>
  <c r="AS90" i="11"/>
  <c r="R76" i="11"/>
  <c r="Q76" i="11"/>
  <c r="V170" i="11"/>
  <c r="R169" i="11"/>
  <c r="Q111" i="11"/>
  <c r="U112" i="11"/>
  <c r="AC93" i="11"/>
  <c r="R75" i="11"/>
  <c r="Q75" i="11"/>
  <c r="BA109" i="11"/>
  <c r="AS109" i="11"/>
  <c r="AW109" i="11" s="1"/>
  <c r="AF32" i="11"/>
  <c r="AC32" i="11"/>
  <c r="N88" i="11" l="1"/>
  <c r="N87" i="11" s="1"/>
  <c r="Q22" i="11"/>
  <c r="W156" i="11"/>
  <c r="AA156" i="11" s="1"/>
  <c r="Z156" i="11" s="1"/>
  <c r="AQ162" i="11"/>
  <c r="AU162" i="11" s="1"/>
  <c r="Q124" i="11"/>
  <c r="S62" i="11"/>
  <c r="W86" i="11"/>
  <c r="AA86" i="11" s="1"/>
  <c r="V70" i="11"/>
  <c r="Y70" i="11" s="1"/>
  <c r="P118" i="11"/>
  <c r="W45" i="11"/>
  <c r="Y45" i="11" s="1"/>
  <c r="BE87" i="11"/>
  <c r="K87" i="11"/>
  <c r="Q180" i="11"/>
  <c r="J87" i="11"/>
  <c r="AO130" i="11"/>
  <c r="U36" i="11"/>
  <c r="V72" i="11"/>
  <c r="Z72" i="11" s="1"/>
  <c r="BQ134" i="11"/>
  <c r="BN96" i="11"/>
  <c r="M118" i="11"/>
  <c r="M87" i="11" s="1"/>
  <c r="Q139" i="11"/>
  <c r="S22" i="11"/>
  <c r="W88" i="11"/>
  <c r="R180" i="11"/>
  <c r="L87" i="11"/>
  <c r="U189" i="11"/>
  <c r="BB87" i="11"/>
  <c r="AI162" i="11"/>
  <c r="AH162" i="11" s="1"/>
  <c r="R85" i="11"/>
  <c r="R84" i="11" s="1"/>
  <c r="S84" i="11"/>
  <c r="W85" i="11"/>
  <c r="W84" i="11" s="1"/>
  <c r="U105" i="11"/>
  <c r="Q89" i="11"/>
  <c r="Q88" i="11" s="1"/>
  <c r="T111" i="11"/>
  <c r="T88" i="11" s="1"/>
  <c r="X112" i="11"/>
  <c r="Z70" i="11"/>
  <c r="O118" i="11"/>
  <c r="O87" i="11" s="1"/>
  <c r="Q169" i="11"/>
  <c r="W126" i="11"/>
  <c r="S124" i="11"/>
  <c r="AP90" i="11"/>
  <c r="X126" i="11"/>
  <c r="T124" i="11"/>
  <c r="T118" i="11" s="1"/>
  <c r="U126" i="11"/>
  <c r="U124" i="11" s="1"/>
  <c r="AI170" i="11"/>
  <c r="W122" i="11"/>
  <c r="U122" i="11"/>
  <c r="U120" i="11"/>
  <c r="S119" i="11"/>
  <c r="W120" i="11"/>
  <c r="T150" i="11"/>
  <c r="U150" i="11" s="1"/>
  <c r="U149" i="11" s="1"/>
  <c r="P149" i="11"/>
  <c r="U171" i="11"/>
  <c r="W171" i="11"/>
  <c r="S169" i="11"/>
  <c r="BA129" i="11"/>
  <c r="BO129" i="11"/>
  <c r="BQ129" i="11" s="1"/>
  <c r="U186" i="11"/>
  <c r="U181" i="11" s="1"/>
  <c r="W186" i="11"/>
  <c r="S181" i="11"/>
  <c r="AW90" i="11"/>
  <c r="AA121" i="11"/>
  <c r="Y121" i="11"/>
  <c r="AM127" i="11"/>
  <c r="X189" i="11"/>
  <c r="AJ32" i="11"/>
  <c r="AG32" i="11"/>
  <c r="V75" i="11"/>
  <c r="U75" i="11"/>
  <c r="AG93" i="11"/>
  <c r="Z170" i="11"/>
  <c r="V169" i="11"/>
  <c r="V76" i="11"/>
  <c r="U76" i="11"/>
  <c r="AH125" i="11"/>
  <c r="AD124" i="11"/>
  <c r="AE183" i="11"/>
  <c r="AE35" i="11"/>
  <c r="AC35" i="11"/>
  <c r="AC27" i="11"/>
  <c r="AE27" i="11"/>
  <c r="AX109" i="11"/>
  <c r="BO109" i="11"/>
  <c r="BQ109" i="11" s="1"/>
  <c r="V74" i="11"/>
  <c r="U74" i="11"/>
  <c r="AM90" i="11"/>
  <c r="Z63" i="11"/>
  <c r="V62" i="11"/>
  <c r="AB127" i="11"/>
  <c r="Y127" i="11"/>
  <c r="AF125" i="11"/>
  <c r="R157" i="11"/>
  <c r="R149" i="11" s="1"/>
  <c r="W157" i="11"/>
  <c r="AM172" i="11"/>
  <c r="AK172" i="11"/>
  <c r="W150" i="11"/>
  <c r="S149" i="11"/>
  <c r="AL110" i="11"/>
  <c r="AY110" i="11"/>
  <c r="AB123" i="11"/>
  <c r="X119" i="11"/>
  <c r="O180" i="11"/>
  <c r="V86" i="11"/>
  <c r="Y123" i="11"/>
  <c r="AA123" i="11"/>
  <c r="AA33" i="11"/>
  <c r="Y33" i="11"/>
  <c r="AE112" i="11"/>
  <c r="AA111" i="11"/>
  <c r="AA88" i="11" s="1"/>
  <c r="V139" i="11"/>
  <c r="AA43" i="11"/>
  <c r="Y43" i="11"/>
  <c r="R89" i="11"/>
  <c r="V91" i="11"/>
  <c r="AC39" i="11"/>
  <c r="AE39" i="11"/>
  <c r="V112" i="11"/>
  <c r="R111" i="11"/>
  <c r="Y72" i="11"/>
  <c r="AC84" i="11"/>
  <c r="AG85" i="11"/>
  <c r="S88" i="11"/>
  <c r="X89" i="11"/>
  <c r="Q119" i="11"/>
  <c r="AA63" i="11"/>
  <c r="W62" i="11"/>
  <c r="Z151" i="11"/>
  <c r="U111" i="11"/>
  <c r="Y112" i="11"/>
  <c r="Z120" i="11"/>
  <c r="V119" i="11"/>
  <c r="V118" i="11" s="1"/>
  <c r="AE129" i="11"/>
  <c r="AC129" i="11"/>
  <c r="S139" i="11"/>
  <c r="Y154" i="11"/>
  <c r="AA154" i="11"/>
  <c r="AC63" i="11"/>
  <c r="Y62" i="11"/>
  <c r="T22" i="11"/>
  <c r="X24" i="11"/>
  <c r="U24" i="11"/>
  <c r="Q68" i="11"/>
  <c r="AS130" i="11"/>
  <c r="AU130" i="11"/>
  <c r="AC125" i="11"/>
  <c r="AE125" i="11"/>
  <c r="AL150" i="11"/>
  <c r="R68" i="11"/>
  <c r="Y36" i="11"/>
  <c r="AA36" i="11"/>
  <c r="X170" i="11"/>
  <c r="T169" i="11"/>
  <c r="U170" i="11"/>
  <c r="Q150" i="11"/>
  <c r="Q149" i="11" s="1"/>
  <c r="Y182" i="11"/>
  <c r="V189" i="11"/>
  <c r="V180" i="11" s="1"/>
  <c r="AG131" i="11"/>
  <c r="AI131" i="11"/>
  <c r="AE68" i="11"/>
  <c r="AI76" i="11"/>
  <c r="Y44" i="11"/>
  <c r="AA44" i="11"/>
  <c r="T139" i="11"/>
  <c r="AQ132" i="11"/>
  <c r="AO132" i="11"/>
  <c r="T181" i="11"/>
  <c r="T180" i="11" s="1"/>
  <c r="X183" i="11"/>
  <c r="AD184" i="11"/>
  <c r="Z181" i="11"/>
  <c r="S189" i="11"/>
  <c r="AP162" i="11" l="1"/>
  <c r="AE156" i="11"/>
  <c r="AI156" i="11" s="1"/>
  <c r="Q118" i="11"/>
  <c r="Q87" i="11" s="1"/>
  <c r="P87" i="11"/>
  <c r="AA45" i="11"/>
  <c r="AA22" i="11" s="1"/>
  <c r="W22" i="11"/>
  <c r="U139" i="11"/>
  <c r="U169" i="11"/>
  <c r="U22" i="11"/>
  <c r="U180" i="11"/>
  <c r="S118" i="11"/>
  <c r="S87" i="11" s="1"/>
  <c r="BN109" i="11"/>
  <c r="Y189" i="11"/>
  <c r="U68" i="11"/>
  <c r="U119" i="11"/>
  <c r="U118" i="11" s="1"/>
  <c r="AA85" i="11"/>
  <c r="V85" i="11"/>
  <c r="V84" i="11" s="1"/>
  <c r="AA126" i="11"/>
  <c r="W124" i="11"/>
  <c r="AB112" i="11"/>
  <c r="X111" i="11"/>
  <c r="X88" i="11" s="1"/>
  <c r="W189" i="11"/>
  <c r="AC70" i="11"/>
  <c r="AD70" i="11"/>
  <c r="Y105" i="11"/>
  <c r="U89" i="11"/>
  <c r="U88" i="11" s="1"/>
  <c r="X181" i="11"/>
  <c r="X180" i="11" s="1"/>
  <c r="AB183" i="11"/>
  <c r="AC154" i="11"/>
  <c r="AE154" i="11"/>
  <c r="Z119" i="11"/>
  <c r="Z118" i="11" s="1"/>
  <c r="AD120" i="11"/>
  <c r="AF123" i="11"/>
  <c r="AB119" i="11"/>
  <c r="V157" i="11"/>
  <c r="V149" i="11" s="1"/>
  <c r="AA157" i="11"/>
  <c r="AQ127" i="11"/>
  <c r="AE121" i="11"/>
  <c r="AC121" i="11"/>
  <c r="AM170" i="11"/>
  <c r="X169" i="11"/>
  <c r="AB170" i="11"/>
  <c r="Y170" i="11"/>
  <c r="X22" i="11"/>
  <c r="AB24" i="11"/>
  <c r="Y24" i="11"/>
  <c r="Y22" i="11" s="1"/>
  <c r="AG39" i="11"/>
  <c r="AI39" i="11"/>
  <c r="AC43" i="11"/>
  <c r="AE43" i="11"/>
  <c r="AI112" i="11"/>
  <c r="AE111" i="11"/>
  <c r="BO110" i="11"/>
  <c r="BQ110" i="11" s="1"/>
  <c r="AX110" i="11"/>
  <c r="AQ90" i="11"/>
  <c r="AI35" i="11"/>
  <c r="AG35" i="11"/>
  <c r="Z76" i="11"/>
  <c r="AD76" i="11" s="1"/>
  <c r="AH76" i="11" s="1"/>
  <c r="AL76" i="11" s="1"/>
  <c r="AP76" i="11" s="1"/>
  <c r="AT76" i="11" s="1"/>
  <c r="AX76" i="11" s="1"/>
  <c r="Y76" i="11"/>
  <c r="AC76" i="11" s="1"/>
  <c r="AG76" i="11" s="1"/>
  <c r="AK76" i="11" s="1"/>
  <c r="AO76" i="11" s="1"/>
  <c r="AS76" i="11" s="1"/>
  <c r="AW76" i="11" s="1"/>
  <c r="BA76" i="11" s="1"/>
  <c r="AN32" i="11"/>
  <c r="AK32" i="11"/>
  <c r="T149" i="11"/>
  <c r="T87" i="11" s="1"/>
  <c r="X150" i="11"/>
  <c r="Y150" i="11" s="1"/>
  <c r="Y149" i="11" s="1"/>
  <c r="AI68" i="11"/>
  <c r="AM76" i="11"/>
  <c r="Z189" i="11"/>
  <c r="Z180" i="11" s="1"/>
  <c r="AG129" i="11"/>
  <c r="AI129" i="11"/>
  <c r="AY162" i="11"/>
  <c r="AT162" i="11"/>
  <c r="R88" i="11"/>
  <c r="R87" i="11" s="1"/>
  <c r="Z139" i="11"/>
  <c r="V68" i="11"/>
  <c r="AJ125" i="11"/>
  <c r="Z74" i="11"/>
  <c r="Y74" i="11"/>
  <c r="BA90" i="11"/>
  <c r="AA171" i="11"/>
  <c r="Y171" i="11"/>
  <c r="W169" i="11"/>
  <c r="W119" i="11"/>
  <c r="Y120" i="11"/>
  <c r="AA120" i="11"/>
  <c r="AA122" i="11"/>
  <c r="Y122" i="11"/>
  <c r="AC44" i="11"/>
  <c r="AE44" i="11"/>
  <c r="AK131" i="11"/>
  <c r="AM131" i="11"/>
  <c r="AP150" i="11"/>
  <c r="AG63" i="11"/>
  <c r="AC62" i="11"/>
  <c r="W139" i="11"/>
  <c r="V111" i="11"/>
  <c r="Z112" i="11"/>
  <c r="AE89" i="11"/>
  <c r="AE86" i="11"/>
  <c r="Z86" i="11"/>
  <c r="AA150" i="11"/>
  <c r="W149" i="11"/>
  <c r="Y186" i="11"/>
  <c r="Y181" i="11" s="1"/>
  <c r="AA186" i="11"/>
  <c r="W181" i="11"/>
  <c r="AB126" i="11"/>
  <c r="Y126" i="11"/>
  <c r="Y124" i="11" s="1"/>
  <c r="X124" i="11"/>
  <c r="X118" i="11" s="1"/>
  <c r="AC182" i="11"/>
  <c r="AC36" i="11"/>
  <c r="AE36" i="11"/>
  <c r="AW130" i="11"/>
  <c r="AY130" i="11"/>
  <c r="AC112" i="11"/>
  <c r="Y111" i="11"/>
  <c r="AD151" i="11"/>
  <c r="AG84" i="11"/>
  <c r="AK85" i="11"/>
  <c r="V89" i="11"/>
  <c r="Z91" i="11"/>
  <c r="AF127" i="11"/>
  <c r="AC127" i="11"/>
  <c r="AG27" i="11"/>
  <c r="AI27" i="11"/>
  <c r="AK93" i="11"/>
  <c r="AB189" i="11"/>
  <c r="AT90" i="11"/>
  <c r="AH184" i="11"/>
  <c r="AD181" i="11"/>
  <c r="AU132" i="11"/>
  <c r="AS132" i="11"/>
  <c r="X139" i="11"/>
  <c r="AG125" i="11"/>
  <c r="AI125" i="11"/>
  <c r="AA62" i="11"/>
  <c r="AE63" i="11"/>
  <c r="AB89" i="11"/>
  <c r="AC72" i="11"/>
  <c r="AD72" i="11"/>
  <c r="AE33" i="11"/>
  <c r="AC33" i="11"/>
  <c r="AC123" i="11"/>
  <c r="AE123" i="11"/>
  <c r="AQ172" i="11"/>
  <c r="AO172" i="11"/>
  <c r="Z62" i="11"/>
  <c r="AD63" i="11"/>
  <c r="AI183" i="11"/>
  <c r="AH124" i="11"/>
  <c r="AL125" i="11"/>
  <c r="AD170" i="11"/>
  <c r="Z169" i="11"/>
  <c r="Y75" i="11"/>
  <c r="Z75" i="11"/>
  <c r="S180" i="11"/>
  <c r="AD156" i="11" l="1"/>
  <c r="AE45" i="11"/>
  <c r="AI45" i="11" s="1"/>
  <c r="AC45" i="11"/>
  <c r="BN76" i="11"/>
  <c r="W180" i="11"/>
  <c r="Y139" i="11"/>
  <c r="BN110" i="11"/>
  <c r="Y180" i="11"/>
  <c r="AE88" i="11"/>
  <c r="Z68" i="11"/>
  <c r="U87" i="11"/>
  <c r="AC189" i="11"/>
  <c r="AC105" i="11"/>
  <c r="Y89" i="11"/>
  <c r="Y88" i="11" s="1"/>
  <c r="Z85" i="11"/>
  <c r="Z84" i="11" s="1"/>
  <c r="AE85" i="11"/>
  <c r="AG70" i="11"/>
  <c r="AH70" i="11"/>
  <c r="AE126" i="11"/>
  <c r="AA124" i="11"/>
  <c r="Y68" i="11"/>
  <c r="V88" i="11"/>
  <c r="V87" i="11" s="1"/>
  <c r="AA84" i="11"/>
  <c r="W118" i="11"/>
  <c r="W87" i="11" s="1"/>
  <c r="AB111" i="11"/>
  <c r="AB88" i="11" s="1"/>
  <c r="AF112" i="11"/>
  <c r="AL124" i="11"/>
  <c r="AP125" i="11"/>
  <c r="AS172" i="11"/>
  <c r="AU172" i="11"/>
  <c r="AE62" i="11"/>
  <c r="AI63" i="11"/>
  <c r="AL184" i="11"/>
  <c r="AH181" i="11"/>
  <c r="AD91" i="11"/>
  <c r="Z89" i="11"/>
  <c r="BO130" i="11"/>
  <c r="BQ130" i="11" s="1"/>
  <c r="BA130" i="11"/>
  <c r="AF126" i="11"/>
  <c r="AC126" i="11"/>
  <c r="AC124" i="11" s="1"/>
  <c r="AB124" i="11"/>
  <c r="AB118" i="11" s="1"/>
  <c r="AD86" i="11"/>
  <c r="AI86" i="11"/>
  <c r="AK63" i="11"/>
  <c r="AG62" i="11"/>
  <c r="AO131" i="11"/>
  <c r="AQ131" i="11"/>
  <c r="AD189" i="11"/>
  <c r="AD180" i="11" s="1"/>
  <c r="AI43" i="11"/>
  <c r="AG43" i="11"/>
  <c r="AF170" i="11"/>
  <c r="AB169" i="11"/>
  <c r="AC170" i="11"/>
  <c r="AG121" i="11"/>
  <c r="AI121" i="11"/>
  <c r="Z157" i="11"/>
  <c r="Z149" i="11" s="1"/>
  <c r="AE157" i="11"/>
  <c r="AF183" i="11"/>
  <c r="AB181" i="11"/>
  <c r="AB180" i="11" s="1"/>
  <c r="AF189" i="11"/>
  <c r="AH151" i="11"/>
  <c r="AE150" i="11"/>
  <c r="AA149" i="11"/>
  <c r="AK129" i="11"/>
  <c r="AM129" i="11"/>
  <c r="AR32" i="11"/>
  <c r="AO32" i="11"/>
  <c r="AM35" i="11"/>
  <c r="AK35" i="11"/>
  <c r="AM183" i="11"/>
  <c r="AG123" i="11"/>
  <c r="AI123" i="11"/>
  <c r="AY132" i="11"/>
  <c r="AW132" i="11"/>
  <c r="AO93" i="11"/>
  <c r="AK27" i="11"/>
  <c r="AM27" i="11"/>
  <c r="AK84" i="11"/>
  <c r="AO85" i="11"/>
  <c r="AG36" i="11"/>
  <c r="AI36" i="11"/>
  <c r="AE186" i="11"/>
  <c r="AA181" i="11"/>
  <c r="Z111" i="11"/>
  <c r="AD112" i="11"/>
  <c r="AA139" i="11"/>
  <c r="AG44" i="11"/>
  <c r="AI44" i="11"/>
  <c r="AE120" i="11"/>
  <c r="AA119" i="11"/>
  <c r="AC120" i="11"/>
  <c r="AD74" i="11"/>
  <c r="AC74" i="11"/>
  <c r="AD139" i="11"/>
  <c r="AX162" i="11"/>
  <c r="BO162" i="11"/>
  <c r="BQ162" i="11" s="1"/>
  <c r="AU90" i="11"/>
  <c r="AK39" i="11"/>
  <c r="AM39" i="11"/>
  <c r="AU127" i="11"/>
  <c r="AG154" i="11"/>
  <c r="AI154" i="11"/>
  <c r="AD75" i="11"/>
  <c r="AC75" i="11"/>
  <c r="AC181" i="11"/>
  <c r="AG182" i="11"/>
  <c r="AB150" i="11"/>
  <c r="X149" i="11"/>
  <c r="X87" i="11" s="1"/>
  <c r="AQ170" i="11"/>
  <c r="AD119" i="11"/>
  <c r="AD118" i="11" s="1"/>
  <c r="AH120" i="11"/>
  <c r="AD62" i="11"/>
  <c r="AH63" i="11"/>
  <c r="AI33" i="11"/>
  <c r="AG33" i="11"/>
  <c r="AX90" i="11"/>
  <c r="AC122" i="11"/>
  <c r="AE122" i="11"/>
  <c r="AI122" i="11" s="1"/>
  <c r="AM122" i="11" s="1"/>
  <c r="AQ122" i="11" s="1"/>
  <c r="AU122" i="11" s="1"/>
  <c r="AY122" i="11" s="1"/>
  <c r="BO122" i="11" s="1"/>
  <c r="BQ122" i="11" s="1"/>
  <c r="AQ76" i="11"/>
  <c r="AM68" i="11"/>
  <c r="AB22" i="11"/>
  <c r="AF24" i="11"/>
  <c r="AC24" i="11"/>
  <c r="AC22" i="11" s="1"/>
  <c r="AH170" i="11"/>
  <c r="AD169" i="11"/>
  <c r="AH72" i="11"/>
  <c r="AG72" i="11"/>
  <c r="AF89" i="11"/>
  <c r="AK125" i="11"/>
  <c r="AM125" i="11"/>
  <c r="AB139" i="11"/>
  <c r="AA189" i="11"/>
  <c r="BO141" i="11"/>
  <c r="BQ141" i="11" s="1"/>
  <c r="AJ127" i="11"/>
  <c r="AG127" i="11"/>
  <c r="AG112" i="11"/>
  <c r="AC111" i="11"/>
  <c r="AI89" i="11"/>
  <c r="AT150" i="11"/>
  <c r="Y119" i="11"/>
  <c r="Y118" i="11" s="1"/>
  <c r="AE171" i="11"/>
  <c r="AC171" i="11"/>
  <c r="AA169" i="11"/>
  <c r="AN125" i="11"/>
  <c r="AM112" i="11"/>
  <c r="AI111" i="11"/>
  <c r="Y169" i="11"/>
  <c r="AM156" i="11"/>
  <c r="AL156" i="11" s="1"/>
  <c r="AH156" i="11"/>
  <c r="AF119" i="11"/>
  <c r="AJ123" i="11"/>
  <c r="AC68" i="11" l="1"/>
  <c r="AE22" i="11"/>
  <c r="AG45" i="11"/>
  <c r="BN162" i="11"/>
  <c r="AI22" i="11"/>
  <c r="AD68" i="11"/>
  <c r="AI85" i="11"/>
  <c r="AD85" i="11"/>
  <c r="AD84" i="11" s="1"/>
  <c r="AI88" i="11"/>
  <c r="AI126" i="11"/>
  <c r="AE124" i="11"/>
  <c r="AC119" i="11"/>
  <c r="AC118" i="11" s="1"/>
  <c r="AF111" i="11"/>
  <c r="AJ112" i="11"/>
  <c r="AL70" i="11"/>
  <c r="AK70" i="11"/>
  <c r="AF88" i="11"/>
  <c r="Y87" i="11"/>
  <c r="AC180" i="11"/>
  <c r="AA118" i="11"/>
  <c r="AA87" i="11" s="1"/>
  <c r="AE84" i="11"/>
  <c r="AE189" i="11"/>
  <c r="AG105" i="11"/>
  <c r="AC89" i="11"/>
  <c r="AC88" i="11" s="1"/>
  <c r="AG171" i="11"/>
  <c r="AI171" i="11"/>
  <c r="AE169" i="11"/>
  <c r="AO39" i="11"/>
  <c r="AQ39" i="11"/>
  <c r="AH112" i="11"/>
  <c r="AD111" i="11"/>
  <c r="AQ35" i="11"/>
  <c r="AO35" i="11"/>
  <c r="AJ189" i="11"/>
  <c r="AH189" i="11"/>
  <c r="AH180" i="11" s="1"/>
  <c r="AH91" i="11"/>
  <c r="AD89" i="11"/>
  <c r="AL63" i="11"/>
  <c r="AH62" i="11"/>
  <c r="AG181" i="11"/>
  <c r="AK182" i="11"/>
  <c r="AM45" i="11"/>
  <c r="AK45" i="11"/>
  <c r="AM121" i="11"/>
  <c r="AK121" i="11"/>
  <c r="AF169" i="11"/>
  <c r="AJ170" i="11"/>
  <c r="AG170" i="11"/>
  <c r="AI62" i="11"/>
  <c r="AM63" i="11"/>
  <c r="AT125" i="11"/>
  <c r="AP124" i="11"/>
  <c r="BO142" i="11"/>
  <c r="BQ142" i="11" s="1"/>
  <c r="AM89" i="11"/>
  <c r="AN127" i="11"/>
  <c r="AK127" i="11"/>
  <c r="AO125" i="11"/>
  <c r="AQ125" i="11"/>
  <c r="AL170" i="11"/>
  <c r="AH169" i="11"/>
  <c r="BN90" i="11"/>
  <c r="AU170" i="11"/>
  <c r="AH75" i="11"/>
  <c r="AG75" i="11"/>
  <c r="AY90" i="11"/>
  <c r="AH139" i="11"/>
  <c r="AE119" i="11"/>
  <c r="AG120" i="11"/>
  <c r="AG119" i="11" s="1"/>
  <c r="AI120" i="11"/>
  <c r="AC139" i="11"/>
  <c r="AI186" i="11"/>
  <c r="AE181" i="11"/>
  <c r="AS85" i="11"/>
  <c r="AO84" i="11"/>
  <c r="BA132" i="11"/>
  <c r="BO132" i="11"/>
  <c r="BQ132" i="11" s="1"/>
  <c r="AQ183" i="11"/>
  <c r="AS32" i="11"/>
  <c r="AV32" i="11"/>
  <c r="AI150" i="11"/>
  <c r="AE149" i="11"/>
  <c r="AG189" i="11"/>
  <c r="AJ183" i="11"/>
  <c r="AF181" i="11"/>
  <c r="AF180" i="11" s="1"/>
  <c r="AO63" i="11"/>
  <c r="AK62" i="11"/>
  <c r="AN123" i="11"/>
  <c r="AJ119" i="11"/>
  <c r="AQ156" i="11"/>
  <c r="AR125" i="11"/>
  <c r="AK112" i="11"/>
  <c r="AG111" i="11"/>
  <c r="AF139" i="11"/>
  <c r="AK72" i="11"/>
  <c r="AL72" i="11"/>
  <c r="AF22" i="11"/>
  <c r="AJ24" i="11"/>
  <c r="AG24" i="11"/>
  <c r="AM33" i="11"/>
  <c r="AK33" i="11"/>
  <c r="AS93" i="11"/>
  <c r="BA93" i="11"/>
  <c r="AK123" i="11"/>
  <c r="AM123" i="11"/>
  <c r="AJ126" i="11"/>
  <c r="AG126" i="11"/>
  <c r="AG124" i="11" s="1"/>
  <c r="AF124" i="11"/>
  <c r="AF118" i="11" s="1"/>
  <c r="AL181" i="11"/>
  <c r="AP184" i="11"/>
  <c r="AJ89" i="11"/>
  <c r="AL120" i="11"/>
  <c r="AH119" i="11"/>
  <c r="AH118" i="11" s="1"/>
  <c r="AB149" i="11"/>
  <c r="AB87" i="11" s="1"/>
  <c r="AF150" i="11"/>
  <c r="AG150" i="11" s="1"/>
  <c r="AG149" i="11" s="1"/>
  <c r="AA180" i="11"/>
  <c r="AO27" i="11"/>
  <c r="AQ27" i="11"/>
  <c r="AQ112" i="11"/>
  <c r="AM111" i="11"/>
  <c r="AX150" i="11"/>
  <c r="AU76" i="11"/>
  <c r="AQ68" i="11"/>
  <c r="AK154" i="11"/>
  <c r="AM154" i="11"/>
  <c r="AY127" i="11"/>
  <c r="AG74" i="11"/>
  <c r="AH74" i="11"/>
  <c r="AK44" i="11"/>
  <c r="AM44" i="11"/>
  <c r="AE139" i="11"/>
  <c r="AK36" i="11"/>
  <c r="AM36" i="11"/>
  <c r="AQ129" i="11"/>
  <c r="AS129" i="11" s="1"/>
  <c r="AO129" i="11"/>
  <c r="AC150" i="11"/>
  <c r="AC149" i="11" s="1"/>
  <c r="AD157" i="11"/>
  <c r="AD149" i="11" s="1"/>
  <c r="AI157" i="11"/>
  <c r="AH157" i="11" s="1"/>
  <c r="AM157" i="11" s="1"/>
  <c r="AC169" i="11"/>
  <c r="AK43" i="11"/>
  <c r="AM43" i="11"/>
  <c r="AU131" i="11"/>
  <c r="AS131" i="11"/>
  <c r="AM86" i="11"/>
  <c r="AH86" i="11"/>
  <c r="Z88" i="11"/>
  <c r="Z87" i="11" s="1"/>
  <c r="AW172" i="11"/>
  <c r="AG22" i="11" l="1"/>
  <c r="AE180" i="11"/>
  <c r="AE118" i="11"/>
  <c r="AE87" i="11" s="1"/>
  <c r="AG68" i="11"/>
  <c r="AG169" i="11"/>
  <c r="AK105" i="11"/>
  <c r="AG89" i="11"/>
  <c r="AG88" i="11" s="1"/>
  <c r="AP70" i="11"/>
  <c r="AO70" i="11"/>
  <c r="AM85" i="11"/>
  <c r="AM84" i="11" s="1"/>
  <c r="AH85" i="11"/>
  <c r="AH84" i="11" s="1"/>
  <c r="AI84" i="11"/>
  <c r="AG139" i="11"/>
  <c r="AK189" i="11"/>
  <c r="AJ111" i="11"/>
  <c r="AJ88" i="11" s="1"/>
  <c r="AN112" i="11"/>
  <c r="AM126" i="11"/>
  <c r="AI124" i="11"/>
  <c r="AC87" i="11"/>
  <c r="AH149" i="11"/>
  <c r="BO127" i="11"/>
  <c r="AV125" i="11"/>
  <c r="AG118" i="11"/>
  <c r="AY170" i="11"/>
  <c r="AO36" i="11"/>
  <c r="AQ36" i="11"/>
  <c r="AL74" i="11"/>
  <c r="AK74" i="11"/>
  <c r="AT184" i="11"/>
  <c r="AP181" i="11"/>
  <c r="AN126" i="11"/>
  <c r="AK126" i="11"/>
  <c r="AK124" i="11" s="1"/>
  <c r="AJ124" i="11"/>
  <c r="AJ118" i="11" s="1"/>
  <c r="AR123" i="11"/>
  <c r="AN119" i="11"/>
  <c r="AZ32" i="11"/>
  <c r="AW32" i="11"/>
  <c r="AM186" i="11"/>
  <c r="AI181" i="11"/>
  <c r="AQ121" i="11"/>
  <c r="AO121" i="11"/>
  <c r="AG180" i="11"/>
  <c r="AL112" i="11"/>
  <c r="AH111" i="11"/>
  <c r="AK171" i="11"/>
  <c r="AM171" i="11"/>
  <c r="AI169" i="11"/>
  <c r="AI139" i="11"/>
  <c r="AU68" i="11"/>
  <c r="AY76" i="11"/>
  <c r="AM22" i="11"/>
  <c r="AJ150" i="11"/>
  <c r="AF149" i="11"/>
  <c r="AF87" i="11" s="1"/>
  <c r="AO123" i="11"/>
  <c r="AQ123" i="11"/>
  <c r="AW93" i="11"/>
  <c r="AK111" i="11"/>
  <c r="AO112" i="11"/>
  <c r="AL139" i="11"/>
  <c r="AP170" i="11"/>
  <c r="AL169" i="11"/>
  <c r="AQ89" i="11"/>
  <c r="AX125" i="11"/>
  <c r="AT124" i="11"/>
  <c r="AN170" i="11"/>
  <c r="AJ169" i="11"/>
  <c r="AK170" i="11"/>
  <c r="AL189" i="11"/>
  <c r="AL180" i="11" s="1"/>
  <c r="AN189" i="11"/>
  <c r="AU35" i="11"/>
  <c r="AS35" i="11"/>
  <c r="AS39" i="11"/>
  <c r="AU39" i="11"/>
  <c r="BO172" i="11"/>
  <c r="BQ172" i="11" s="1"/>
  <c r="AQ43" i="11"/>
  <c r="AO43" i="11"/>
  <c r="AP72" i="11"/>
  <c r="BO90" i="11"/>
  <c r="BQ90" i="11" s="1"/>
  <c r="AM88" i="11"/>
  <c r="AO182" i="11"/>
  <c r="AK181" i="11"/>
  <c r="AL91" i="11"/>
  <c r="AH89" i="11"/>
  <c r="AQ86" i="11"/>
  <c r="AL86" i="11"/>
  <c r="AO154" i="11"/>
  <c r="AQ154" i="11"/>
  <c r="AU112" i="11"/>
  <c r="AQ111" i="11"/>
  <c r="AP120" i="11"/>
  <c r="AL119" i="11"/>
  <c r="AL118" i="11" s="1"/>
  <c r="AJ22" i="11"/>
  <c r="AN24" i="11"/>
  <c r="AK24" i="11"/>
  <c r="AK22" i="11" s="1"/>
  <c r="AO72" i="11"/>
  <c r="AO62" i="11"/>
  <c r="AS63" i="11"/>
  <c r="AW131" i="11"/>
  <c r="AY131" i="11"/>
  <c r="AL157" i="11"/>
  <c r="AL149" i="11" s="1"/>
  <c r="AQ157" i="11"/>
  <c r="AP157" i="11" s="1"/>
  <c r="AU157" i="11"/>
  <c r="AO44" i="11"/>
  <c r="AQ44" i="11"/>
  <c r="BN150" i="11"/>
  <c r="AS27" i="11"/>
  <c r="AU27" i="11"/>
  <c r="AN89" i="11"/>
  <c r="AQ33" i="11"/>
  <c r="AO33" i="11"/>
  <c r="AH68" i="11"/>
  <c r="AJ139" i="11"/>
  <c r="AU156" i="11"/>
  <c r="AP156" i="11"/>
  <c r="AN183" i="11"/>
  <c r="AJ181" i="11"/>
  <c r="AJ180" i="11" s="1"/>
  <c r="AM150" i="11"/>
  <c r="AI149" i="11"/>
  <c r="AU183" i="11"/>
  <c r="AS84" i="11"/>
  <c r="AW85" i="11"/>
  <c r="AK120" i="11"/>
  <c r="AK119" i="11" s="1"/>
  <c r="AI119" i="11"/>
  <c r="AM120" i="11"/>
  <c r="AL75" i="11"/>
  <c r="AK75" i="11"/>
  <c r="AS125" i="11"/>
  <c r="AU125" i="11"/>
  <c r="AR127" i="11"/>
  <c r="AO127" i="11"/>
  <c r="AQ63" i="11"/>
  <c r="AM62" i="11"/>
  <c r="AQ45" i="11"/>
  <c r="AO45" i="11"/>
  <c r="AP63" i="11"/>
  <c r="AL62" i="11"/>
  <c r="AD88" i="11"/>
  <c r="AD87" i="11" s="1"/>
  <c r="AI189" i="11"/>
  <c r="AI118" i="11" l="1"/>
  <c r="AI87" i="11" s="1"/>
  <c r="AK180" i="11"/>
  <c r="AK68" i="11"/>
  <c r="AK118" i="11"/>
  <c r="AP149" i="11"/>
  <c r="AG87" i="11"/>
  <c r="AS70" i="11"/>
  <c r="AT70" i="11"/>
  <c r="AO189" i="11"/>
  <c r="AQ126" i="11"/>
  <c r="AM124" i="11"/>
  <c r="AM189" i="11"/>
  <c r="AK139" i="11"/>
  <c r="AR112" i="11"/>
  <c r="AN111" i="11"/>
  <c r="AN88" i="11" s="1"/>
  <c r="AL85" i="11"/>
  <c r="AL84" i="11" s="1"/>
  <c r="AQ85" i="11"/>
  <c r="AO105" i="11"/>
  <c r="AK89" i="11"/>
  <c r="AK88" i="11" s="1"/>
  <c r="AO75" i="11"/>
  <c r="AS75" i="11" s="1"/>
  <c r="AP75" i="11"/>
  <c r="AT75" i="11" s="1"/>
  <c r="AX75" i="11" s="1"/>
  <c r="AR183" i="11"/>
  <c r="AN181" i="11"/>
  <c r="AN180" i="11" s="1"/>
  <c r="AW27" i="11"/>
  <c r="AY27" i="11"/>
  <c r="AS44" i="11"/>
  <c r="AU44" i="11"/>
  <c r="AS154" i="11"/>
  <c r="AS149" i="11" s="1"/>
  <c r="AU154" i="11"/>
  <c r="AY154" i="11" s="1"/>
  <c r="BO154" i="11" s="1"/>
  <c r="BQ154" i="11" s="1"/>
  <c r="AU89" i="11"/>
  <c r="AS112" i="11"/>
  <c r="AO111" i="11"/>
  <c r="AS123" i="11"/>
  <c r="AU123" i="11"/>
  <c r="AR119" i="11"/>
  <c r="AV123" i="11"/>
  <c r="AP74" i="11"/>
  <c r="AP68" i="11" s="1"/>
  <c r="AO74" i="11"/>
  <c r="BO170" i="11"/>
  <c r="AQ62" i="11"/>
  <c r="AU63" i="11"/>
  <c r="AM119" i="11"/>
  <c r="AQ120" i="11"/>
  <c r="AO120" i="11"/>
  <c r="AO119" i="11" s="1"/>
  <c r="AT120" i="11"/>
  <c r="AP119" i="11"/>
  <c r="AP118" i="11" s="1"/>
  <c r="AL68" i="11"/>
  <c r="AJ149" i="11"/>
  <c r="AJ87" i="11" s="1"/>
  <c r="AN150" i="11"/>
  <c r="AO150" i="11" s="1"/>
  <c r="AO149" i="11" s="1"/>
  <c r="AM139" i="11"/>
  <c r="AU121" i="11"/>
  <c r="AS121" i="11"/>
  <c r="AS36" i="11"/>
  <c r="AU36" i="11"/>
  <c r="AK150" i="11"/>
  <c r="AK149" i="11" s="1"/>
  <c r="AY156" i="11"/>
  <c r="BO156" i="11" s="1"/>
  <c r="BQ156" i="11" s="1"/>
  <c r="AT156" i="11"/>
  <c r="AR89" i="11"/>
  <c r="AT157" i="11"/>
  <c r="AY157" i="11"/>
  <c r="AN22" i="11"/>
  <c r="AR24" i="11"/>
  <c r="AO24" i="11"/>
  <c r="AO22" i="11" s="1"/>
  <c r="AH88" i="11"/>
  <c r="AH87" i="11" s="1"/>
  <c r="AT72" i="11"/>
  <c r="AW39" i="11"/>
  <c r="AY39" i="11"/>
  <c r="AR189" i="11"/>
  <c r="AP189" i="11"/>
  <c r="AP180" i="11" s="1"/>
  <c r="AK169" i="11"/>
  <c r="AX124" i="11"/>
  <c r="BN125" i="11"/>
  <c r="AP112" i="11"/>
  <c r="AL111" i="11"/>
  <c r="BA32" i="11"/>
  <c r="BP32" i="11"/>
  <c r="BQ32" i="11" s="1"/>
  <c r="AX184" i="11"/>
  <c r="AT181" i="11"/>
  <c r="AW84" i="11"/>
  <c r="BA85" i="11"/>
  <c r="BA84" i="11" s="1"/>
  <c r="AN139" i="11"/>
  <c r="AS72" i="11"/>
  <c r="AN169" i="11"/>
  <c r="AR170" i="11"/>
  <c r="AO170" i="11"/>
  <c r="AP139" i="11"/>
  <c r="AQ186" i="11"/>
  <c r="AM181" i="11"/>
  <c r="AM180" i="11" s="1"/>
  <c r="AR126" i="11"/>
  <c r="AO126" i="11"/>
  <c r="AO124" i="11" s="1"/>
  <c r="AN124" i="11"/>
  <c r="AN118" i="11" s="1"/>
  <c r="AP62" i="11"/>
  <c r="AT63" i="11"/>
  <c r="AW125" i="11"/>
  <c r="AY125" i="11"/>
  <c r="AQ150" i="11"/>
  <c r="AM149" i="11"/>
  <c r="BA131" i="11"/>
  <c r="BO131" i="11"/>
  <c r="BQ131" i="11" s="1"/>
  <c r="AW63" i="11"/>
  <c r="AS62" i="11"/>
  <c r="AO181" i="11"/>
  <c r="AS182" i="11"/>
  <c r="AY35" i="11"/>
  <c r="AW35" i="11"/>
  <c r="AU45" i="11"/>
  <c r="AS45" i="11"/>
  <c r="AV127" i="11"/>
  <c r="AS127" i="11"/>
  <c r="AY183" i="11"/>
  <c r="AU33" i="11"/>
  <c r="AS33" i="11"/>
  <c r="AQ22" i="11"/>
  <c r="AY112" i="11"/>
  <c r="AU111" i="11"/>
  <c r="AP86" i="11"/>
  <c r="AU86" i="11"/>
  <c r="AT86" i="11" s="1"/>
  <c r="AY86" i="11" s="1"/>
  <c r="AP91" i="11"/>
  <c r="AL89" i="11"/>
  <c r="AU43" i="11"/>
  <c r="AS43" i="11"/>
  <c r="AQ88" i="11"/>
  <c r="AT170" i="11"/>
  <c r="AP169" i="11"/>
  <c r="BO76" i="11"/>
  <c r="BQ76" i="11" s="1"/>
  <c r="AY68" i="11"/>
  <c r="BO68" i="11" s="1"/>
  <c r="BQ68" i="11" s="1"/>
  <c r="AQ171" i="11"/>
  <c r="AO171" i="11"/>
  <c r="AM169" i="11"/>
  <c r="AI180" i="11"/>
  <c r="AZ125" i="11"/>
  <c r="AM118" i="11" l="1"/>
  <c r="AM87" i="11" s="1"/>
  <c r="BN124" i="11"/>
  <c r="BN75" i="11"/>
  <c r="AS189" i="11"/>
  <c r="AU85" i="11"/>
  <c r="AQ84" i="11"/>
  <c r="AP85" i="11"/>
  <c r="AP84" i="11" s="1"/>
  <c r="AO139" i="11"/>
  <c r="AT189" i="11"/>
  <c r="AT180" i="11" s="1"/>
  <c r="AX70" i="11"/>
  <c r="AW70" i="11"/>
  <c r="AO180" i="11"/>
  <c r="AK87" i="11"/>
  <c r="AS105" i="11"/>
  <c r="AO89" i="11"/>
  <c r="AO88" i="11" s="1"/>
  <c r="AR111" i="11"/>
  <c r="AR88" i="11" s="1"/>
  <c r="AV112" i="11"/>
  <c r="AU126" i="11"/>
  <c r="AQ124" i="11"/>
  <c r="AT62" i="11"/>
  <c r="AX63" i="11"/>
  <c r="AV126" i="11"/>
  <c r="AS126" i="11"/>
  <c r="AS124" i="11" s="1"/>
  <c r="AR124" i="11"/>
  <c r="AR118" i="11" s="1"/>
  <c r="AR139" i="11"/>
  <c r="AQ189" i="11"/>
  <c r="AX156" i="11"/>
  <c r="BN156" i="11" s="1"/>
  <c r="AW36" i="11"/>
  <c r="AY36" i="11"/>
  <c r="AW121" i="11"/>
  <c r="AY121" i="11"/>
  <c r="AU120" i="11"/>
  <c r="AQ119" i="11"/>
  <c r="AS120" i="11"/>
  <c r="AS119" i="11" s="1"/>
  <c r="AW112" i="11"/>
  <c r="AS111" i="11"/>
  <c r="BO145" i="11"/>
  <c r="BQ145" i="11" s="1"/>
  <c r="BN145" i="11"/>
  <c r="AW44" i="11"/>
  <c r="AY44" i="11"/>
  <c r="AU171" i="11"/>
  <c r="AS171" i="11"/>
  <c r="AQ169" i="11"/>
  <c r="AY43" i="11"/>
  <c r="AW43" i="11"/>
  <c r="AL88" i="11"/>
  <c r="AL87" i="11" s="1"/>
  <c r="AY33" i="11"/>
  <c r="AW33" i="11"/>
  <c r="AZ127" i="11"/>
  <c r="AW127" i="11"/>
  <c r="BO35" i="11"/>
  <c r="BQ35" i="11" s="1"/>
  <c r="BA35" i="11"/>
  <c r="BO125" i="11"/>
  <c r="BA125" i="11"/>
  <c r="AO169" i="11"/>
  <c r="AO68" i="11"/>
  <c r="BN184" i="11"/>
  <c r="AX181" i="11"/>
  <c r="AP111" i="11"/>
  <c r="AT112" i="11"/>
  <c r="AR22" i="11"/>
  <c r="AV24" i="11"/>
  <c r="AS24" i="11"/>
  <c r="AS22" i="11" s="1"/>
  <c r="AW189" i="11"/>
  <c r="AW123" i="11"/>
  <c r="AY123" i="11"/>
  <c r="AU88" i="11"/>
  <c r="AX170" i="11"/>
  <c r="BN170" i="11" s="1"/>
  <c r="AT169" i="11"/>
  <c r="AT91" i="11"/>
  <c r="AP89" i="11"/>
  <c r="BO112" i="11"/>
  <c r="AY111" i="11"/>
  <c r="BO111" i="11" s="1"/>
  <c r="BA63" i="11"/>
  <c r="BA62" i="11" s="1"/>
  <c r="AW62" i="11"/>
  <c r="AU186" i="11"/>
  <c r="AQ181" i="11"/>
  <c r="AV170" i="11"/>
  <c r="AR169" i="11"/>
  <c r="AS170" i="11"/>
  <c r="AW72" i="11"/>
  <c r="BA39" i="11"/>
  <c r="BO39" i="11"/>
  <c r="BQ39" i="11" s="1"/>
  <c r="AV89" i="11"/>
  <c r="AN149" i="11"/>
  <c r="AN87" i="11" s="1"/>
  <c r="AR150" i="11"/>
  <c r="AT119" i="11"/>
  <c r="AT118" i="11" s="1"/>
  <c r="AX120" i="11"/>
  <c r="AU62" i="11"/>
  <c r="AY63" i="11"/>
  <c r="AT74" i="11"/>
  <c r="AS74" i="11"/>
  <c r="AS68" i="11" s="1"/>
  <c r="AU22" i="11"/>
  <c r="AV183" i="11"/>
  <c r="AR181" i="11"/>
  <c r="AR180" i="11" s="1"/>
  <c r="BP125" i="11"/>
  <c r="BO86" i="11"/>
  <c r="BQ86" i="11" s="1"/>
  <c r="AX86" i="11"/>
  <c r="BO183" i="11"/>
  <c r="AY45" i="11"/>
  <c r="AW45" i="11"/>
  <c r="AS181" i="11"/>
  <c r="AW182" i="11"/>
  <c r="AU150" i="11"/>
  <c r="AQ149" i="11"/>
  <c r="AT139" i="11"/>
  <c r="AU189" i="11"/>
  <c r="AV189" i="11"/>
  <c r="BO157" i="11"/>
  <c r="BQ157" i="11" s="1"/>
  <c r="AX157" i="11"/>
  <c r="AT149" i="11"/>
  <c r="AQ139" i="11"/>
  <c r="AO118" i="11"/>
  <c r="AV119" i="11"/>
  <c r="AZ123" i="11"/>
  <c r="AY89" i="11"/>
  <c r="BA27" i="11"/>
  <c r="BO27" i="11"/>
  <c r="BQ27" i="11" s="1"/>
  <c r="AQ118" i="11" l="1"/>
  <c r="AQ87" i="11" s="1"/>
  <c r="BN86" i="11"/>
  <c r="AS169" i="11"/>
  <c r="BN157" i="11"/>
  <c r="AS139" i="11"/>
  <c r="AS180" i="11"/>
  <c r="AP88" i="11"/>
  <c r="AP87" i="11" s="1"/>
  <c r="AO87" i="11"/>
  <c r="BQ125" i="11"/>
  <c r="AY126" i="11"/>
  <c r="AU124" i="11"/>
  <c r="AW105" i="11"/>
  <c r="AS89" i="11"/>
  <c r="AS88" i="11" s="1"/>
  <c r="AY85" i="11"/>
  <c r="AU84" i="11"/>
  <c r="AT85" i="11"/>
  <c r="AT84" i="11" s="1"/>
  <c r="BN70" i="11"/>
  <c r="BA70" i="11"/>
  <c r="AV111" i="11"/>
  <c r="AV88" i="11" s="1"/>
  <c r="AZ112" i="11"/>
  <c r="AZ183" i="11"/>
  <c r="AV181" i="11"/>
  <c r="AV180" i="11" s="1"/>
  <c r="AY186" i="11"/>
  <c r="AU181" i="11"/>
  <c r="AU180" i="11" s="1"/>
  <c r="AX169" i="11"/>
  <c r="AV22" i="11"/>
  <c r="AZ24" i="11"/>
  <c r="AW24" i="11"/>
  <c r="AW22" i="11" s="1"/>
  <c r="AX112" i="11"/>
  <c r="AT111" i="11"/>
  <c r="BP127" i="11"/>
  <c r="BQ127" i="11" s="1"/>
  <c r="BA127" i="11"/>
  <c r="AW171" i="11"/>
  <c r="AY171" i="11"/>
  <c r="AU169" i="11"/>
  <c r="BA112" i="11"/>
  <c r="BA111" i="11" s="1"/>
  <c r="AW111" i="11"/>
  <c r="AU119" i="11"/>
  <c r="AY120" i="11"/>
  <c r="AW120" i="11"/>
  <c r="AW119" i="11" s="1"/>
  <c r="BA36" i="11"/>
  <c r="BO36" i="11"/>
  <c r="BQ36" i="11" s="1"/>
  <c r="AW74" i="11"/>
  <c r="AW68" i="11" s="1"/>
  <c r="AX74" i="11"/>
  <c r="BN120" i="11"/>
  <c r="AX119" i="11"/>
  <c r="BP192" i="11"/>
  <c r="BQ192" i="11" s="1"/>
  <c r="AZ189" i="11"/>
  <c r="BP189" i="11" s="1"/>
  <c r="BQ189" i="11" s="1"/>
  <c r="AT68" i="11"/>
  <c r="BO43" i="11"/>
  <c r="BQ43" i="11" s="1"/>
  <c r="BA43" i="11"/>
  <c r="BO44" i="11"/>
  <c r="BQ44" i="11" s="1"/>
  <c r="BA44" i="11"/>
  <c r="AZ126" i="11"/>
  <c r="AW126" i="11"/>
  <c r="AW124" i="11" s="1"/>
  <c r="AV124" i="11"/>
  <c r="AV118" i="11" s="1"/>
  <c r="BO89" i="11"/>
  <c r="AY88" i="11"/>
  <c r="BP123" i="11"/>
  <c r="AZ119" i="11"/>
  <c r="AX139" i="11"/>
  <c r="BN140" i="11"/>
  <c r="AY150" i="11"/>
  <c r="AU149" i="11"/>
  <c r="BO45" i="11"/>
  <c r="BQ45" i="11" s="1"/>
  <c r="BA45" i="11"/>
  <c r="AV169" i="11"/>
  <c r="AZ170" i="11"/>
  <c r="AW170" i="11"/>
  <c r="AX91" i="11"/>
  <c r="AT89" i="11"/>
  <c r="BA123" i="11"/>
  <c r="BO123" i="11"/>
  <c r="BN72" i="11"/>
  <c r="BN181" i="11"/>
  <c r="AX180" i="11"/>
  <c r="BO33" i="11"/>
  <c r="BQ33" i="11" s="1"/>
  <c r="BA33" i="11"/>
  <c r="AS118" i="11"/>
  <c r="BA121" i="11"/>
  <c r="BO121" i="11"/>
  <c r="BQ121" i="11" s="1"/>
  <c r="AV139" i="11"/>
  <c r="BN63" i="11"/>
  <c r="AX62" i="11"/>
  <c r="AY22" i="11"/>
  <c r="BO22" i="11" s="1"/>
  <c r="AU139" i="11"/>
  <c r="AW181" i="11"/>
  <c r="AW180" i="11" s="1"/>
  <c r="BA182" i="11"/>
  <c r="BA181" i="11" s="1"/>
  <c r="BA180" i="11" s="1"/>
  <c r="BO63" i="11"/>
  <c r="BQ63" i="11" s="1"/>
  <c r="AY62" i="11"/>
  <c r="AV150" i="11"/>
  <c r="AR149" i="11"/>
  <c r="AR87" i="11" s="1"/>
  <c r="BA72" i="11"/>
  <c r="AQ180" i="11"/>
  <c r="AX149" i="11"/>
  <c r="BO62" i="11" l="1"/>
  <c r="BQ62" i="11" s="1"/>
  <c r="AU118" i="11"/>
  <c r="AW139" i="11"/>
  <c r="BN74" i="11"/>
  <c r="BN139" i="11"/>
  <c r="BN169" i="11"/>
  <c r="BA68" i="11"/>
  <c r="BN62" i="11"/>
  <c r="BN180" i="11"/>
  <c r="AT88" i="11"/>
  <c r="AT87" i="11" s="1"/>
  <c r="AU87" i="11"/>
  <c r="BN149" i="11"/>
  <c r="AS87" i="11"/>
  <c r="BA105" i="11"/>
  <c r="BA89" i="11" s="1"/>
  <c r="BA88" i="11" s="1"/>
  <c r="AW89" i="11"/>
  <c r="AW88" i="11" s="1"/>
  <c r="BQ123" i="11"/>
  <c r="AW118" i="11"/>
  <c r="BP112" i="11"/>
  <c r="BQ112" i="11" s="1"/>
  <c r="AZ111" i="11"/>
  <c r="BP111" i="11" s="1"/>
  <c r="BQ111" i="11" s="1"/>
  <c r="AX85" i="11"/>
  <c r="BN85" i="11" s="1"/>
  <c r="AY84" i="11"/>
  <c r="BO84" i="11" s="1"/>
  <c r="BQ84" i="11" s="1"/>
  <c r="BO85" i="11"/>
  <c r="BQ85" i="11" s="1"/>
  <c r="BO126" i="11"/>
  <c r="AY124" i="11"/>
  <c r="BO124" i="11" s="1"/>
  <c r="AZ150" i="11"/>
  <c r="AV149" i="11"/>
  <c r="AV87" i="11" s="1"/>
  <c r="BN91" i="11"/>
  <c r="AX89" i="11"/>
  <c r="BO88" i="11"/>
  <c r="BP126" i="11"/>
  <c r="BA126" i="11"/>
  <c r="BA124" i="11" s="1"/>
  <c r="AZ124" i="11"/>
  <c r="BP124" i="11" s="1"/>
  <c r="BN112" i="11"/>
  <c r="AX111" i="11"/>
  <c r="AZ22" i="11"/>
  <c r="BP22" i="11" s="1"/>
  <c r="BQ22" i="11" s="1"/>
  <c r="BP24" i="11"/>
  <c r="BQ24" i="11" s="1"/>
  <c r="BA24" i="11"/>
  <c r="BA22" i="11" s="1"/>
  <c r="AW169" i="11"/>
  <c r="AZ89" i="11"/>
  <c r="BO186" i="11"/>
  <c r="BQ186" i="11" s="1"/>
  <c r="AY181" i="11"/>
  <c r="BP140" i="11"/>
  <c r="AZ139" i="11"/>
  <c r="BP139" i="11" s="1"/>
  <c r="BP170" i="11"/>
  <c r="BQ170" i="11" s="1"/>
  <c r="AZ169" i="11"/>
  <c r="BP169" i="11" s="1"/>
  <c r="BA170" i="11"/>
  <c r="BP119" i="11"/>
  <c r="AZ118" i="11"/>
  <c r="BP118" i="11" s="1"/>
  <c r="BA120" i="11"/>
  <c r="BA119" i="11" s="1"/>
  <c r="AY119" i="11"/>
  <c r="BO120" i="11"/>
  <c r="BQ120" i="11" s="1"/>
  <c r="BO140" i="11"/>
  <c r="AY139" i="11"/>
  <c r="BO139" i="11" s="1"/>
  <c r="AX68" i="11"/>
  <c r="BN68" i="11" s="1"/>
  <c r="BP143" i="11"/>
  <c r="BQ143" i="11" s="1"/>
  <c r="BO150" i="11"/>
  <c r="AY149" i="11"/>
  <c r="BO149" i="11" s="1"/>
  <c r="AX118" i="11"/>
  <c r="BN119" i="11"/>
  <c r="BA171" i="11"/>
  <c r="BO171" i="11"/>
  <c r="BQ171" i="11" s="1"/>
  <c r="AY169" i="11"/>
  <c r="BO169" i="11" s="1"/>
  <c r="AZ181" i="11"/>
  <c r="BP183" i="11"/>
  <c r="BQ183" i="11" s="1"/>
  <c r="AY21" i="11" l="1"/>
  <c r="BN111" i="11"/>
  <c r="BN118" i="11"/>
  <c r="BQ126" i="11"/>
  <c r="AX84" i="11"/>
  <c r="BN84" i="11" s="1"/>
  <c r="AW87" i="11"/>
  <c r="BQ124" i="11"/>
  <c r="BP150" i="11"/>
  <c r="BQ150" i="11" s="1"/>
  <c r="AZ149" i="11"/>
  <c r="BP149" i="11" s="1"/>
  <c r="BQ149" i="11" s="1"/>
  <c r="BQ139" i="11"/>
  <c r="BO119" i="11"/>
  <c r="BQ119" i="11" s="1"/>
  <c r="AY118" i="11"/>
  <c r="BA169" i="11"/>
  <c r="AX88" i="11"/>
  <c r="BN89" i="11"/>
  <c r="AZ180" i="11"/>
  <c r="BP180" i="11" s="1"/>
  <c r="BP181" i="11"/>
  <c r="BA139" i="11"/>
  <c r="BA118" i="11"/>
  <c r="BP89" i="11"/>
  <c r="BQ89" i="11" s="1"/>
  <c r="AZ88" i="11"/>
  <c r="BQ169" i="11"/>
  <c r="BQ140" i="11"/>
  <c r="BO181" i="11"/>
  <c r="AY180" i="11"/>
  <c r="BO180" i="11" s="1"/>
  <c r="BA87" i="11" l="1"/>
  <c r="BQ180" i="11"/>
  <c r="AX87" i="11"/>
  <c r="BN88" i="11"/>
  <c r="BP88" i="11"/>
  <c r="BQ88" i="11" s="1"/>
  <c r="AZ87" i="11"/>
  <c r="BP87" i="11" s="1"/>
  <c r="BQ181" i="11"/>
  <c r="BO118" i="11"/>
  <c r="BQ118" i="11" s="1"/>
  <c r="AY87" i="11"/>
  <c r="BO87" i="11" s="1"/>
  <c r="BN87" i="11" l="1"/>
  <c r="BQ87" i="11"/>
  <c r="E16" i="11" l="1"/>
  <c r="D21" i="11" l="1"/>
  <c r="D17" i="11"/>
  <c r="D16" i="11"/>
  <c r="D13" i="11"/>
  <c r="D12" i="11"/>
  <c r="D11" i="11" l="1"/>
  <c r="D19" i="11" s="1"/>
  <c r="D15" i="11"/>
  <c r="C11" i="11" l="1"/>
  <c r="C15" i="11" l="1"/>
  <c r="AQ13" i="11" l="1"/>
  <c r="AW21" i="11"/>
  <c r="AW11" i="11" s="1"/>
  <c r="AT21" i="11"/>
  <c r="AD13" i="11"/>
  <c r="AG21" i="11"/>
  <c r="AG11" i="11" s="1"/>
  <c r="AI21" i="11"/>
  <c r="AH21" i="11"/>
  <c r="AH15" i="11" s="1"/>
  <c r="AK21" i="11"/>
  <c r="AK15" i="11" s="1"/>
  <c r="U13" i="11"/>
  <c r="T13" i="11"/>
  <c r="R13" i="11"/>
  <c r="U21" i="11"/>
  <c r="U15" i="11" s="1"/>
  <c r="T21" i="11"/>
  <c r="S21" i="11"/>
  <c r="R21" i="11"/>
  <c r="Y21" i="11"/>
  <c r="X21" i="11"/>
  <c r="W21" i="11"/>
  <c r="V21" i="11"/>
  <c r="V11" i="11" s="1"/>
  <c r="AR16" i="11" l="1"/>
  <c r="AS13" i="11"/>
  <c r="AR21" i="11"/>
  <c r="AR15" i="11" s="1"/>
  <c r="AK13" i="11"/>
  <c r="AV21" i="11"/>
  <c r="AV11" i="11" s="1"/>
  <c r="AT13" i="11"/>
  <c r="AF21" i="11"/>
  <c r="AF11" i="11" s="1"/>
  <c r="AQ21" i="11"/>
  <c r="AQ11" i="11" s="1"/>
  <c r="AG15" i="11"/>
  <c r="AP13" i="11"/>
  <c r="AR13" i="11"/>
  <c r="AU13" i="11"/>
  <c r="AW13" i="11"/>
  <c r="AV13" i="11"/>
  <c r="AQ17" i="11"/>
  <c r="AV16" i="11"/>
  <c r="AW15" i="11"/>
  <c r="AU21" i="11"/>
  <c r="AU15" i="11" s="1"/>
  <c r="AS21" i="11"/>
  <c r="AS11" i="11" s="1"/>
  <c r="AP21" i="11"/>
  <c r="AP15" i="11" s="1"/>
  <c r="AQ16" i="11"/>
  <c r="AQ12" i="11"/>
  <c r="AS12" i="11"/>
  <c r="AS16" i="11"/>
  <c r="AT15" i="11"/>
  <c r="AT11" i="11"/>
  <c r="AT16" i="11"/>
  <c r="AW12" i="11"/>
  <c r="AW16" i="11"/>
  <c r="AJ16" i="11"/>
  <c r="AF13" i="11"/>
  <c r="AE17" i="11"/>
  <c r="AH13" i="11"/>
  <c r="AI17" i="11"/>
  <c r="AG13" i="11"/>
  <c r="AJ17" i="11"/>
  <c r="AD17" i="11"/>
  <c r="AJ12" i="11"/>
  <c r="AE16" i="11"/>
  <c r="AF12" i="11"/>
  <c r="AI12" i="11"/>
  <c r="AE12" i="11"/>
  <c r="AF16" i="11"/>
  <c r="AI16" i="11"/>
  <c r="AJ21" i="11"/>
  <c r="AJ15" i="11" s="1"/>
  <c r="AD21" i="11"/>
  <c r="AD11" i="11" s="1"/>
  <c r="AH11" i="11"/>
  <c r="AE21" i="11"/>
  <c r="AE15" i="11" s="1"/>
  <c r="AK11" i="11"/>
  <c r="AG16" i="11"/>
  <c r="AD12" i="11"/>
  <c r="AD16" i="11"/>
  <c r="AE13" i="11"/>
  <c r="AI15" i="11"/>
  <c r="AI11" i="11"/>
  <c r="AK16" i="11"/>
  <c r="S13" i="11"/>
  <c r="Y13" i="11"/>
  <c r="U17" i="11"/>
  <c r="R17" i="11"/>
  <c r="T16" i="11"/>
  <c r="U11" i="11"/>
  <c r="S15" i="11"/>
  <c r="S11" i="11"/>
  <c r="T15" i="11"/>
  <c r="T11" i="11"/>
  <c r="U16" i="11"/>
  <c r="R15" i="11"/>
  <c r="R11" i="11"/>
  <c r="T12" i="11"/>
  <c r="T17" i="11"/>
  <c r="V16" i="11"/>
  <c r="W13" i="11"/>
  <c r="V15" i="11"/>
  <c r="X12" i="11"/>
  <c r="X13" i="11"/>
  <c r="W16" i="11"/>
  <c r="X16" i="11"/>
  <c r="W12" i="11"/>
  <c r="W11" i="11"/>
  <c r="W15" i="11"/>
  <c r="X15" i="11"/>
  <c r="X11" i="11"/>
  <c r="Y15" i="11"/>
  <c r="Y11" i="11"/>
  <c r="Y16" i="11"/>
  <c r="V13" i="11"/>
  <c r="M13" i="11"/>
  <c r="J13" i="11"/>
  <c r="M21" i="11"/>
  <c r="L21" i="11"/>
  <c r="J21" i="11"/>
  <c r="I13" i="11"/>
  <c r="F13" i="11"/>
  <c r="H21" i="11"/>
  <c r="G21" i="11"/>
  <c r="G15" i="11" s="1"/>
  <c r="AF15" i="11" l="1"/>
  <c r="AV15" i="11"/>
  <c r="AS17" i="11"/>
  <c r="AW17" i="11"/>
  <c r="AV12" i="11"/>
  <c r="AV19" i="11" s="1"/>
  <c r="AR11" i="11"/>
  <c r="AR12" i="11"/>
  <c r="AK17" i="11"/>
  <c r="AT17" i="11"/>
  <c r="I21" i="11"/>
  <c r="I11" i="11" s="1"/>
  <c r="U12" i="11"/>
  <c r="U19" i="11" s="1"/>
  <c r="AP11" i="11"/>
  <c r="AQ15" i="11"/>
  <c r="AF17" i="11"/>
  <c r="AV17" i="11"/>
  <c r="AP17" i="11"/>
  <c r="AU17" i="11"/>
  <c r="AR17" i="11"/>
  <c r="AW19" i="11"/>
  <c r="AT12" i="11"/>
  <c r="AT19" i="11" s="1"/>
  <c r="AQ19" i="11"/>
  <c r="AU11" i="11"/>
  <c r="AS15" i="11"/>
  <c r="AS19" i="11"/>
  <c r="AP12" i="11"/>
  <c r="AP16" i="11"/>
  <c r="AU16" i="11"/>
  <c r="AH17" i="11"/>
  <c r="AG17" i="11"/>
  <c r="AJ13" i="11"/>
  <c r="AI13" i="11"/>
  <c r="AI19" i="11" s="1"/>
  <c r="AK12" i="11"/>
  <c r="AK19" i="11" s="1"/>
  <c r="AG12" i="11"/>
  <c r="AG19" i="11" s="1"/>
  <c r="AF19" i="11"/>
  <c r="AD19" i="11"/>
  <c r="AD15" i="11"/>
  <c r="AE11" i="11"/>
  <c r="AE19" i="11" s="1"/>
  <c r="AJ11" i="11"/>
  <c r="AJ19" i="11" s="1"/>
  <c r="V12" i="11"/>
  <c r="V19" i="11" s="1"/>
  <c r="S17" i="11"/>
  <c r="AH12" i="11"/>
  <c r="AH19" i="11" s="1"/>
  <c r="AH16" i="11"/>
  <c r="Y12" i="11"/>
  <c r="Y19" i="11" s="1"/>
  <c r="Y17" i="11"/>
  <c r="T19" i="11"/>
  <c r="W17" i="11"/>
  <c r="S12" i="11"/>
  <c r="S19" i="11" s="1"/>
  <c r="S16" i="11"/>
  <c r="R16" i="11"/>
  <c r="R12" i="11"/>
  <c r="R19" i="11" s="1"/>
  <c r="X17" i="11"/>
  <c r="X19" i="11"/>
  <c r="K16" i="11"/>
  <c r="W19" i="11"/>
  <c r="F21" i="11"/>
  <c r="F15" i="11" s="1"/>
  <c r="M15" i="11"/>
  <c r="M11" i="11"/>
  <c r="V17" i="11"/>
  <c r="L16" i="11"/>
  <c r="K21" i="11"/>
  <c r="K15" i="11" s="1"/>
  <c r="K17" i="11"/>
  <c r="L13" i="11"/>
  <c r="G13" i="11"/>
  <c r="K12" i="11"/>
  <c r="J15" i="11"/>
  <c r="J11" i="11"/>
  <c r="J16" i="11"/>
  <c r="M16" i="11"/>
  <c r="M17" i="11"/>
  <c r="L15" i="11"/>
  <c r="L11" i="11"/>
  <c r="J17" i="11"/>
  <c r="G11" i="11"/>
  <c r="H16" i="11"/>
  <c r="I17" i="11"/>
  <c r="H13" i="11"/>
  <c r="H15" i="11"/>
  <c r="H11" i="11"/>
  <c r="F12" i="11"/>
  <c r="F16" i="11"/>
  <c r="G16" i="11"/>
  <c r="I16" i="11"/>
  <c r="F17" i="11"/>
  <c r="AP19" i="11" l="1"/>
  <c r="AR19" i="11"/>
  <c r="I15" i="11"/>
  <c r="I12" i="11"/>
  <c r="I19" i="11" s="1"/>
  <c r="F11" i="11"/>
  <c r="F19" i="11" s="1"/>
  <c r="J12" i="11"/>
  <c r="J19" i="11" s="1"/>
  <c r="AU12" i="11"/>
  <c r="AU19" i="11" s="1"/>
  <c r="H17" i="11"/>
  <c r="K11" i="11"/>
  <c r="G17" i="11"/>
  <c r="K13" i="11"/>
  <c r="L12" i="11"/>
  <c r="L19" i="11" s="1"/>
  <c r="G12" i="11"/>
  <c r="G19" i="11" s="1"/>
  <c r="M12" i="11"/>
  <c r="M19" i="11" s="1"/>
  <c r="H12" i="11"/>
  <c r="H19" i="11" s="1"/>
  <c r="L17" i="11"/>
  <c r="K19" i="11" l="1"/>
  <c r="C13" i="11" l="1"/>
  <c r="C17" i="11" l="1"/>
  <c r="C16" i="11"/>
  <c r="C12" i="11" l="1"/>
  <c r="C19" i="11" s="1"/>
  <c r="E21" i="11" l="1"/>
  <c r="E11" i="11" s="1"/>
  <c r="BA21" i="11"/>
  <c r="BA11" i="11" s="1"/>
  <c r="AO21" i="11"/>
  <c r="AO11" i="11" s="1"/>
  <c r="AM21" i="11"/>
  <c r="AM15" i="11" s="1"/>
  <c r="AC21" i="11"/>
  <c r="AC15" i="11" s="1"/>
  <c r="AA21" i="11"/>
  <c r="AA11" i="11" s="1"/>
  <c r="Q21" i="11"/>
  <c r="Q11" i="11" s="1"/>
  <c r="O21" i="11"/>
  <c r="O11" i="11" s="1"/>
  <c r="AZ21" i="11"/>
  <c r="AX21" i="11"/>
  <c r="AN21" i="11"/>
  <c r="AN15" i="11" s="1"/>
  <c r="AL21" i="11"/>
  <c r="AL11" i="11" s="1"/>
  <c r="AB21" i="11"/>
  <c r="AB11" i="11" s="1"/>
  <c r="Z21" i="11"/>
  <c r="Z11" i="11" s="1"/>
  <c r="P21" i="11"/>
  <c r="P15" i="11" s="1"/>
  <c r="N21" i="11"/>
  <c r="N15" i="11" s="1"/>
  <c r="BA13" i="11"/>
  <c r="AO13" i="11"/>
  <c r="AM13" i="11"/>
  <c r="AC13" i="11"/>
  <c r="AA13" i="11"/>
  <c r="Q13" i="11"/>
  <c r="O13" i="11"/>
  <c r="AN13" i="11"/>
  <c r="AL13" i="11"/>
  <c r="AB13" i="11"/>
  <c r="Z13" i="11"/>
  <c r="P13" i="11"/>
  <c r="N13" i="11"/>
  <c r="BA16" i="11"/>
  <c r="AY16" i="11"/>
  <c r="AO16" i="11"/>
  <c r="AM16" i="11"/>
  <c r="AC16" i="11"/>
  <c r="AA16" i="11"/>
  <c r="Q16" i="11"/>
  <c r="O16" i="11"/>
  <c r="AZ16" i="11"/>
  <c r="AX16" i="11"/>
  <c r="AN16" i="11"/>
  <c r="AL16" i="11"/>
  <c r="AB16" i="11"/>
  <c r="Z16" i="11"/>
  <c r="P16" i="11"/>
  <c r="N16" i="11"/>
  <c r="AZ11" i="11" l="1"/>
  <c r="AX13" i="11"/>
  <c r="AZ13" i="11"/>
  <c r="AY13" i="11"/>
  <c r="AX15" i="11"/>
  <c r="AY15" i="11"/>
  <c r="E13" i="11"/>
  <c r="AX11" i="11"/>
  <c r="AC17" i="11"/>
  <c r="AM11" i="11"/>
  <c r="Z15" i="11"/>
  <c r="AN11" i="11"/>
  <c r="O15" i="11"/>
  <c r="BA15" i="11"/>
  <c r="E15" i="11"/>
  <c r="P11" i="11"/>
  <c r="AC11" i="11"/>
  <c r="P17" i="11"/>
  <c r="N11" i="11"/>
  <c r="AA15" i="11"/>
  <c r="AL15" i="11"/>
  <c r="AY11" i="11"/>
  <c r="Q17" i="11"/>
  <c r="BA17" i="11"/>
  <c r="AB15" i="11"/>
  <c r="AZ15" i="11"/>
  <c r="Q15" i="11"/>
  <c r="AO15" i="11"/>
  <c r="O12" i="11"/>
  <c r="O19" i="11" s="1"/>
  <c r="O17" i="11"/>
  <c r="N17" i="11"/>
  <c r="BA12" i="11"/>
  <c r="BA19" i="11" s="1"/>
  <c r="P12" i="11"/>
  <c r="AC12" i="11"/>
  <c r="Q12" i="11"/>
  <c r="Q19" i="11" s="1"/>
  <c r="AB17" i="11"/>
  <c r="N12" i="11"/>
  <c r="Z17" i="11"/>
  <c r="AA17" i="11"/>
  <c r="E17" i="11"/>
  <c r="AN17" i="11"/>
  <c r="AC19" i="11" l="1"/>
  <c r="P19" i="11"/>
  <c r="AZ17" i="11"/>
  <c r="E12" i="11"/>
  <c r="E19" i="11" s="1"/>
  <c r="N19" i="11"/>
  <c r="AB12" i="11"/>
  <c r="AB19" i="11" s="1"/>
  <c r="AO17" i="11"/>
  <c r="AO12" i="11"/>
  <c r="AO19" i="11" s="1"/>
  <c r="AA12" i="11"/>
  <c r="AA19" i="11" s="1"/>
  <c r="Z12" i="11"/>
  <c r="Z19" i="11" s="1"/>
  <c r="AN12" i="11"/>
  <c r="AN19" i="11" s="1"/>
  <c r="AZ12" i="11" l="1"/>
  <c r="AZ19" i="11" s="1"/>
  <c r="AM17" i="11"/>
  <c r="AM12" i="11"/>
  <c r="AM19" i="11" s="1"/>
  <c r="AL17" i="11"/>
  <c r="AL12" i="11"/>
  <c r="AL19" i="11" s="1"/>
  <c r="AY17" i="11" l="1"/>
  <c r="AX17" i="11"/>
  <c r="AY12" i="11" l="1"/>
  <c r="AY19" i="11" s="1"/>
  <c r="AX12" i="11"/>
  <c r="AX19" i="11" l="1"/>
  <c r="BC21" i="11"/>
  <c r="BC11" i="11" s="1"/>
  <c r="BL16" i="11"/>
  <c r="BH16" i="11"/>
  <c r="BD16" i="11"/>
  <c r="BK16" i="11"/>
  <c r="BG16" i="11"/>
  <c r="BC16" i="11"/>
  <c r="BD21" i="11"/>
  <c r="BH21" i="11"/>
  <c r="BH11" i="11" s="1"/>
  <c r="BL21" i="11"/>
  <c r="BL11" i="11" s="1"/>
  <c r="BG21" i="11"/>
  <c r="BG11" i="11" s="1"/>
  <c r="BK21" i="11"/>
  <c r="BK11" i="11" s="1"/>
  <c r="BL17" i="11"/>
  <c r="BH13" i="11"/>
  <c r="BK13" i="11"/>
  <c r="BG13" i="11"/>
  <c r="BD13" i="11" l="1"/>
  <c r="BP13" i="11"/>
  <c r="BC15" i="11"/>
  <c r="BO21" i="11"/>
  <c r="BC13" i="11"/>
  <c r="BN13" i="11"/>
  <c r="BD11" i="11"/>
  <c r="BP21" i="11"/>
  <c r="BP16" i="11"/>
  <c r="BP17" i="11"/>
  <c r="BO17" i="11"/>
  <c r="BO16" i="11"/>
  <c r="BG15" i="11"/>
  <c r="BL13" i="11"/>
  <c r="BK17" i="11"/>
  <c r="BD17" i="11"/>
  <c r="BH17" i="11"/>
  <c r="BK15" i="11"/>
  <c r="BG17" i="11"/>
  <c r="BH15" i="11"/>
  <c r="BK12" i="11"/>
  <c r="BK19" i="11" s="1"/>
  <c r="BD15" i="11"/>
  <c r="BL15" i="11"/>
  <c r="BL12" i="11"/>
  <c r="BC17" i="11"/>
  <c r="BG12" i="11"/>
  <c r="BG19" i="11" s="1"/>
  <c r="BH12" i="11"/>
  <c r="BH19" i="11" s="1"/>
  <c r="BL19" i="11" l="1"/>
  <c r="BQ16" i="11"/>
  <c r="BQ17" i="11"/>
  <c r="BO13" i="11"/>
  <c r="BQ13" i="11" s="1"/>
  <c r="BQ21" i="11"/>
  <c r="BO15" i="11"/>
  <c r="BO11" i="11"/>
  <c r="BP11" i="11"/>
  <c r="BP15" i="11"/>
  <c r="BN17" i="11"/>
  <c r="BD12" i="11"/>
  <c r="BD19" i="11" s="1"/>
  <c r="BP12" i="11"/>
  <c r="BP19" i="11" s="1"/>
  <c r="BC12" i="11"/>
  <c r="BC19" i="11" s="1"/>
  <c r="BJ21" i="11"/>
  <c r="BJ15" i="11" s="1"/>
  <c r="BJ17" i="11"/>
  <c r="BM16" i="11"/>
  <c r="BJ16" i="11"/>
  <c r="BJ13" i="11"/>
  <c r="BJ12" i="11"/>
  <c r="BQ15" i="11" l="1"/>
  <c r="BQ11" i="11"/>
  <c r="BO12" i="11"/>
  <c r="BM13" i="11"/>
  <c r="BM21" i="11"/>
  <c r="BM11" i="11" s="1"/>
  <c r="BM12" i="11"/>
  <c r="BJ11" i="11"/>
  <c r="BJ19" i="11" s="1"/>
  <c r="BE16" i="11"/>
  <c r="BI16" i="11"/>
  <c r="BB16" i="11" l="1"/>
  <c r="BN16" i="11"/>
  <c r="BQ12" i="11"/>
  <c r="BO19" i="11"/>
  <c r="BQ19" i="11" s="1"/>
  <c r="BM17" i="11"/>
  <c r="BM15" i="11"/>
  <c r="BM19" i="11"/>
  <c r="BF21" i="11"/>
  <c r="BF11" i="11" s="1"/>
  <c r="BE21" i="11"/>
  <c r="BE15" i="11" s="1"/>
  <c r="BB21" i="11"/>
  <c r="BF16" i="11"/>
  <c r="BF12" i="11"/>
  <c r="BE12" i="11"/>
  <c r="BB17" i="11"/>
  <c r="BB13" i="11"/>
  <c r="BE13" i="11"/>
  <c r="BE17" i="11"/>
  <c r="BF13" i="11"/>
  <c r="BF17" i="11"/>
  <c r="BI21" i="11"/>
  <c r="BI11" i="11" s="1"/>
  <c r="BI12" i="11"/>
  <c r="BI13" i="11"/>
  <c r="BB11" i="11" l="1"/>
  <c r="BN21" i="11"/>
  <c r="BE11" i="11"/>
  <c r="BE19" i="11" s="1"/>
  <c r="BF15" i="11"/>
  <c r="BI17" i="11"/>
  <c r="BB15" i="11"/>
  <c r="BF19" i="11"/>
  <c r="BI15" i="11"/>
  <c r="BI19" i="11"/>
  <c r="BN15" i="11" l="1"/>
  <c r="BN11" i="11"/>
  <c r="BB12" i="11"/>
  <c r="BB19" i="11" s="1"/>
  <c r="BN12" i="11"/>
  <c r="BN19" i="11" l="1"/>
</calcChain>
</file>

<file path=xl/comments1.xml><?xml version="1.0" encoding="utf-8"?>
<comments xmlns="http://schemas.openxmlformats.org/spreadsheetml/2006/main">
  <authors>
    <author>Evija.Kvepa</author>
    <author>Inta.Krumina</author>
  </authors>
  <commentList>
    <comment ref="N63" authorId="0">
      <text>
        <r>
          <rPr>
            <b/>
            <sz val="8"/>
            <color indexed="81"/>
            <rFont val="Tahoma"/>
            <family val="2"/>
            <charset val="186"/>
          </rPr>
          <t>Evija.Kvepa:</t>
        </r>
        <r>
          <rPr>
            <sz val="8"/>
            <color indexed="81"/>
            <rFont val="Tahoma"/>
            <family val="2"/>
            <charset val="186"/>
          </rPr>
          <t xml:space="preserve">
Bija  701466</t>
        </r>
      </text>
    </comment>
    <comment ref="O63" authorId="0">
      <text>
        <r>
          <rPr>
            <b/>
            <sz val="8"/>
            <color indexed="81"/>
            <rFont val="Tahoma"/>
            <family val="2"/>
            <charset val="186"/>
          </rPr>
          <t>Evija.Kvepa:</t>
        </r>
        <r>
          <rPr>
            <sz val="8"/>
            <color indexed="81"/>
            <rFont val="Tahoma"/>
            <family val="2"/>
            <charset val="186"/>
          </rPr>
          <t xml:space="preserve">
Bija 701466</t>
        </r>
      </text>
    </comment>
    <comment ref="Q63" authorId="0">
      <text>
        <r>
          <rPr>
            <b/>
            <sz val="8"/>
            <color indexed="81"/>
            <rFont val="Tahoma"/>
            <family val="2"/>
            <charset val="186"/>
          </rPr>
          <t>Evija.Kvepa:</t>
        </r>
        <r>
          <rPr>
            <sz val="8"/>
            <color indexed="81"/>
            <rFont val="Tahoma"/>
            <family val="2"/>
            <charset val="186"/>
          </rPr>
          <t xml:space="preserve">
Bija 645397</t>
        </r>
      </text>
    </comment>
    <comment ref="Z63" authorId="0">
      <text>
        <r>
          <rPr>
            <b/>
            <sz val="8"/>
            <color indexed="81"/>
            <rFont val="Tahoma"/>
            <family val="2"/>
            <charset val="186"/>
          </rPr>
          <t>Evija.Kvepa:</t>
        </r>
        <r>
          <rPr>
            <sz val="8"/>
            <color indexed="81"/>
            <rFont val="Tahoma"/>
            <family val="2"/>
            <charset val="186"/>
          </rPr>
          <t xml:space="preserve">
Bija 1948246</t>
        </r>
      </text>
    </comment>
    <comment ref="AA63" authorId="0">
      <text>
        <r>
          <rPr>
            <b/>
            <sz val="8"/>
            <color indexed="81"/>
            <rFont val="Tahoma"/>
            <family val="2"/>
            <charset val="186"/>
          </rPr>
          <t>Evija.Kvepa:</t>
        </r>
        <r>
          <rPr>
            <sz val="8"/>
            <color indexed="81"/>
            <rFont val="Tahoma"/>
            <family val="2"/>
            <charset val="186"/>
          </rPr>
          <t xml:space="preserve">
Bija 1948246</t>
        </r>
      </text>
    </comment>
    <comment ref="AC63" authorId="0">
      <text>
        <r>
          <rPr>
            <b/>
            <sz val="8"/>
            <color indexed="81"/>
            <rFont val="Tahoma"/>
            <family val="2"/>
            <charset val="186"/>
          </rPr>
          <t>Evija.Kvepa:</t>
        </r>
        <r>
          <rPr>
            <sz val="8"/>
            <color indexed="81"/>
            <rFont val="Tahoma"/>
            <family val="2"/>
            <charset val="186"/>
          </rPr>
          <t xml:space="preserve">
Bija 1836109</t>
        </r>
      </text>
    </comment>
    <comment ref="AL63" authorId="0">
      <text>
        <r>
          <rPr>
            <b/>
            <sz val="8"/>
            <color indexed="81"/>
            <rFont val="Tahoma"/>
            <family val="2"/>
            <charset val="186"/>
          </rPr>
          <t>Evija.Kvepa:</t>
        </r>
        <r>
          <rPr>
            <sz val="8"/>
            <color indexed="81"/>
            <rFont val="Tahoma"/>
            <family val="2"/>
            <charset val="186"/>
          </rPr>
          <t xml:space="preserve">
Bija 3983991</t>
        </r>
      </text>
    </comment>
    <comment ref="AM63" authorId="0">
      <text>
        <r>
          <rPr>
            <b/>
            <sz val="8"/>
            <color indexed="81"/>
            <rFont val="Tahoma"/>
            <family val="2"/>
            <charset val="186"/>
          </rPr>
          <t>Evija.Kvepa:</t>
        </r>
        <r>
          <rPr>
            <sz val="8"/>
            <color indexed="81"/>
            <rFont val="Tahoma"/>
            <family val="2"/>
            <charset val="186"/>
          </rPr>
          <t xml:space="preserve">
Bija 3983991</t>
        </r>
      </text>
    </comment>
    <comment ref="AO63" authorId="0">
      <text>
        <r>
          <rPr>
            <b/>
            <sz val="8"/>
            <color indexed="81"/>
            <rFont val="Tahoma"/>
            <family val="2"/>
            <charset val="186"/>
          </rPr>
          <t>Evija.Kvepa:</t>
        </r>
        <r>
          <rPr>
            <sz val="8"/>
            <color indexed="81"/>
            <rFont val="Tahoma"/>
            <family val="2"/>
            <charset val="186"/>
          </rPr>
          <t xml:space="preserve">
Bija 3815785</t>
        </r>
      </text>
    </comment>
    <comment ref="AX63" authorId="0">
      <text>
        <r>
          <rPr>
            <b/>
            <sz val="8"/>
            <color indexed="81"/>
            <rFont val="Tahoma"/>
            <family val="2"/>
            <charset val="186"/>
          </rPr>
          <t>Evija.Kvepa:</t>
        </r>
        <r>
          <rPr>
            <sz val="8"/>
            <color indexed="81"/>
            <rFont val="Tahoma"/>
            <family val="2"/>
            <charset val="186"/>
          </rPr>
          <t xml:space="preserve">
Bija 5553292</t>
        </r>
      </text>
    </comment>
    <comment ref="AY63" authorId="0">
      <text>
        <r>
          <rPr>
            <b/>
            <sz val="8"/>
            <color indexed="81"/>
            <rFont val="Tahoma"/>
            <family val="2"/>
            <charset val="186"/>
          </rPr>
          <t>Evija.Kvepa:</t>
        </r>
        <r>
          <rPr>
            <sz val="8"/>
            <color indexed="81"/>
            <rFont val="Tahoma"/>
            <family val="2"/>
            <charset val="186"/>
          </rPr>
          <t xml:space="preserve">
Bija 5553292</t>
        </r>
      </text>
    </comment>
    <comment ref="BA63" authorId="0">
      <text>
        <r>
          <rPr>
            <b/>
            <sz val="8"/>
            <color indexed="81"/>
            <rFont val="Tahoma"/>
            <family val="2"/>
            <charset val="186"/>
          </rPr>
          <t>Evija.Kvepa:</t>
        </r>
        <r>
          <rPr>
            <sz val="8"/>
            <color indexed="81"/>
            <rFont val="Tahoma"/>
            <family val="2"/>
            <charset val="186"/>
          </rPr>
          <t xml:space="preserve">
Bija 4534332</t>
        </r>
      </text>
    </comment>
    <comment ref="BB63" authorId="0">
      <text>
        <r>
          <rPr>
            <b/>
            <sz val="8"/>
            <color indexed="81"/>
            <rFont val="Tahoma"/>
            <family val="2"/>
            <charset val="186"/>
          </rPr>
          <t>Evija.Kvepa:</t>
        </r>
        <r>
          <rPr>
            <sz val="8"/>
            <color indexed="81"/>
            <rFont val="Tahoma"/>
            <family val="2"/>
            <charset val="186"/>
          </rPr>
          <t xml:space="preserve">
Bija 5948881</t>
        </r>
      </text>
    </comment>
    <comment ref="BC63" authorId="0">
      <text>
        <r>
          <rPr>
            <b/>
            <sz val="8"/>
            <color indexed="81"/>
            <rFont val="Tahoma"/>
            <family val="2"/>
            <charset val="186"/>
          </rPr>
          <t>Evija.Kvepa:</t>
        </r>
        <r>
          <rPr>
            <sz val="8"/>
            <color indexed="81"/>
            <rFont val="Tahoma"/>
            <family val="2"/>
            <charset val="186"/>
          </rPr>
          <t xml:space="preserve">
Bija 5948881</t>
        </r>
      </text>
    </comment>
    <comment ref="BE63" authorId="0">
      <text>
        <r>
          <rPr>
            <b/>
            <sz val="8"/>
            <color indexed="81"/>
            <rFont val="Tahoma"/>
            <family val="2"/>
            <charset val="186"/>
          </rPr>
          <t>Evija.Kvepa:</t>
        </r>
        <r>
          <rPr>
            <sz val="8"/>
            <color indexed="81"/>
            <rFont val="Tahoma"/>
            <family val="2"/>
            <charset val="186"/>
          </rPr>
          <t xml:space="preserve">
Bija 4221232</t>
        </r>
      </text>
    </comment>
    <comment ref="BF63" authorId="0">
      <text>
        <r>
          <rPr>
            <b/>
            <sz val="8"/>
            <color indexed="81"/>
            <rFont val="Tahoma"/>
            <family val="2"/>
            <charset val="186"/>
          </rPr>
          <t>Evija.Kvepa:</t>
        </r>
        <r>
          <rPr>
            <sz val="8"/>
            <color indexed="81"/>
            <rFont val="Tahoma"/>
            <family val="2"/>
            <charset val="186"/>
          </rPr>
          <t xml:space="preserve">
Bija 3550584</t>
        </r>
      </text>
    </comment>
    <comment ref="BG63" authorId="0">
      <text>
        <r>
          <rPr>
            <b/>
            <sz val="8"/>
            <color indexed="81"/>
            <rFont val="Tahoma"/>
            <family val="2"/>
            <charset val="186"/>
          </rPr>
          <t>Evija.Kvepa:</t>
        </r>
        <r>
          <rPr>
            <sz val="8"/>
            <color indexed="81"/>
            <rFont val="Tahoma"/>
            <family val="2"/>
            <charset val="186"/>
          </rPr>
          <t xml:space="preserve">
Bija 3550584</t>
        </r>
      </text>
    </comment>
    <comment ref="BI63" authorId="0">
      <text>
        <r>
          <rPr>
            <b/>
            <sz val="8"/>
            <color indexed="81"/>
            <rFont val="Tahoma"/>
            <family val="2"/>
            <charset val="186"/>
          </rPr>
          <t>Evija.Kvepa:</t>
        </r>
        <r>
          <rPr>
            <sz val="8"/>
            <color indexed="81"/>
            <rFont val="Tahoma"/>
            <family val="2"/>
            <charset val="186"/>
          </rPr>
          <t xml:space="preserve">
Bija 724737</t>
        </r>
      </text>
    </comment>
    <comment ref="Z90" authorId="0">
      <text>
        <r>
          <rPr>
            <b/>
            <sz val="8"/>
            <color indexed="81"/>
            <rFont val="Tahoma"/>
            <family val="2"/>
            <charset val="186"/>
          </rPr>
          <t>Evija.Kvepa:</t>
        </r>
        <r>
          <rPr>
            <sz val="8"/>
            <color indexed="81"/>
            <rFont val="Tahoma"/>
            <family val="2"/>
            <charset val="186"/>
          </rPr>
          <t xml:space="preserve">
Bija 1902685</t>
        </r>
      </text>
    </comment>
    <comment ref="AA90" authorId="0">
      <text>
        <r>
          <rPr>
            <b/>
            <sz val="8"/>
            <color indexed="81"/>
            <rFont val="Tahoma"/>
            <family val="2"/>
            <charset val="186"/>
          </rPr>
          <t>Evija.Kvepa:</t>
        </r>
        <r>
          <rPr>
            <sz val="8"/>
            <color indexed="81"/>
            <rFont val="Tahoma"/>
            <family val="2"/>
            <charset val="186"/>
          </rPr>
          <t xml:space="preserve">
Bija 1902685</t>
        </r>
      </text>
    </comment>
    <comment ref="AC90" authorId="0">
      <text>
        <r>
          <rPr>
            <b/>
            <sz val="8"/>
            <color indexed="81"/>
            <rFont val="Tahoma"/>
            <family val="2"/>
            <charset val="186"/>
          </rPr>
          <t>Evija.Kvepa:</t>
        </r>
        <r>
          <rPr>
            <sz val="8"/>
            <color indexed="81"/>
            <rFont val="Tahoma"/>
            <family val="2"/>
            <charset val="186"/>
          </rPr>
          <t xml:space="preserve">
Bija 1902685</t>
        </r>
      </text>
    </comment>
    <comment ref="AL90" authorId="0">
      <text>
        <r>
          <rPr>
            <b/>
            <sz val="8"/>
            <color indexed="81"/>
            <rFont val="Tahoma"/>
            <family val="2"/>
            <charset val="186"/>
          </rPr>
          <t>Evija.Kvepa:</t>
        </r>
        <r>
          <rPr>
            <sz val="8"/>
            <color indexed="81"/>
            <rFont val="Tahoma"/>
            <family val="2"/>
            <charset val="186"/>
          </rPr>
          <t xml:space="preserve">
Bija 5461461
</t>
        </r>
      </text>
    </comment>
    <comment ref="AM90" authorId="0">
      <text>
        <r>
          <rPr>
            <b/>
            <sz val="8"/>
            <color indexed="81"/>
            <rFont val="Tahoma"/>
            <family val="2"/>
            <charset val="186"/>
          </rPr>
          <t>Evija.Kvepa:</t>
        </r>
        <r>
          <rPr>
            <sz val="8"/>
            <color indexed="81"/>
            <rFont val="Tahoma"/>
            <family val="2"/>
            <charset val="186"/>
          </rPr>
          <t xml:space="preserve">
Bija 5461461</t>
        </r>
      </text>
    </comment>
    <comment ref="AO90" authorId="0">
      <text>
        <r>
          <rPr>
            <b/>
            <sz val="8"/>
            <color indexed="81"/>
            <rFont val="Tahoma"/>
            <family val="2"/>
            <charset val="186"/>
          </rPr>
          <t>Evija.Kvepa:</t>
        </r>
        <r>
          <rPr>
            <sz val="8"/>
            <color indexed="81"/>
            <rFont val="Tahoma"/>
            <family val="2"/>
            <charset val="186"/>
          </rPr>
          <t xml:space="preserve">
Bija 3172771</t>
        </r>
      </text>
    </comment>
    <comment ref="BE90" authorId="0">
      <text>
        <r>
          <rPr>
            <b/>
            <sz val="8"/>
            <color indexed="81"/>
            <rFont val="Tahoma"/>
            <family val="2"/>
            <charset val="186"/>
          </rPr>
          <t>Evija.Kvepa:</t>
        </r>
        <r>
          <rPr>
            <sz val="8"/>
            <color indexed="81"/>
            <rFont val="Tahoma"/>
            <family val="2"/>
            <charset val="186"/>
          </rPr>
          <t xml:space="preserve">
Bija 11254441</t>
        </r>
      </text>
    </comment>
    <comment ref="BI90" authorId="0">
      <text>
        <r>
          <rPr>
            <b/>
            <sz val="8"/>
            <color indexed="81"/>
            <rFont val="Tahoma"/>
            <family val="2"/>
            <charset val="186"/>
          </rPr>
          <t>Evija.Kvepa:</t>
        </r>
        <r>
          <rPr>
            <sz val="8"/>
            <color indexed="81"/>
            <rFont val="Tahoma"/>
            <family val="2"/>
            <charset val="186"/>
          </rPr>
          <t xml:space="preserve">
Bija 8936978</t>
        </r>
      </text>
    </comment>
    <comment ref="BJ90" authorId="0">
      <text>
        <r>
          <rPr>
            <b/>
            <sz val="8"/>
            <color indexed="81"/>
            <rFont val="Tahoma"/>
            <family val="2"/>
            <charset val="186"/>
          </rPr>
          <t>Evija.Kvepa:</t>
        </r>
        <r>
          <rPr>
            <sz val="8"/>
            <color indexed="81"/>
            <rFont val="Tahoma"/>
            <family val="2"/>
            <charset val="186"/>
          </rPr>
          <t xml:space="preserve">
Bija 3709093</t>
        </r>
      </text>
    </comment>
    <comment ref="BK90" authorId="0">
      <text>
        <r>
          <rPr>
            <b/>
            <sz val="8"/>
            <color indexed="81"/>
            <rFont val="Tahoma"/>
            <family val="2"/>
            <charset val="186"/>
          </rPr>
          <t>Evija.Kvepa:</t>
        </r>
        <r>
          <rPr>
            <sz val="8"/>
            <color indexed="81"/>
            <rFont val="Tahoma"/>
            <family val="2"/>
            <charset val="186"/>
          </rPr>
          <t xml:space="preserve">
Bija 3709093</t>
        </r>
      </text>
    </comment>
    <comment ref="BM90" authorId="0">
      <text>
        <r>
          <rPr>
            <b/>
            <sz val="8"/>
            <color indexed="81"/>
            <rFont val="Tahoma"/>
            <family val="2"/>
            <charset val="186"/>
          </rPr>
          <t>Evija.Kvepa:</t>
        </r>
        <r>
          <rPr>
            <sz val="8"/>
            <color indexed="81"/>
            <rFont val="Tahoma"/>
            <family val="2"/>
            <charset val="186"/>
          </rPr>
          <t xml:space="preserve">
Bija 5449590</t>
        </r>
      </text>
    </comment>
    <comment ref="E91" authorId="0">
      <text>
        <r>
          <rPr>
            <b/>
            <sz val="8"/>
            <color indexed="81"/>
            <rFont val="Tahoma"/>
            <family val="2"/>
            <charset val="186"/>
          </rPr>
          <t>Evija.Kvepa:</t>
        </r>
        <r>
          <rPr>
            <sz val="8"/>
            <color indexed="81"/>
            <rFont val="Tahoma"/>
            <family val="2"/>
            <charset val="186"/>
          </rPr>
          <t xml:space="preserve">
Atsūtīts 406662, bet mums piešķirtajā budžetā 350102
Agnese Zariņa:
56 560 Lati 2012.g. un 56 560  lati 2013.g. KM bāzē 2.1.2.1.2. projektam</t>
        </r>
      </text>
    </comment>
    <comment ref="N91" authorId="0">
      <text>
        <r>
          <rPr>
            <b/>
            <sz val="8"/>
            <color indexed="81"/>
            <rFont val="Tahoma"/>
            <family val="2"/>
            <charset val="186"/>
          </rPr>
          <t>Evija.Kvepa:</t>
        </r>
        <r>
          <rPr>
            <sz val="8"/>
            <color indexed="81"/>
            <rFont val="Tahoma"/>
            <family val="2"/>
            <charset val="186"/>
          </rPr>
          <t xml:space="preserve">
Bija 87526</t>
        </r>
      </text>
    </comment>
    <comment ref="O91" authorId="0">
      <text>
        <r>
          <rPr>
            <b/>
            <sz val="8"/>
            <color indexed="81"/>
            <rFont val="Tahoma"/>
            <family val="2"/>
            <charset val="186"/>
          </rPr>
          <t>Evija.Kvepa:</t>
        </r>
        <r>
          <rPr>
            <sz val="8"/>
            <color indexed="81"/>
            <rFont val="Tahoma"/>
            <family val="2"/>
            <charset val="186"/>
          </rPr>
          <t xml:space="preserve">
Bija 87526</t>
        </r>
      </text>
    </comment>
    <comment ref="Q91" authorId="0">
      <text>
        <r>
          <rPr>
            <b/>
            <sz val="8"/>
            <color indexed="81"/>
            <rFont val="Tahoma"/>
            <family val="2"/>
            <charset val="186"/>
          </rPr>
          <t>Evija.Kvepa:</t>
        </r>
        <r>
          <rPr>
            <sz val="8"/>
            <color indexed="81"/>
            <rFont val="Tahoma"/>
            <family val="2"/>
            <charset val="186"/>
          </rPr>
          <t xml:space="preserve">
Bija 87526</t>
        </r>
      </text>
    </comment>
    <comment ref="Z91" authorId="0">
      <text>
        <r>
          <rPr>
            <b/>
            <sz val="8"/>
            <color indexed="81"/>
            <rFont val="Tahoma"/>
            <family val="2"/>
            <charset val="186"/>
          </rPr>
          <t>Evija.Kvepa:</t>
        </r>
        <r>
          <rPr>
            <sz val="8"/>
            <color indexed="81"/>
            <rFont val="Tahoma"/>
            <family val="2"/>
            <charset val="186"/>
          </rPr>
          <t xml:space="preserve">
Bija 175051</t>
        </r>
      </text>
    </comment>
    <comment ref="AA91" authorId="0">
      <text>
        <r>
          <rPr>
            <b/>
            <sz val="8"/>
            <color indexed="81"/>
            <rFont val="Tahoma"/>
            <family val="2"/>
            <charset val="186"/>
          </rPr>
          <t>Evija.Kvepa:</t>
        </r>
        <r>
          <rPr>
            <sz val="8"/>
            <color indexed="81"/>
            <rFont val="Tahoma"/>
            <family val="2"/>
            <charset val="186"/>
          </rPr>
          <t xml:space="preserve">
Bija 175051</t>
        </r>
      </text>
    </comment>
    <comment ref="AC91" authorId="0">
      <text>
        <r>
          <rPr>
            <b/>
            <sz val="8"/>
            <color indexed="81"/>
            <rFont val="Tahoma"/>
            <family val="2"/>
            <charset val="186"/>
          </rPr>
          <t>Evija.Kvepa:</t>
        </r>
        <r>
          <rPr>
            <sz val="8"/>
            <color indexed="81"/>
            <rFont val="Tahoma"/>
            <family val="2"/>
            <charset val="186"/>
          </rPr>
          <t xml:space="preserve">
Bija 202826</t>
        </r>
      </text>
    </comment>
    <comment ref="AL91" authorId="0">
      <text>
        <r>
          <rPr>
            <b/>
            <sz val="8"/>
            <color indexed="81"/>
            <rFont val="Tahoma"/>
            <family val="2"/>
            <charset val="186"/>
          </rPr>
          <t>Evija.Kvepa:</t>
        </r>
        <r>
          <rPr>
            <sz val="8"/>
            <color indexed="81"/>
            <rFont val="Tahoma"/>
            <family val="2"/>
            <charset val="186"/>
          </rPr>
          <t xml:space="preserve">
Bija 323632</t>
        </r>
      </text>
    </comment>
    <comment ref="AM91" authorId="0">
      <text>
        <r>
          <rPr>
            <b/>
            <sz val="8"/>
            <color indexed="81"/>
            <rFont val="Tahoma"/>
            <family val="2"/>
            <charset val="186"/>
          </rPr>
          <t>Evija.Kvepa:</t>
        </r>
        <r>
          <rPr>
            <sz val="8"/>
            <color indexed="81"/>
            <rFont val="Tahoma"/>
            <family val="2"/>
            <charset val="186"/>
          </rPr>
          <t xml:space="preserve">
Bija 323632</t>
        </r>
      </text>
    </comment>
    <comment ref="AO91" authorId="0">
      <text>
        <r>
          <rPr>
            <b/>
            <sz val="8"/>
            <color indexed="81"/>
            <rFont val="Tahoma"/>
            <family val="2"/>
            <charset val="186"/>
          </rPr>
          <t>Evija.Kvepa:</t>
        </r>
        <r>
          <rPr>
            <sz val="8"/>
            <color indexed="81"/>
            <rFont val="Tahoma"/>
            <family val="2"/>
            <charset val="186"/>
          </rPr>
          <t xml:space="preserve">
Bija 324158</t>
        </r>
      </text>
    </comment>
    <comment ref="BB91" authorId="0">
      <text>
        <r>
          <rPr>
            <b/>
            <sz val="8"/>
            <color indexed="81"/>
            <rFont val="Tahoma"/>
            <family val="2"/>
            <charset val="186"/>
          </rPr>
          <t>Evija.Kvepa:</t>
        </r>
        <r>
          <rPr>
            <sz val="8"/>
            <color indexed="81"/>
            <rFont val="Tahoma"/>
            <family val="2"/>
            <charset val="186"/>
          </rPr>
          <t xml:space="preserve">
Bija 348568</t>
        </r>
      </text>
    </comment>
    <comment ref="BC91" authorId="0">
      <text>
        <r>
          <rPr>
            <b/>
            <sz val="8"/>
            <color indexed="81"/>
            <rFont val="Tahoma"/>
            <family val="2"/>
            <charset val="186"/>
          </rPr>
          <t>Evija.Kvepa:</t>
        </r>
        <r>
          <rPr>
            <sz val="8"/>
            <color indexed="81"/>
            <rFont val="Tahoma"/>
            <family val="2"/>
            <charset val="186"/>
          </rPr>
          <t xml:space="preserve">
Bija 348568</t>
        </r>
      </text>
    </comment>
    <comment ref="BF91" authorId="0">
      <text>
        <r>
          <rPr>
            <b/>
            <sz val="8"/>
            <color indexed="81"/>
            <rFont val="Tahoma"/>
            <family val="2"/>
            <charset val="186"/>
          </rPr>
          <t>Evija.Kvepa:</t>
        </r>
        <r>
          <rPr>
            <sz val="8"/>
            <color indexed="81"/>
            <rFont val="Tahoma"/>
            <family val="2"/>
            <charset val="186"/>
          </rPr>
          <t xml:space="preserve">
Bija 337308</t>
        </r>
      </text>
    </comment>
    <comment ref="BG91" authorId="0">
      <text>
        <r>
          <rPr>
            <b/>
            <sz val="8"/>
            <color indexed="81"/>
            <rFont val="Tahoma"/>
            <family val="2"/>
            <charset val="186"/>
          </rPr>
          <t>Evija.Kvepa:</t>
        </r>
        <r>
          <rPr>
            <sz val="8"/>
            <color indexed="81"/>
            <rFont val="Tahoma"/>
            <family val="2"/>
            <charset val="186"/>
          </rPr>
          <t xml:space="preserve">
Bija 337308</t>
        </r>
      </text>
    </comment>
    <comment ref="BI91" authorId="0">
      <text>
        <r>
          <rPr>
            <b/>
            <sz val="8"/>
            <color indexed="81"/>
            <rFont val="Tahoma"/>
            <family val="2"/>
            <charset val="186"/>
          </rPr>
          <t>Evija.Kvepa:</t>
        </r>
        <r>
          <rPr>
            <sz val="8"/>
            <color indexed="81"/>
            <rFont val="Tahoma"/>
            <family val="2"/>
            <charset val="186"/>
          </rPr>
          <t xml:space="preserve">
Bija 219513</t>
        </r>
      </text>
    </comment>
    <comment ref="N93" authorId="0">
      <text>
        <r>
          <rPr>
            <b/>
            <sz val="8"/>
            <color indexed="81"/>
            <rFont val="Tahoma"/>
            <family val="2"/>
            <charset val="186"/>
          </rPr>
          <t>Evija.Kvepa:</t>
        </r>
        <r>
          <rPr>
            <sz val="8"/>
            <color indexed="81"/>
            <rFont val="Tahoma"/>
            <family val="2"/>
            <charset val="186"/>
          </rPr>
          <t xml:space="preserve">
Bija 181659</t>
        </r>
      </text>
    </comment>
    <comment ref="O93" authorId="0">
      <text>
        <r>
          <rPr>
            <b/>
            <sz val="8"/>
            <color indexed="81"/>
            <rFont val="Tahoma"/>
            <family val="2"/>
            <charset val="186"/>
          </rPr>
          <t>Evija.Kvepa:</t>
        </r>
        <r>
          <rPr>
            <sz val="8"/>
            <color indexed="81"/>
            <rFont val="Tahoma"/>
            <family val="2"/>
            <charset val="186"/>
          </rPr>
          <t xml:space="preserve">
Bija 181659</t>
        </r>
      </text>
    </comment>
    <comment ref="Q93" authorId="0">
      <text>
        <r>
          <rPr>
            <b/>
            <sz val="8"/>
            <color indexed="81"/>
            <rFont val="Tahoma"/>
            <family val="2"/>
            <charset val="186"/>
          </rPr>
          <t>Evija.Kvepa:</t>
        </r>
        <r>
          <rPr>
            <sz val="8"/>
            <color indexed="81"/>
            <rFont val="Tahoma"/>
            <family val="2"/>
            <charset val="186"/>
          </rPr>
          <t xml:space="preserve">
Bija 181659</t>
        </r>
      </text>
    </comment>
    <comment ref="AO93" authorId="0">
      <text>
        <r>
          <rPr>
            <b/>
            <sz val="8"/>
            <color indexed="81"/>
            <rFont val="Tahoma"/>
            <family val="2"/>
            <charset val="186"/>
          </rPr>
          <t>Evija.Kvepa:</t>
        </r>
        <r>
          <rPr>
            <sz val="8"/>
            <color indexed="81"/>
            <rFont val="Tahoma"/>
            <family val="2"/>
            <charset val="186"/>
          </rPr>
          <t xml:space="preserve">
Bija 554218</t>
        </r>
      </text>
    </comment>
    <comment ref="BB93" authorId="0">
      <text>
        <r>
          <rPr>
            <b/>
            <sz val="8"/>
            <color indexed="81"/>
            <rFont val="Tahoma"/>
            <family val="2"/>
            <charset val="186"/>
          </rPr>
          <t>Evija.Kvepa:</t>
        </r>
        <r>
          <rPr>
            <sz val="8"/>
            <color indexed="81"/>
            <rFont val="Tahoma"/>
            <family val="2"/>
            <charset val="186"/>
          </rPr>
          <t xml:space="preserve">
Bija 1329454</t>
        </r>
      </text>
    </comment>
    <comment ref="BC93" authorId="0">
      <text>
        <r>
          <rPr>
            <b/>
            <sz val="8"/>
            <color indexed="81"/>
            <rFont val="Tahoma"/>
            <family val="2"/>
            <charset val="186"/>
          </rPr>
          <t>Evija.Kvepa:</t>
        </r>
        <r>
          <rPr>
            <sz val="8"/>
            <color indexed="81"/>
            <rFont val="Tahoma"/>
            <family val="2"/>
            <charset val="186"/>
          </rPr>
          <t xml:space="preserve">
Bija 1329454</t>
        </r>
      </text>
    </comment>
    <comment ref="N94" authorId="0">
      <text>
        <r>
          <rPr>
            <b/>
            <sz val="8"/>
            <color indexed="81"/>
            <rFont val="Tahoma"/>
            <family val="2"/>
            <charset val="186"/>
          </rPr>
          <t>Evija.Kvepa:</t>
        </r>
        <r>
          <rPr>
            <sz val="8"/>
            <color indexed="81"/>
            <rFont val="Tahoma"/>
            <family val="2"/>
            <charset val="186"/>
          </rPr>
          <t xml:space="preserve">
Bija 2706794</t>
        </r>
      </text>
    </comment>
    <comment ref="O94" authorId="0">
      <text>
        <r>
          <rPr>
            <b/>
            <sz val="8"/>
            <color indexed="81"/>
            <rFont val="Tahoma"/>
            <family val="2"/>
            <charset val="186"/>
          </rPr>
          <t>Evija.Kvepa:</t>
        </r>
        <r>
          <rPr>
            <sz val="8"/>
            <color indexed="81"/>
            <rFont val="Tahoma"/>
            <family val="2"/>
            <charset val="186"/>
          </rPr>
          <t xml:space="preserve">
Bija 2706794</t>
        </r>
      </text>
    </comment>
    <comment ref="Q94" authorId="0">
      <text>
        <r>
          <rPr>
            <b/>
            <sz val="8"/>
            <color indexed="81"/>
            <rFont val="Tahoma"/>
            <family val="2"/>
            <charset val="186"/>
          </rPr>
          <t>Evija.Kvepa:</t>
        </r>
        <r>
          <rPr>
            <sz val="8"/>
            <color indexed="81"/>
            <rFont val="Tahoma"/>
            <family val="2"/>
            <charset val="186"/>
          </rPr>
          <t xml:space="preserve">
Bija 349979</t>
        </r>
      </text>
    </comment>
    <comment ref="Z94" authorId="0">
      <text>
        <r>
          <rPr>
            <b/>
            <sz val="8"/>
            <color indexed="81"/>
            <rFont val="Tahoma"/>
            <family val="2"/>
            <charset val="186"/>
          </rPr>
          <t>Evija.Kvepa:</t>
        </r>
        <r>
          <rPr>
            <sz val="8"/>
            <color indexed="81"/>
            <rFont val="Tahoma"/>
            <family val="2"/>
            <charset val="186"/>
          </rPr>
          <t xml:space="preserve">
Bija 2842897</t>
        </r>
      </text>
    </comment>
    <comment ref="AA94" authorId="0">
      <text>
        <r>
          <rPr>
            <b/>
            <sz val="8"/>
            <color indexed="81"/>
            <rFont val="Tahoma"/>
            <family val="2"/>
            <charset val="186"/>
          </rPr>
          <t>Evija.Kvepa:</t>
        </r>
        <r>
          <rPr>
            <sz val="8"/>
            <color indexed="81"/>
            <rFont val="Tahoma"/>
            <family val="2"/>
            <charset val="186"/>
          </rPr>
          <t xml:space="preserve">
Bija 2842897</t>
        </r>
      </text>
    </comment>
    <comment ref="AC94" authorId="0">
      <text>
        <r>
          <rPr>
            <b/>
            <sz val="8"/>
            <color indexed="81"/>
            <rFont val="Tahoma"/>
            <family val="2"/>
            <charset val="186"/>
          </rPr>
          <t>Evija.Kvepa:</t>
        </r>
        <r>
          <rPr>
            <sz val="8"/>
            <color indexed="81"/>
            <rFont val="Tahoma"/>
            <family val="2"/>
            <charset val="186"/>
          </rPr>
          <t xml:space="preserve">
Bija 498806</t>
        </r>
      </text>
    </comment>
    <comment ref="AL94" authorId="0">
      <text>
        <r>
          <rPr>
            <b/>
            <sz val="8"/>
            <color indexed="81"/>
            <rFont val="Tahoma"/>
            <family val="2"/>
            <charset val="186"/>
          </rPr>
          <t>Evija.Kvepa:</t>
        </r>
        <r>
          <rPr>
            <sz val="8"/>
            <color indexed="81"/>
            <rFont val="Tahoma"/>
            <family val="2"/>
            <charset val="186"/>
          </rPr>
          <t xml:space="preserve">
Bija 4728913</t>
        </r>
      </text>
    </comment>
    <comment ref="AM94" authorId="0">
      <text>
        <r>
          <rPr>
            <b/>
            <sz val="8"/>
            <color indexed="81"/>
            <rFont val="Tahoma"/>
            <family val="2"/>
            <charset val="186"/>
          </rPr>
          <t>Evija.Kvepa:</t>
        </r>
        <r>
          <rPr>
            <sz val="8"/>
            <color indexed="81"/>
            <rFont val="Tahoma"/>
            <family val="2"/>
            <charset val="186"/>
          </rPr>
          <t xml:space="preserve">
Bija 4728913
</t>
        </r>
      </text>
    </comment>
    <comment ref="AO94" authorId="0">
      <text>
        <r>
          <rPr>
            <b/>
            <sz val="8"/>
            <color indexed="81"/>
            <rFont val="Tahoma"/>
            <family val="2"/>
            <charset val="186"/>
          </rPr>
          <t>Evija.Kvepa:</t>
        </r>
        <r>
          <rPr>
            <sz val="8"/>
            <color indexed="81"/>
            <rFont val="Tahoma"/>
            <family val="2"/>
            <charset val="186"/>
          </rPr>
          <t xml:space="preserve">
Bija 1044909</t>
        </r>
      </text>
    </comment>
    <comment ref="AX94" authorId="0">
      <text>
        <r>
          <rPr>
            <b/>
            <sz val="8"/>
            <color indexed="81"/>
            <rFont val="Tahoma"/>
            <family val="2"/>
            <charset val="186"/>
          </rPr>
          <t>Evija.Kvepa:</t>
        </r>
        <r>
          <rPr>
            <sz val="8"/>
            <color indexed="81"/>
            <rFont val="Tahoma"/>
            <family val="2"/>
            <charset val="186"/>
          </rPr>
          <t xml:space="preserve">
Bija 8734781</t>
        </r>
      </text>
    </comment>
    <comment ref="AY94" authorId="0">
      <text>
        <r>
          <rPr>
            <b/>
            <sz val="8"/>
            <color indexed="81"/>
            <rFont val="Tahoma"/>
            <family val="2"/>
            <charset val="186"/>
          </rPr>
          <t>Evija.Kvepa:</t>
        </r>
        <r>
          <rPr>
            <sz val="8"/>
            <color indexed="81"/>
            <rFont val="Tahoma"/>
            <family val="2"/>
            <charset val="186"/>
          </rPr>
          <t xml:space="preserve">
Bija 8734781</t>
        </r>
      </text>
    </comment>
    <comment ref="BA94" authorId="0">
      <text>
        <r>
          <rPr>
            <b/>
            <sz val="8"/>
            <color indexed="81"/>
            <rFont val="Tahoma"/>
            <family val="2"/>
            <charset val="186"/>
          </rPr>
          <t>Evija.Kvepa:</t>
        </r>
        <r>
          <rPr>
            <sz val="8"/>
            <color indexed="81"/>
            <rFont val="Tahoma"/>
            <family val="2"/>
            <charset val="186"/>
          </rPr>
          <t xml:space="preserve">
Bija 2725926</t>
        </r>
      </text>
    </comment>
    <comment ref="BB94" authorId="0">
      <text>
        <r>
          <rPr>
            <b/>
            <sz val="8"/>
            <color indexed="81"/>
            <rFont val="Tahoma"/>
            <family val="2"/>
            <charset val="186"/>
          </rPr>
          <t>Evija.Kvepa:</t>
        </r>
        <r>
          <rPr>
            <sz val="8"/>
            <color indexed="81"/>
            <rFont val="Tahoma"/>
            <family val="2"/>
            <charset val="186"/>
          </rPr>
          <t xml:space="preserve">
Bija 22770165</t>
        </r>
      </text>
    </comment>
    <comment ref="BC94" authorId="0">
      <text>
        <r>
          <rPr>
            <b/>
            <sz val="8"/>
            <color indexed="81"/>
            <rFont val="Tahoma"/>
            <family val="2"/>
            <charset val="186"/>
          </rPr>
          <t>Evija.Kvepa:</t>
        </r>
        <r>
          <rPr>
            <sz val="8"/>
            <color indexed="81"/>
            <rFont val="Tahoma"/>
            <family val="2"/>
            <charset val="186"/>
          </rPr>
          <t xml:space="preserve">
Bija 22770165</t>
        </r>
      </text>
    </comment>
    <comment ref="AL95" authorId="0">
      <text>
        <r>
          <rPr>
            <b/>
            <sz val="8"/>
            <color indexed="81"/>
            <rFont val="Tahoma"/>
            <family val="2"/>
            <charset val="186"/>
          </rPr>
          <t>Evija.Kvepa:</t>
        </r>
        <r>
          <rPr>
            <sz val="8"/>
            <color indexed="81"/>
            <rFont val="Tahoma"/>
            <family val="2"/>
            <charset val="186"/>
          </rPr>
          <t xml:space="preserve">
Bija 15782
</t>
        </r>
      </text>
    </comment>
    <comment ref="AM95" authorId="0">
      <text>
        <r>
          <rPr>
            <b/>
            <sz val="8"/>
            <color indexed="81"/>
            <rFont val="Tahoma"/>
            <family val="2"/>
            <charset val="186"/>
          </rPr>
          <t>Evija.Kvepa:</t>
        </r>
        <r>
          <rPr>
            <sz val="8"/>
            <color indexed="81"/>
            <rFont val="Tahoma"/>
            <family val="2"/>
            <charset val="186"/>
          </rPr>
          <t xml:space="preserve">
Bija 15782
</t>
        </r>
      </text>
    </comment>
    <comment ref="AO95" authorId="0">
      <text>
        <r>
          <rPr>
            <b/>
            <sz val="8"/>
            <color indexed="81"/>
            <rFont val="Tahoma"/>
            <family val="2"/>
            <charset val="186"/>
          </rPr>
          <t>Evija.Kvepa:</t>
        </r>
        <r>
          <rPr>
            <sz val="8"/>
            <color indexed="81"/>
            <rFont val="Tahoma"/>
            <family val="2"/>
            <charset val="186"/>
          </rPr>
          <t xml:space="preserve">
Bija 14040</t>
        </r>
      </text>
    </comment>
    <comment ref="BA95" authorId="0">
      <text>
        <r>
          <rPr>
            <b/>
            <sz val="8"/>
            <color indexed="81"/>
            <rFont val="Tahoma"/>
            <family val="2"/>
            <charset val="186"/>
          </rPr>
          <t>Evija.Kvepa:</t>
        </r>
        <r>
          <rPr>
            <sz val="8"/>
            <color indexed="81"/>
            <rFont val="Tahoma"/>
            <family val="2"/>
            <charset val="186"/>
          </rPr>
          <t xml:space="preserve">
Bija 38267</t>
        </r>
      </text>
    </comment>
    <comment ref="BE95" authorId="0">
      <text>
        <r>
          <rPr>
            <b/>
            <sz val="8"/>
            <color indexed="81"/>
            <rFont val="Tahoma"/>
            <family val="2"/>
            <charset val="186"/>
          </rPr>
          <t>Evija.Kvepa:</t>
        </r>
        <r>
          <rPr>
            <sz val="8"/>
            <color indexed="81"/>
            <rFont val="Tahoma"/>
            <family val="2"/>
            <charset val="186"/>
          </rPr>
          <t xml:space="preserve">
Bija 36438</t>
        </r>
      </text>
    </comment>
    <comment ref="BF95" authorId="0">
      <text>
        <r>
          <rPr>
            <b/>
            <sz val="8"/>
            <color indexed="81"/>
            <rFont val="Tahoma"/>
            <family val="2"/>
            <charset val="186"/>
          </rPr>
          <t>Evija.Kvepa:</t>
        </r>
        <r>
          <rPr>
            <sz val="8"/>
            <color indexed="81"/>
            <rFont val="Tahoma"/>
            <family val="2"/>
            <charset val="186"/>
          </rPr>
          <t xml:space="preserve">
Bija 50774</t>
        </r>
      </text>
    </comment>
    <comment ref="BG95" authorId="0">
      <text>
        <r>
          <rPr>
            <b/>
            <sz val="8"/>
            <color indexed="81"/>
            <rFont val="Tahoma"/>
            <family val="2"/>
            <charset val="186"/>
          </rPr>
          <t>Evija.Kvepa:</t>
        </r>
        <r>
          <rPr>
            <sz val="8"/>
            <color indexed="81"/>
            <rFont val="Tahoma"/>
            <family val="2"/>
            <charset val="186"/>
          </rPr>
          <t xml:space="preserve">
Bija 50774</t>
        </r>
      </text>
    </comment>
    <comment ref="N98" authorId="0">
      <text>
        <r>
          <rPr>
            <b/>
            <sz val="8"/>
            <color indexed="81"/>
            <rFont val="Tahoma"/>
            <family val="2"/>
            <charset val="186"/>
          </rPr>
          <t>Evija.Kvepa:</t>
        </r>
        <r>
          <rPr>
            <sz val="8"/>
            <color indexed="81"/>
            <rFont val="Tahoma"/>
            <family val="2"/>
            <charset val="186"/>
          </rPr>
          <t xml:space="preserve">
Bija 3147735</t>
        </r>
      </text>
    </comment>
    <comment ref="O98" authorId="0">
      <text>
        <r>
          <rPr>
            <b/>
            <sz val="8"/>
            <color indexed="81"/>
            <rFont val="Tahoma"/>
            <family val="2"/>
            <charset val="186"/>
          </rPr>
          <t>Evija.Kvepa:</t>
        </r>
        <r>
          <rPr>
            <sz val="8"/>
            <color indexed="81"/>
            <rFont val="Tahoma"/>
            <family val="2"/>
            <charset val="186"/>
          </rPr>
          <t xml:space="preserve">
Bija 3147735</t>
        </r>
      </text>
    </comment>
    <comment ref="Q98" authorId="0">
      <text>
        <r>
          <rPr>
            <b/>
            <sz val="8"/>
            <color indexed="81"/>
            <rFont val="Tahoma"/>
            <family val="2"/>
            <charset val="186"/>
          </rPr>
          <t>Evija.Kvepa:</t>
        </r>
        <r>
          <rPr>
            <sz val="8"/>
            <color indexed="81"/>
            <rFont val="Tahoma"/>
            <family val="2"/>
            <charset val="186"/>
          </rPr>
          <t xml:space="preserve">
Bija 2130625</t>
        </r>
      </text>
    </comment>
    <comment ref="Z98" authorId="0">
      <text>
        <r>
          <rPr>
            <b/>
            <sz val="8"/>
            <color indexed="81"/>
            <rFont val="Tahoma"/>
            <family val="2"/>
            <charset val="186"/>
          </rPr>
          <t>Evija.Kvepa:</t>
        </r>
        <r>
          <rPr>
            <sz val="8"/>
            <color indexed="81"/>
            <rFont val="Tahoma"/>
            <family val="2"/>
            <charset val="186"/>
          </rPr>
          <t xml:space="preserve">
Bija 3833465</t>
        </r>
      </text>
    </comment>
    <comment ref="AA98" authorId="0">
      <text>
        <r>
          <rPr>
            <b/>
            <sz val="8"/>
            <color indexed="81"/>
            <rFont val="Tahoma"/>
            <family val="2"/>
            <charset val="186"/>
          </rPr>
          <t>Evija.Kvepa:</t>
        </r>
        <r>
          <rPr>
            <sz val="8"/>
            <color indexed="81"/>
            <rFont val="Tahoma"/>
            <family val="2"/>
            <charset val="186"/>
          </rPr>
          <t xml:space="preserve">
Bija 3833465</t>
        </r>
      </text>
    </comment>
    <comment ref="AC98" authorId="0">
      <text>
        <r>
          <rPr>
            <b/>
            <sz val="8"/>
            <color indexed="81"/>
            <rFont val="Tahoma"/>
            <family val="2"/>
            <charset val="186"/>
          </rPr>
          <t>Evija.Kvepa:</t>
        </r>
        <r>
          <rPr>
            <sz val="8"/>
            <color indexed="81"/>
            <rFont val="Tahoma"/>
            <family val="2"/>
            <charset val="186"/>
          </rPr>
          <t xml:space="preserve">
Bija 3280025</t>
        </r>
      </text>
    </comment>
    <comment ref="AL98" authorId="0">
      <text>
        <r>
          <rPr>
            <b/>
            <sz val="8"/>
            <color indexed="81"/>
            <rFont val="Tahoma"/>
            <family val="2"/>
            <charset val="186"/>
          </rPr>
          <t>Evija.Kvepa:</t>
        </r>
        <r>
          <rPr>
            <sz val="8"/>
            <color indexed="81"/>
            <rFont val="Tahoma"/>
            <family val="2"/>
            <charset val="186"/>
          </rPr>
          <t xml:space="preserve">
Bija 5975461</t>
        </r>
      </text>
    </comment>
    <comment ref="AM98" authorId="0">
      <text>
        <r>
          <rPr>
            <b/>
            <sz val="8"/>
            <color indexed="81"/>
            <rFont val="Tahoma"/>
            <family val="2"/>
            <charset val="186"/>
          </rPr>
          <t>Evija.Kvepa:</t>
        </r>
        <r>
          <rPr>
            <sz val="8"/>
            <color indexed="81"/>
            <rFont val="Tahoma"/>
            <family val="2"/>
            <charset val="186"/>
          </rPr>
          <t xml:space="preserve">
Bija 5975461</t>
        </r>
      </text>
    </comment>
    <comment ref="AO98" authorId="0">
      <text>
        <r>
          <rPr>
            <b/>
            <sz val="8"/>
            <color indexed="81"/>
            <rFont val="Tahoma"/>
            <family val="2"/>
            <charset val="186"/>
          </rPr>
          <t>Evija.Kvepa:</t>
        </r>
        <r>
          <rPr>
            <sz val="8"/>
            <color indexed="81"/>
            <rFont val="Tahoma"/>
            <family val="2"/>
            <charset val="186"/>
          </rPr>
          <t xml:space="preserve">
Bija 5366052</t>
        </r>
      </text>
    </comment>
    <comment ref="AX98" authorId="0">
      <text>
        <r>
          <rPr>
            <b/>
            <sz val="8"/>
            <color indexed="81"/>
            <rFont val="Tahoma"/>
            <family val="2"/>
            <charset val="186"/>
          </rPr>
          <t>Evija.Kvepa:</t>
        </r>
        <r>
          <rPr>
            <sz val="8"/>
            <color indexed="81"/>
            <rFont val="Tahoma"/>
            <family val="2"/>
            <charset val="186"/>
          </rPr>
          <t xml:space="preserve">
Bija 9413376</t>
        </r>
      </text>
    </comment>
    <comment ref="AY98" authorId="0">
      <text>
        <r>
          <rPr>
            <b/>
            <sz val="8"/>
            <color indexed="81"/>
            <rFont val="Tahoma"/>
            <family val="2"/>
            <charset val="186"/>
          </rPr>
          <t>Evija.Kvepa:</t>
        </r>
        <r>
          <rPr>
            <sz val="8"/>
            <color indexed="81"/>
            <rFont val="Tahoma"/>
            <family val="2"/>
            <charset val="186"/>
          </rPr>
          <t xml:space="preserve">
Bija 9413376</t>
        </r>
      </text>
    </comment>
    <comment ref="BA98" authorId="0">
      <text>
        <r>
          <rPr>
            <b/>
            <sz val="8"/>
            <color indexed="81"/>
            <rFont val="Tahoma"/>
            <family val="2"/>
            <charset val="186"/>
          </rPr>
          <t>Evija.Kvepa:</t>
        </r>
        <r>
          <rPr>
            <sz val="8"/>
            <color indexed="81"/>
            <rFont val="Tahoma"/>
            <family val="2"/>
            <charset val="186"/>
          </rPr>
          <t xml:space="preserve">
Bija 7365105</t>
        </r>
      </text>
    </comment>
    <comment ref="BB98" authorId="0">
      <text>
        <r>
          <rPr>
            <b/>
            <sz val="8"/>
            <color indexed="81"/>
            <rFont val="Tahoma"/>
            <family val="2"/>
            <charset val="186"/>
          </rPr>
          <t>Evija.Kvepa:</t>
        </r>
        <r>
          <rPr>
            <sz val="8"/>
            <color indexed="81"/>
            <rFont val="Tahoma"/>
            <family val="2"/>
            <charset val="186"/>
          </rPr>
          <t xml:space="preserve">
Bija 16804689</t>
        </r>
      </text>
    </comment>
    <comment ref="BC98" authorId="0">
      <text>
        <r>
          <rPr>
            <b/>
            <sz val="8"/>
            <color indexed="81"/>
            <rFont val="Tahoma"/>
            <family val="2"/>
            <charset val="186"/>
          </rPr>
          <t>Evija.Kvepa:</t>
        </r>
        <r>
          <rPr>
            <sz val="8"/>
            <color indexed="81"/>
            <rFont val="Tahoma"/>
            <family val="2"/>
            <charset val="186"/>
          </rPr>
          <t xml:space="preserve">
Bija 16804689</t>
        </r>
      </text>
    </comment>
    <comment ref="BE98" authorId="0">
      <text>
        <r>
          <rPr>
            <b/>
            <sz val="8"/>
            <color indexed="81"/>
            <rFont val="Tahoma"/>
            <family val="2"/>
            <charset val="186"/>
          </rPr>
          <t>Evija.Kvepa:</t>
        </r>
        <r>
          <rPr>
            <sz val="8"/>
            <color indexed="81"/>
            <rFont val="Tahoma"/>
            <family val="2"/>
            <charset val="186"/>
          </rPr>
          <t xml:space="preserve">
Bija 299975</t>
        </r>
      </text>
    </comment>
    <comment ref="BF98" authorId="0">
      <text>
        <r>
          <rPr>
            <b/>
            <sz val="8"/>
            <color indexed="81"/>
            <rFont val="Tahoma"/>
            <family val="2"/>
            <charset val="186"/>
          </rPr>
          <t>Evija.Kvepa:</t>
        </r>
        <r>
          <rPr>
            <sz val="8"/>
            <color indexed="81"/>
            <rFont val="Tahoma"/>
            <family val="2"/>
            <charset val="186"/>
          </rPr>
          <t xml:space="preserve">
Bija 1162411</t>
        </r>
      </text>
    </comment>
    <comment ref="BG98" authorId="0">
      <text>
        <r>
          <rPr>
            <b/>
            <sz val="8"/>
            <color indexed="81"/>
            <rFont val="Tahoma"/>
            <family val="2"/>
            <charset val="186"/>
          </rPr>
          <t>Evija.Kvepa:</t>
        </r>
        <r>
          <rPr>
            <sz val="8"/>
            <color indexed="81"/>
            <rFont val="Tahoma"/>
            <family val="2"/>
            <charset val="186"/>
          </rPr>
          <t xml:space="preserve">
Bija 1162411</t>
        </r>
      </text>
    </comment>
    <comment ref="BJ98" authorId="0">
      <text>
        <r>
          <rPr>
            <b/>
            <sz val="8"/>
            <color indexed="81"/>
            <rFont val="Tahoma"/>
            <family val="2"/>
            <charset val="186"/>
          </rPr>
          <t>Evija.Kvepa:</t>
        </r>
        <r>
          <rPr>
            <sz val="8"/>
            <color indexed="81"/>
            <rFont val="Tahoma"/>
            <family val="2"/>
            <charset val="186"/>
          </rPr>
          <t xml:space="preserve">
Bija 2324822</t>
        </r>
      </text>
    </comment>
    <comment ref="BK98" authorId="0">
      <text>
        <r>
          <rPr>
            <b/>
            <sz val="8"/>
            <color indexed="81"/>
            <rFont val="Tahoma"/>
            <family val="2"/>
            <charset val="186"/>
          </rPr>
          <t>Evija.Kvepa:</t>
        </r>
        <r>
          <rPr>
            <sz val="8"/>
            <color indexed="81"/>
            <rFont val="Tahoma"/>
            <family val="2"/>
            <charset val="186"/>
          </rPr>
          <t xml:space="preserve">
Bija 2324822</t>
        </r>
      </text>
    </comment>
    <comment ref="N105" authorId="0">
      <text>
        <r>
          <rPr>
            <b/>
            <sz val="8"/>
            <color indexed="81"/>
            <rFont val="Tahoma"/>
            <family val="2"/>
            <charset val="186"/>
          </rPr>
          <t>Evija.Kvepa:</t>
        </r>
        <r>
          <rPr>
            <sz val="8"/>
            <color indexed="81"/>
            <rFont val="Tahoma"/>
            <family val="2"/>
            <charset val="186"/>
          </rPr>
          <t xml:space="preserve">
Bija 774024</t>
        </r>
      </text>
    </comment>
    <comment ref="O105" authorId="0">
      <text>
        <r>
          <rPr>
            <b/>
            <sz val="8"/>
            <color indexed="81"/>
            <rFont val="Tahoma"/>
            <family val="2"/>
            <charset val="186"/>
          </rPr>
          <t>Evija.Kvepa:</t>
        </r>
        <r>
          <rPr>
            <sz val="8"/>
            <color indexed="81"/>
            <rFont val="Tahoma"/>
            <family val="2"/>
            <charset val="186"/>
          </rPr>
          <t xml:space="preserve">
Bija 774024</t>
        </r>
      </text>
    </comment>
    <comment ref="Q105" authorId="0">
      <text>
        <r>
          <rPr>
            <b/>
            <sz val="8"/>
            <color indexed="81"/>
            <rFont val="Tahoma"/>
            <family val="2"/>
            <charset val="186"/>
          </rPr>
          <t>Evija.Kvepa:</t>
        </r>
        <r>
          <rPr>
            <sz val="8"/>
            <color indexed="81"/>
            <rFont val="Tahoma"/>
            <family val="2"/>
            <charset val="186"/>
          </rPr>
          <t xml:space="preserve">
Bija 244017</t>
        </r>
      </text>
    </comment>
    <comment ref="Z105" authorId="0">
      <text>
        <r>
          <rPr>
            <b/>
            <sz val="8"/>
            <color indexed="81"/>
            <rFont val="Tahoma"/>
            <family val="2"/>
            <charset val="186"/>
          </rPr>
          <t>Evija.Kvepa:</t>
        </r>
        <r>
          <rPr>
            <sz val="8"/>
            <color indexed="81"/>
            <rFont val="Tahoma"/>
            <family val="2"/>
            <charset val="186"/>
          </rPr>
          <t xml:space="preserve">
Bija 1186732</t>
        </r>
      </text>
    </comment>
    <comment ref="AA105" authorId="0">
      <text>
        <r>
          <rPr>
            <b/>
            <sz val="8"/>
            <color indexed="81"/>
            <rFont val="Tahoma"/>
            <family val="2"/>
            <charset val="186"/>
          </rPr>
          <t>Evija.Kvepa:</t>
        </r>
        <r>
          <rPr>
            <sz val="8"/>
            <color indexed="81"/>
            <rFont val="Tahoma"/>
            <family val="2"/>
            <charset val="186"/>
          </rPr>
          <t xml:space="preserve">
Bija 1186732</t>
        </r>
      </text>
    </comment>
    <comment ref="AC105" authorId="0">
      <text>
        <r>
          <rPr>
            <b/>
            <sz val="8"/>
            <color indexed="81"/>
            <rFont val="Tahoma"/>
            <family val="2"/>
            <charset val="186"/>
          </rPr>
          <t>Evija.Kvepa:</t>
        </r>
        <r>
          <rPr>
            <sz val="8"/>
            <color indexed="81"/>
            <rFont val="Tahoma"/>
            <family val="2"/>
            <charset val="186"/>
          </rPr>
          <t xml:space="preserve">
Bija 399023</t>
        </r>
      </text>
    </comment>
    <comment ref="AL105" authorId="0">
      <text>
        <r>
          <rPr>
            <b/>
            <sz val="8"/>
            <color indexed="81"/>
            <rFont val="Tahoma"/>
            <family val="2"/>
            <charset val="186"/>
          </rPr>
          <t>Evija.Kvepa:</t>
        </r>
        <r>
          <rPr>
            <sz val="8"/>
            <color indexed="81"/>
            <rFont val="Tahoma"/>
            <family val="2"/>
            <charset val="186"/>
          </rPr>
          <t xml:space="preserve">
Bija 1381504</t>
        </r>
      </text>
    </comment>
    <comment ref="AM105" authorId="0">
      <text>
        <r>
          <rPr>
            <b/>
            <sz val="8"/>
            <color indexed="81"/>
            <rFont val="Tahoma"/>
            <family val="2"/>
            <charset val="186"/>
          </rPr>
          <t>Evija.Kvepa:</t>
        </r>
        <r>
          <rPr>
            <sz val="8"/>
            <color indexed="81"/>
            <rFont val="Tahoma"/>
            <family val="2"/>
            <charset val="186"/>
          </rPr>
          <t xml:space="preserve">
Bija 1381504</t>
        </r>
      </text>
    </comment>
    <comment ref="AO105" authorId="0">
      <text>
        <r>
          <rPr>
            <b/>
            <sz val="8"/>
            <color indexed="81"/>
            <rFont val="Tahoma"/>
            <family val="2"/>
            <charset val="186"/>
          </rPr>
          <t>Evija.Kvepa:</t>
        </r>
        <r>
          <rPr>
            <sz val="8"/>
            <color indexed="81"/>
            <rFont val="Tahoma"/>
            <family val="2"/>
            <charset val="186"/>
          </rPr>
          <t xml:space="preserve">
Bija 811733</t>
        </r>
      </text>
    </comment>
    <comment ref="AX105" authorId="0">
      <text>
        <r>
          <rPr>
            <b/>
            <sz val="8"/>
            <color indexed="81"/>
            <rFont val="Tahoma"/>
            <family val="2"/>
            <charset val="186"/>
          </rPr>
          <t>Evija.Kvepa:</t>
        </r>
        <r>
          <rPr>
            <sz val="8"/>
            <color indexed="81"/>
            <rFont val="Tahoma"/>
            <family val="2"/>
            <charset val="186"/>
          </rPr>
          <t xml:space="preserve">
Bija 1419644</t>
        </r>
      </text>
    </comment>
    <comment ref="AY105" authorId="0">
      <text>
        <r>
          <rPr>
            <b/>
            <sz val="8"/>
            <color indexed="81"/>
            <rFont val="Tahoma"/>
            <family val="2"/>
            <charset val="186"/>
          </rPr>
          <t>Evija.Kvepa:</t>
        </r>
        <r>
          <rPr>
            <sz val="8"/>
            <color indexed="81"/>
            <rFont val="Tahoma"/>
            <family val="2"/>
            <charset val="186"/>
          </rPr>
          <t xml:space="preserve">
Bija 1419644
</t>
        </r>
      </text>
    </comment>
    <comment ref="BA105" authorId="0">
      <text>
        <r>
          <rPr>
            <b/>
            <sz val="8"/>
            <color indexed="81"/>
            <rFont val="Tahoma"/>
            <family val="2"/>
            <charset val="186"/>
          </rPr>
          <t>Evija.Kvepa:</t>
        </r>
        <r>
          <rPr>
            <sz val="8"/>
            <color indexed="81"/>
            <rFont val="Tahoma"/>
            <family val="2"/>
            <charset val="186"/>
          </rPr>
          <t xml:space="preserve">
Bija 1006504</t>
        </r>
      </text>
    </comment>
    <comment ref="BB105" authorId="0">
      <text>
        <r>
          <rPr>
            <b/>
            <sz val="8"/>
            <color indexed="81"/>
            <rFont val="Tahoma"/>
            <family val="2"/>
            <charset val="186"/>
          </rPr>
          <t>Evija.Kvepa:</t>
        </r>
        <r>
          <rPr>
            <sz val="8"/>
            <color indexed="81"/>
            <rFont val="Tahoma"/>
            <family val="2"/>
            <charset val="186"/>
          </rPr>
          <t xml:space="preserve">
Bija 1500000</t>
        </r>
      </text>
    </comment>
    <comment ref="BC105" authorId="0">
      <text>
        <r>
          <rPr>
            <b/>
            <sz val="8"/>
            <color indexed="81"/>
            <rFont val="Tahoma"/>
            <family val="2"/>
            <charset val="186"/>
          </rPr>
          <t>Evija.Kvepa:</t>
        </r>
        <r>
          <rPr>
            <sz val="8"/>
            <color indexed="81"/>
            <rFont val="Tahoma"/>
            <family val="2"/>
            <charset val="186"/>
          </rPr>
          <t xml:space="preserve">
Bija 1500000</t>
        </r>
      </text>
    </comment>
    <comment ref="BF105" authorId="0">
      <text>
        <r>
          <rPr>
            <b/>
            <sz val="8"/>
            <color indexed="81"/>
            <rFont val="Tahoma"/>
            <family val="2"/>
            <charset val="186"/>
          </rPr>
          <t>Evija.Kvepa:</t>
        </r>
        <r>
          <rPr>
            <sz val="8"/>
            <color indexed="81"/>
            <rFont val="Tahoma"/>
            <family val="2"/>
            <charset val="186"/>
          </rPr>
          <t xml:space="preserve">
Bija 1500000</t>
        </r>
      </text>
    </comment>
    <comment ref="BG105" authorId="0">
      <text>
        <r>
          <rPr>
            <b/>
            <sz val="8"/>
            <color indexed="81"/>
            <rFont val="Tahoma"/>
            <family val="2"/>
            <charset val="186"/>
          </rPr>
          <t>Evija.Kvepa:</t>
        </r>
        <r>
          <rPr>
            <sz val="8"/>
            <color indexed="81"/>
            <rFont val="Tahoma"/>
            <family val="2"/>
            <charset val="186"/>
          </rPr>
          <t xml:space="preserve">
Bija 1500000</t>
        </r>
      </text>
    </comment>
    <comment ref="BJ105" authorId="0">
      <text>
        <r>
          <rPr>
            <b/>
            <sz val="8"/>
            <color indexed="81"/>
            <rFont val="Tahoma"/>
            <family val="2"/>
            <charset val="186"/>
          </rPr>
          <t>Evija.Kvepa:</t>
        </r>
        <r>
          <rPr>
            <sz val="8"/>
            <color indexed="81"/>
            <rFont val="Tahoma"/>
            <family val="2"/>
            <charset val="186"/>
          </rPr>
          <t xml:space="preserve">
Bija 6792780</t>
        </r>
      </text>
    </comment>
    <comment ref="BK105" authorId="0">
      <text>
        <r>
          <rPr>
            <b/>
            <sz val="8"/>
            <color indexed="81"/>
            <rFont val="Tahoma"/>
            <family val="2"/>
            <charset val="186"/>
          </rPr>
          <t>Evija.Kvepa:</t>
        </r>
        <r>
          <rPr>
            <sz val="8"/>
            <color indexed="81"/>
            <rFont val="Tahoma"/>
            <family val="2"/>
            <charset val="186"/>
          </rPr>
          <t xml:space="preserve">
Bija 6792780
</t>
        </r>
      </text>
    </comment>
    <comment ref="BK107" authorId="1">
      <text>
        <r>
          <rPr>
            <b/>
            <sz val="8"/>
            <color indexed="81"/>
            <rFont val="Tahoma"/>
            <family val="2"/>
            <charset val="186"/>
          </rPr>
          <t>Inta.Krumina:</t>
        </r>
        <r>
          <rPr>
            <sz val="8"/>
            <color indexed="81"/>
            <rFont val="Tahoma"/>
            <family val="2"/>
            <charset val="186"/>
          </rPr>
          <t xml:space="preserve">
Bija 307 272 Ls</t>
        </r>
      </text>
    </comment>
    <comment ref="BK108" authorId="1">
      <text>
        <r>
          <rPr>
            <b/>
            <sz val="8"/>
            <color indexed="81"/>
            <rFont val="Tahoma"/>
            <family val="2"/>
            <charset val="186"/>
          </rPr>
          <t>Inta.Krumina:</t>
        </r>
        <r>
          <rPr>
            <sz val="8"/>
            <color indexed="81"/>
            <rFont val="Tahoma"/>
            <family val="2"/>
            <charset val="186"/>
          </rPr>
          <t xml:space="preserve">
Bija 2 694 282 Ls
</t>
        </r>
      </text>
    </comment>
    <comment ref="N109" authorId="0">
      <text>
        <r>
          <rPr>
            <b/>
            <sz val="8"/>
            <color indexed="81"/>
            <rFont val="Tahoma"/>
            <family val="2"/>
            <charset val="186"/>
          </rPr>
          <t>Evija.Kvepa:</t>
        </r>
        <r>
          <rPr>
            <sz val="8"/>
            <color indexed="81"/>
            <rFont val="Tahoma"/>
            <family val="2"/>
            <charset val="186"/>
          </rPr>
          <t xml:space="preserve">
Bija 569153</t>
        </r>
      </text>
    </comment>
    <comment ref="O109" authorId="0">
      <text>
        <r>
          <rPr>
            <b/>
            <sz val="8"/>
            <color indexed="81"/>
            <rFont val="Tahoma"/>
            <family val="2"/>
            <charset val="186"/>
          </rPr>
          <t>Evija.Kvepa:</t>
        </r>
        <r>
          <rPr>
            <sz val="8"/>
            <color indexed="81"/>
            <rFont val="Tahoma"/>
            <family val="2"/>
            <charset val="186"/>
          </rPr>
          <t xml:space="preserve">
Bija 569153</t>
        </r>
      </text>
    </comment>
    <comment ref="Q109" authorId="0">
      <text>
        <r>
          <rPr>
            <b/>
            <sz val="8"/>
            <color indexed="81"/>
            <rFont val="Tahoma"/>
            <family val="2"/>
            <charset val="186"/>
          </rPr>
          <t>Evija.Kvepa:</t>
        </r>
        <r>
          <rPr>
            <sz val="8"/>
            <color indexed="81"/>
            <rFont val="Tahoma"/>
            <family val="2"/>
            <charset val="186"/>
          </rPr>
          <t xml:space="preserve">
Bija 569153</t>
        </r>
      </text>
    </comment>
    <comment ref="AC109" authorId="0">
      <text>
        <r>
          <rPr>
            <b/>
            <sz val="8"/>
            <color indexed="81"/>
            <rFont val="Tahoma"/>
            <family val="2"/>
            <charset val="186"/>
          </rPr>
          <t>Evija.Kvepa:</t>
        </r>
        <r>
          <rPr>
            <sz val="8"/>
            <color indexed="81"/>
            <rFont val="Tahoma"/>
            <family val="2"/>
            <charset val="186"/>
          </rPr>
          <t xml:space="preserve">
Bija 919375</t>
        </r>
      </text>
    </comment>
    <comment ref="BB109" authorId="0">
      <text>
        <r>
          <rPr>
            <b/>
            <sz val="8"/>
            <color indexed="81"/>
            <rFont val="Tahoma"/>
            <family val="2"/>
            <charset val="186"/>
          </rPr>
          <t>Evija.Kvepa:</t>
        </r>
        <r>
          <rPr>
            <sz val="8"/>
            <color indexed="81"/>
            <rFont val="Tahoma"/>
            <family val="2"/>
            <charset val="186"/>
          </rPr>
          <t xml:space="preserve">
Bija 1686115</t>
        </r>
      </text>
    </comment>
    <comment ref="BC109" authorId="0">
      <text>
        <r>
          <rPr>
            <b/>
            <sz val="8"/>
            <color indexed="81"/>
            <rFont val="Tahoma"/>
            <family val="2"/>
            <charset val="186"/>
          </rPr>
          <t>Evija.Kvepa:</t>
        </r>
        <r>
          <rPr>
            <sz val="8"/>
            <color indexed="81"/>
            <rFont val="Tahoma"/>
            <family val="2"/>
            <charset val="186"/>
          </rPr>
          <t xml:space="preserve">
Bija 1686115</t>
        </r>
      </text>
    </comment>
    <comment ref="BF109" authorId="0">
      <text>
        <r>
          <rPr>
            <b/>
            <sz val="8"/>
            <color indexed="81"/>
            <rFont val="Tahoma"/>
            <family val="2"/>
            <charset val="186"/>
          </rPr>
          <t>Evija.Kvepa:</t>
        </r>
        <r>
          <rPr>
            <sz val="8"/>
            <color indexed="81"/>
            <rFont val="Tahoma"/>
            <family val="2"/>
            <charset val="186"/>
          </rPr>
          <t xml:space="preserve">
Bija 1686115</t>
        </r>
      </text>
    </comment>
    <comment ref="BG109" authorId="0">
      <text>
        <r>
          <rPr>
            <b/>
            <sz val="8"/>
            <color indexed="81"/>
            <rFont val="Tahoma"/>
            <family val="2"/>
            <charset val="186"/>
          </rPr>
          <t>Evija.Kvepa:</t>
        </r>
        <r>
          <rPr>
            <sz val="8"/>
            <color indexed="81"/>
            <rFont val="Tahoma"/>
            <family val="2"/>
            <charset val="186"/>
          </rPr>
          <t xml:space="preserve">
Bija 1686115</t>
        </r>
      </text>
    </comment>
    <comment ref="BJ109" authorId="0">
      <text>
        <r>
          <rPr>
            <b/>
            <sz val="8"/>
            <color indexed="81"/>
            <rFont val="Tahoma"/>
            <family val="2"/>
            <charset val="186"/>
          </rPr>
          <t>Evija.Kvepa:</t>
        </r>
        <r>
          <rPr>
            <sz val="8"/>
            <color indexed="81"/>
            <rFont val="Tahoma"/>
            <family val="2"/>
            <charset val="186"/>
          </rPr>
          <t xml:space="preserve">
Bija 1686115</t>
        </r>
      </text>
    </comment>
    <comment ref="BK109" authorId="0">
      <text>
        <r>
          <rPr>
            <b/>
            <sz val="8"/>
            <color indexed="81"/>
            <rFont val="Tahoma"/>
            <family val="2"/>
            <charset val="186"/>
          </rPr>
          <t>Evija.Kvepa:</t>
        </r>
        <r>
          <rPr>
            <sz val="8"/>
            <color indexed="81"/>
            <rFont val="Tahoma"/>
            <family val="2"/>
            <charset val="186"/>
          </rPr>
          <t xml:space="preserve">
Bija 1686115</t>
        </r>
      </text>
    </comment>
    <comment ref="N112" authorId="0">
      <text>
        <r>
          <rPr>
            <b/>
            <sz val="8"/>
            <color indexed="81"/>
            <rFont val="Tahoma"/>
            <family val="2"/>
            <charset val="186"/>
          </rPr>
          <t>Evija.Kvepa:</t>
        </r>
        <r>
          <rPr>
            <sz val="8"/>
            <color indexed="81"/>
            <rFont val="Tahoma"/>
            <family val="2"/>
            <charset val="186"/>
          </rPr>
          <t xml:space="preserve">
Bija 243873</t>
        </r>
      </text>
    </comment>
    <comment ref="O112" authorId="0">
      <text>
        <r>
          <rPr>
            <b/>
            <sz val="8"/>
            <color indexed="81"/>
            <rFont val="Tahoma"/>
            <family val="2"/>
            <charset val="186"/>
          </rPr>
          <t>Evija.Kvepa:</t>
        </r>
        <r>
          <rPr>
            <sz val="8"/>
            <color indexed="81"/>
            <rFont val="Tahoma"/>
            <family val="2"/>
            <charset val="186"/>
          </rPr>
          <t xml:space="preserve">
Bija 243873</t>
        </r>
      </text>
    </comment>
    <comment ref="P112" authorId="0">
      <text>
        <r>
          <rPr>
            <b/>
            <sz val="8"/>
            <color indexed="81"/>
            <rFont val="Tahoma"/>
            <family val="2"/>
            <charset val="186"/>
          </rPr>
          <t>Evija.Kvepa:</t>
        </r>
        <r>
          <rPr>
            <sz val="8"/>
            <color indexed="81"/>
            <rFont val="Tahoma"/>
            <family val="2"/>
            <charset val="186"/>
          </rPr>
          <t xml:space="preserve">
Bija 20082</t>
        </r>
      </text>
    </comment>
    <comment ref="Q112" authorId="0">
      <text>
        <r>
          <rPr>
            <b/>
            <sz val="8"/>
            <color indexed="81"/>
            <rFont val="Tahoma"/>
            <family val="2"/>
            <charset val="186"/>
          </rPr>
          <t>Evija.Kvepa:</t>
        </r>
        <r>
          <rPr>
            <sz val="8"/>
            <color indexed="81"/>
            <rFont val="Tahoma"/>
            <family val="2"/>
            <charset val="186"/>
          </rPr>
          <t xml:space="preserve">
Bija 263955</t>
        </r>
      </text>
    </comment>
    <comment ref="Z112" authorId="0">
      <text>
        <r>
          <rPr>
            <b/>
            <sz val="8"/>
            <color indexed="81"/>
            <rFont val="Tahoma"/>
            <family val="2"/>
            <charset val="186"/>
          </rPr>
          <t>Evija.Kvepa:</t>
        </r>
        <r>
          <rPr>
            <sz val="8"/>
            <color indexed="81"/>
            <rFont val="Tahoma"/>
            <family val="2"/>
            <charset val="186"/>
          </rPr>
          <t xml:space="preserve">
Bija 810050</t>
        </r>
      </text>
    </comment>
    <comment ref="AA112" authorId="0">
      <text>
        <r>
          <rPr>
            <b/>
            <sz val="8"/>
            <color indexed="81"/>
            <rFont val="Tahoma"/>
            <family val="2"/>
            <charset val="186"/>
          </rPr>
          <t>Evija.Kvepa:</t>
        </r>
        <r>
          <rPr>
            <sz val="8"/>
            <color indexed="81"/>
            <rFont val="Tahoma"/>
            <family val="2"/>
            <charset val="186"/>
          </rPr>
          <t xml:space="preserve">
Bija 810050</t>
        </r>
      </text>
    </comment>
    <comment ref="AB112" authorId="0">
      <text>
        <r>
          <rPr>
            <b/>
            <sz val="8"/>
            <color indexed="81"/>
            <rFont val="Tahoma"/>
            <family val="2"/>
            <charset val="186"/>
          </rPr>
          <t>Evija.Kvepa:</t>
        </r>
        <r>
          <rPr>
            <sz val="8"/>
            <color indexed="81"/>
            <rFont val="Tahoma"/>
            <family val="2"/>
            <charset val="186"/>
          </rPr>
          <t xml:space="preserve">
Bija 46215</t>
        </r>
      </text>
    </comment>
    <comment ref="AC112" authorId="0">
      <text>
        <r>
          <rPr>
            <b/>
            <sz val="8"/>
            <color indexed="81"/>
            <rFont val="Tahoma"/>
            <family val="2"/>
            <charset val="186"/>
          </rPr>
          <t>Evija.Kvepa:</t>
        </r>
        <r>
          <rPr>
            <sz val="8"/>
            <color indexed="81"/>
            <rFont val="Tahoma"/>
            <family val="2"/>
            <charset val="186"/>
          </rPr>
          <t xml:space="preserve">
Bija 856265</t>
        </r>
      </text>
    </comment>
    <comment ref="AL112" authorId="0">
      <text>
        <r>
          <rPr>
            <b/>
            <sz val="8"/>
            <color indexed="81"/>
            <rFont val="Tahoma"/>
            <family val="2"/>
            <charset val="186"/>
          </rPr>
          <t>Evija.Kvepa:</t>
        </r>
        <r>
          <rPr>
            <sz val="8"/>
            <color indexed="81"/>
            <rFont val="Tahoma"/>
            <family val="2"/>
            <charset val="186"/>
          </rPr>
          <t xml:space="preserve">
Bija 1759808</t>
        </r>
      </text>
    </comment>
    <comment ref="AM112" authorId="0">
      <text>
        <r>
          <rPr>
            <b/>
            <sz val="8"/>
            <color indexed="81"/>
            <rFont val="Tahoma"/>
            <family val="2"/>
            <charset val="186"/>
          </rPr>
          <t>Evija.Kvepa:</t>
        </r>
        <r>
          <rPr>
            <sz val="8"/>
            <color indexed="81"/>
            <rFont val="Tahoma"/>
            <family val="2"/>
            <charset val="186"/>
          </rPr>
          <t xml:space="preserve">
Bija 1759808</t>
        </r>
      </text>
    </comment>
    <comment ref="AN112" authorId="0">
      <text>
        <r>
          <rPr>
            <b/>
            <sz val="8"/>
            <color indexed="81"/>
            <rFont val="Tahoma"/>
            <family val="2"/>
            <charset val="186"/>
          </rPr>
          <t>Evija.Kvepa:</t>
        </r>
        <r>
          <rPr>
            <sz val="8"/>
            <color indexed="81"/>
            <rFont val="Tahoma"/>
            <family val="2"/>
            <charset val="186"/>
          </rPr>
          <t xml:space="preserve">
Bija 90589</t>
        </r>
      </text>
    </comment>
    <comment ref="AO112" authorId="0">
      <text>
        <r>
          <rPr>
            <b/>
            <sz val="8"/>
            <color indexed="81"/>
            <rFont val="Tahoma"/>
            <family val="2"/>
            <charset val="186"/>
          </rPr>
          <t>Evija.Kvepa:</t>
        </r>
        <r>
          <rPr>
            <sz val="8"/>
            <color indexed="81"/>
            <rFont val="Tahoma"/>
            <family val="2"/>
            <charset val="186"/>
          </rPr>
          <t xml:space="preserve">
Bija 1850397</t>
        </r>
      </text>
    </comment>
    <comment ref="AX112" authorId="0">
      <text>
        <r>
          <rPr>
            <b/>
            <sz val="8"/>
            <color indexed="81"/>
            <rFont val="Tahoma"/>
            <family val="2"/>
            <charset val="186"/>
          </rPr>
          <t>Evija.Kvepa:</t>
        </r>
        <r>
          <rPr>
            <sz val="8"/>
            <color indexed="81"/>
            <rFont val="Tahoma"/>
            <family val="2"/>
            <charset val="186"/>
          </rPr>
          <t xml:space="preserve">
Bija 1893996</t>
        </r>
      </text>
    </comment>
    <comment ref="AY112" authorId="0">
      <text>
        <r>
          <rPr>
            <b/>
            <sz val="8"/>
            <color indexed="81"/>
            <rFont val="Tahoma"/>
            <family val="2"/>
            <charset val="186"/>
          </rPr>
          <t>Evija.Kvepa:</t>
        </r>
        <r>
          <rPr>
            <sz val="8"/>
            <color indexed="81"/>
            <rFont val="Tahoma"/>
            <family val="2"/>
            <charset val="186"/>
          </rPr>
          <t xml:space="preserve">
Bija 1893996</t>
        </r>
      </text>
    </comment>
    <comment ref="AZ112" authorId="0">
      <text>
        <r>
          <rPr>
            <b/>
            <sz val="8"/>
            <color indexed="81"/>
            <rFont val="Tahoma"/>
            <family val="2"/>
            <charset val="186"/>
          </rPr>
          <t>Evija.Kvepa:</t>
        </r>
        <r>
          <rPr>
            <sz val="8"/>
            <color indexed="81"/>
            <rFont val="Tahoma"/>
            <family val="2"/>
            <charset val="186"/>
          </rPr>
          <t xml:space="preserve">
Bija 101639</t>
        </r>
      </text>
    </comment>
    <comment ref="BA112" authorId="0">
      <text>
        <r>
          <rPr>
            <b/>
            <sz val="8"/>
            <color indexed="81"/>
            <rFont val="Tahoma"/>
            <family val="2"/>
            <charset val="186"/>
          </rPr>
          <t>Evija.Kvepa:</t>
        </r>
        <r>
          <rPr>
            <sz val="8"/>
            <color indexed="81"/>
            <rFont val="Tahoma"/>
            <family val="2"/>
            <charset val="186"/>
          </rPr>
          <t xml:space="preserve">
Bija 1954186
</t>
        </r>
      </text>
    </comment>
    <comment ref="BB112" authorId="0">
      <text>
        <r>
          <rPr>
            <b/>
            <sz val="8"/>
            <color indexed="81"/>
            <rFont val="Tahoma"/>
            <family val="2"/>
            <charset val="186"/>
          </rPr>
          <t>Evija.Kvepa:</t>
        </r>
        <r>
          <rPr>
            <sz val="8"/>
            <color indexed="81"/>
            <rFont val="Tahoma"/>
            <family val="2"/>
            <charset val="186"/>
          </rPr>
          <t xml:space="preserve">
Bija 836709</t>
        </r>
      </text>
    </comment>
    <comment ref="BC112" authorId="0">
      <text>
        <r>
          <rPr>
            <b/>
            <sz val="8"/>
            <color indexed="81"/>
            <rFont val="Tahoma"/>
            <family val="2"/>
            <charset val="186"/>
          </rPr>
          <t>Evija.Kvepa:</t>
        </r>
        <r>
          <rPr>
            <sz val="8"/>
            <color indexed="81"/>
            <rFont val="Tahoma"/>
            <family val="2"/>
            <charset val="186"/>
          </rPr>
          <t xml:space="preserve">
Bija 836709</t>
        </r>
      </text>
    </comment>
    <comment ref="BD112" authorId="0">
      <text>
        <r>
          <rPr>
            <b/>
            <sz val="8"/>
            <color indexed="81"/>
            <rFont val="Tahoma"/>
            <family val="2"/>
            <charset val="186"/>
          </rPr>
          <t>Evija.Kvepa:</t>
        </r>
        <r>
          <rPr>
            <sz val="8"/>
            <color indexed="81"/>
            <rFont val="Tahoma"/>
            <family val="2"/>
            <charset val="186"/>
          </rPr>
          <t xml:space="preserve">
Bija 58280
</t>
        </r>
      </text>
    </comment>
    <comment ref="BE112" authorId="0">
      <text>
        <r>
          <rPr>
            <b/>
            <sz val="8"/>
            <color indexed="81"/>
            <rFont val="Tahoma"/>
            <family val="2"/>
            <charset val="186"/>
          </rPr>
          <t>Evija.Kvepa:</t>
        </r>
        <r>
          <rPr>
            <sz val="8"/>
            <color indexed="81"/>
            <rFont val="Tahoma"/>
            <family val="2"/>
            <charset val="186"/>
          </rPr>
          <t xml:space="preserve">
Bija 0.00</t>
        </r>
      </text>
    </comment>
    <comment ref="BF112" authorId="0">
      <text>
        <r>
          <rPr>
            <b/>
            <sz val="8"/>
            <color indexed="81"/>
            <rFont val="Tahoma"/>
            <family val="2"/>
            <charset val="186"/>
          </rPr>
          <t>Evija.Kvepa:</t>
        </r>
        <r>
          <rPr>
            <sz val="8"/>
            <color indexed="81"/>
            <rFont val="Tahoma"/>
            <family val="2"/>
            <charset val="186"/>
          </rPr>
          <t xml:space="preserve">
Bija 1057608</t>
        </r>
      </text>
    </comment>
    <comment ref="BG112" authorId="0">
      <text>
        <r>
          <rPr>
            <b/>
            <sz val="8"/>
            <color indexed="81"/>
            <rFont val="Tahoma"/>
            <family val="2"/>
            <charset val="186"/>
          </rPr>
          <t>Evija.Kvepa:</t>
        </r>
        <r>
          <rPr>
            <sz val="8"/>
            <color indexed="81"/>
            <rFont val="Tahoma"/>
            <family val="2"/>
            <charset val="186"/>
          </rPr>
          <t xml:space="preserve">
Bija 1057608</t>
        </r>
      </text>
    </comment>
    <comment ref="Q113" authorId="0">
      <text>
        <r>
          <rPr>
            <b/>
            <sz val="8"/>
            <color indexed="81"/>
            <rFont val="Tahoma"/>
            <family val="2"/>
            <charset val="186"/>
          </rPr>
          <t>Evija.Kvepa:</t>
        </r>
        <r>
          <rPr>
            <sz val="8"/>
            <color indexed="81"/>
            <rFont val="Tahoma"/>
            <family val="2"/>
            <charset val="186"/>
          </rPr>
          <t xml:space="preserve">
Bija 226042</t>
        </r>
      </text>
    </comment>
    <comment ref="AC113" authorId="0">
      <text>
        <r>
          <rPr>
            <b/>
            <sz val="8"/>
            <color indexed="81"/>
            <rFont val="Tahoma"/>
            <family val="2"/>
            <charset val="186"/>
          </rPr>
          <t>Evija.Kvepa:</t>
        </r>
        <r>
          <rPr>
            <sz val="8"/>
            <color indexed="81"/>
            <rFont val="Tahoma"/>
            <family val="2"/>
            <charset val="186"/>
          </rPr>
          <t xml:space="preserve">
Bija 226042</t>
        </r>
      </text>
    </comment>
    <comment ref="AN113" authorId="0">
      <text>
        <r>
          <rPr>
            <b/>
            <sz val="8"/>
            <color indexed="81"/>
            <rFont val="Tahoma"/>
            <family val="2"/>
            <charset val="186"/>
          </rPr>
          <t>Evija.Kvepa:</t>
        </r>
        <r>
          <rPr>
            <sz val="8"/>
            <color indexed="81"/>
            <rFont val="Tahoma"/>
            <family val="2"/>
            <charset val="186"/>
          </rPr>
          <t xml:space="preserve">
Bija 90589</t>
        </r>
      </text>
    </comment>
    <comment ref="AO113" authorId="0">
      <text>
        <r>
          <rPr>
            <b/>
            <sz val="8"/>
            <color indexed="81"/>
            <rFont val="Tahoma"/>
            <family val="2"/>
            <charset val="186"/>
          </rPr>
          <t>Evija.Kvepa:</t>
        </r>
        <r>
          <rPr>
            <sz val="8"/>
            <color indexed="81"/>
            <rFont val="Tahoma"/>
            <family val="2"/>
            <charset val="186"/>
          </rPr>
          <t xml:space="preserve">
Bija 226042</t>
        </r>
      </text>
    </comment>
    <comment ref="BA113" authorId="0">
      <text>
        <r>
          <rPr>
            <b/>
            <sz val="8"/>
            <color indexed="81"/>
            <rFont val="Tahoma"/>
            <family val="2"/>
            <charset val="186"/>
          </rPr>
          <t>Evija.Kvepa:</t>
        </r>
        <r>
          <rPr>
            <sz val="8"/>
            <color indexed="81"/>
            <rFont val="Tahoma"/>
            <family val="2"/>
            <charset val="186"/>
          </rPr>
          <t xml:space="preserve">
Bija 226042</t>
        </r>
      </text>
    </comment>
    <comment ref="BE113" authorId="0">
      <text>
        <r>
          <rPr>
            <b/>
            <sz val="8"/>
            <color indexed="81"/>
            <rFont val="Tahoma"/>
            <family val="2"/>
            <charset val="186"/>
          </rPr>
          <t>Evija.Kvepa:</t>
        </r>
        <r>
          <rPr>
            <sz val="8"/>
            <color indexed="81"/>
            <rFont val="Tahoma"/>
            <family val="2"/>
            <charset val="186"/>
          </rPr>
          <t xml:space="preserve">
Bija 0.00</t>
        </r>
      </text>
    </comment>
    <comment ref="BF113" authorId="0">
      <text>
        <r>
          <rPr>
            <b/>
            <sz val="8"/>
            <color indexed="81"/>
            <rFont val="Tahoma"/>
            <family val="2"/>
            <charset val="186"/>
          </rPr>
          <t>Evija.Kvepa:</t>
        </r>
        <r>
          <rPr>
            <sz val="8"/>
            <color indexed="81"/>
            <rFont val="Tahoma"/>
            <family val="2"/>
            <charset val="186"/>
          </rPr>
          <t xml:space="preserve">
Bija 136220</t>
        </r>
      </text>
    </comment>
    <comment ref="BG113" authorId="0">
      <text>
        <r>
          <rPr>
            <b/>
            <sz val="8"/>
            <color indexed="81"/>
            <rFont val="Tahoma"/>
            <family val="2"/>
            <charset val="186"/>
          </rPr>
          <t>Evija.Kvepa:</t>
        </r>
        <r>
          <rPr>
            <sz val="8"/>
            <color indexed="81"/>
            <rFont val="Tahoma"/>
            <family val="2"/>
            <charset val="186"/>
          </rPr>
          <t xml:space="preserve">
Bija 136220</t>
        </r>
      </text>
    </comment>
    <comment ref="N116" authorId="0">
      <text>
        <r>
          <rPr>
            <b/>
            <sz val="8"/>
            <color indexed="81"/>
            <rFont val="Tahoma"/>
            <family val="2"/>
            <charset val="186"/>
          </rPr>
          <t>Evija.Kvepa:</t>
        </r>
        <r>
          <rPr>
            <sz val="8"/>
            <color indexed="81"/>
            <rFont val="Tahoma"/>
            <family val="2"/>
            <charset val="186"/>
          </rPr>
          <t xml:space="preserve">
Bija 570752</t>
        </r>
      </text>
    </comment>
    <comment ref="O116" authorId="0">
      <text>
        <r>
          <rPr>
            <b/>
            <sz val="8"/>
            <color indexed="81"/>
            <rFont val="Tahoma"/>
            <family val="2"/>
            <charset val="186"/>
          </rPr>
          <t>Evija.Kvepa:</t>
        </r>
        <r>
          <rPr>
            <sz val="8"/>
            <color indexed="81"/>
            <rFont val="Tahoma"/>
            <family val="2"/>
            <charset val="186"/>
          </rPr>
          <t xml:space="preserve">
Bija 570752</t>
        </r>
      </text>
    </comment>
    <comment ref="Q116" authorId="0">
      <text>
        <r>
          <rPr>
            <b/>
            <sz val="8"/>
            <color indexed="81"/>
            <rFont val="Tahoma"/>
            <family val="2"/>
            <charset val="186"/>
          </rPr>
          <t>Evija.Kvepa:</t>
        </r>
        <r>
          <rPr>
            <sz val="8"/>
            <color indexed="81"/>
            <rFont val="Tahoma"/>
            <family val="2"/>
            <charset val="186"/>
          </rPr>
          <t xml:space="preserve">
Bija 570752</t>
        </r>
      </text>
    </comment>
    <comment ref="Z116" authorId="0">
      <text>
        <r>
          <rPr>
            <b/>
            <sz val="8"/>
            <color indexed="81"/>
            <rFont val="Tahoma"/>
            <family val="2"/>
            <charset val="186"/>
          </rPr>
          <t>Evija.Kvepa:</t>
        </r>
        <r>
          <rPr>
            <sz val="8"/>
            <color indexed="81"/>
            <rFont val="Tahoma"/>
            <family val="2"/>
            <charset val="186"/>
          </rPr>
          <t xml:space="preserve">
Bija 4778171</t>
        </r>
      </text>
    </comment>
    <comment ref="AA116" authorId="0">
      <text>
        <r>
          <rPr>
            <b/>
            <sz val="8"/>
            <color indexed="81"/>
            <rFont val="Tahoma"/>
            <family val="2"/>
            <charset val="186"/>
          </rPr>
          <t>Evija.Kvepa:</t>
        </r>
        <r>
          <rPr>
            <sz val="8"/>
            <color indexed="81"/>
            <rFont val="Tahoma"/>
            <family val="2"/>
            <charset val="186"/>
          </rPr>
          <t xml:space="preserve">
Bija 4778171</t>
        </r>
      </text>
    </comment>
    <comment ref="AC116" authorId="0">
      <text>
        <r>
          <rPr>
            <b/>
            <sz val="8"/>
            <color indexed="81"/>
            <rFont val="Tahoma"/>
            <family val="2"/>
            <charset val="186"/>
          </rPr>
          <t>Evija.Kvepa:</t>
        </r>
        <r>
          <rPr>
            <sz val="8"/>
            <color indexed="81"/>
            <rFont val="Tahoma"/>
            <family val="2"/>
            <charset val="186"/>
          </rPr>
          <t xml:space="preserve">
Bija 1003400</t>
        </r>
      </text>
    </comment>
    <comment ref="AL116" authorId="0">
      <text>
        <r>
          <rPr>
            <b/>
            <sz val="8"/>
            <color indexed="81"/>
            <rFont val="Tahoma"/>
            <family val="2"/>
            <charset val="186"/>
          </rPr>
          <t>Evija.Kvepa:</t>
        </r>
        <r>
          <rPr>
            <sz val="8"/>
            <color indexed="81"/>
            <rFont val="Tahoma"/>
            <family val="2"/>
            <charset val="186"/>
          </rPr>
          <t xml:space="preserve">
Bija 8554861</t>
        </r>
      </text>
    </comment>
    <comment ref="AM116" authorId="0">
      <text>
        <r>
          <rPr>
            <b/>
            <sz val="8"/>
            <color indexed="81"/>
            <rFont val="Tahoma"/>
            <family val="2"/>
            <charset val="186"/>
          </rPr>
          <t>Evija.Kvepa:</t>
        </r>
        <r>
          <rPr>
            <sz val="8"/>
            <color indexed="81"/>
            <rFont val="Tahoma"/>
            <family val="2"/>
            <charset val="186"/>
          </rPr>
          <t xml:space="preserve">
Bija 8554861</t>
        </r>
      </text>
    </comment>
    <comment ref="AO116" authorId="0">
      <text>
        <r>
          <rPr>
            <b/>
            <sz val="8"/>
            <color indexed="81"/>
            <rFont val="Tahoma"/>
            <family val="2"/>
            <charset val="186"/>
          </rPr>
          <t>Evija.Kvepa:</t>
        </r>
        <r>
          <rPr>
            <sz val="8"/>
            <color indexed="81"/>
            <rFont val="Tahoma"/>
            <family val="2"/>
            <charset val="186"/>
          </rPr>
          <t xml:space="preserve">
Bija 1075109</t>
        </r>
      </text>
    </comment>
    <comment ref="AX116" authorId="0">
      <text>
        <r>
          <rPr>
            <b/>
            <sz val="8"/>
            <color indexed="81"/>
            <rFont val="Tahoma"/>
            <family val="2"/>
            <charset val="186"/>
          </rPr>
          <t>Evija.Kvepa:</t>
        </r>
        <r>
          <rPr>
            <sz val="8"/>
            <color indexed="81"/>
            <rFont val="Tahoma"/>
            <family val="2"/>
            <charset val="186"/>
          </rPr>
          <t xml:space="preserve">
Bija 13003250</t>
        </r>
      </text>
    </comment>
    <comment ref="AY116" authorId="0">
      <text>
        <r>
          <rPr>
            <b/>
            <sz val="8"/>
            <color indexed="81"/>
            <rFont val="Tahoma"/>
            <family val="2"/>
            <charset val="186"/>
          </rPr>
          <t>Evija.Kvepa:</t>
        </r>
        <r>
          <rPr>
            <sz val="8"/>
            <color indexed="81"/>
            <rFont val="Tahoma"/>
            <family val="2"/>
            <charset val="186"/>
          </rPr>
          <t xml:space="preserve">
Bija 13003250</t>
        </r>
      </text>
    </comment>
    <comment ref="BA116" authorId="0">
      <text>
        <r>
          <rPr>
            <b/>
            <sz val="8"/>
            <color indexed="81"/>
            <rFont val="Tahoma"/>
            <family val="2"/>
            <charset val="186"/>
          </rPr>
          <t>Evija.Kvepa:</t>
        </r>
        <r>
          <rPr>
            <sz val="8"/>
            <color indexed="81"/>
            <rFont val="Tahoma"/>
            <family val="2"/>
            <charset val="186"/>
          </rPr>
          <t xml:space="preserve">
Bija 1075109</t>
        </r>
      </text>
    </comment>
    <comment ref="BB116" authorId="0">
      <text>
        <r>
          <rPr>
            <b/>
            <sz val="8"/>
            <color indexed="81"/>
            <rFont val="Tahoma"/>
            <family val="2"/>
            <charset val="186"/>
          </rPr>
          <t>Evija.Kvepa:</t>
        </r>
        <r>
          <rPr>
            <sz val="8"/>
            <color indexed="81"/>
            <rFont val="Tahoma"/>
            <family val="2"/>
            <charset val="186"/>
          </rPr>
          <t xml:space="preserve">
Bija 20403017</t>
        </r>
      </text>
    </comment>
    <comment ref="BC116" authorId="0">
      <text>
        <r>
          <rPr>
            <b/>
            <sz val="8"/>
            <color indexed="81"/>
            <rFont val="Tahoma"/>
            <family val="2"/>
            <charset val="186"/>
          </rPr>
          <t>Evija.Kvepa:</t>
        </r>
        <r>
          <rPr>
            <sz val="8"/>
            <color indexed="81"/>
            <rFont val="Tahoma"/>
            <family val="2"/>
            <charset val="186"/>
          </rPr>
          <t xml:space="preserve">
Bija 20403017</t>
        </r>
      </text>
    </comment>
    <comment ref="BE116" authorId="0">
      <text>
        <r>
          <rPr>
            <b/>
            <sz val="8"/>
            <color indexed="81"/>
            <rFont val="Tahoma"/>
            <family val="2"/>
            <charset val="186"/>
          </rPr>
          <t>Evija.Kvepa:</t>
        </r>
        <r>
          <rPr>
            <sz val="8"/>
            <color indexed="81"/>
            <rFont val="Tahoma"/>
            <family val="2"/>
            <charset val="186"/>
          </rPr>
          <t xml:space="preserve">
Bija 0.00</t>
        </r>
      </text>
    </comment>
    <comment ref="BF116" authorId="0">
      <text>
        <r>
          <rPr>
            <b/>
            <sz val="8"/>
            <color indexed="81"/>
            <rFont val="Tahoma"/>
            <family val="2"/>
            <charset val="186"/>
          </rPr>
          <t>Evija.Kvepa:</t>
        </r>
        <r>
          <rPr>
            <sz val="8"/>
            <color indexed="81"/>
            <rFont val="Tahoma"/>
            <family val="2"/>
            <charset val="186"/>
          </rPr>
          <t xml:space="preserve">
Bija 9346819</t>
        </r>
      </text>
    </comment>
    <comment ref="BG116" authorId="0">
      <text>
        <r>
          <rPr>
            <b/>
            <sz val="8"/>
            <color indexed="81"/>
            <rFont val="Tahoma"/>
            <family val="2"/>
            <charset val="186"/>
          </rPr>
          <t>Evija.Kvepa:</t>
        </r>
        <r>
          <rPr>
            <sz val="8"/>
            <color indexed="81"/>
            <rFont val="Tahoma"/>
            <family val="2"/>
            <charset val="186"/>
          </rPr>
          <t xml:space="preserve">
Bija 9346819</t>
        </r>
      </text>
    </comment>
    <comment ref="N117" authorId="0">
      <text>
        <r>
          <rPr>
            <b/>
            <sz val="8"/>
            <color indexed="81"/>
            <rFont val="Tahoma"/>
            <family val="2"/>
            <charset val="186"/>
          </rPr>
          <t>Evija.Kvepa:</t>
        </r>
        <r>
          <rPr>
            <sz val="8"/>
            <color indexed="81"/>
            <rFont val="Tahoma"/>
            <family val="2"/>
            <charset val="186"/>
          </rPr>
          <t xml:space="preserve">
Bija 145635</t>
        </r>
      </text>
    </comment>
    <comment ref="O117" authorId="0">
      <text>
        <r>
          <rPr>
            <b/>
            <sz val="8"/>
            <color indexed="81"/>
            <rFont val="Tahoma"/>
            <family val="2"/>
            <charset val="186"/>
          </rPr>
          <t>Evija.Kvepa:</t>
        </r>
        <r>
          <rPr>
            <sz val="8"/>
            <color indexed="81"/>
            <rFont val="Tahoma"/>
            <family val="2"/>
            <charset val="186"/>
          </rPr>
          <t xml:space="preserve">
Bija 145635</t>
        </r>
      </text>
    </comment>
    <comment ref="Q117" authorId="0">
      <text>
        <r>
          <rPr>
            <b/>
            <sz val="8"/>
            <color indexed="81"/>
            <rFont val="Tahoma"/>
            <family val="2"/>
            <charset val="186"/>
          </rPr>
          <t>Evija.Kvepa:</t>
        </r>
        <r>
          <rPr>
            <sz val="8"/>
            <color indexed="81"/>
            <rFont val="Tahoma"/>
            <family val="2"/>
            <charset val="186"/>
          </rPr>
          <t xml:space="preserve">
Bija 145635</t>
        </r>
      </text>
    </comment>
    <comment ref="Z117" authorId="0">
      <text>
        <r>
          <rPr>
            <b/>
            <sz val="8"/>
            <color indexed="81"/>
            <rFont val="Tahoma"/>
            <family val="2"/>
            <charset val="186"/>
          </rPr>
          <t>Evija.Kvepa:</t>
        </r>
        <r>
          <rPr>
            <sz val="8"/>
            <color indexed="81"/>
            <rFont val="Tahoma"/>
            <family val="2"/>
            <charset val="186"/>
          </rPr>
          <t xml:space="preserve">
Bija 550018</t>
        </r>
      </text>
    </comment>
    <comment ref="AA117" authorId="0">
      <text>
        <r>
          <rPr>
            <b/>
            <sz val="8"/>
            <color indexed="81"/>
            <rFont val="Tahoma"/>
            <family val="2"/>
            <charset val="186"/>
          </rPr>
          <t>Evija.Kvepa:</t>
        </r>
        <r>
          <rPr>
            <sz val="8"/>
            <color indexed="81"/>
            <rFont val="Tahoma"/>
            <family val="2"/>
            <charset val="186"/>
          </rPr>
          <t xml:space="preserve">
Bija 550018</t>
        </r>
      </text>
    </comment>
    <comment ref="AC117" authorId="0">
      <text>
        <r>
          <rPr>
            <b/>
            <sz val="8"/>
            <color indexed="81"/>
            <rFont val="Tahoma"/>
            <family val="2"/>
            <charset val="186"/>
          </rPr>
          <t>Evija.Kvepa:</t>
        </r>
        <r>
          <rPr>
            <sz val="8"/>
            <color indexed="81"/>
            <rFont val="Tahoma"/>
            <family val="2"/>
            <charset val="186"/>
          </rPr>
          <t xml:space="preserve">
Bija 550018</t>
        </r>
      </text>
    </comment>
    <comment ref="AO117" authorId="0">
      <text>
        <r>
          <rPr>
            <b/>
            <sz val="8"/>
            <color indexed="81"/>
            <rFont val="Tahoma"/>
            <family val="2"/>
            <charset val="186"/>
          </rPr>
          <t>Evija.Kvepa:</t>
        </r>
        <r>
          <rPr>
            <sz val="8"/>
            <color indexed="81"/>
            <rFont val="Tahoma"/>
            <family val="2"/>
            <charset val="186"/>
          </rPr>
          <t xml:space="preserve">
Bija 563188</t>
        </r>
      </text>
    </comment>
    <comment ref="BA117" authorId="0">
      <text>
        <r>
          <rPr>
            <b/>
            <sz val="8"/>
            <color indexed="81"/>
            <rFont val="Tahoma"/>
            <family val="2"/>
            <charset val="186"/>
          </rPr>
          <t>Evija.Kvepa:</t>
        </r>
        <r>
          <rPr>
            <sz val="8"/>
            <color indexed="81"/>
            <rFont val="Tahoma"/>
            <family val="2"/>
            <charset val="186"/>
          </rPr>
          <t xml:space="preserve">
Bija 643072</t>
        </r>
      </text>
    </comment>
    <comment ref="BB117" authorId="0">
      <text>
        <r>
          <rPr>
            <b/>
            <sz val="8"/>
            <color indexed="81"/>
            <rFont val="Tahoma"/>
            <family val="2"/>
            <charset val="186"/>
          </rPr>
          <t>Evija.Kvepa:</t>
        </r>
        <r>
          <rPr>
            <sz val="8"/>
            <color indexed="81"/>
            <rFont val="Tahoma"/>
            <family val="2"/>
            <charset val="186"/>
          </rPr>
          <t xml:space="preserve">
Bija 413005</t>
        </r>
      </text>
    </comment>
    <comment ref="BC117" authorId="0">
      <text>
        <r>
          <rPr>
            <b/>
            <sz val="8"/>
            <color indexed="81"/>
            <rFont val="Tahoma"/>
            <family val="2"/>
            <charset val="186"/>
          </rPr>
          <t>Evija.Kvepa:</t>
        </r>
        <r>
          <rPr>
            <sz val="8"/>
            <color indexed="81"/>
            <rFont val="Tahoma"/>
            <family val="2"/>
            <charset val="186"/>
          </rPr>
          <t xml:space="preserve">
Bija 413005</t>
        </r>
      </text>
    </comment>
    <comment ref="BE117" authorId="0">
      <text>
        <r>
          <rPr>
            <b/>
            <sz val="8"/>
            <color indexed="81"/>
            <rFont val="Tahoma"/>
            <family val="2"/>
            <charset val="186"/>
          </rPr>
          <t>Evija.Kvepa:</t>
        </r>
        <r>
          <rPr>
            <sz val="8"/>
            <color indexed="81"/>
            <rFont val="Tahoma"/>
            <family val="2"/>
            <charset val="186"/>
          </rPr>
          <t xml:space="preserve">
Bija 0</t>
        </r>
      </text>
    </comment>
  </commentList>
</comments>
</file>

<file path=xl/sharedStrings.xml><?xml version="1.0" encoding="utf-8"?>
<sst xmlns="http://schemas.openxmlformats.org/spreadsheetml/2006/main" count="560" uniqueCount="454">
  <si>
    <t>2.1.1.1.</t>
  </si>
  <si>
    <t>2.1.1.2.</t>
  </si>
  <si>
    <t>2.1.1.3.1.</t>
  </si>
  <si>
    <t>2.1.1.3.2.</t>
  </si>
  <si>
    <t>2.1.2.1.1.</t>
  </si>
  <si>
    <t>2.1.2.1.2.</t>
  </si>
  <si>
    <t>2.1.2.1.3.</t>
  </si>
  <si>
    <t>2.1.2.2.1.</t>
  </si>
  <si>
    <t>2.1.2.2.2.</t>
  </si>
  <si>
    <t>2.1.2.2.3.</t>
  </si>
  <si>
    <t>2.1.2.4.</t>
  </si>
  <si>
    <t>2.2.1.1.</t>
  </si>
  <si>
    <t>2.2.1.2.1.</t>
  </si>
  <si>
    <t>2.2.1.2.2.</t>
  </si>
  <si>
    <t>2.2.1.3.</t>
  </si>
  <si>
    <t>2.3.1.1.1.</t>
  </si>
  <si>
    <t>2.3.1.1.2.</t>
  </si>
  <si>
    <t>2.3.1.2.</t>
  </si>
  <si>
    <t>2.3.2.1.</t>
  </si>
  <si>
    <t>2.3.2.2.</t>
  </si>
  <si>
    <t>2.4.1.1.</t>
  </si>
  <si>
    <t>1.2.2.1.2.</t>
  </si>
  <si>
    <t>1.3.1.1.3.</t>
  </si>
  <si>
    <t>1.3.1.3.2.</t>
  </si>
  <si>
    <t>1.3.1.4.</t>
  </si>
  <si>
    <t>1.3.1.6.</t>
  </si>
  <si>
    <t>1.3.1.7.</t>
  </si>
  <si>
    <t>1.3.1.8.</t>
  </si>
  <si>
    <t>1.4.1.1.1.</t>
  </si>
  <si>
    <t>1.4.1.1.2.</t>
  </si>
  <si>
    <t>1.4.1.2.1.</t>
  </si>
  <si>
    <t>1.4.1.2.2.</t>
  </si>
  <si>
    <t>1.4.1.2.4.</t>
  </si>
  <si>
    <t>1.3.1.1.1.</t>
  </si>
  <si>
    <t>1.3.1.1.4.</t>
  </si>
  <si>
    <t>1.3.1.2.</t>
  </si>
  <si>
    <t>1.3.1.9.</t>
  </si>
  <si>
    <t>1.5.1.1.1.</t>
  </si>
  <si>
    <t>1.5.1.1.2.</t>
  </si>
  <si>
    <t>1.5.1.2.</t>
  </si>
  <si>
    <t>1.5.1.3.1.</t>
  </si>
  <si>
    <t>1.5.1.3.2.</t>
  </si>
  <si>
    <t>1.5.2.1.</t>
  </si>
  <si>
    <t>1.5.2.2.1.</t>
  </si>
  <si>
    <t>1.5.2.2.2.</t>
  </si>
  <si>
    <t>1.5.2.2.3.</t>
  </si>
  <si>
    <t>1.1.1.1.</t>
  </si>
  <si>
    <t>1.1.1.2.</t>
  </si>
  <si>
    <t>1.1.2.1.1.</t>
  </si>
  <si>
    <t>1.1.2.2.1.</t>
  </si>
  <si>
    <t>1.1.2.2.2.</t>
  </si>
  <si>
    <t>1.2.1.1.1.</t>
  </si>
  <si>
    <t>1.2.1.1.2.</t>
  </si>
  <si>
    <t>1.2.1.1.3.</t>
  </si>
  <si>
    <t>1.2.1.1.4.</t>
  </si>
  <si>
    <t>1.2.1.2.1.</t>
  </si>
  <si>
    <t>1.2.1.2.2.</t>
  </si>
  <si>
    <t>1.2.1.2.3.</t>
  </si>
  <si>
    <t>1.2.2.1.1.</t>
  </si>
  <si>
    <t>1.2.2.1.3.</t>
  </si>
  <si>
    <t>1.2.2.1.5</t>
  </si>
  <si>
    <t>1.2.2.2.1.</t>
  </si>
  <si>
    <t>1.2.2.2.2.</t>
  </si>
  <si>
    <t>1.2.2.3.1.</t>
  </si>
  <si>
    <t>1.2.2.3.2.</t>
  </si>
  <si>
    <t>1.2.2.4.1.</t>
  </si>
  <si>
    <t>1.2.2.4.2.</t>
  </si>
  <si>
    <t>1.3.2.1.</t>
  </si>
  <si>
    <t>1.3.2.2.</t>
  </si>
  <si>
    <t>1.3.2.3.</t>
  </si>
  <si>
    <t>1.5.3.1.</t>
  </si>
  <si>
    <t>1.5.3.2.</t>
  </si>
  <si>
    <t>1.6.1.1.</t>
  </si>
  <si>
    <t>1.1.2.1.2.</t>
  </si>
  <si>
    <t>3.4.2.1.1.</t>
  </si>
  <si>
    <t>3.4.2.1.2.</t>
  </si>
  <si>
    <t>3.4.2.1.3.</t>
  </si>
  <si>
    <t>3.4.2.2.</t>
  </si>
  <si>
    <t>3.4.4.1.</t>
  </si>
  <si>
    <t>3.4.4.2.</t>
  </si>
  <si>
    <t>3.1.1.1.</t>
  </si>
  <si>
    <t>3.1.1.2.</t>
  </si>
  <si>
    <t>3.1.2.1.1.</t>
  </si>
  <si>
    <t>3.1.2.1.2.</t>
  </si>
  <si>
    <t>3.1.3.1.</t>
  </si>
  <si>
    <t>3.1.3.2.</t>
  </si>
  <si>
    <t>3.1.3.3.1.</t>
  </si>
  <si>
    <t>3.1.3.3.2.</t>
  </si>
  <si>
    <t>3.2.2.1.2.</t>
  </si>
  <si>
    <t>3.7.1.1.</t>
  </si>
  <si>
    <t>3.2.1.1.</t>
  </si>
  <si>
    <t>3.2.1.2.</t>
  </si>
  <si>
    <t>3.2.1.3.1.</t>
  </si>
  <si>
    <t>3.2.1.3.2.</t>
  </si>
  <si>
    <t>3.2.1.4.</t>
  </si>
  <si>
    <t>3.2.1.5.</t>
  </si>
  <si>
    <t>3.2.2.3.</t>
  </si>
  <si>
    <t>3.2.2.4.1.</t>
  </si>
  <si>
    <t>3.2.2.4.2.</t>
  </si>
  <si>
    <t>3.4.1.1.</t>
  </si>
  <si>
    <t>3.4.1.3.</t>
  </si>
  <si>
    <t>3.4.1.4.</t>
  </si>
  <si>
    <t>3.4.1.5.1.</t>
  </si>
  <si>
    <t>3.4.1.5.2.</t>
  </si>
  <si>
    <t>3.1.4.3.</t>
  </si>
  <si>
    <t>3.2.2.1.1.</t>
  </si>
  <si>
    <t>3.2.2.2.</t>
  </si>
  <si>
    <t>3.6.1.1.</t>
  </si>
  <si>
    <t>3.6.1.2.</t>
  </si>
  <si>
    <t>3.1.5.1.1.</t>
  </si>
  <si>
    <t>3.1.5.1.2.</t>
  </si>
  <si>
    <t>3.1.5.2.</t>
  </si>
  <si>
    <t>3.1.5.3.1.</t>
  </si>
  <si>
    <t>3.1.5.3.2.</t>
  </si>
  <si>
    <t>3.4.3.1.</t>
  </si>
  <si>
    <t>3.4.3.2.</t>
  </si>
  <si>
    <t>3.4.3.3.</t>
  </si>
  <si>
    <t>3.1.4.1.1.</t>
  </si>
  <si>
    <t>3.1.4.1.2.</t>
  </si>
  <si>
    <t>3.1.4.1.3.</t>
  </si>
  <si>
    <t>3.1.4.1.4.</t>
  </si>
  <si>
    <t>3.1.4.1.5.</t>
  </si>
  <si>
    <t>3.1.4.2.</t>
  </si>
  <si>
    <t>3.5.1.1.</t>
  </si>
  <si>
    <t>3.5.1.2.1.</t>
  </si>
  <si>
    <t>3.5.1.2.2.</t>
  </si>
  <si>
    <t>3.5.1.2.3.</t>
  </si>
  <si>
    <t>3.3.1.1.</t>
  </si>
  <si>
    <t>3.3.1.2.</t>
  </si>
  <si>
    <t>3.3.1.3.</t>
  </si>
  <si>
    <t>3.3.1.4.</t>
  </si>
  <si>
    <t>3.3.1.5.</t>
  </si>
  <si>
    <t>3.3.2.1.</t>
  </si>
  <si>
    <t>3.5.2.2.</t>
  </si>
  <si>
    <t>3.5.2.3.</t>
  </si>
  <si>
    <t>3.5.2.4.</t>
  </si>
  <si>
    <t>3.8.1.1.</t>
  </si>
  <si>
    <t>1.1.1.3.</t>
  </si>
  <si>
    <t>3.6.2.1.</t>
  </si>
  <si>
    <t>3.3.1.6.</t>
  </si>
  <si>
    <t>3.5.1.3.</t>
  </si>
  <si>
    <t>3.5.1.4.</t>
  </si>
  <si>
    <t>2.3.2.3.</t>
  </si>
  <si>
    <t>Aktivitāte "Atbalsts darba vietu radīšanai"</t>
  </si>
  <si>
    <t>2.1.2.2.4.</t>
  </si>
  <si>
    <t>Apakšaktivitāte "MVK jaunu produktu un tehnoloģiju attīstības programma"</t>
  </si>
  <si>
    <t>2.1.2.3.1.</t>
  </si>
  <si>
    <t>2.2.1.4.1.</t>
  </si>
  <si>
    <t>2.2.1.4.2.</t>
  </si>
  <si>
    <t>3.5.2.1.2.</t>
  </si>
  <si>
    <t>3.5.2.1.1.</t>
  </si>
  <si>
    <t>2013.g.</t>
  </si>
  <si>
    <t>2014.g.</t>
  </si>
  <si>
    <t>2015.g.</t>
  </si>
  <si>
    <t>Kopā</t>
  </si>
  <si>
    <t>Salīdzinot ar budžetu mērķis ir mazāks jo nepieciešamajā budžetā tiek norādīta īstenošanai nepieciešamā summa un nepieciešamie līdzekļi atmaksas veikšanai.</t>
  </si>
  <si>
    <t>Salīdzinot ar budžetu mērķis ir lielāks, jo 2011.gadā bija neizpilde un atlikums tiek pārdalīts gan uz citu apakšpogrammu, gan iespējams tiks atdots atpakaļ uz 80.00.00. programmu, tādēļ veidojas situācija, ka bāzē neparādās jau 2011.gada bāzē piešķirtais finansējums, toties VIAA/IZM norāda, ka reāli šai aktivitātei līdzekļi būs atkārtoti nepieciešami 2012. un 2013.gadā.</t>
  </si>
  <si>
    <t>2013. un 2014.gadā mērķos ir norādītas summas, bet budžetā nav, jo plānoti maksājumi finansējuma saņēmējiem šajos gados.</t>
  </si>
  <si>
    <t>2013. mērķī ir norādīta summa, bet budžetā nav, jo plānoti maksājumi finansējuma saņēmējiem šajā gadā.</t>
  </si>
  <si>
    <t>Finansējums nodots LHZB rīcībā finanšu instrumenta ieviešanai.</t>
  </si>
  <si>
    <t>Jaunizveidota aktivitāte, plānots uzsākt 2012.g., tā kā vēl nav apstiprinātu projektu, tad nevar [preceīzi izdalīt mērķus pa gadiem.</t>
  </si>
  <si>
    <t>Mērķis nav mainīts, tiek plānots atbilstši aktivitātes 2. un 3. kārtas projektu ieviešanas plānam</t>
  </si>
  <si>
    <t>Finansējums pārdalīts citām aktivitātēm</t>
  </si>
  <si>
    <t>Mērķi 2012-2015.g. netiek mainīti, tiek plānoti atbilstoši aktivitātei pieejamajam finansējumam un ieviešanas gaitai</t>
  </si>
  <si>
    <t xml:space="preserve">Aktivitātes brīvais finansējums 7 200 000 tiek pārdalīts uz LM administrēto 1.3.1.1.3. aktvitāti.  </t>
  </si>
  <si>
    <t>Janvāris</t>
  </si>
  <si>
    <t>Februāris</t>
  </si>
  <si>
    <t>Marts</t>
  </si>
  <si>
    <t>Aprīlis</t>
  </si>
  <si>
    <t>Maijs</t>
  </si>
  <si>
    <t>Jūnijs</t>
  </si>
  <si>
    <t>Jūlijs</t>
  </si>
  <si>
    <t>Augusts</t>
  </si>
  <si>
    <t>Septembris</t>
  </si>
  <si>
    <t>Oktobris</t>
  </si>
  <si>
    <t>Novembris</t>
  </si>
  <si>
    <t>Decembris</t>
  </si>
  <si>
    <t>AI mērķis maksājumiem fin. saņēmējiem (ES fondu daļa), LVL / Action plan of ministries (EU funding), LVL</t>
  </si>
  <si>
    <t>ES fondu daļa / EU funding</t>
  </si>
  <si>
    <t>Valsts budžeta daļa, t.sk. valsts budžeta dotācija pašvaldībām / State budget</t>
  </si>
  <si>
    <t>Nepieciešamais budžets (bez atmaksām pamatbudžetā), LVL / Necessary state budget, LVL</t>
  </si>
  <si>
    <t>Esošais budžets (bez atmaksām pamatbudžetā), LVL / Available state budget, LVL</t>
  </si>
  <si>
    <t>68=52+56+60+64</t>
  </si>
  <si>
    <t>Nepieciešamais budžets 2012-2015 (bez atmaksām pamatbudžetā), LVL / Necessary state budget 2012-2015, LVL</t>
  </si>
  <si>
    <t>3.1.4.4.</t>
  </si>
  <si>
    <t xml:space="preserve">3.4.1.6. </t>
  </si>
  <si>
    <t>Nepieciešamais budžets kumulatīvi 2012-2015, LVL / Necessary state budget 2012-2015 (cumulatively), LVL</t>
  </si>
  <si>
    <t>Komentāri</t>
  </si>
  <si>
    <t>4'</t>
  </si>
  <si>
    <t>Aktivitātēm piešķirtais valsts budžets 2007.-2012.gadā LVL / Available state budget 2007-2012, LVL</t>
  </si>
  <si>
    <t>1.3.1.1.5.</t>
  </si>
  <si>
    <t>1.3.1.3.1.</t>
  </si>
  <si>
    <t>1.3.1.1.6.</t>
  </si>
  <si>
    <t xml:space="preserve">Nosacījumi AI prognozes sasniegšanai:
- veikti grozījumi aktivitātes MK noteikumos (papildu finansējums 9 000 000 LVL);
- veikti grozījumi projektā;
- pieejams finansējums no 80.00.00. budžeta programmas;
- balstoties uz papildus finansējuma piešķiršanu, projekta īstenošanas termiņš tiek pagarināts līdz 2014.gadam. </t>
  </si>
  <si>
    <t>Nosacījumi AI prognozes sasniegšanai:
- apstiprināts aktivitātes 2.kārtas projekts;
- pieejams finansējums no 80.00.00.budžeta programmas.                                                                      
AI mērķis pārsniedz DPP norādīto ESF finansējumu par virssaistību apmēru (LVL 5 306 307), kas var mainīties pēc projekta beigu finansējuma apstiprināšanas /fiksēšanas.</t>
  </si>
  <si>
    <t>Prognoze balstīta uz finansējuma saņēmēja sniegto informāciju par izmaiņām finansējuma sadalījumā pa gadiem (samazināts 2012.g. un palielināts 2013.g. finansējums). Atbilstoši projekta grozījumi procesā.</t>
  </si>
  <si>
    <t>Prognoze balstīta uz finansējuma saņēmēja sniegto informāciju par izmaiņām finansējuma sadalījumā pa gadiem un plānoto projekta termiņa pagarinājumu. (Iemesls - nepamatota sūdzība iepirkuma procedūras ietvaros). Atbilstoši projekta grozījumi procesā.</t>
  </si>
  <si>
    <t>Valsts budžeta finansējums plānots neattiecināmo izmaksu segšanai 1.kārtas projektiem saistībā ar izmaiņām netiešo izmaksu nemainīgās likmes piemērošanas kārtībā.</t>
  </si>
  <si>
    <t xml:space="preserve">
Atbilstoši veiktajiem grozījumiem DPP un MK noteikumos tika precizēta maksājumu ESF daļa, jo daļa veikto uzdevumu pēc projekta pārtraukšanas ir uzskatāmi par neattiecināmiem
</t>
  </si>
  <si>
    <t>Mērķi 2012-2015.g. tiek mainīti, tiek plānoti atbilstoši aktivitātei pieejamajam finansējumam un ieviešanas gaitai. 
Papildus VARAM norāda, ka aktivitātes ietvaros nav plānotas nākamās atlases kārtas pastāv iespēja, ka netiks nodrošināta 100% apguve pret DPP, ja iepirkuma rezultātā projekts tiek īstenots par mazāku finansējuma apjomu nekā sākotnēji plānots, tiek  veikti grozījumi projektos, samazinot projektu kopējo finansējumu, vai citi iemesli. Atlikumus ir plānots pārdalīt citām VARAM aktivitātēm.</t>
  </si>
  <si>
    <t>Mērķi 2012-2015.g. tiek mainīti, tiek plānoti atbilstoši aktivitātei pieejamajam finansējumam un ieviešanas gaitai. 
2012.gadā tiks apstiprināti jaui projekti 6. un 7. projektu atlases kārtas ietvaros, tādēļ nepieciešamais budžets ir lielāks nekā esošais</t>
  </si>
  <si>
    <t>Mērķi 2012-2015.g. tiek mainīti, tiek plānoti atbilstoši aktivitātei pieejamajam finansējumam un ieviešanas gaitai. 
FS - valsts iestāde, attiecīgi AI mērķis ir atmaksas valsts budžetā, nepieciešamais budžets - izdevumi priekšfinansēšanai.</t>
  </si>
  <si>
    <t xml:space="preserve">Mērķi 2012-2015.g. tiek mainīti, tiek plānoti atbilstoši aktivitātei pieejamajam finansējumam un ieviešanas gaitai. </t>
  </si>
  <si>
    <t xml:space="preserve">Mērķi 2012-2015.g. tiek mainīti, tiek plānoti atbilstoši aktivitātei pieejamajam finansējumam un ieviešanas gaitai. 
2012.gadā nepieciešamais budžets ir nedaudz lielāks par esošo budžetu, jo atbilstoši jaunākajām FS iensiegtajām finanšu prognozēm tiks apgūti vairāk līdzekļi. </t>
  </si>
  <si>
    <t>Mērķi 2012-2015.g. tiek mainīti, tiek plānoti atbilstoši aktivitātei pieejamajam finansējumam un ieviešanas gaitai. 
Papildus VARAM norāda, ka aktivitātes ietvaros ir plānota nākamā (4.) atlases kārta, plānots nodrošināt 100% apguvi pret DPP</t>
  </si>
  <si>
    <t>—</t>
  </si>
  <si>
    <t>Mērķi 2012-2015.g. tiek mainīti, tiek plānoti atbilstoši aktivitātei pieejamajam finansējumam un ieviešanas gaitai. 
2012.gadā tiks apstiprināti jauni 4.kārtas projekti, kuriem plānoti izdevumi 2012.gada 4.ceturksnī, tādēļ 2012.gada esošais budžets ir mazāks nekā nepieciešamais budžets.</t>
  </si>
  <si>
    <t>Mērķi 2012-2015.g. tiek mainīti, tiek plānoti atbilstoši aktivitātei pieejamajam finansējumam un ieviešanas gaitai. 
2012.gadā nepieciešamais budžets ir nedaudz lielāks par esošo budžetu, jo 2011.gada nogalē  tika apstiprināti jauni projekti, kuri netika ieplānoti pieprasījumā par valsts budžetu 2012.gadam</t>
  </si>
  <si>
    <t>Mērķi 2012-2015.g. tiek mainīti, tiek plānoti atbilstoši aktivitātei pieejamajam finansējumam un ieviešanas gaitai. 
AI mērķis ir atmaksas valsts budžetā, nepieciešamais budžets - izdevumi priekšfinansēšanai.
2012.gadā nepieciešamais budžets ir lielāks nekā esošais budžets, jo 2011.gada ietvaros aktivitātes īstenošanā esošajam projektam paredzētie līdzekļi netika apgūti, attiecīgi tie būs nepieciešami 2012.gadā, jo šī gada ietvaros ir projekta īstenošanas termiņa beigas. Papildus finansējums tiks pieprasīts, kad projekta ietvaros tiks noslēgts darbu līgums.</t>
  </si>
  <si>
    <t>Mērķi 2012-2015.g. tiek mainīti, tiek plānoti atbilstoši aktivitātei pieejamajam finansējumam un ieviešanas gaitai. 
AI mērķis ir atmaksas valsts budžetā, nepieciešamais budžets - izdevumi priekšfinansēšanai</t>
  </si>
  <si>
    <t>Ministrija; Aktivitāte; Apakšaktivitāte</t>
  </si>
  <si>
    <t>Ieviesējinstitūcijas; Aktivitāte; Apakšaktivitāte; Finanšu instruments</t>
  </si>
  <si>
    <t>Ieviesējinstitūcijas mērķis maksājumiem / investīcijām, LVL</t>
  </si>
  <si>
    <t xml:space="preserve">1.ceturksnis </t>
  </si>
  <si>
    <t xml:space="preserve">2.ceturksnis </t>
  </si>
  <si>
    <t xml:space="preserve">3.ceturksnis </t>
  </si>
  <si>
    <t>ES fondu daļa</t>
  </si>
  <si>
    <t>Kopējais finansējums (ieskaitot finanšu starpinst. līdzfin.)*</t>
  </si>
  <si>
    <t>VA/S "Latvijas Hipotēku un zemes banka"</t>
  </si>
  <si>
    <t>Aktivitāte "Atbalsts pašnodarbinātības un uzņēmējdarbības uzsākšanai"</t>
  </si>
  <si>
    <t>Aizdevumi</t>
  </si>
  <si>
    <t xml:space="preserve">Granti aizdevuma dzēšanai </t>
  </si>
  <si>
    <t xml:space="preserve">Granti saimnieciskās darbības uzsākšanai </t>
  </si>
  <si>
    <t>Apakšaktivitāte "Atbalsts aizdevumu veidā komersantu konkurētspējas uzlabošanai"</t>
  </si>
  <si>
    <t xml:space="preserve">SIA "Latvijas Garantiju aģentūra" </t>
  </si>
  <si>
    <t>Aizdevumu instrumenti kopā:</t>
  </si>
  <si>
    <t>Aktivitāte "Garantijas komersantu konkurētspējas uzlabošanai"</t>
  </si>
  <si>
    <t>Konkurētspējas garantijas</t>
  </si>
  <si>
    <t>Eksporta garantijas</t>
  </si>
  <si>
    <t>Apakšaktivitāte "Mezanīna aizdevumi investīcijām komersantu konkurētspējas uzlabošanai"</t>
  </si>
  <si>
    <t>* Kopējais finansējums = ES fondu daļa + Nacionālais publiskais fin. + finanšu starpniekinstitūcijas līdzfinansējums</t>
  </si>
  <si>
    <t>Uzsākšanas kapitāla instruments - Imprimatur (ieguldījumi)</t>
  </si>
  <si>
    <t>Riska kapitāla instrumenti kopā:</t>
  </si>
  <si>
    <t>2012.gads</t>
  </si>
  <si>
    <t>Finanšu instrumenti kopā:</t>
  </si>
  <si>
    <t xml:space="preserve">Finanšu ministrs </t>
  </si>
  <si>
    <t>Finanšu ministrs</t>
  </si>
  <si>
    <t>S.Laugale - Volbaka</t>
  </si>
  <si>
    <t>67083964 Sintija.Laugale-Volbaka@fm.gov.lv</t>
  </si>
  <si>
    <t xml:space="preserve">ES fonda finansējums atbilstoši konceptuāli apst. MK p/l, LVL </t>
  </si>
  <si>
    <t>Aktivitātēm piešķirtais valsts budžets 2012.gadā LVL</t>
  </si>
  <si>
    <t>Nepieciešamais budžets (bez atmaksām pamatbudžetā), LVL</t>
  </si>
  <si>
    <t xml:space="preserve">Esošais budžets (bez atmaksām pamatbudžetā), LVL </t>
  </si>
  <si>
    <t>Valsts budžeta daļa, t.sk. valsts budžeta dotācija pašvaldībām, LVL</t>
  </si>
  <si>
    <t xml:space="preserve">AI mērķis maksājumiem fin. saņēmējiem (ES fondu daļa), LVL </t>
  </si>
  <si>
    <t xml:space="preserve">Eiropas Sociālais fonds </t>
  </si>
  <si>
    <t>Eiropas Reģionālās attīstības fonds</t>
  </si>
  <si>
    <t xml:space="preserve">Kohēzijas fonds </t>
  </si>
  <si>
    <t xml:space="preserve">DP "Cilvēkresursi un nodarbinātība" (ESF) </t>
  </si>
  <si>
    <t>DP "Uzņēmējdarbība un inovācijas" (ERAF)</t>
  </si>
  <si>
    <t>DP "Infrastruktūra un pakalpojumi" (ERAF/KF)</t>
  </si>
  <si>
    <t>Kopā:</t>
  </si>
  <si>
    <t>ESF kopā:</t>
  </si>
  <si>
    <t>Izglītības un zinātnes ministrija (ESF) )</t>
  </si>
  <si>
    <t xml:space="preserve">Aktivitāte "Zinātnes un inovāciju politikas veidošanas un administratīvās kapacitātes stiprināšana" </t>
  </si>
  <si>
    <t>Aktivitāte "Cilvēkresursu piesaiste zinātnei"</t>
  </si>
  <si>
    <t>Aktivitāte "Motivācijas veicināšana zinātniskajai darbībai"</t>
  </si>
  <si>
    <t>Apakšaktivitāte "Atbalsts maģistra studiju programmu īstenošanai"</t>
  </si>
  <si>
    <t xml:space="preserve">Apakšaktivitāte "Atbalsts doktora studiju programmu īstenošanai" </t>
  </si>
  <si>
    <t>Apakšaktivitāte "Studiju programmu satura un īstenošanas uzlabošana un akadēmiskā personāla kompetences pilnveidošana"</t>
  </si>
  <si>
    <t> Apakšaktivitāte "Boloņas procesa principu ieviešana augstākajā izglītībā"</t>
  </si>
  <si>
    <t xml:space="preserve">Apakšaktivitāte "Nacionālās kvalifikāciju sistēmas pilnveide, profesionālās izglītības satura un profesionālajā izglītībā iesaistīto pušu sadarbības uzlabošana" </t>
  </si>
  <si>
    <t xml:space="preserve">Apakšaktivitāte "Profesionālajā izglītībā iesaistīto pedagogu kompetences paaugstināšana" </t>
  </si>
  <si>
    <t>Apakšaktivitāte "Atbalsts sākotnējās profesionālās izglītības programmu īstenošanas kvalitātes uzlabošanai un īstenošanai"</t>
  </si>
  <si>
    <t xml:space="preserve">Apakšaktivitāte "Sākotnējās profesionālās izglītības pievilcības veicināšana" </t>
  </si>
  <si>
    <t xml:space="preserve">Apakšaktivitāte "Vispārējās vidējās izglītības satura reforma, mācību priekšmetu, metodikas un mācību sasniegumu vērtēšanas sistēmas uzlabošana" </t>
  </si>
  <si>
    <t>Apakšaktivitāte "Atbalsts vispārējās izglītības pedagogu nodrošināšanai prioritārajos mācību priekšmetos"</t>
  </si>
  <si>
    <t>Apakšaktivitāte "Vispārējās izglītības pedagogu kompetences paaugstināšana un prasmju atjaunošana"</t>
  </si>
  <si>
    <t xml:space="preserve">Apakšaktivitāte " Mūžizglītības pārvaldes struktūras izveide nacionālā līmenī un inovatīvu mūžizglītības politikas instrumentu izstrāde" </t>
  </si>
  <si>
    <t>Apakšaktivitāte „Īpašu mūžizglītības politikas jomu atbalsts"</t>
  </si>
  <si>
    <t>Apakšaktivitāte "Pedagogu konkurētspējas veicināšana izglītības sistēmas optimizācijas apstākļos"</t>
  </si>
  <si>
    <t xml:space="preserve">Apakšaktivitāte "Profesionālās orientācijas un karjeras izglītības attīstība izglītības sistēmā" </t>
  </si>
  <si>
    <t>Apakšaktivitāte "Profesionālās orientācijas un karjeras izglītības pieejamības palielināšana jauniešiem, profesionāli orientētās izglītības attīstība"</t>
  </si>
  <si>
    <t xml:space="preserve">Apakšaktivitāte „Atbalsts izglītības pētījumiem” </t>
  </si>
  <si>
    <t xml:space="preserve">Apakšaktivitāte "Iekļaujošas izglītības un sociālās atstumtības riskam pakļauto jauniešu atbalsta sistēmas izveide, nepieciešamā personāla sagatavošana, nodrošināšana un kompetences paaugstināšana" </t>
  </si>
  <si>
    <t>Apakšaktivitāte "Atbalsta pasākumu īstenošana jauniešu sociālās atstumtības riska mazināšanai un jauniešu ar funkcionālajiem traucējumiem integrācijai izglītībā"</t>
  </si>
  <si>
    <t>Labklājības ministrija (ESF)</t>
  </si>
  <si>
    <t>Apakšaktivitāte "Atbalsts Mūžizglītības politikas pamatnostādņu īstenošanai"</t>
  </si>
  <si>
    <t xml:space="preserve">Apakšaktivitāte "Bezdarbnieku un darba meklētāju apmācība" </t>
  </si>
  <si>
    <t xml:space="preserve">Apakšaktivitāte "Darba attiecību un darba drošības normatīvo aktu uzraudzības pilnveidošana" </t>
  </si>
  <si>
    <t>Apakšaktivitāte "Darba attiecību un darba drošības normatīvo aktu praktiska piemērošana nozarēs un uzņēmumos"</t>
  </si>
  <si>
    <t xml:space="preserve">Aktivitāte "Kapacitātes stiprināšana darba tirgus institūcijām" </t>
  </si>
  <si>
    <t>Aktivitāte "Vietējo nodarbinātības veicināšanas pasākumu plānu ieviešanas atbalsts"</t>
  </si>
  <si>
    <t>Aktivitāte "Atbalsts dzimumu līdztiesības veicināšanai darba tirgū"</t>
  </si>
  <si>
    <t xml:space="preserve">Aktivitāte "Darba tirgus pieprasījuma īstermiņa un ilgtermiņa prognozēšanas un uzraudzības sistēmas attīstība" </t>
  </si>
  <si>
    <t xml:space="preserve">Aktivitāte "Atbalsts labāko inovatīvo risinājumu meklējumiem un labas prakses piemēru integrēšanai darba tirgus politikās un ieviešanas instrumentārijos" </t>
  </si>
  <si>
    <t>Apakšaktivitāte "Kompleksi atbalsta pasākumi iedzīvotāju integrēšanai darba tirgū"</t>
  </si>
  <si>
    <t>Apakšaktivitāte "Atbalstītās nodarbinātības pasākumi mērķgrupu bezdarbniekiem"</t>
  </si>
  <si>
    <t>Apakšaktivitāte "Darbspēju vērtēšanas sistēmas pilnveidošana"</t>
  </si>
  <si>
    <t>Apakšaktivitāte "Sociālās rehabilitācijas pakalpojumu attīstība personām ar redzes un dzirdes traucējumiem"</t>
  </si>
  <si>
    <t xml:space="preserve">Sociālās rehabilitācijas un institūcijām alternatīvu sociālās aprūpes pakalpojumu attīstība reģionos" </t>
  </si>
  <si>
    <t xml:space="preserve">Ekonomikas ministrija (ESF) </t>
  </si>
  <si>
    <t>Apakšaktivitāte "Atbalsts nodarbināto apmācībām komersantu konkurētspējas veicināšanai - atbalsts komersantu individuāli organizētām apmācībām"</t>
  </si>
  <si>
    <t>Aktivitāte "Augstas kvalifikācijas darbinieku piesaiste"</t>
  </si>
  <si>
    <t>Valsts Kanceleja (ESF)</t>
  </si>
  <si>
    <t>Apakšaktivitāte "Politikas pētījumu veikšana"</t>
  </si>
  <si>
    <t xml:space="preserve">Aktivitāte "Administratīvo šķēršļu samazināšana un publisko pakalpojumu kvalitātes uzlabošana" </t>
  </si>
  <si>
    <t>Apakšaktivitāte "Kvalitātes vadības sistēmas izveide un ieviešana"</t>
  </si>
  <si>
    <t xml:space="preserve">Apakšaktivitāte "Publisko pakalpojumu kvalitātes paaugstināšana valsts, reģionālā un vietējā līmenī" </t>
  </si>
  <si>
    <t>Aktivitāte "Publiskās pārvaldes cilvēkresursu plānošanas un vadības sistēmas attīstība"</t>
  </si>
  <si>
    <t>Apakšaktivitāte "Sociālo partneru administratīvās kapacitātes stiprināšana"</t>
  </si>
  <si>
    <t>Apakšaktivitāte "NVO administratīvās kapacitātes stiprināšana"</t>
  </si>
  <si>
    <t xml:space="preserve">Veselības ministrija(ESF) </t>
  </si>
  <si>
    <t>Aktivitāte "Veselības uzlabošana darbavietā, veicinot ilgtspējīgu nodarbinātību"</t>
  </si>
  <si>
    <t>Aktivitāte "Pētījumi un aptaujas par veselību darbā"</t>
  </si>
  <si>
    <t>Aktivitāte "Veselības aprūpes un veicināšanas procesā iesaistīto institūciju personāla kompetences, prasmju un iemaņu līmeņa paaugstināšana"</t>
  </si>
  <si>
    <t>Finanšu ministrija(ESF)</t>
  </si>
  <si>
    <t xml:space="preserve">Apakšaktivitāte "Politikas veidošanas, ieviešanas un tās ietekmes izvērtēšanas pilnveidošana" </t>
  </si>
  <si>
    <t>Aktivitāte "Programmas vadības un atbalsta funkciju nodrošināšana"</t>
  </si>
  <si>
    <t>Vides aizsardzības un reģionālās attīstības ministrija (ESF)</t>
  </si>
  <si>
    <t xml:space="preserve">Aktivitāte "Speciālistu piesaiste plānošanas reģioniem, pilsētām un novadiem" </t>
  </si>
  <si>
    <t>Aktivitāte "Plānošanas reģionu un vietējo pašvaldību attīstības plānošanas kapacitātes paaugstināšana"</t>
  </si>
  <si>
    <t>ERAF kopā:</t>
  </si>
  <si>
    <t>Ekonomikas ministrija (ERAF)</t>
  </si>
  <si>
    <t xml:space="preserve">Ekonomikas ministrija (2DP) </t>
  </si>
  <si>
    <t>Apakšaktivitāte "Kompetences centri"</t>
  </si>
  <si>
    <t>Apakšaktivitāte "Tehnoloģiju pārneses kontaktpunkti"</t>
  </si>
  <si>
    <t>Apakšaktivitāte "Tehnoloģiju pārneses centri"</t>
  </si>
  <si>
    <t>Apakšaktivitāte "Jaunu produktu un tehnoloģiju izstrāde"</t>
  </si>
  <si>
    <t>Apakšaktivitāte "Jaunu produktu un tehnoloģiju izstrāde - atbalsts jaunu produktu un tehnoloģiju ieviešanai ražošanā"</t>
  </si>
  <si>
    <t>Apakšaktivitāte "Jaunu produktu un tehnoloģiju izstrāde - atbalsts rūpnieciskā īpašuma tiesību nostiprināšanai"</t>
  </si>
  <si>
    <t>Apakšaktivitāte "Rīgas zinātnes un tehnoloģiju parka (ZTP) attīstība"</t>
  </si>
  <si>
    <t>Aktivitāte "Augstas pievienotās vērtības investīcijas"</t>
  </si>
  <si>
    <t xml:space="preserve"> Aktivitāte "Ieguldījumu fonds investīcijām garantijās, paaugstināta riska aizdevumos, riska kapitāla fondos un cita veida finanšu instrumentos" </t>
  </si>
  <si>
    <t>Apakšaktivitāte "Biznesa eņģeļu tīkls"</t>
  </si>
  <si>
    <t>Apakšaktivitāte "Vērtspapīru birža MVK"</t>
  </si>
  <si>
    <t>Apakšaktivitāte „Ārējo tirgu apgūšana - ārējais mārketings”</t>
  </si>
  <si>
    <t>Apakšaktivitāte „Ārējo tirgu apgūšana – nozaru starptautiskās konkurētspējas stiprināšana”</t>
  </si>
  <si>
    <t>Aktivitāte "Pasākumi motivācijas celšanai inovācijām un uzņēmējdarbības uzsākšanai"</t>
  </si>
  <si>
    <t>Aktivitāte "Biznesa inkubatori"</t>
  </si>
  <si>
    <t>Aktivitāte "Atbalsts ieguldījumiem mikro, maziem un vidējiem komersantiem īpaši atbalstāmajās teritorijās (ĪAT)"</t>
  </si>
  <si>
    <t>Aktivitāte "Klasteru programma"</t>
  </si>
  <si>
    <t>Aktivitāte "Tehniskā palīdzība (KF)"</t>
  </si>
  <si>
    <t>Finanšu ministrija(KF)</t>
  </si>
  <si>
    <t>Aktivitāte "Daugavas hidroelektrostaciju aizsprostu pārgāžņu rekonstrukcija"</t>
  </si>
  <si>
    <t>Aktivitāte "Vēja elektrostaciju attīstība"</t>
  </si>
  <si>
    <t xml:space="preserve">Aktivitāte "Atjaunojamo energoresursu izmantojošu koģenerācijas elektrostaciju attīstība" </t>
  </si>
  <si>
    <t>Apakšaktivitāte "Pasākumi uzņēmumu siltumapgādes sistēmu efektivitātes paaugstināšanai"</t>
  </si>
  <si>
    <t>Apakšaktivitāte "Pasākumi centralizētās siltumapgādes sistēmu efektivitātes paaugstināšanai"</t>
  </si>
  <si>
    <t xml:space="preserve">Ekonomikas ministrija(KF) </t>
  </si>
  <si>
    <t>Aktivitāte "Ilgtspējīga sabiedriskā transporta sistēmas attīstība"</t>
  </si>
  <si>
    <t>Aktivitāte "Pilsētu infrastruktūras uzlabojumi sasaistei ar TEN-T"</t>
  </si>
  <si>
    <t xml:space="preserve">Aktivitāte "Lidostu infrastruktūras attīstība" </t>
  </si>
  <si>
    <t>Aktivitāte "Lielo ostu infrastruktūras attīstība „Jūras maģistrāļu” ietvaros"</t>
  </si>
  <si>
    <t>Aktivitāte "TEN-T dzelzceļa posmu rekonstrukcija un attīstība (Austrumu-Rietumu dzelzceļa koridora infrastruktūras attīstība un Rail Baltica)"</t>
  </si>
  <si>
    <t>Aktivitāte "TEN-T autoceļu tīkla uzlabojumi 3"</t>
  </si>
  <si>
    <t>Satiksmes ministrija(KF)</t>
  </si>
  <si>
    <t xml:space="preserve">Aktivitāte "Vides monitoringa un kontroles sistēmas attīstība" </t>
  </si>
  <si>
    <t>Aktivitāte "Infrastruktūras izveide natura 2000 teritorijās"</t>
  </si>
  <si>
    <t>Apakšaktivitāte "Dalītās atkritumu apsaimniekošanas sistēmas attīstība"</t>
  </si>
  <si>
    <t>Apakšaktivitāte "Normatīvo aktu prasībām neatbilstošo izgāztuvju rekultivācija"</t>
  </si>
  <si>
    <t>Aktivitāte "Ūdenssaimniecības infrastruktūras attīstība aglomerācijās ar cilvēku ekvivalentu lielāku par 2000"</t>
  </si>
  <si>
    <t>Aktvitiāte "Liepājas Karostas ilgtspējīgas attīstības priekšnoteikumu nodrošināšana"</t>
  </si>
  <si>
    <t xml:space="preserve">Vides aizsardzības un reģionālās attīstības ministrija (KF) </t>
  </si>
  <si>
    <t>KF kopā:</t>
  </si>
  <si>
    <t>Aktivitāte "Darba tirgus institūciju infrastruktūras pilnveidošana"</t>
  </si>
  <si>
    <t>Apakšaktivitāte "Reģionālu atkritumu apsaimniekošanas sistēmu attīstība</t>
  </si>
  <si>
    <t xml:space="preserve">Apakšaktivitāte "Infrastruktūras pilnveidošana sociālās rehabilitācijas pakalpojumu sniegšanai personām ar garīga rakstura traucējumiem" </t>
  </si>
  <si>
    <t>Apakšaktivitāte "Jaunu filiāļu izveide tehnisko palīglīdzekļu nodrošināšanai"</t>
  </si>
  <si>
    <t>Apakšaktivitāte "Infrastruktūras pilnveidošana sociālās rehabilitācijas pakalpojumu sniegšanai personām ar redzes un dzirdes traucējumiem"</t>
  </si>
  <si>
    <t xml:space="preserve">Apakšaktivitāte "Infrastruktūras pilnveidošana profesionālās rehabilitācijas pakalpojumu sniegšanai" </t>
  </si>
  <si>
    <t>Aktivitāte "Atbalsts kultūras pieminekļu privātīpašniekiem kultūras pieminekļu saglabāšanā un to sociālekonomiskā potenciāla efektīvā izmantošanā"</t>
  </si>
  <si>
    <t>Aktivitāte "Sociālekonomiski nozīmīgu kultūrvēstursikā mantojuma objektu atjaunošana"</t>
  </si>
  <si>
    <t>Aktivitāte "Nacionālas un reģionālas nozīmes daudzfunkcionālu centru izveide"</t>
  </si>
  <si>
    <t>Apakšaktivitāte "Onkoloģijas slimnieku radioterapijas ārstēšanas attīstība"</t>
  </si>
  <si>
    <t xml:space="preserve">Apakšaktivitāte "Stacionārās veselības aprūpes attīstība" </t>
  </si>
  <si>
    <t>Aktivitāte "Neatliekamās medicīniskās palīdzības attīstība"</t>
  </si>
  <si>
    <t>Aktivitāte "Atbalsts novadu pašvaldību kompleksai attīstībai"</t>
  </si>
  <si>
    <t xml:space="preserve">Veselības ministrija(ERAF) </t>
  </si>
  <si>
    <t xml:space="preserve">Kultūras ministrija(ERAF) </t>
  </si>
  <si>
    <t>Labklājības ministrija(ERAF)</t>
  </si>
  <si>
    <t>Apakšaktivitāte "Veselības aprūpes centru attīstība"</t>
  </si>
  <si>
    <t>Apakšaktivitāte "Ģimenes ārstu tīkla attīstība"</t>
  </si>
  <si>
    <t xml:space="preserve">Aktivitāte "Rīgas pilsētas ilgtspējīga attīstība" </t>
  </si>
  <si>
    <t xml:space="preserve">Aktivitāte "Nacionālas un reģionālas nozīmes attīstības centru izaugsmes veicināšana līdzsvarotai valsts attīstībai" </t>
  </si>
  <si>
    <t>Aktivitāte "Publisko interneta pieejas punktu attīstība"</t>
  </si>
  <si>
    <t>Apakšaktivitāte "Informācijas sistēmu un elektronisko pakalpojumu attīstība"</t>
  </si>
  <si>
    <t>Aktivitāte "Atbalsts alternatīvās aprūpes pakalpojumu pieejamības attīstībai"</t>
  </si>
  <si>
    <t>Aktivitāte "Pirmsskolas izglītības iestāžu infrastruktūras attīstība nacionālas un reģionālas nozīmes attīstības centros"</t>
  </si>
  <si>
    <t>Apakšaktivitāte "Hidrotehnisko būvju rekonstrukcija plūdu draudu risku novēršanai un samazināšanai"</t>
  </si>
  <si>
    <t xml:space="preserve">Aktivitāte "Vēsturiski piesārņoto vietu sanācija" </t>
  </si>
  <si>
    <t>Aktivitāte "Bioloģiskās daudzveidības saglabāšanas ex situ infrastruktūras izveide"</t>
  </si>
  <si>
    <t>Aktivitāte "Ūdenssaimniecības attīstība apdzīvotās vietās ar iedzīvotāju skaitu līdz 2000"</t>
  </si>
  <si>
    <t>Vides aizsardzības un reģionālās attīstības ministrija (ERAF)</t>
  </si>
  <si>
    <t xml:space="preserve">Apakšaktivitāte "Informācijas datu pārraides drošības nodrošināšana" </t>
  </si>
  <si>
    <t xml:space="preserve">Apakšaktivitāte "Valsts nozīmes elektronisko sakaru tīklu izveide, attīstība un pilnveidošana" </t>
  </si>
  <si>
    <t>Aktivitāte "Elektronisko sakaru pakalpojumu vienlīdzīgas pieejamības nodrošināšana visā valsts teritorijā (platjoslas tīkla attīstība)"</t>
  </si>
  <si>
    <t xml:space="preserve">Aktivitāte "Publiskais transports ārpus Rīgas" </t>
  </si>
  <si>
    <t xml:space="preserve">Aktivitāte "Mazo ostu infrastruktūras uzlabošana" </t>
  </si>
  <si>
    <t xml:space="preserve">Apakšaktivitāte "Satiksmes drošības uzlabojumi Rīgā" </t>
  </si>
  <si>
    <t>Apakšktivitāte "Satiksmes drošības uzlabojumi apdzīvotās vietās ārpus Rīgas"</t>
  </si>
  <si>
    <t xml:space="preserve">Aktivitāte "Tranzītielu sakārtošana pilsētu teritorijās" </t>
  </si>
  <si>
    <t xml:space="preserve">Aktivitāte "Valsts 1.šķiras autoceļu maršrutu sakārtošana" </t>
  </si>
  <si>
    <t>Satiksmes ministrija (ERAF)</t>
  </si>
  <si>
    <t>Aktivitāte "Tehniskā palīdzība (ERAF)"</t>
  </si>
  <si>
    <t xml:space="preserve">Finanšu ministrija (3DP) </t>
  </si>
  <si>
    <t xml:space="preserve">Ekonomikas ministrija (3DP) </t>
  </si>
  <si>
    <t xml:space="preserve">Apakšaktivitāte "Valsts nozīmes pilsētbūvniecības pieminekļu saglabāšana, atjaunošana un infrastruktūras pielāgošana tūrisma produkta attīstībai" </t>
  </si>
  <si>
    <t>Apakšaktivitāte "Nacionālās nozīmes velotūrisma produkta attīstība"</t>
  </si>
  <si>
    <t>Apakšaktivitāte "Nacionālās nozīmes kultūras, aktīvā, veselības un rekreatīvā tūrisma produkta attīstība "</t>
  </si>
  <si>
    <t xml:space="preserve">Aktivitāte "Tūrisma informācijas sistēmas attīstība" </t>
  </si>
  <si>
    <t>Aktivitāte "Daudzdzīvokļu māju siltumnoturības uzlabošanas pasākumi"</t>
  </si>
  <si>
    <t xml:space="preserve">Aktivitāte "Sociālo dzīvojamo māju siltumnoturības uzlabošanas pasākumi" </t>
  </si>
  <si>
    <t>Izglītības un zinātnes ministrija (ERAF)</t>
  </si>
  <si>
    <t>Izglītības un zinātnes ministrija (2DP)</t>
  </si>
  <si>
    <t xml:space="preserve">Aktivitāte "Atbalsts zinātnei un pētniecībai" </t>
  </si>
  <si>
    <t xml:space="preserve">Aktivitāte "Atbalsts starptautiskās sadarbības projektiem zinātnē un tehnoloģijās (EUREKA, 7.IP un citi)" </t>
  </si>
  <si>
    <t xml:space="preserve">Apakšaktivitāte "Zinātnes infrastruktūras attīstība" </t>
  </si>
  <si>
    <t xml:space="preserve">Apakšaktivitāte "Informācijas tehnoloģiju infrastruktūras un informācijas sistēmu uzlabošana zinātniskajai darbībai" </t>
  </si>
  <si>
    <t xml:space="preserve">Izglītības un zinātnes ministrija (3DP) </t>
  </si>
  <si>
    <t>Aktivitāte "Mācību aprīkojuma modernizācija un infrastruktūras uzlabošana profesionālās izglītības programmu īstenošanai "</t>
  </si>
  <si>
    <t>Aktivitāte "Profesionālās izglītības infrastruktūras attīstība un mācību aprīkojuma modernizācija ieslodzījuma vietās"</t>
  </si>
  <si>
    <t>Apakšaktivitāte "Augstākās izglītības iestāžu telpu un iekārtu modernizēšana studiju programmu kvalitātes uzlabošanai, tajā skaitā, nodrošinot izglītības programmu apgūšanas iespējas arī personām ar funkcionāliem traucējumiem"</t>
  </si>
  <si>
    <t xml:space="preserve">Aktivitāte "Kvalitatīvai dabaszinātņu apguvei atbilstošas materiālās bāzes nodrošināšana" </t>
  </si>
  <si>
    <t>Apakšaktivitāte "Speciālās izglītības iestāžu infrastruktūras un aprīkojuma uzlabošana"</t>
  </si>
  <si>
    <t xml:space="preserve">Aktivitāte "Atbalsts vispārējās izglītības iestāžu tīkla optimizācijai" </t>
  </si>
  <si>
    <t xml:space="preserve">Apakšaktivitāte "Vispārējās izglītības iestāžu infrastruktūras uzlabošana izglītojamajiem ar funkcionāliem traucējumiem" </t>
  </si>
  <si>
    <t xml:space="preserve">Apakšaktivitāte "Izglītības iestāžu informatizācija" </t>
  </si>
  <si>
    <t xml:space="preserve">Finanšu ministrija (ERAF) </t>
  </si>
  <si>
    <t xml:space="preserve">Finanšu ministrija (2DP) </t>
  </si>
  <si>
    <t>Apakšaktivitāte "Infrastruktūras pilnveidošana un zinātniski tehniskās bāzes nodrošināšana darbspēju un funkcionālo traucējumu izvērtēšanai"</t>
  </si>
  <si>
    <t xml:space="preserve">Aktivitāte "Par izglītības un mūžizglītības politiku atbildīgo institūciju rīcībspējas un sadarbības stiprināšana" </t>
  </si>
  <si>
    <t xml:space="preserve">Apakšaktivitāte "Atbalsts potenciālo bezdarbnieku apmācībai" </t>
  </si>
  <si>
    <t xml:space="preserve">Apakšktivitāte "Jaunu koledžas studiju programmu attīstība vai jaunu koledžu izveide" </t>
  </si>
  <si>
    <t>Mērķis ir mazāks kā DPP noteiktais finansājums, jo aktivitātē īstenotā projekta ietvaros konstatēti neatbilstoši veikti izdevumi. Iespējams, mērķis tiks koriģēts pēc gala maksājuma veikšanas (konstatētas jaunas iespējamās neatbilstības).</t>
  </si>
  <si>
    <t>1.3.1.5.*</t>
  </si>
  <si>
    <t>* Aktivitātes 1.3.1.5. "Vietējo nodarbinātības veicināšanas pasākumu plānu ieviešanas atbalsts" kopējā konceptuāli apstiprinātajā ES fonda finansējumā norādītas arī aktivitātei deklarētās virssaistības 5 306 307 Ls apmērā.</t>
  </si>
  <si>
    <t xml:space="preserve">Tehniskās palīdzības projekti tiek īstenoti līdz 2015. gada 31. decembrim, maksājumi par 2015. gada IV ceturksni tiks veikti 2016. gada I ceturksnī. </t>
  </si>
  <si>
    <t>66=5+50+54+58+62</t>
  </si>
  <si>
    <t>67=51+52+59+63</t>
  </si>
  <si>
    <t>69=67+68</t>
  </si>
  <si>
    <t>Aktivitāte "Ieguldījumu fonds investīcijām garantijās, paaugstināta riska aizdevumos, riska kapitāla fondos un cita veida finanšu instrumentos"</t>
  </si>
  <si>
    <t>Aizdevumu instruments - SEB</t>
  </si>
  <si>
    <t>Aizdevumu instruments - Swedbank</t>
  </si>
  <si>
    <t>Riska kapitāla instruments - Baltcap</t>
  </si>
  <si>
    <t>Sēklas kapitāla instruments - Imprimatur</t>
  </si>
  <si>
    <t>7=3+5</t>
  </si>
  <si>
    <t>8=4+6</t>
  </si>
  <si>
    <t xml:space="preserve"> AI mērķis maksājumiem un nepieciešamais budžets 2012.gadam </t>
  </si>
  <si>
    <t>Tabula Nr.1. Atbildīgo iestāžu noteiktais apguves mērķis 2012.gadā  (LVL)</t>
  </si>
  <si>
    <t>ES fonda finansējums atbilstoši DPP, LVL</t>
  </si>
  <si>
    <t>Veiktie maksājumi / investīcijas/ izsniegtās garantijas līdz 31.12.2011., LVL**</t>
  </si>
  <si>
    <t>Ieviesējinstitūcijas mērķis maksājumiem / investīcijām/izsniegtām garantijām 2012.gadā, LVL**</t>
  </si>
  <si>
    <t>Ieviesējinstitūcijas mērķis maksājumiem / investīcijām/izsniegtām garantijām līdz 31.12.2012., LVL**</t>
  </si>
  <si>
    <t>**Veiktajos un plānotajos maksājumos / investīcijās/ izsniegtās garantijās nav iekļautas vadības izmaksās</t>
  </si>
  <si>
    <t>Tabula Nr.2. Ieviesējinstitūciju mērķis maksājumiem / investīcijām  2012.gadam  (LVL)</t>
  </si>
  <si>
    <t>Apakšaktivitāte "Atbalsts nodarbināto apmācībām komersantu konkurētspējas veicināšanai - atbalsts partnerībās organizētām apmācībām "</t>
  </si>
  <si>
    <t xml:space="preserve">Apakšaktivitāte "Plūdu risku samazināšana grūti prognozējamu vižņu-ledus parādību gadījumos" </t>
  </si>
  <si>
    <t>Aktivitātes; Apakš-aktivitātes Nr.</t>
  </si>
  <si>
    <t xml:space="preserve">Aktivitāte "Vides monitoringa un kontroles sistēmas attīstība"  </t>
  </si>
  <si>
    <t xml:space="preserve">Apakšaktivitāte "Atbalsts pašvaldībām kapacitātes stiprināšanā Eiropas Savienības politiku instrumentu un pārējās ārvalstu finanšu palīdzības līdzfinansēto projektu un pasākumu īstenošanai" </t>
  </si>
  <si>
    <t>29.02.2012.</t>
  </si>
  <si>
    <t>I.Viņķele</t>
  </si>
  <si>
    <t>Finanšu ministra vietā labklājības ministre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</si>
</sst>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_-&quot;£&quot;* #,##0.00_-;\-&quot;£&quot;* #,##0.00_-;_-&quot;£&quot;* &quot;-&quot;??_-;_-@_-"/>
    <numFmt numFmtId="165" formatCode="0.0"/>
    <numFmt numFmtId="166" formatCode="________@"/>
    <numFmt numFmtId="167" formatCode="____________@"/>
    <numFmt numFmtId="168" formatCode="________________@"/>
    <numFmt numFmtId="169" formatCode="____________________@"/>
    <numFmt numFmtId="170" formatCode="0.000"/>
    <numFmt numFmtId="171" formatCode="_-* #,##0_-;\-* #,##0_-;_-* &quot;-&quot;??_-;_-@_-"/>
    <numFmt numFmtId="172" formatCode="#,##0;\(#,##0\)"/>
  </numFmts>
  <fonts count="81">
    <font>
      <sz val="12"/>
      <color theme="1"/>
      <name val="Times New Roman"/>
      <family val="2"/>
      <charset val="186"/>
    </font>
    <font>
      <sz val="12"/>
      <color theme="1"/>
      <name val="Times New Roman"/>
      <family val="2"/>
      <charset val="186"/>
    </font>
    <font>
      <sz val="11"/>
      <color theme="1"/>
      <name val="Calibri"/>
      <family val="2"/>
      <charset val="186"/>
      <scheme val="minor"/>
    </font>
    <font>
      <b/>
      <sz val="10"/>
      <name val="Times New Roman"/>
      <family val="1"/>
      <charset val="186"/>
    </font>
    <font>
      <sz val="10"/>
      <name val="Times New Roman"/>
      <family val="1"/>
      <charset val="186"/>
    </font>
    <font>
      <b/>
      <i/>
      <sz val="10"/>
      <name val="Times New Roman"/>
      <family val="1"/>
      <charset val="186"/>
    </font>
    <font>
      <sz val="12"/>
      <name val="Times New Roman"/>
      <family val="1"/>
      <charset val="186"/>
    </font>
    <font>
      <sz val="11"/>
      <color indexed="8"/>
      <name val="Calibri"/>
      <family val="2"/>
      <charset val="186"/>
    </font>
    <font>
      <sz val="12"/>
      <color indexed="8"/>
      <name val="Times New Roman"/>
      <family val="2"/>
      <charset val="186"/>
    </font>
    <font>
      <sz val="10"/>
      <name val="Arial"/>
      <family val="2"/>
      <charset val="186"/>
    </font>
    <font>
      <sz val="10"/>
      <name val="Helv"/>
    </font>
    <font>
      <sz val="12"/>
      <color rgb="FF000000"/>
      <name val="Times New Roman"/>
      <family val="2"/>
      <charset val="186"/>
    </font>
    <font>
      <sz val="12"/>
      <color indexed="9"/>
      <name val="Times New Roman"/>
      <family val="2"/>
      <charset val="186"/>
    </font>
    <font>
      <sz val="12"/>
      <color indexed="20"/>
      <name val="Times New Roman"/>
      <family val="2"/>
      <charset val="186"/>
    </font>
    <font>
      <b/>
      <sz val="12"/>
      <color indexed="52"/>
      <name val="Times New Roman"/>
      <family val="2"/>
      <charset val="186"/>
    </font>
    <font>
      <i/>
      <sz val="10"/>
      <color indexed="10"/>
      <name val="BaltTimesRoman"/>
      <family val="2"/>
      <charset val="186"/>
    </font>
    <font>
      <b/>
      <sz val="12"/>
      <color indexed="9"/>
      <name val="Times New Roman"/>
      <family val="2"/>
      <charset val="186"/>
    </font>
    <font>
      <sz val="10"/>
      <color indexed="8"/>
      <name val="Arial"/>
      <family val="2"/>
      <charset val="186"/>
    </font>
    <font>
      <sz val="10"/>
      <color indexed="8"/>
      <name val="BaltTimesRoman"/>
      <family val="2"/>
      <charset val="186"/>
    </font>
    <font>
      <sz val="10"/>
      <name val="BaltGaramond"/>
      <family val="2"/>
    </font>
    <font>
      <i/>
      <sz val="12"/>
      <color indexed="23"/>
      <name val="Times New Roman"/>
      <family val="2"/>
      <charset val="186"/>
    </font>
    <font>
      <sz val="12"/>
      <color indexed="17"/>
      <name val="Times New Roman"/>
      <family val="2"/>
      <charset val="186"/>
    </font>
    <font>
      <b/>
      <sz val="12"/>
      <name val="Lat Times New Roman"/>
      <family val="1"/>
      <charset val="186"/>
    </font>
    <font>
      <b/>
      <sz val="15"/>
      <color indexed="56"/>
      <name val="Times New Roman"/>
      <family val="2"/>
      <charset val="186"/>
    </font>
    <font>
      <b/>
      <sz val="13"/>
      <color indexed="56"/>
      <name val="Times New Roman"/>
      <family val="2"/>
      <charset val="186"/>
    </font>
    <font>
      <b/>
      <sz val="11"/>
      <color indexed="56"/>
      <name val="Times New Roman"/>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indexed="62"/>
      <name val="Times New Roman"/>
      <family val="2"/>
      <charset val="186"/>
    </font>
    <font>
      <sz val="12"/>
      <color indexed="52"/>
      <name val="Times New Roman"/>
      <family val="2"/>
      <charset val="186"/>
    </font>
    <font>
      <sz val="12"/>
      <color indexed="60"/>
      <name val="Times New Roman"/>
      <family val="2"/>
      <charset val="186"/>
    </font>
    <font>
      <sz val="11"/>
      <name val="BaltOptima"/>
      <charset val="186"/>
    </font>
    <font>
      <sz val="10"/>
      <name val="Arial"/>
      <family val="2"/>
    </font>
    <font>
      <sz val="11"/>
      <name val="Arial"/>
      <family val="2"/>
      <charset val="186"/>
    </font>
    <font>
      <b/>
      <sz val="12"/>
      <color indexed="63"/>
      <name val="Times New Roman"/>
      <family val="2"/>
      <charset val="186"/>
    </font>
    <font>
      <sz val="10"/>
      <color indexed="10"/>
      <name val="BaltTimesRoman"/>
      <family val="2"/>
      <charset val="186"/>
    </font>
    <font>
      <sz val="10"/>
      <color indexed="8"/>
      <name val="Times New Roman"/>
      <family val="1"/>
      <charset val="186"/>
    </font>
    <font>
      <b/>
      <sz val="14"/>
      <name val="Times New Roman"/>
      <family val="1"/>
      <charset val="186"/>
    </font>
    <font>
      <b/>
      <sz val="10"/>
      <name val="BaltTimesRoman"/>
      <family val="2"/>
      <charset val="186"/>
    </font>
    <font>
      <b/>
      <sz val="18"/>
      <color indexed="56"/>
      <name val="Cambria"/>
      <family val="2"/>
      <charset val="186"/>
    </font>
    <font>
      <b/>
      <sz val="12"/>
      <color indexed="8"/>
      <name val="Times New Roman"/>
      <family val="2"/>
      <charset val="186"/>
    </font>
    <font>
      <sz val="10"/>
      <name val="BaltGaramond"/>
      <family val="2"/>
      <charset val="186"/>
    </font>
    <font>
      <sz val="12"/>
      <color indexed="10"/>
      <name val="Times New Roman"/>
      <family val="2"/>
      <charset val="186"/>
    </font>
    <font>
      <sz val="10"/>
      <name val="Arial"/>
      <family val="2"/>
      <charset val="186"/>
    </font>
    <font>
      <sz val="10"/>
      <color theme="1"/>
      <name val="Times New Roman"/>
      <family val="2"/>
      <charset val="186"/>
    </font>
    <font>
      <sz val="11"/>
      <color indexed="8"/>
      <name val="Calibri"/>
      <family val="2"/>
    </font>
    <font>
      <sz val="11"/>
      <color indexed="9"/>
      <name val="Calibri"/>
      <family val="2"/>
    </font>
    <font>
      <b/>
      <sz val="11"/>
      <color indexed="8"/>
      <name val="Calibri"/>
      <family val="2"/>
    </font>
    <font>
      <sz val="10"/>
      <color theme="1"/>
      <name val="Arial"/>
      <family val="2"/>
      <charset val="186"/>
    </font>
    <font>
      <sz val="10"/>
      <color indexed="12"/>
      <name val="Arial"/>
      <family val="2"/>
      <charset val="186"/>
    </font>
    <font>
      <sz val="10"/>
      <name val="BaltHelvetica"/>
    </font>
    <font>
      <b/>
      <sz val="10"/>
      <color indexed="8"/>
      <name val="Times New Roman"/>
      <family val="1"/>
      <charset val="186"/>
    </font>
    <font>
      <b/>
      <sz val="10"/>
      <color indexed="39"/>
      <name val="Arial"/>
      <family val="2"/>
    </font>
    <font>
      <b/>
      <sz val="10"/>
      <color indexed="8"/>
      <name val="Arial"/>
      <family val="2"/>
    </font>
    <font>
      <b/>
      <sz val="12"/>
      <color indexed="8"/>
      <name val="Arial"/>
      <family val="2"/>
      <charset val="186"/>
    </font>
    <font>
      <sz val="10"/>
      <color indexed="8"/>
      <name val="Arial"/>
      <family val="2"/>
    </font>
    <font>
      <sz val="10"/>
      <color indexed="39"/>
      <name val="Arial"/>
      <family val="2"/>
    </font>
    <font>
      <b/>
      <sz val="18"/>
      <color indexed="62"/>
      <name val="Cambria"/>
      <family val="2"/>
    </font>
    <font>
      <b/>
      <sz val="16"/>
      <color theme="1"/>
      <name val="Times New Roman"/>
      <family val="1"/>
      <charset val="186"/>
    </font>
    <font>
      <b/>
      <sz val="8"/>
      <color indexed="81"/>
      <name val="Tahoma"/>
      <family val="2"/>
      <charset val="186"/>
    </font>
    <font>
      <sz val="8"/>
      <color indexed="81"/>
      <name val="Tahoma"/>
      <family val="2"/>
      <charset val="186"/>
    </font>
    <font>
      <sz val="12"/>
      <color theme="1"/>
      <name val="Times New Roman"/>
      <family val="1"/>
      <charset val="186"/>
    </font>
    <font>
      <b/>
      <sz val="18"/>
      <color theme="1"/>
      <name val="Times New Roman"/>
      <family val="1"/>
      <charset val="186"/>
    </font>
    <font>
      <b/>
      <sz val="12"/>
      <color theme="1"/>
      <name val="Times New Roman"/>
      <family val="1"/>
      <charset val="186"/>
    </font>
    <font>
      <b/>
      <sz val="10"/>
      <color theme="1"/>
      <name val="Times New Roman"/>
      <family val="1"/>
      <charset val="186"/>
    </font>
    <font>
      <b/>
      <i/>
      <sz val="10"/>
      <color theme="1"/>
      <name val="Times New Roman"/>
      <family val="1"/>
      <charset val="186"/>
    </font>
    <font>
      <sz val="10"/>
      <color theme="1"/>
      <name val="Times New Roman"/>
      <family val="1"/>
      <charset val="186"/>
    </font>
    <font>
      <sz val="10"/>
      <color theme="1"/>
      <name val="Calibri"/>
      <family val="2"/>
      <charset val="186"/>
    </font>
    <font>
      <b/>
      <sz val="12"/>
      <color indexed="8"/>
      <name val="Times New Roman"/>
      <family val="1"/>
      <charset val="186"/>
    </font>
    <font>
      <b/>
      <sz val="12"/>
      <name val="Times New Roman"/>
      <family val="1"/>
      <charset val="186"/>
    </font>
    <font>
      <b/>
      <sz val="9"/>
      <color theme="1"/>
      <name val="Times New Roman"/>
      <family val="1"/>
      <charset val="186"/>
    </font>
    <font>
      <sz val="9"/>
      <name val="Arial"/>
      <family val="2"/>
      <charset val="186"/>
    </font>
    <font>
      <sz val="16"/>
      <name val="Times New Roman"/>
      <family val="1"/>
      <charset val="186"/>
    </font>
    <font>
      <sz val="9"/>
      <name val="Times New Roman"/>
      <family val="1"/>
      <charset val="186"/>
    </font>
    <font>
      <sz val="9"/>
      <color theme="1"/>
      <name val="Arial"/>
      <family val="2"/>
      <charset val="186"/>
    </font>
    <font>
      <sz val="9"/>
      <color theme="1"/>
      <name val="Times New Roman"/>
      <family val="1"/>
      <charset val="186"/>
    </font>
    <font>
      <sz val="18"/>
      <color theme="1"/>
      <name val="Times New Roman"/>
      <family val="1"/>
      <charset val="186"/>
    </font>
    <font>
      <b/>
      <i/>
      <sz val="12"/>
      <color theme="1"/>
      <name val="Times New Roman"/>
      <family val="1"/>
      <charset val="186"/>
    </font>
  </fonts>
  <fills count="60">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theme="6" tint="0.59999389629810485"/>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s>
  <cellStyleXfs count="30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41" fontId="8" fillId="0" borderId="0" applyFont="0" applyFill="0" applyBorder="0" applyAlignment="0" applyProtection="0"/>
    <xf numFmtId="0" fontId="2" fillId="0" borderId="0"/>
    <xf numFmtId="0" fontId="2" fillId="0" borderId="0"/>
    <xf numFmtId="0" fontId="2" fillId="0" borderId="0"/>
    <xf numFmtId="0" fontId="2" fillId="0" borderId="0"/>
    <xf numFmtId="0" fontId="9" fillId="0" borderId="0"/>
    <xf numFmtId="0" fontId="10" fillId="0" borderId="0"/>
    <xf numFmtId="0" fontId="11" fillId="0" borderId="0"/>
    <xf numFmtId="0" fontId="8" fillId="0" borderId="0"/>
    <xf numFmtId="0" fontId="10" fillId="0" borderId="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12" fillId="19"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6" borderId="0" applyNumberFormat="0" applyBorder="0" applyAlignment="0" applyProtection="0"/>
    <xf numFmtId="0" fontId="13" fillId="10" borderId="0" applyNumberFormat="0" applyBorder="0" applyAlignment="0" applyProtection="0"/>
    <xf numFmtId="0" fontId="14" fillId="27" borderId="5" applyNumberFormat="0" applyAlignment="0" applyProtection="0"/>
    <xf numFmtId="0" fontId="14" fillId="27" borderId="5" applyNumberFormat="0" applyAlignment="0" applyProtection="0"/>
    <xf numFmtId="0" fontId="14" fillId="27" borderId="5" applyNumberFormat="0" applyAlignment="0" applyProtection="0"/>
    <xf numFmtId="1" fontId="15" fillId="0" borderId="0"/>
    <xf numFmtId="0" fontId="16" fillId="28" borderId="6" applyNumberFormat="0" applyAlignment="0" applyProtection="0"/>
    <xf numFmtId="43" fontId="17" fillId="0" borderId="0" applyFont="0" applyFill="0" applyBorder="0" applyAlignment="0" applyProtection="0"/>
    <xf numFmtId="43" fontId="9" fillId="0" borderId="0" applyBorder="0" applyAlignment="0" applyProtection="0"/>
    <xf numFmtId="164" fontId="9" fillId="0" borderId="0" applyFont="0" applyFill="0" applyBorder="0" applyAlignment="0" applyProtection="0"/>
    <xf numFmtId="165" fontId="9" fillId="29" borderId="0" applyNumberFormat="0" applyFont="0" applyBorder="0" applyAlignment="0" applyProtection="0"/>
    <xf numFmtId="0" fontId="18" fillId="29" borderId="0"/>
    <xf numFmtId="165" fontId="19" fillId="0" borderId="0" applyBorder="0" applyAlignment="0" applyProtection="0"/>
    <xf numFmtId="0" fontId="20" fillId="0" borderId="0" applyNumberFormat="0" applyFill="0" applyBorder="0" applyAlignment="0" applyProtection="0"/>
    <xf numFmtId="165" fontId="4" fillId="30" borderId="0" applyNumberFormat="0" applyFont="0" applyBorder="0" applyAlignment="0" applyProtection="0"/>
    <xf numFmtId="0" fontId="21" fillId="11" borderId="0" applyNumberFormat="0" applyBorder="0" applyAlignment="0" applyProtection="0"/>
    <xf numFmtId="49" fontId="22" fillId="0" borderId="0" applyFill="0" applyBorder="0" applyAlignment="0" applyProtection="0">
      <alignment horizontal="left"/>
    </xf>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165" fontId="4" fillId="31" borderId="0" applyNumberFormat="0" applyFont="0" applyBorder="0" applyAlignment="0" applyProtection="0"/>
    <xf numFmtId="49" fontId="26" fillId="0" borderId="0" applyFill="0" applyBorder="0" applyAlignment="0" applyProtection="0"/>
    <xf numFmtId="0" fontId="27" fillId="0" borderId="0" applyFill="0" applyBorder="0" applyAlignment="0" applyProtection="0"/>
    <xf numFmtId="166" fontId="27" fillId="0" borderId="0" applyFill="0" applyBorder="0" applyAlignment="0" applyProtection="0"/>
    <xf numFmtId="167" fontId="28" fillId="0" borderId="0" applyFill="0" applyBorder="0" applyAlignment="0" applyProtection="0"/>
    <xf numFmtId="168" fontId="29" fillId="0" borderId="0" applyFill="0" applyBorder="0" applyAlignment="0" applyProtection="0"/>
    <xf numFmtId="169" fontId="29" fillId="0" borderId="0" applyFill="0" applyBorder="0" applyAlignment="0" applyProtection="0"/>
    <xf numFmtId="10" fontId="30" fillId="0" borderId="0"/>
    <xf numFmtId="0" fontId="31" fillId="14" borderId="5" applyNumberFormat="0" applyAlignment="0" applyProtection="0"/>
    <xf numFmtId="0" fontId="31" fillId="14" borderId="5" applyNumberFormat="0" applyAlignment="0" applyProtection="0"/>
    <xf numFmtId="0" fontId="31" fillId="14" borderId="5" applyNumberFormat="0" applyAlignment="0" applyProtection="0"/>
    <xf numFmtId="170" fontId="19" fillId="30" borderId="0"/>
    <xf numFmtId="0" fontId="32" fillId="0" borderId="10" applyNumberFormat="0" applyFill="0" applyAlignment="0" applyProtection="0"/>
    <xf numFmtId="0" fontId="33" fillId="32" borderId="0" applyNumberFormat="0" applyBorder="0" applyAlignment="0" applyProtection="0"/>
    <xf numFmtId="0" fontId="7" fillId="0" borderId="0"/>
    <xf numFmtId="0" fontId="34" fillId="0" borderId="0"/>
    <xf numFmtId="0" fontId="9" fillId="0" borderId="0"/>
    <xf numFmtId="0" fontId="34" fillId="0" borderId="0"/>
    <xf numFmtId="0" fontId="1" fillId="0" borderId="0"/>
    <xf numFmtId="0" fontId="35"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36" fillId="0" borderId="0"/>
    <xf numFmtId="0" fontId="7" fillId="0" borderId="0"/>
    <xf numFmtId="0" fontId="7" fillId="0" borderId="0"/>
    <xf numFmtId="0" fontId="9" fillId="0" borderId="0"/>
    <xf numFmtId="0" fontId="8" fillId="33" borderId="11" applyNumberFormat="0" applyFont="0" applyAlignment="0" applyProtection="0"/>
    <xf numFmtId="0" fontId="8" fillId="33" borderId="11" applyNumberFormat="0" applyFont="0" applyAlignment="0" applyProtection="0"/>
    <xf numFmtId="0" fontId="8" fillId="33" borderId="11" applyNumberFormat="0" applyFont="0" applyAlignment="0" applyProtection="0"/>
    <xf numFmtId="0" fontId="37" fillId="27" borderId="12" applyNumberFormat="0" applyAlignment="0" applyProtection="0"/>
    <xf numFmtId="0" fontId="37" fillId="27" borderId="12" applyNumberFormat="0" applyAlignment="0" applyProtection="0"/>
    <xf numFmtId="0" fontId="37" fillId="27" borderId="12"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19" fillId="34" borderId="0" applyBorder="0" applyProtection="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 fontId="39" fillId="0" borderId="1" applyNumberFormat="0" applyProtection="0">
      <alignment horizontal="right" vertical="center"/>
    </xf>
    <xf numFmtId="4" fontId="39" fillId="0" borderId="1" applyNumberFormat="0" applyProtection="0">
      <alignment horizontal="right" vertical="center"/>
    </xf>
    <xf numFmtId="0" fontId="34" fillId="0" borderId="0"/>
    <xf numFmtId="4" fontId="39" fillId="0" borderId="1" applyNumberFormat="0" applyProtection="0">
      <alignment horizontal="left" wrapText="1" indent="1"/>
    </xf>
    <xf numFmtId="4" fontId="39" fillId="0" borderId="1" applyNumberFormat="0" applyProtection="0">
      <alignment horizontal="left" wrapText="1" indent="1"/>
    </xf>
    <xf numFmtId="0" fontId="34" fillId="0" borderId="0"/>
    <xf numFmtId="0" fontId="34" fillId="0" borderId="0"/>
    <xf numFmtId="0" fontId="34" fillId="0" borderId="0"/>
    <xf numFmtId="0" fontId="40" fillId="0" borderId="0" applyNumberFormat="0" applyFill="0" applyBorder="0" applyProtection="0">
      <alignment horizontal="centerContinuous"/>
    </xf>
    <xf numFmtId="0" fontId="10" fillId="0" borderId="0"/>
    <xf numFmtId="0" fontId="3" fillId="0" borderId="0" applyNumberFormat="0" applyFill="0" applyBorder="0" applyAlignment="0" applyProtection="0"/>
    <xf numFmtId="43" fontId="9" fillId="0" borderId="0" applyBorder="0" applyAlignment="0" applyProtection="0"/>
    <xf numFmtId="0" fontId="41" fillId="0" borderId="0"/>
    <xf numFmtId="0" fontId="42" fillId="0" borderId="0" applyNumberForma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165" fontId="44" fillId="35" borderId="0" applyBorder="0" applyProtection="0"/>
    <xf numFmtId="0" fontId="45" fillId="0" borderId="0" applyNumberFormat="0" applyFill="0" applyBorder="0" applyAlignment="0" applyProtection="0"/>
    <xf numFmtId="1" fontId="9" fillId="36" borderId="0"/>
    <xf numFmtId="0" fontId="46" fillId="0" borderId="0"/>
    <xf numFmtId="0" fontId="9" fillId="0" borderId="0"/>
    <xf numFmtId="0" fontId="2" fillId="0" borderId="0"/>
    <xf numFmtId="4" fontId="47" fillId="39" borderId="1"/>
    <xf numFmtId="9" fontId="2" fillId="0" borderId="0" applyFont="0" applyFill="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9"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9"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9" fillId="48"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9" fillId="48"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8" fillId="49" borderId="0" applyNumberFormat="0" applyBorder="0" applyAlignment="0" applyProtection="0"/>
    <xf numFmtId="0" fontId="48" fillId="44" borderId="0" applyNumberFormat="0" applyBorder="0" applyAlignment="0" applyProtection="0"/>
    <xf numFmtId="0" fontId="49" fillId="50"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9" fillId="0" borderId="0"/>
    <xf numFmtId="0" fontId="2" fillId="0" borderId="0"/>
    <xf numFmtId="0" fontId="9" fillId="0" borderId="0"/>
    <xf numFmtId="0" fontId="9" fillId="0" borderId="0"/>
    <xf numFmtId="0" fontId="9" fillId="0" borderId="0"/>
    <xf numFmtId="0" fontId="52" fillId="0" borderId="0"/>
    <xf numFmtId="0" fontId="2" fillId="0" borderId="0"/>
    <xf numFmtId="0" fontId="17"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2" fillId="0" borderId="0"/>
    <xf numFmtId="0" fontId="9" fillId="0" borderId="0"/>
    <xf numFmtId="0" fontId="9" fillId="0" borderId="0"/>
    <xf numFmtId="0" fontId="53" fillId="0" borderId="0"/>
    <xf numFmtId="4" fontId="54" fillId="0" borderId="0" applyNumberFormat="0" applyProtection="0"/>
    <xf numFmtId="4" fontId="55" fillId="54" borderId="21" applyNumberFormat="0" applyProtection="0">
      <alignment vertical="center"/>
    </xf>
    <xf numFmtId="4" fontId="54" fillId="0" borderId="0" applyNumberFormat="0" applyProtection="0">
      <alignment horizontal="left" wrapText="1" indent="1" shrinkToFit="1"/>
    </xf>
    <xf numFmtId="0" fontId="56" fillId="54" borderId="21" applyNumberFormat="0" applyProtection="0">
      <alignment horizontal="left" vertical="top" indent="1"/>
    </xf>
    <xf numFmtId="4" fontId="39" fillId="0" borderId="1" applyNumberFormat="0" applyProtection="0">
      <alignment horizontal="left" vertical="center" indent="1"/>
    </xf>
    <xf numFmtId="4" fontId="57" fillId="55" borderId="0" applyNumberFormat="0" applyProtection="0">
      <alignment horizontal="left" vertical="center" indent="1"/>
    </xf>
    <xf numFmtId="4" fontId="17" fillId="56" borderId="0" applyNumberFormat="0" applyProtection="0">
      <alignment horizontal="left" vertical="center" indent="1"/>
    </xf>
    <xf numFmtId="0" fontId="4" fillId="0" borderId="0" applyNumberFormat="0" applyProtection="0">
      <alignment horizontal="left" wrapText="1" indent="1" shrinkToFit="1"/>
    </xf>
    <xf numFmtId="0" fontId="9" fillId="55" borderId="21" applyNumberFormat="0" applyProtection="0">
      <alignment horizontal="left" vertical="top" indent="1"/>
    </xf>
    <xf numFmtId="0" fontId="4" fillId="0" borderId="0" applyNumberFormat="0" applyProtection="0">
      <alignment horizontal="left" wrapText="1" indent="1" shrinkToFit="1"/>
    </xf>
    <xf numFmtId="0" fontId="9" fillId="56" borderId="21" applyNumberFormat="0" applyProtection="0">
      <alignment horizontal="left" vertical="top" indent="1"/>
    </xf>
    <xf numFmtId="0" fontId="4" fillId="0" borderId="0" applyNumberFormat="0" applyProtection="0">
      <alignment horizontal="left" wrapText="1" indent="1" shrinkToFit="1"/>
    </xf>
    <xf numFmtId="0" fontId="9" fillId="57" borderId="21" applyNumberFormat="0" applyProtection="0">
      <alignment horizontal="left" vertical="top" indent="1"/>
    </xf>
    <xf numFmtId="0" fontId="4" fillId="0" borderId="0" applyNumberFormat="0" applyProtection="0">
      <alignment horizontal="left" wrapText="1" indent="1" shrinkToFit="1"/>
    </xf>
    <xf numFmtId="0" fontId="9" fillId="29" borderId="21" applyNumberFormat="0" applyProtection="0">
      <alignment horizontal="left" vertical="top" indent="1"/>
    </xf>
    <xf numFmtId="0" fontId="9" fillId="37" borderId="1" applyNumberFormat="0">
      <protection locked="0"/>
    </xf>
    <xf numFmtId="4" fontId="58" fillId="30" borderId="21" applyNumberFormat="0" applyProtection="0">
      <alignment vertical="center"/>
    </xf>
    <xf numFmtId="4" fontId="59" fillId="30" borderId="21" applyNumberFormat="0" applyProtection="0">
      <alignment vertical="center"/>
    </xf>
    <xf numFmtId="4" fontId="58" fillId="0" borderId="1" applyNumberFormat="0" applyProtection="0">
      <alignment horizontal="left" vertical="center" indent="1"/>
    </xf>
    <xf numFmtId="0" fontId="58" fillId="30" borderId="21" applyNumberFormat="0" applyProtection="0">
      <alignment horizontal="left" vertical="top" indent="1"/>
    </xf>
    <xf numFmtId="4" fontId="39" fillId="0" borderId="0" applyNumberFormat="0" applyProtection="0">
      <alignment horizontal="right"/>
    </xf>
    <xf numFmtId="4" fontId="39" fillId="0" borderId="0" applyNumberFormat="0" applyProtection="0">
      <alignment horizontal="left" wrapText="1" indent="1"/>
    </xf>
    <xf numFmtId="4" fontId="39" fillId="0" borderId="0" applyNumberFormat="0" applyProtection="0">
      <alignment horizontal="left" wrapText="1" indent="1" shrinkToFit="1"/>
    </xf>
    <xf numFmtId="0" fontId="58" fillId="56" borderId="21" applyNumberFormat="0" applyProtection="0">
      <alignment horizontal="left" vertical="top" indent="1"/>
    </xf>
    <xf numFmtId="0" fontId="6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7" fillId="0" borderId="0"/>
    <xf numFmtId="0" fontId="2" fillId="0" borderId="0"/>
    <xf numFmtId="0" fontId="7"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96">
    <xf numFmtId="0" fontId="0" fillId="0" borderId="0" xfId="0"/>
    <xf numFmtId="0" fontId="3" fillId="5" borderId="0" xfId="0" applyFont="1" applyFill="1" applyAlignment="1" applyProtection="1">
      <alignment horizontal="center" vertical="center" wrapText="1"/>
      <protection locked="0"/>
    </xf>
    <xf numFmtId="0" fontId="5" fillId="2" borderId="0" xfId="0" applyFont="1" applyFill="1" applyProtection="1">
      <protection locked="0"/>
    </xf>
    <xf numFmtId="0" fontId="6" fillId="0" borderId="0" xfId="0" applyFont="1" applyProtection="1">
      <protection locked="0"/>
    </xf>
    <xf numFmtId="0" fontId="3" fillId="0" borderId="0" xfId="0" applyFont="1" applyFill="1" applyBorder="1" applyAlignment="1" applyProtection="1">
      <alignment horizontal="center" vertical="center" wrapText="1"/>
      <protection locked="0"/>
    </xf>
    <xf numFmtId="3" fontId="3" fillId="5" borderId="0" xfId="0" applyNumberFormat="1" applyFont="1" applyFill="1" applyBorder="1" applyAlignment="1" applyProtection="1">
      <alignment horizontal="left" vertical="center" wrapText="1"/>
      <protection locked="0"/>
    </xf>
    <xf numFmtId="0" fontId="3" fillId="5" borderId="0"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5" fillId="0" borderId="0" xfId="0" applyFont="1" applyFill="1" applyProtection="1">
      <protection locked="0"/>
    </xf>
    <xf numFmtId="0" fontId="5" fillId="7" borderId="0" xfId="0" applyFont="1" applyFill="1" applyBorder="1" applyProtection="1">
      <protection locked="0"/>
    </xf>
    <xf numFmtId="0" fontId="3" fillId="0" borderId="0" xfId="0" applyFont="1" applyAlignment="1" applyProtection="1">
      <alignment horizontal="center" vertical="center" wrapText="1"/>
      <protection locked="0"/>
    </xf>
    <xf numFmtId="0" fontId="5" fillId="7" borderId="0" xfId="0" applyFont="1" applyFill="1" applyAlignment="1" applyProtection="1">
      <alignment horizontal="center"/>
      <protection locked="0"/>
    </xf>
    <xf numFmtId="0" fontId="5" fillId="7" borderId="0" xfId="0" applyFont="1" applyFill="1" applyProtection="1">
      <protection locked="0"/>
    </xf>
    <xf numFmtId="0" fontId="4" fillId="0" borderId="0" xfId="0" applyFont="1" applyFill="1" applyAlignment="1" applyProtection="1">
      <alignment horizontal="center" vertical="center" wrapText="1"/>
      <protection locked="0"/>
    </xf>
    <xf numFmtId="0" fontId="3" fillId="8" borderId="0" xfId="0" applyFont="1" applyFill="1" applyBorder="1" applyAlignment="1" applyProtection="1">
      <alignment horizontal="center" vertical="center" wrapText="1"/>
      <protection locked="0"/>
    </xf>
    <xf numFmtId="0" fontId="3" fillId="8" borderId="0" xfId="0" applyFont="1" applyFill="1" applyAlignment="1" applyProtection="1">
      <alignment horizontal="center" vertical="center" wrapText="1"/>
      <protection locked="0"/>
    </xf>
    <xf numFmtId="0" fontId="4" fillId="0" borderId="0" xfId="0" applyFont="1" applyProtection="1">
      <protection locked="0"/>
    </xf>
    <xf numFmtId="0" fontId="4" fillId="0" borderId="0" xfId="0" applyFont="1" applyFill="1" applyProtection="1">
      <protection locked="0"/>
    </xf>
    <xf numFmtId="0" fontId="4" fillId="38" borderId="0" xfId="0" applyFont="1" applyFill="1" applyProtection="1">
      <protection locked="0"/>
    </xf>
    <xf numFmtId="0" fontId="0" fillId="0" borderId="0" xfId="0" applyFont="1" applyProtection="1">
      <protection locked="0"/>
    </xf>
    <xf numFmtId="3" fontId="64" fillId="0" borderId="0" xfId="0" applyNumberFormat="1" applyFont="1" applyAlignment="1" applyProtection="1">
      <alignment horizontal="center" vertical="center"/>
      <protection locked="0"/>
    </xf>
    <xf numFmtId="0" fontId="64" fillId="0" borderId="0" xfId="0" applyFont="1" applyProtection="1">
      <protection locked="0"/>
    </xf>
    <xf numFmtId="3" fontId="61" fillId="0" borderId="0" xfId="0" applyNumberFormat="1" applyFont="1" applyAlignment="1" applyProtection="1">
      <alignment horizontal="center" vertical="center"/>
      <protection locked="0"/>
    </xf>
    <xf numFmtId="49" fontId="65" fillId="0" borderId="0" xfId="0" applyNumberFormat="1" applyFont="1" applyBorder="1" applyAlignment="1" applyProtection="1">
      <alignment horizontal="center"/>
      <protection locked="0"/>
    </xf>
    <xf numFmtId="49" fontId="66" fillId="0" borderId="0" xfId="0" applyNumberFormat="1" applyFont="1" applyBorder="1" applyAlignment="1" applyProtection="1">
      <alignment horizontal="center"/>
      <protection locked="0"/>
    </xf>
    <xf numFmtId="3" fontId="66" fillId="4" borderId="1" xfId="0" applyNumberFormat="1"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3" fontId="67" fillId="2" borderId="1" xfId="0" applyNumberFormat="1" applyFont="1" applyFill="1" applyBorder="1" applyAlignment="1" applyProtection="1">
      <alignment horizontal="center" vertical="center" wrapText="1"/>
      <protection locked="0"/>
    </xf>
    <xf numFmtId="3" fontId="67" fillId="3" borderId="1" xfId="0" applyNumberFormat="1" applyFont="1" applyFill="1" applyBorder="1" applyAlignment="1" applyProtection="1">
      <alignment horizontal="center" vertical="center" wrapText="1"/>
    </xf>
    <xf numFmtId="0" fontId="64" fillId="0" borderId="0" xfId="0" applyFont="1" applyAlignment="1" applyProtection="1">
      <alignment wrapText="1"/>
      <protection locked="0"/>
    </xf>
    <xf numFmtId="0" fontId="64" fillId="0" borderId="0" xfId="0" applyFont="1" applyAlignment="1" applyProtection="1">
      <alignment horizontal="left" wrapText="1"/>
      <protection locked="0"/>
    </xf>
    <xf numFmtId="0" fontId="64" fillId="0" borderId="0" xfId="0" applyFont="1" applyAlignment="1"/>
    <xf numFmtId="0" fontId="71" fillId="0" borderId="0" xfId="0" applyFont="1"/>
    <xf numFmtId="0" fontId="0" fillId="58" borderId="0" xfId="0" applyFill="1"/>
    <xf numFmtId="0" fontId="0" fillId="39" borderId="0" xfId="0" applyFill="1"/>
    <xf numFmtId="0" fontId="64" fillId="0" borderId="0" xfId="0" applyFont="1"/>
    <xf numFmtId="171" fontId="64" fillId="58" borderId="1" xfId="299" applyNumberFormat="1" applyFont="1" applyFill="1" applyBorder="1" applyAlignment="1">
      <alignment horizontal="center" vertical="center" wrapText="1"/>
    </xf>
    <xf numFmtId="171" fontId="6" fillId="39" borderId="1" xfId="299" applyNumberFormat="1" applyFont="1" applyFill="1" applyBorder="1" applyAlignment="1" applyProtection="1">
      <alignment horizontal="left" vertical="center" wrapText="1"/>
      <protection locked="0"/>
    </xf>
    <xf numFmtId="3" fontId="64" fillId="0" borderId="1" xfId="299" applyNumberFormat="1" applyFont="1" applyFill="1" applyBorder="1" applyAlignment="1">
      <alignment horizontal="center" vertical="center"/>
    </xf>
    <xf numFmtId="3" fontId="64" fillId="0" borderId="1" xfId="0" applyNumberFormat="1" applyFont="1" applyFill="1" applyBorder="1" applyAlignment="1">
      <alignment horizontal="center" vertical="center"/>
    </xf>
    <xf numFmtId="1" fontId="0" fillId="0" borderId="0" xfId="0" applyNumberFormat="1" applyAlignment="1">
      <alignment horizontal="center"/>
    </xf>
    <xf numFmtId="3" fontId="66" fillId="6" borderId="1" xfId="299" applyNumberFormat="1" applyFont="1" applyFill="1" applyBorder="1" applyAlignment="1">
      <alignment horizontal="center" vertical="center" wrapText="1"/>
    </xf>
    <xf numFmtId="3" fontId="66" fillId="58" borderId="1" xfId="299" applyNumberFormat="1" applyFont="1" applyFill="1" applyBorder="1" applyAlignment="1">
      <alignment horizontal="center" vertical="center" wrapText="1"/>
    </xf>
    <xf numFmtId="3" fontId="64" fillId="39" borderId="1" xfId="299" applyNumberFormat="1" applyFont="1" applyFill="1" applyBorder="1" applyAlignment="1">
      <alignment horizontal="center" vertical="center"/>
    </xf>
    <xf numFmtId="3" fontId="64" fillId="39" borderId="1" xfId="299" applyNumberFormat="1" applyFont="1" applyFill="1" applyBorder="1" applyAlignment="1">
      <alignment horizontal="center" vertical="center" wrapText="1"/>
    </xf>
    <xf numFmtId="3" fontId="64" fillId="0" borderId="1" xfId="299" applyNumberFormat="1" applyFont="1" applyBorder="1" applyAlignment="1">
      <alignment horizontal="center" vertical="center" wrapText="1"/>
    </xf>
    <xf numFmtId="3" fontId="66" fillId="58" borderId="1" xfId="299" applyNumberFormat="1" applyFont="1" applyFill="1" applyBorder="1" applyAlignment="1">
      <alignment horizontal="center" vertical="center"/>
    </xf>
    <xf numFmtId="3" fontId="66" fillId="0" borderId="1" xfId="299" applyNumberFormat="1" applyFont="1" applyFill="1" applyBorder="1" applyAlignment="1">
      <alignment horizontal="center" vertical="center"/>
    </xf>
    <xf numFmtId="3" fontId="66" fillId="0" borderId="1" xfId="299" applyNumberFormat="1" applyFont="1" applyBorder="1" applyAlignment="1">
      <alignment horizontal="center" vertical="center"/>
    </xf>
    <xf numFmtId="3" fontId="66" fillId="0" borderId="1" xfId="0" applyNumberFormat="1" applyFont="1" applyFill="1" applyBorder="1" applyAlignment="1">
      <alignment horizontal="center" vertical="center"/>
    </xf>
    <xf numFmtId="1" fontId="73" fillId="0" borderId="0" xfId="0" applyNumberFormat="1" applyFont="1" applyAlignment="1">
      <alignment horizontal="center"/>
    </xf>
    <xf numFmtId="172" fontId="64" fillId="0" borderId="0" xfId="0" applyNumberFormat="1" applyFont="1" applyAlignment="1">
      <alignment horizontal="center" vertical="center"/>
    </xf>
    <xf numFmtId="0" fontId="64" fillId="0" borderId="0" xfId="0" applyFont="1" applyAlignment="1">
      <alignment horizontal="center" vertical="center"/>
    </xf>
    <xf numFmtId="0" fontId="9" fillId="0" borderId="0" xfId="0" applyFont="1"/>
    <xf numFmtId="0" fontId="9" fillId="0" borderId="0" xfId="0" applyFont="1" applyAlignment="1">
      <alignment horizontal="left"/>
    </xf>
    <xf numFmtId="9" fontId="9" fillId="0" borderId="0" xfId="300" applyFont="1"/>
    <xf numFmtId="0" fontId="74" fillId="0" borderId="0" xfId="0" applyFont="1"/>
    <xf numFmtId="0" fontId="75" fillId="0" borderId="0" xfId="0" applyFont="1" applyFill="1"/>
    <xf numFmtId="0" fontId="0" fillId="0" borderId="0" xfId="0" applyFont="1"/>
    <xf numFmtId="0" fontId="76" fillId="0" borderId="0" xfId="0" applyFont="1" applyFill="1"/>
    <xf numFmtId="0" fontId="6" fillId="0" borderId="0" xfId="0" applyFont="1" applyFill="1"/>
    <xf numFmtId="0" fontId="9" fillId="0" borderId="0" xfId="0" applyFont="1" applyFill="1" applyAlignment="1">
      <alignment horizontal="left"/>
    </xf>
    <xf numFmtId="0" fontId="9" fillId="0" borderId="0" xfId="0" applyFont="1" applyFill="1"/>
    <xf numFmtId="0" fontId="0" fillId="38" borderId="0" xfId="0" applyFill="1"/>
    <xf numFmtId="0" fontId="0" fillId="0" borderId="0" xfId="0" applyFont="1" applyAlignment="1">
      <alignment horizontal="center" vertical="center"/>
    </xf>
    <xf numFmtId="9" fontId="9" fillId="0" borderId="0" xfId="300" applyFont="1" applyFill="1"/>
    <xf numFmtId="0" fontId="74" fillId="0" borderId="0" xfId="0" applyFont="1" applyFill="1"/>
    <xf numFmtId="0" fontId="51" fillId="0" borderId="0" xfId="0" applyFont="1"/>
    <xf numFmtId="9" fontId="51" fillId="0" borderId="0" xfId="300" applyFont="1"/>
    <xf numFmtId="0" fontId="77" fillId="0" borderId="0" xfId="0" applyFont="1"/>
    <xf numFmtId="0" fontId="78" fillId="0" borderId="0" xfId="0" applyFont="1" applyFill="1"/>
    <xf numFmtId="0" fontId="64" fillId="0" borderId="0" xfId="0" applyFont="1" applyFill="1"/>
    <xf numFmtId="0" fontId="51" fillId="0" borderId="0" xfId="0" applyFont="1" applyFill="1"/>
    <xf numFmtId="0" fontId="0" fillId="38" borderId="0" xfId="0" applyFont="1" applyFill="1"/>
    <xf numFmtId="9" fontId="51" fillId="0" borderId="0" xfId="300" applyFont="1" applyFill="1"/>
    <xf numFmtId="0" fontId="77" fillId="0" borderId="0" xfId="0" applyFont="1" applyFill="1"/>
    <xf numFmtId="0" fontId="4" fillId="0" borderId="0" xfId="0"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79" fillId="0" borderId="0" xfId="0" applyFont="1" applyFill="1"/>
    <xf numFmtId="0" fontId="65" fillId="0" borderId="0" xfId="0" applyFont="1" applyFill="1"/>
    <xf numFmtId="3" fontId="3" fillId="0" borderId="0" xfId="0" applyNumberFormat="1" applyFont="1" applyFill="1" applyAlignment="1" applyProtection="1">
      <alignment horizontal="center" vertical="center" wrapText="1"/>
      <protection locked="0"/>
    </xf>
    <xf numFmtId="0" fontId="69" fillId="0" borderId="0" xfId="0" applyFont="1" applyFill="1" applyBorder="1" applyAlignment="1" applyProtection="1">
      <alignment horizontal="left" vertical="center"/>
      <protection locked="0"/>
    </xf>
    <xf numFmtId="0" fontId="67" fillId="0" borderId="1" xfId="0" applyFont="1" applyFill="1" applyBorder="1" applyAlignment="1" applyProtection="1">
      <alignment horizontal="center" vertical="center" wrapText="1"/>
    </xf>
    <xf numFmtId="3" fontId="67" fillId="5" borderId="1" xfId="0" applyNumberFormat="1" applyFont="1" applyFill="1" applyBorder="1" applyAlignment="1" applyProtection="1">
      <alignment horizontal="center" vertical="center" wrapText="1"/>
    </xf>
    <xf numFmtId="3" fontId="67" fillId="5" borderId="1" xfId="0" applyNumberFormat="1" applyFont="1" applyFill="1" applyBorder="1" applyAlignment="1" applyProtection="1">
      <alignment horizontal="left" vertical="center" wrapText="1"/>
    </xf>
    <xf numFmtId="3" fontId="67" fillId="8" borderId="1" xfId="0" applyNumberFormat="1" applyFont="1" applyFill="1" applyBorder="1" applyAlignment="1" applyProtection="1">
      <alignment horizontal="center" vertical="center" wrapText="1"/>
    </xf>
    <xf numFmtId="0" fontId="67" fillId="8" borderId="1" xfId="0" applyFont="1" applyFill="1" applyBorder="1" applyAlignment="1" applyProtection="1">
      <alignment horizontal="center" vertical="center" wrapText="1"/>
    </xf>
    <xf numFmtId="3" fontId="67" fillId="6" borderId="1" xfId="0" applyNumberFormat="1" applyFont="1" applyFill="1" applyBorder="1" applyAlignment="1" applyProtection="1">
      <alignment horizontal="center" vertical="center" wrapText="1"/>
    </xf>
    <xf numFmtId="3" fontId="68" fillId="2" borderId="1" xfId="11" applyNumberFormat="1" applyFont="1" applyFill="1" applyBorder="1" applyAlignment="1" applyProtection="1">
      <alignment horizontal="center" vertical="center" wrapText="1"/>
    </xf>
    <xf numFmtId="0" fontId="68" fillId="2" borderId="1" xfId="0" applyFont="1" applyFill="1" applyBorder="1" applyProtection="1"/>
    <xf numFmtId="3" fontId="69" fillId="0" borderId="1" xfId="0" applyNumberFormat="1" applyFont="1" applyFill="1" applyBorder="1" applyAlignment="1" applyProtection="1">
      <alignment horizontal="center" vertical="center" wrapText="1"/>
    </xf>
    <xf numFmtId="3" fontId="69" fillId="0" borderId="1" xfId="0" applyNumberFormat="1" applyFont="1" applyFill="1" applyBorder="1" applyAlignment="1" applyProtection="1">
      <alignment horizontal="center" vertical="center"/>
    </xf>
    <xf numFmtId="0" fontId="69" fillId="0" borderId="1" xfId="0" applyFont="1" applyFill="1" applyBorder="1" applyAlignment="1" applyProtection="1">
      <alignment horizontal="center" vertical="center" wrapText="1"/>
    </xf>
    <xf numFmtId="3" fontId="68" fillId="2" borderId="1" xfId="0" applyNumberFormat="1" applyFont="1" applyFill="1" applyBorder="1" applyAlignment="1" applyProtection="1">
      <alignment horizontal="center" vertical="center"/>
    </xf>
    <xf numFmtId="0" fontId="64" fillId="0" borderId="0" xfId="0" applyFont="1" applyFill="1" applyAlignment="1" applyProtection="1">
      <alignment wrapText="1"/>
    </xf>
    <xf numFmtId="0" fontId="69" fillId="0" borderId="1" xfId="0" applyFont="1" applyFill="1" applyBorder="1" applyAlignment="1" applyProtection="1">
      <alignment horizontal="left" vertical="center" wrapText="1"/>
    </xf>
    <xf numFmtId="3" fontId="69" fillId="0" borderId="1" xfId="0" applyNumberFormat="1" applyFont="1" applyFill="1" applyBorder="1" applyAlignment="1" applyProtection="1">
      <alignment horizontal="left" vertical="center" wrapText="1"/>
    </xf>
    <xf numFmtId="0" fontId="69" fillId="0" borderId="0" xfId="0" applyFont="1" applyFill="1" applyAlignment="1" applyProtection="1">
      <alignment horizontal="left" vertical="center" wrapText="1"/>
    </xf>
    <xf numFmtId="0" fontId="70" fillId="0" borderId="1" xfId="0" applyFont="1" applyFill="1" applyBorder="1" applyAlignment="1" applyProtection="1">
      <alignment horizontal="left" vertical="center" wrapText="1"/>
    </xf>
    <xf numFmtId="3" fontId="68" fillId="3" borderId="1" xfId="0" applyNumberFormat="1" applyFont="1" applyFill="1" applyBorder="1" applyAlignment="1" applyProtection="1">
      <alignment horizontal="center" vertical="center"/>
    </xf>
    <xf numFmtId="3" fontId="69" fillId="0" borderId="1" xfId="11" applyNumberFormat="1" applyFont="1" applyFill="1" applyBorder="1" applyAlignment="1" applyProtection="1">
      <alignment horizontal="center" vertical="center"/>
    </xf>
    <xf numFmtId="0" fontId="69" fillId="0" borderId="1" xfId="0" applyFont="1" applyFill="1" applyBorder="1" applyProtection="1"/>
    <xf numFmtId="0" fontId="68" fillId="7" borderId="1" xfId="0" applyFont="1" applyFill="1" applyBorder="1" applyProtection="1"/>
    <xf numFmtId="3" fontId="68" fillId="3" borderId="1" xfId="11" applyNumberFormat="1" applyFont="1" applyFill="1" applyBorder="1" applyAlignment="1" applyProtection="1">
      <alignment horizontal="center" vertical="center" wrapText="1"/>
    </xf>
    <xf numFmtId="0" fontId="69" fillId="0" borderId="1" xfId="0" applyFont="1" applyBorder="1" applyProtection="1"/>
    <xf numFmtId="3" fontId="69" fillId="38" borderId="1" xfId="11" applyNumberFormat="1" applyFont="1" applyFill="1" applyBorder="1" applyAlignment="1" applyProtection="1">
      <alignment horizontal="center" vertical="center"/>
    </xf>
    <xf numFmtId="0" fontId="69" fillId="38" borderId="1" xfId="0" applyFont="1" applyFill="1" applyBorder="1" applyProtection="1"/>
    <xf numFmtId="0" fontId="69" fillId="0" borderId="1" xfId="0" applyFont="1" applyFill="1" applyBorder="1" applyAlignment="1" applyProtection="1">
      <alignment horizontal="left" vertical="top" wrapText="1"/>
    </xf>
    <xf numFmtId="3" fontId="69" fillId="0" borderId="1" xfId="269" applyNumberFormat="1"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3" fontId="70" fillId="0" borderId="1" xfId="0" applyNumberFormat="1" applyFont="1" applyFill="1" applyBorder="1" applyAlignment="1" applyProtection="1">
      <alignment horizontal="left" vertical="center" wrapText="1"/>
    </xf>
    <xf numFmtId="0" fontId="68" fillId="0" borderId="1" xfId="0" applyFont="1" applyFill="1" applyBorder="1" applyProtection="1"/>
    <xf numFmtId="0" fontId="69" fillId="0" borderId="1" xfId="0" applyFont="1" applyFill="1" applyBorder="1" applyAlignment="1" applyProtection="1">
      <alignment vertical="center" wrapText="1"/>
    </xf>
    <xf numFmtId="3" fontId="64" fillId="0" borderId="1" xfId="0" applyNumberFormat="1" applyFont="1" applyFill="1" applyBorder="1" applyAlignment="1" applyProtection="1">
      <alignment horizontal="right" vertical="center"/>
    </xf>
    <xf numFmtId="171" fontId="66" fillId="58" borderId="14" xfId="299" applyNumberFormat="1" applyFont="1" applyFill="1" applyBorder="1" applyAlignment="1">
      <alignment vertical="center" wrapText="1"/>
    </xf>
    <xf numFmtId="171" fontId="66" fillId="58" borderId="22" xfId="299" applyNumberFormat="1" applyFont="1" applyFill="1" applyBorder="1" applyAlignment="1">
      <alignment vertical="center" wrapText="1"/>
    </xf>
    <xf numFmtId="171" fontId="66" fillId="58" borderId="14" xfId="299" applyNumberFormat="1" applyFont="1" applyFill="1" applyBorder="1" applyAlignment="1">
      <alignment vertical="center"/>
    </xf>
    <xf numFmtId="171" fontId="66" fillId="58" borderId="22" xfId="299" applyNumberFormat="1" applyFont="1" applyFill="1" applyBorder="1" applyAlignment="1">
      <alignment vertical="center"/>
    </xf>
    <xf numFmtId="3" fontId="64" fillId="39" borderId="1" xfId="0" applyNumberFormat="1" applyFont="1" applyFill="1" applyBorder="1" applyAlignment="1">
      <alignment horizontal="center" vertical="center"/>
    </xf>
    <xf numFmtId="3" fontId="64" fillId="0" borderId="1" xfId="299" applyNumberFormat="1" applyFont="1" applyBorder="1" applyAlignment="1">
      <alignment horizontal="center" vertical="center"/>
    </xf>
    <xf numFmtId="0" fontId="64" fillId="0" borderId="0" xfId="0" applyFont="1" applyBorder="1"/>
    <xf numFmtId="1" fontId="66" fillId="6" borderId="1" xfId="299" applyNumberFormat="1" applyFont="1" applyFill="1" applyBorder="1" applyAlignment="1">
      <alignment horizontal="center" vertical="center" wrapText="1"/>
    </xf>
    <xf numFmtId="0" fontId="6" fillId="0" borderId="0" xfId="11" applyFont="1" applyFill="1" applyBorder="1" applyAlignment="1" applyProtection="1">
      <alignment horizontal="left" wrapText="1"/>
      <protection locked="0"/>
    </xf>
    <xf numFmtId="0" fontId="6" fillId="0" borderId="0" xfId="0" applyFont="1" applyFill="1" applyProtection="1">
      <protection locked="0"/>
    </xf>
    <xf numFmtId="3" fontId="3" fillId="0" borderId="0" xfId="0" applyNumberFormat="1" applyFont="1" applyFill="1" applyBorder="1" applyAlignment="1" applyProtection="1">
      <alignment horizontal="left" vertical="center" wrapText="1"/>
      <protection locked="0"/>
    </xf>
    <xf numFmtId="0" fontId="5" fillId="0" borderId="0" xfId="0" applyFont="1" applyFill="1" applyBorder="1" applyProtection="1">
      <protection locked="0"/>
    </xf>
    <xf numFmtId="0" fontId="5" fillId="0" borderId="0" xfId="0" applyFont="1" applyFill="1" applyAlignment="1" applyProtection="1">
      <alignment horizontal="center"/>
      <protection locked="0"/>
    </xf>
    <xf numFmtId="0" fontId="66" fillId="3" borderId="1" xfId="0" applyFont="1" applyFill="1" applyBorder="1" applyAlignment="1" applyProtection="1">
      <alignment horizontal="center" vertical="center" wrapText="1"/>
    </xf>
    <xf numFmtId="3" fontId="66" fillId="3" borderId="1" xfId="0" applyNumberFormat="1" applyFont="1" applyFill="1" applyBorder="1" applyAlignment="1" applyProtection="1">
      <alignment horizontal="center" vertical="center" wrapText="1"/>
    </xf>
    <xf numFmtId="0" fontId="66" fillId="5" borderId="1" xfId="0" applyFont="1" applyFill="1" applyBorder="1" applyAlignment="1" applyProtection="1">
      <alignment horizontal="center" vertical="center" wrapText="1"/>
    </xf>
    <xf numFmtId="3" fontId="66" fillId="5" borderId="1" xfId="0" applyNumberFormat="1" applyFont="1" applyFill="1" applyBorder="1" applyAlignment="1" applyProtection="1">
      <alignment horizontal="center" vertical="center" wrapText="1"/>
    </xf>
    <xf numFmtId="0" fontId="66" fillId="8" borderId="1" xfId="0" applyFont="1" applyFill="1" applyBorder="1" applyAlignment="1" applyProtection="1">
      <alignment horizontal="center" vertical="center" wrapText="1"/>
    </xf>
    <xf numFmtId="3" fontId="66" fillId="8" borderId="1" xfId="0" applyNumberFormat="1" applyFont="1" applyFill="1" applyBorder="1" applyAlignment="1" applyProtection="1">
      <alignment horizontal="center" vertical="center" wrapText="1"/>
    </xf>
    <xf numFmtId="0" fontId="66" fillId="6" borderId="1" xfId="0" applyFont="1" applyFill="1" applyBorder="1" applyAlignment="1" applyProtection="1">
      <alignment horizontal="center" vertical="center" wrapText="1"/>
    </xf>
    <xf numFmtId="3" fontId="66" fillId="6" borderId="1" xfId="0" applyNumberFormat="1" applyFont="1" applyFill="1" applyBorder="1" applyAlignment="1" applyProtection="1">
      <alignment horizontal="center" vertical="center" wrapText="1"/>
    </xf>
    <xf numFmtId="0" fontId="80" fillId="2" borderId="1" xfId="0" applyFont="1" applyFill="1" applyBorder="1" applyProtection="1"/>
    <xf numFmtId="0" fontId="80" fillId="2" borderId="1" xfId="11" applyFont="1" applyFill="1" applyBorder="1" applyAlignment="1" applyProtection="1">
      <alignment horizontal="center" vertical="center" wrapText="1"/>
    </xf>
    <xf numFmtId="3" fontId="80" fillId="2" borderId="1" xfId="11" applyNumberFormat="1" applyFont="1" applyFill="1" applyBorder="1" applyAlignment="1" applyProtection="1">
      <alignment horizontal="center" vertical="center" wrapText="1"/>
    </xf>
    <xf numFmtId="0" fontId="64" fillId="0" borderId="1" xfId="0" applyFont="1" applyFill="1" applyBorder="1" applyAlignment="1" applyProtection="1">
      <alignment horizontal="left" vertical="center" wrapText="1"/>
    </xf>
    <xf numFmtId="3" fontId="64" fillId="0" borderId="1" xfId="0" applyNumberFormat="1" applyFont="1" applyFill="1" applyBorder="1" applyAlignment="1" applyProtection="1">
      <alignment horizontal="center" vertical="center" wrapText="1"/>
    </xf>
    <xf numFmtId="3" fontId="64" fillId="0" borderId="1" xfId="0" applyNumberFormat="1" applyFont="1" applyFill="1" applyBorder="1" applyAlignment="1" applyProtection="1">
      <alignment horizontal="center" vertical="center"/>
    </xf>
    <xf numFmtId="0" fontId="80" fillId="2" borderId="1" xfId="0" applyFont="1" applyFill="1" applyBorder="1" applyAlignment="1" applyProtection="1">
      <alignment horizontal="left"/>
    </xf>
    <xf numFmtId="0" fontId="80" fillId="2" borderId="1" xfId="11" applyFont="1" applyFill="1" applyBorder="1" applyAlignment="1" applyProtection="1">
      <alignment horizontal="center" vertical="center"/>
    </xf>
    <xf numFmtId="3" fontId="80" fillId="2"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xf>
    <xf numFmtId="0" fontId="66" fillId="6" borderId="1" xfId="0" applyFont="1" applyFill="1" applyBorder="1" applyAlignment="1" applyProtection="1">
      <alignment horizontal="left" vertical="center" wrapText="1"/>
    </xf>
    <xf numFmtId="0" fontId="80" fillId="3" borderId="1" xfId="0" applyFont="1" applyFill="1" applyBorder="1" applyAlignment="1" applyProtection="1">
      <alignment horizontal="left"/>
    </xf>
    <xf numFmtId="0" fontId="80" fillId="3" borderId="1" xfId="11" applyFont="1" applyFill="1" applyBorder="1" applyAlignment="1" applyProtection="1">
      <alignment horizontal="center" vertical="center"/>
    </xf>
    <xf numFmtId="3" fontId="80" fillId="3" borderId="1" xfId="0" applyNumberFormat="1" applyFont="1" applyFill="1" applyBorder="1" applyAlignment="1" applyProtection="1">
      <alignment horizontal="center" vertical="center"/>
    </xf>
    <xf numFmtId="0" fontId="64" fillId="0" borderId="1" xfId="11" applyFont="1" applyFill="1" applyBorder="1" applyAlignment="1" applyProtection="1">
      <alignment horizontal="left" vertical="center" wrapText="1"/>
    </xf>
    <xf numFmtId="3" fontId="64" fillId="0" borderId="1" xfId="11" applyNumberFormat="1" applyFont="1" applyFill="1" applyBorder="1" applyAlignment="1" applyProtection="1">
      <alignment horizontal="center" vertical="center"/>
    </xf>
    <xf numFmtId="0" fontId="80" fillId="3" borderId="1" xfId="11" applyFont="1" applyFill="1" applyBorder="1" applyAlignment="1" applyProtection="1">
      <alignment horizontal="center" vertical="center" wrapText="1"/>
    </xf>
    <xf numFmtId="3" fontId="80" fillId="3" borderId="1" xfId="11" applyNumberFormat="1" applyFont="1" applyFill="1" applyBorder="1" applyAlignment="1" applyProtection="1">
      <alignment horizontal="center" vertical="center" wrapText="1"/>
    </xf>
    <xf numFmtId="0" fontId="64" fillId="38" borderId="1" xfId="11" applyFont="1" applyFill="1" applyBorder="1" applyAlignment="1" applyProtection="1">
      <alignment horizontal="left" vertical="center" wrapText="1"/>
    </xf>
    <xf numFmtId="0" fontId="64" fillId="0" borderId="1" xfId="0" applyNumberFormat="1" applyFont="1" applyFill="1" applyBorder="1" applyAlignment="1" applyProtection="1">
      <alignment horizontal="left" vertical="center" wrapText="1"/>
    </xf>
    <xf numFmtId="0" fontId="64" fillId="0" borderId="1" xfId="269" applyFont="1" applyFill="1" applyBorder="1" applyAlignment="1" applyProtection="1">
      <alignment horizontal="left" vertical="center" wrapText="1"/>
    </xf>
    <xf numFmtId="3" fontId="64" fillId="0" borderId="1" xfId="269" applyNumberFormat="1" applyFont="1" applyFill="1" applyBorder="1" applyAlignment="1" applyProtection="1">
      <alignment horizontal="center" vertical="center" wrapText="1"/>
    </xf>
    <xf numFmtId="3" fontId="64" fillId="0" borderId="1" xfId="269" applyNumberFormat="1" applyFont="1" applyFill="1" applyBorder="1" applyAlignment="1" applyProtection="1">
      <alignment horizontal="center" vertical="center"/>
    </xf>
    <xf numFmtId="4" fontId="64" fillId="0" borderId="1" xfId="0" applyNumberFormat="1" applyFont="1" applyFill="1" applyBorder="1" applyAlignment="1" applyProtection="1">
      <alignment horizontal="left" vertical="center" wrapText="1"/>
    </xf>
    <xf numFmtId="2" fontId="64" fillId="0" borderId="1" xfId="0" applyNumberFormat="1" applyFont="1" applyFill="1" applyBorder="1" applyAlignment="1" applyProtection="1">
      <alignment horizontal="left" vertical="center" wrapText="1"/>
    </xf>
    <xf numFmtId="3" fontId="64" fillId="0" borderId="1" xfId="0" applyNumberFormat="1" applyFont="1" applyFill="1" applyBorder="1" applyAlignment="1" applyProtection="1">
      <alignment horizontal="left" vertical="center" wrapText="1"/>
    </xf>
    <xf numFmtId="0" fontId="64" fillId="0" borderId="1" xfId="0" applyFont="1" applyFill="1" applyBorder="1" applyAlignment="1" applyProtection="1">
      <alignment horizontal="center" vertical="center" wrapText="1"/>
    </xf>
    <xf numFmtId="0" fontId="0" fillId="0" borderId="0" xfId="0" applyFont="1" applyAlignment="1" applyProtection="1">
      <alignment vertical="center"/>
      <protection locked="0"/>
    </xf>
    <xf numFmtId="0" fontId="64" fillId="0" borderId="0" xfId="0" applyFont="1" applyAlignment="1">
      <alignment horizontal="left" vertical="center"/>
    </xf>
    <xf numFmtId="0" fontId="51" fillId="0" borderId="0" xfId="0" applyFont="1" applyAlignment="1">
      <alignment horizontal="left" vertical="center"/>
    </xf>
    <xf numFmtId="0" fontId="51" fillId="0" borderId="0" xfId="0" applyFont="1" applyFill="1" applyAlignment="1">
      <alignment horizontal="left" vertical="center"/>
    </xf>
    <xf numFmtId="0" fontId="64" fillId="0" borderId="0" xfId="0" applyFont="1" applyAlignment="1" applyProtection="1">
      <alignment vertical="center"/>
      <protection locked="0"/>
    </xf>
    <xf numFmtId="3" fontId="69" fillId="59" borderId="1" xfId="0" applyNumberFormat="1" applyFont="1" applyFill="1" applyBorder="1" applyAlignment="1" applyProtection="1">
      <alignment horizontal="center" vertical="center"/>
    </xf>
    <xf numFmtId="3" fontId="79" fillId="0" borderId="0" xfId="0" applyNumberFormat="1" applyFont="1" applyAlignment="1" applyProtection="1">
      <alignment horizontal="center" vertical="center"/>
      <protection locked="0"/>
    </xf>
    <xf numFmtId="49" fontId="61" fillId="0" borderId="0" xfId="0" applyNumberFormat="1" applyFont="1" applyBorder="1" applyAlignment="1" applyProtection="1">
      <alignment horizontal="center" vertical="center" wrapText="1"/>
      <protection locked="0"/>
    </xf>
    <xf numFmtId="49" fontId="65" fillId="0" borderId="2" xfId="0" applyNumberFormat="1" applyFont="1" applyBorder="1" applyAlignment="1" applyProtection="1">
      <alignment horizontal="center"/>
      <protection locked="0"/>
    </xf>
    <xf numFmtId="3" fontId="66" fillId="4" borderId="1" xfId="0" applyNumberFormat="1" applyFont="1" applyFill="1" applyBorder="1" applyAlignment="1" applyProtection="1">
      <alignment horizontal="center" vertical="center" wrapText="1"/>
      <protection locked="0"/>
    </xf>
    <xf numFmtId="3" fontId="66" fillId="4" borderId="3" xfId="0" applyNumberFormat="1" applyFont="1" applyFill="1" applyBorder="1" applyAlignment="1" applyProtection="1">
      <alignment horizontal="center" vertical="center" wrapText="1"/>
      <protection locked="0"/>
    </xf>
    <xf numFmtId="3" fontId="66" fillId="4" borderId="4" xfId="0" applyNumberFormat="1" applyFont="1" applyFill="1" applyBorder="1" applyAlignment="1" applyProtection="1">
      <alignment horizontal="center" vertical="center" wrapText="1"/>
      <protection locked="0"/>
    </xf>
    <xf numFmtId="3" fontId="66" fillId="4" borderId="14" xfId="0" applyNumberFormat="1" applyFont="1" applyFill="1" applyBorder="1" applyAlignment="1" applyProtection="1">
      <alignment horizontal="center" vertical="center" wrapText="1"/>
      <protection locked="0"/>
    </xf>
    <xf numFmtId="3" fontId="66" fillId="4" borderId="15" xfId="0" applyNumberFormat="1" applyFont="1" applyFill="1" applyBorder="1" applyAlignment="1" applyProtection="1">
      <alignment horizontal="center" vertical="center" wrapText="1"/>
      <protection locked="0"/>
    </xf>
    <xf numFmtId="0" fontId="66" fillId="3" borderId="1" xfId="0" applyFont="1" applyFill="1" applyBorder="1" applyAlignment="1" applyProtection="1">
      <alignment horizontal="center" vertical="center" wrapText="1"/>
      <protection locked="0"/>
    </xf>
    <xf numFmtId="3" fontId="66" fillId="4" borderId="16" xfId="0" applyNumberFormat="1" applyFont="1" applyFill="1" applyBorder="1" applyAlignment="1" applyProtection="1">
      <alignment horizontal="center" vertical="center" wrapText="1"/>
      <protection locked="0"/>
    </xf>
    <xf numFmtId="3" fontId="66" fillId="4" borderId="17" xfId="0" applyNumberFormat="1" applyFont="1" applyFill="1" applyBorder="1" applyAlignment="1" applyProtection="1">
      <alignment horizontal="center" vertical="center" wrapText="1"/>
      <protection locked="0"/>
    </xf>
    <xf numFmtId="3" fontId="66" fillId="4" borderId="18" xfId="0" applyNumberFormat="1" applyFont="1" applyFill="1" applyBorder="1" applyAlignment="1" applyProtection="1">
      <alignment horizontal="center" vertical="center" wrapText="1"/>
      <protection locked="0"/>
    </xf>
    <xf numFmtId="3" fontId="66" fillId="4" borderId="19" xfId="0" applyNumberFormat="1" applyFont="1" applyFill="1" applyBorder="1" applyAlignment="1" applyProtection="1">
      <alignment horizontal="center" vertical="center" wrapText="1"/>
      <protection locked="0"/>
    </xf>
    <xf numFmtId="3" fontId="66" fillId="4" borderId="2" xfId="0" applyNumberFormat="1" applyFont="1" applyFill="1" applyBorder="1" applyAlignment="1" applyProtection="1">
      <alignment horizontal="center" vertical="center" wrapText="1"/>
      <protection locked="0"/>
    </xf>
    <xf numFmtId="3" fontId="66" fillId="4" borderId="20" xfId="0" applyNumberFormat="1" applyFont="1" applyFill="1" applyBorder="1" applyAlignment="1" applyProtection="1">
      <alignment horizontal="center" vertical="center" wrapText="1"/>
      <protection locked="0"/>
    </xf>
    <xf numFmtId="0" fontId="69" fillId="0" borderId="17" xfId="0" applyFont="1" applyFill="1" applyBorder="1" applyAlignment="1" applyProtection="1">
      <alignment horizontal="left" vertical="center" wrapText="1"/>
      <protection locked="0"/>
    </xf>
    <xf numFmtId="0" fontId="69" fillId="0" borderId="0" xfId="0" applyFont="1" applyFill="1" applyBorder="1" applyAlignment="1" applyProtection="1">
      <alignment horizontal="left" vertical="center" wrapText="1"/>
      <protection locked="0"/>
    </xf>
    <xf numFmtId="171" fontId="66" fillId="58" borderId="1" xfId="299" applyNumberFormat="1" applyFont="1" applyFill="1" applyBorder="1" applyAlignment="1">
      <alignment horizontal="center" vertical="center" wrapText="1"/>
    </xf>
    <xf numFmtId="1" fontId="66" fillId="6" borderId="14" xfId="299" applyNumberFormat="1" applyFont="1" applyFill="1" applyBorder="1" applyAlignment="1">
      <alignment horizontal="center" vertical="center" wrapText="1"/>
    </xf>
    <xf numFmtId="1" fontId="66" fillId="6" borderId="15" xfId="299" applyNumberFormat="1" applyFont="1" applyFill="1" applyBorder="1" applyAlignment="1">
      <alignment horizontal="center" vertical="center" wrapText="1"/>
    </xf>
    <xf numFmtId="0" fontId="72" fillId="0" borderId="1" xfId="11" applyFont="1" applyFill="1" applyBorder="1" applyAlignment="1" applyProtection="1">
      <alignment horizontal="left" vertical="center" wrapText="1"/>
      <protection locked="0"/>
    </xf>
    <xf numFmtId="171" fontId="66" fillId="58" borderId="1" xfId="299" applyNumberFormat="1" applyFont="1" applyFill="1" applyBorder="1" applyAlignment="1">
      <alignment horizontal="center" vertical="center"/>
    </xf>
    <xf numFmtId="171" fontId="66" fillId="58" borderId="14" xfId="299" applyNumberFormat="1" applyFont="1" applyFill="1" applyBorder="1" applyAlignment="1">
      <alignment horizontal="center" vertical="center"/>
    </xf>
    <xf numFmtId="0" fontId="6" fillId="0" borderId="1" xfId="11" applyFont="1" applyFill="1" applyBorder="1" applyAlignment="1" applyProtection="1">
      <alignment horizontal="left" vertical="center" wrapText="1"/>
      <protection locked="0"/>
    </xf>
    <xf numFmtId="1" fontId="66" fillId="6" borderId="1" xfId="299" applyNumberFormat="1" applyFont="1" applyFill="1" applyBorder="1" applyAlignment="1">
      <alignment horizontal="center" vertical="center" wrapText="1"/>
    </xf>
    <xf numFmtId="171" fontId="66" fillId="58" borderId="1" xfId="299" applyNumberFormat="1" applyFont="1" applyFill="1" applyBorder="1" applyAlignment="1">
      <alignment horizontal="left" vertical="center" wrapText="1"/>
    </xf>
    <xf numFmtId="171" fontId="6" fillId="0" borderId="1" xfId="299" applyNumberFormat="1" applyFont="1" applyFill="1" applyBorder="1" applyAlignment="1" applyProtection="1">
      <alignment horizontal="left" vertical="center" wrapText="1"/>
      <protection locked="0"/>
    </xf>
  </cellXfs>
  <cellStyles count="301">
    <cellStyle name=" 1" xfId="23"/>
    <cellStyle name="20% - Accent1 2" xfId="24"/>
    <cellStyle name="20% - Accent2 2" xfId="25"/>
    <cellStyle name="20% - Accent3 2" xfId="26"/>
    <cellStyle name="20% - Accent4 2" xfId="27"/>
    <cellStyle name="20% - Accent5 2" xfId="28"/>
    <cellStyle name="20% - Accent6 2" xfId="29"/>
    <cellStyle name="40% - Accent1 2" xfId="30"/>
    <cellStyle name="40% - Accent2 2" xfId="31"/>
    <cellStyle name="40% - Accent3 2" xfId="32"/>
    <cellStyle name="40% - Accent4 2" xfId="33"/>
    <cellStyle name="40% - Accent5 2" xfId="34"/>
    <cellStyle name="40% - Accent6 2" xfId="35"/>
    <cellStyle name="60% - Accent1 2" xfId="36"/>
    <cellStyle name="60% - Accent2 2" xfId="37"/>
    <cellStyle name="60% - Accent3 2" xfId="38"/>
    <cellStyle name="60% - Accent4 2" xfId="39"/>
    <cellStyle name="60% - Accent5 2" xfId="40"/>
    <cellStyle name="60% - Accent6 2" xfId="41"/>
    <cellStyle name="Accent1 - 20%" xfId="171"/>
    <cellStyle name="Accent1 - 40%" xfId="172"/>
    <cellStyle name="Accent1 - 60%" xfId="173"/>
    <cellStyle name="Accent1 2" xfId="42"/>
    <cellStyle name="Accent2 - 20%" xfId="174"/>
    <cellStyle name="Accent2 - 40%" xfId="175"/>
    <cellStyle name="Accent2 - 60%" xfId="176"/>
    <cellStyle name="Accent2 2" xfId="43"/>
    <cellStyle name="Accent3 - 20%" xfId="177"/>
    <cellStyle name="Accent3 - 40%" xfId="178"/>
    <cellStyle name="Accent3 - 60%" xfId="179"/>
    <cellStyle name="Accent3 2" xfId="44"/>
    <cellStyle name="Accent4 - 20%" xfId="180"/>
    <cellStyle name="Accent4 - 40%" xfId="181"/>
    <cellStyle name="Accent4 - 60%" xfId="182"/>
    <cellStyle name="Accent4 2" xfId="45"/>
    <cellStyle name="Accent5 - 20%" xfId="183"/>
    <cellStyle name="Accent5 - 40%" xfId="184"/>
    <cellStyle name="Accent5 - 60%" xfId="185"/>
    <cellStyle name="Accent5 2" xfId="46"/>
    <cellStyle name="Accent6 - 20%" xfId="186"/>
    <cellStyle name="Accent6 - 40%" xfId="187"/>
    <cellStyle name="Accent6 - 60%" xfId="188"/>
    <cellStyle name="Accent6 2" xfId="47"/>
    <cellStyle name="Aktivitāte" xfId="169"/>
    <cellStyle name="Bad 2" xfId="48"/>
    <cellStyle name="Calculation 2" xfId="49"/>
    <cellStyle name="Calculation 2 2" xfId="50"/>
    <cellStyle name="Calculation 2 3" xfId="51"/>
    <cellStyle name="Check" xfId="52"/>
    <cellStyle name="Check Cell 2" xfId="53"/>
    <cellStyle name="Comma" xfId="299" builtinId="3"/>
    <cellStyle name="Comma [0] 2" xfId="14"/>
    <cellStyle name="Comma 2" xfId="54"/>
    <cellStyle name="Comma 3" xfId="55"/>
    <cellStyle name="Currency 2" xfId="56"/>
    <cellStyle name="Data" xfId="57"/>
    <cellStyle name="Emphasis 1" xfId="189"/>
    <cellStyle name="Emphasis 2" xfId="190"/>
    <cellStyle name="Emphasis 3" xfId="191"/>
    <cellStyle name="estimation" xfId="58"/>
    <cellStyle name="exo" xfId="59"/>
    <cellStyle name="Explanatory Text 2" xfId="60"/>
    <cellStyle name="Forecast" xfId="61"/>
    <cellStyle name="Good 2" xfId="62"/>
    <cellStyle name="Head1" xfId="63"/>
    <cellStyle name="Heading 1 2" xfId="64"/>
    <cellStyle name="Heading 2 2" xfId="65"/>
    <cellStyle name="Heading 3 2" xfId="66"/>
    <cellStyle name="Heading 4 2" xfId="67"/>
    <cellStyle name="Historical" xfId="68"/>
    <cellStyle name="Indent0" xfId="69"/>
    <cellStyle name="Indent1" xfId="70"/>
    <cellStyle name="Indent2" xfId="71"/>
    <cellStyle name="Indent3" xfId="72"/>
    <cellStyle name="Indent4" xfId="73"/>
    <cellStyle name="Indent5" xfId="74"/>
    <cellStyle name="info" xfId="75"/>
    <cellStyle name="Input 2" xfId="76"/>
    <cellStyle name="Input 2 2" xfId="77"/>
    <cellStyle name="Input 2 3" xfId="78"/>
    <cellStyle name="Koefic." xfId="79"/>
    <cellStyle name="Linked Cell 2" xfId="80"/>
    <cellStyle name="Neutral 2" xfId="81"/>
    <cellStyle name="Normal" xfId="0" builtinId="0"/>
    <cellStyle name="Normal 10" xfId="9"/>
    <cellStyle name="Normal 10 2" xfId="15"/>
    <cellStyle name="Normal 10 2 2" xfId="271"/>
    <cellStyle name="Normal 10 3" xfId="272"/>
    <cellStyle name="Normal 11" xfId="10"/>
    <cellStyle name="Normal 11 2" xfId="16"/>
    <cellStyle name="Normal 11 2 2" xfId="273"/>
    <cellStyle name="Normal 11 3" xfId="274"/>
    <cellStyle name="Normal 12" xfId="22"/>
    <cellStyle name="Normal 12 2" xfId="192"/>
    <cellStyle name="Normal 13" xfId="21"/>
    <cellStyle name="Normal 14" xfId="166"/>
    <cellStyle name="Normal 14 2" xfId="167"/>
    <cellStyle name="Normal 15" xfId="82"/>
    <cellStyle name="Normal 15 2" xfId="193"/>
    <cellStyle name="Normal 15 3" xfId="275"/>
    <cellStyle name="Normal 16" xfId="194"/>
    <cellStyle name="Normal 2" xfId="1"/>
    <cellStyle name="Normal 2 10" xfId="195"/>
    <cellStyle name="Normal 2 11" xfId="196"/>
    <cellStyle name="Normal 2 12" xfId="197"/>
    <cellStyle name="Normal 2 13" xfId="198"/>
    <cellStyle name="Normal 2 14" xfId="199"/>
    <cellStyle name="Normal 2 15" xfId="200"/>
    <cellStyle name="Normal 2 16" xfId="201"/>
    <cellStyle name="Normal 2 17" xfId="202"/>
    <cellStyle name="Normal 2 18" xfId="203"/>
    <cellStyle name="Normal 2 19" xfId="204"/>
    <cellStyle name="Normal 2 2" xfId="2"/>
    <cellStyle name="Normal 2 2 10" xfId="83"/>
    <cellStyle name="Normal 2 2 2" xfId="205"/>
    <cellStyle name="Normal 2 2 3" xfId="206"/>
    <cellStyle name="Normal 2 2 4" xfId="207"/>
    <cellStyle name="Normal 2 2 5" xfId="208"/>
    <cellStyle name="Normal 2 2 6" xfId="209"/>
    <cellStyle name="Normal 2 2 7" xfId="210"/>
    <cellStyle name="Normal 2 2 8" xfId="276"/>
    <cellStyle name="Normal 2 20" xfId="211"/>
    <cellStyle name="Normal 2 21" xfId="212"/>
    <cellStyle name="Normal 2 22" xfId="213"/>
    <cellStyle name="Normal 2 23" xfId="214"/>
    <cellStyle name="Normal 2 24" xfId="215"/>
    <cellStyle name="Normal 2 25" xfId="216"/>
    <cellStyle name="Normal 2 26" xfId="217"/>
    <cellStyle name="Normal 2 27" xfId="218"/>
    <cellStyle name="Normal 2 28" xfId="219"/>
    <cellStyle name="Normal 2 29" xfId="220"/>
    <cellStyle name="Normal 2 3" xfId="3"/>
    <cellStyle name="Normal 2 3 2" xfId="84"/>
    <cellStyle name="Normal 2 3 3" xfId="277"/>
    <cellStyle name="Normal 2 30" xfId="221"/>
    <cellStyle name="Normal 2 31" xfId="222"/>
    <cellStyle name="Normal 2 32" xfId="223"/>
    <cellStyle name="Normal 2 33" xfId="224"/>
    <cellStyle name="Normal 2 34" xfId="225"/>
    <cellStyle name="Normal 2 35" xfId="278"/>
    <cellStyle name="Normal 2 4" xfId="11"/>
    <cellStyle name="Normal 2 4 2" xfId="85"/>
    <cellStyle name="Normal 2 4 3" xfId="270"/>
    <cellStyle name="Normal 2 4 4" xfId="269"/>
    <cellStyle name="Normal 2 5" xfId="86"/>
    <cellStyle name="Normal 2 6" xfId="226"/>
    <cellStyle name="Normal 2 6 2" xfId="279"/>
    <cellStyle name="Normal 2 7" xfId="227"/>
    <cellStyle name="Normal 2 8" xfId="228"/>
    <cellStyle name="Normal 2 9" xfId="229"/>
    <cellStyle name="Normal 2_JAUNIE_MERKI_2010-2015_plus_100_milj _14 07 2010" xfId="12"/>
    <cellStyle name="Normal 3" xfId="87"/>
    <cellStyle name="Normal 3 2" xfId="168"/>
    <cellStyle name="Normal 3 2 2" xfId="280"/>
    <cellStyle name="Normal 3 3" xfId="230"/>
    <cellStyle name="Normal 3 4" xfId="231"/>
    <cellStyle name="Normal 3 4 2" xfId="281"/>
    <cellStyle name="Normal 3 5" xfId="232"/>
    <cellStyle name="Normal 30" xfId="88"/>
    <cellStyle name="Normal 30 2" xfId="282"/>
    <cellStyle name="Normal 30 3" xfId="89"/>
    <cellStyle name="Normal 30 4" xfId="90"/>
    <cellStyle name="Normal 30 8" xfId="91"/>
    <cellStyle name="Normal 30 9" xfId="92"/>
    <cellStyle name="Normal 39" xfId="93"/>
    <cellStyle name="Normal 39 2" xfId="283"/>
    <cellStyle name="Normal 4" xfId="4"/>
    <cellStyle name="Normal 4 2" xfId="17"/>
    <cellStyle name="Normal 4 2 2" xfId="284"/>
    <cellStyle name="Normal 4 3" xfId="94"/>
    <cellStyle name="Normal 4 3 2" xfId="285"/>
    <cellStyle name="Normal 4 4" xfId="286"/>
    <cellStyle name="Normal 40" xfId="95"/>
    <cellStyle name="Normal 40 2" xfId="287"/>
    <cellStyle name="Normal 44" xfId="96"/>
    <cellStyle name="Normal 44 2" xfId="288"/>
    <cellStyle name="Normal 5" xfId="5"/>
    <cellStyle name="Normal 5 2" xfId="18"/>
    <cellStyle name="Normal 5 2 2" xfId="289"/>
    <cellStyle name="Normal 5 3" xfId="97"/>
    <cellStyle name="Normal 5 3 2" xfId="290"/>
    <cellStyle name="Normal 5 4" xfId="291"/>
    <cellStyle name="Normal 5_JAUNIE_MERKI_2010-2015_plus_100_milj _14 07 2010" xfId="13"/>
    <cellStyle name="Normal 6" xfId="98"/>
    <cellStyle name="Normal 6 2" xfId="233"/>
    <cellStyle name="Normal 7" xfId="6"/>
    <cellStyle name="Normal 7 2" xfId="99"/>
    <cellStyle name="Normal 7 2 2" xfId="292"/>
    <cellStyle name="Normal 7 3" xfId="293"/>
    <cellStyle name="Normal 8" xfId="7"/>
    <cellStyle name="Normal 8 2" xfId="100"/>
    <cellStyle name="Normal 8 2 2" xfId="294"/>
    <cellStyle name="Normal 8 3" xfId="295"/>
    <cellStyle name="Normal 9" xfId="8"/>
    <cellStyle name="Normal 9 2" xfId="101"/>
    <cellStyle name="Normal 9 3" xfId="296"/>
    <cellStyle name="normálne_4c.  Príloha č. 2 AG + SK_16.05.2005" xfId="19"/>
    <cellStyle name="Note 2" xfId="102"/>
    <cellStyle name="Note 2 2" xfId="103"/>
    <cellStyle name="Note 2 3" xfId="104"/>
    <cellStyle name="Output 2" xfId="105"/>
    <cellStyle name="Output 2 2" xfId="106"/>
    <cellStyle name="Output 2 3" xfId="107"/>
    <cellStyle name="Parastais 13" xfId="234"/>
    <cellStyle name="Parastais 2" xfId="235"/>
    <cellStyle name="Parastais 2 2" xfId="236"/>
    <cellStyle name="Parastais 2 3" xfId="237"/>
    <cellStyle name="Parastais 2_FMRik_260209_marts_sad1II.variants" xfId="238"/>
    <cellStyle name="Parastais 3" xfId="239"/>
    <cellStyle name="Parastais 4" xfId="240"/>
    <cellStyle name="Parastais 4 2" xfId="297"/>
    <cellStyle name="Parastais 5" xfId="241"/>
    <cellStyle name="Parastais 6" xfId="242"/>
    <cellStyle name="Parastais_FMLikp01_p05_221205_pap_afp_makp" xfId="243"/>
    <cellStyle name="Percent" xfId="300" builtinId="5"/>
    <cellStyle name="Percent 2" xfId="108"/>
    <cellStyle name="Percent 2 2" xfId="109"/>
    <cellStyle name="Percent 3" xfId="110"/>
    <cellStyle name="Percent 4" xfId="170"/>
    <cellStyle name="Percent 4 2" xfId="298"/>
    <cellStyle name="Pie??m." xfId="111"/>
    <cellStyle name="residual" xfId="112"/>
    <cellStyle name="SAPBEXaggData" xfId="113"/>
    <cellStyle name="SAPBEXaggData 2" xfId="244"/>
    <cellStyle name="SAPBEXaggDataEmph" xfId="114"/>
    <cellStyle name="SAPBEXaggDataEmph 2" xfId="245"/>
    <cellStyle name="SAPBEXaggItem" xfId="115"/>
    <cellStyle name="SAPBEXaggItem 2" xfId="246"/>
    <cellStyle name="SAPBEXaggItemX" xfId="116"/>
    <cellStyle name="SAPBEXaggItemX 2" xfId="247"/>
    <cellStyle name="SAPBEXchaText" xfId="117"/>
    <cellStyle name="SAPBEXchaText 2" xfId="248"/>
    <cellStyle name="SAPBEXexcBad7" xfId="118"/>
    <cellStyle name="SAPBEXexcBad8" xfId="119"/>
    <cellStyle name="SAPBEXexcBad9" xfId="120"/>
    <cellStyle name="SAPBEXexcCritical4" xfId="121"/>
    <cellStyle name="SAPBEXexcCritical5" xfId="122"/>
    <cellStyle name="SAPBEXexcCritical6" xfId="123"/>
    <cellStyle name="SAPBEXexcGood1" xfId="124"/>
    <cellStyle name="SAPBEXexcGood2" xfId="125"/>
    <cellStyle name="SAPBEXexcGood3" xfId="126"/>
    <cellStyle name="SAPBEXfilterDrill" xfId="127"/>
    <cellStyle name="SAPBEXfilterItem" xfId="128"/>
    <cellStyle name="SAPBEXfilterText" xfId="129"/>
    <cellStyle name="SAPBEXfilterText 2" xfId="249"/>
    <cellStyle name="SAPBEXformats" xfId="130"/>
    <cellStyle name="SAPBEXheaderItem" xfId="131"/>
    <cellStyle name="SAPBEXheaderText" xfId="132"/>
    <cellStyle name="SAPBEXheaderText 2" xfId="250"/>
    <cellStyle name="SAPBEXHLevel0" xfId="133"/>
    <cellStyle name="SAPBEXHLevel0 2" xfId="251"/>
    <cellStyle name="SAPBEXHLevel0X" xfId="134"/>
    <cellStyle name="SAPBEXHLevel0X 2" xfId="252"/>
    <cellStyle name="SAPBEXHLevel1" xfId="135"/>
    <cellStyle name="SAPBEXHLevel1 2" xfId="253"/>
    <cellStyle name="SAPBEXHLevel1X" xfId="136"/>
    <cellStyle name="SAPBEXHLevel1X 2" xfId="254"/>
    <cellStyle name="SAPBEXHLevel2" xfId="137"/>
    <cellStyle name="SAPBEXHLevel2 2" xfId="255"/>
    <cellStyle name="SAPBEXHLevel2X" xfId="138"/>
    <cellStyle name="SAPBEXHLevel2X 2" xfId="256"/>
    <cellStyle name="SAPBEXHLevel3" xfId="139"/>
    <cellStyle name="SAPBEXHLevel3 2" xfId="257"/>
    <cellStyle name="SAPBEXHLevel3X" xfId="140"/>
    <cellStyle name="SAPBEXHLevel3X 2" xfId="258"/>
    <cellStyle name="SAPBEXinputData" xfId="141"/>
    <cellStyle name="SAPBEXinputData 2" xfId="259"/>
    <cellStyle name="SAPBEXresData" xfId="142"/>
    <cellStyle name="SAPBEXresData 2" xfId="260"/>
    <cellStyle name="SAPBEXresDataEmph" xfId="143"/>
    <cellStyle name="SAPBEXresDataEmph 2" xfId="261"/>
    <cellStyle name="SAPBEXresItem" xfId="144"/>
    <cellStyle name="SAPBEXresItem 2" xfId="262"/>
    <cellStyle name="SAPBEXresItemX" xfId="145"/>
    <cellStyle name="SAPBEXresItemX 2" xfId="263"/>
    <cellStyle name="SAPBEXstdData" xfId="146"/>
    <cellStyle name="SAPBEXstdData 2" xfId="147"/>
    <cellStyle name="SAPBEXstdData_2009 g _150609" xfId="264"/>
    <cellStyle name="SAPBEXstdDataEmph" xfId="148"/>
    <cellStyle name="SAPBEXstdItem" xfId="149"/>
    <cellStyle name="SAPBEXstdItem 2" xfId="150"/>
    <cellStyle name="SAPBEXstdItem 3" xfId="265"/>
    <cellStyle name="SAPBEXstdItem_FMLikp03_081208_15_aprrez" xfId="266"/>
    <cellStyle name="SAPBEXstdItemX" xfId="151"/>
    <cellStyle name="SAPBEXstdItemX 2" xfId="267"/>
    <cellStyle name="SAPBEXtitle" xfId="152"/>
    <cellStyle name="SAPBEXundefined" xfId="153"/>
    <cellStyle name="Sce_Title" xfId="154"/>
    <cellStyle name="Sheet Title" xfId="268"/>
    <cellStyle name="Stils 1" xfId="155"/>
    <cellStyle name="Style 1" xfId="20"/>
    <cellStyle name="Sub-title" xfId="156"/>
    <cellStyle name="TableStyleLight1" xfId="157"/>
    <cellStyle name="Title 2" xfId="158"/>
    <cellStyle name="Title 3" xfId="159"/>
    <cellStyle name="Total 2" xfId="160"/>
    <cellStyle name="Total 2 2" xfId="161"/>
    <cellStyle name="Total 2 3" xfId="162"/>
    <cellStyle name="V?st." xfId="163"/>
    <cellStyle name="Warning Text 2" xfId="164"/>
    <cellStyle name="Years" xfId="1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95250</xdr:rowOff>
    </xdr:from>
    <xdr:to>
      <xdr:col>53</xdr:col>
      <xdr:colOff>0</xdr:colOff>
      <xdr:row>1</xdr:row>
      <xdr:rowOff>881479</xdr:rowOff>
    </xdr:to>
    <xdr:sp macro="" textlink="">
      <xdr:nvSpPr>
        <xdr:cNvPr id="4" name="TextBox 3"/>
        <xdr:cNvSpPr txBox="1"/>
      </xdr:nvSpPr>
      <xdr:spPr>
        <a:xfrm>
          <a:off x="6857999" y="95250"/>
          <a:ext cx="4810126" cy="988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ts val="1400"/>
            </a:lnSpc>
          </a:pPr>
          <a:r>
            <a:rPr lang="lv-LV" sz="1200" b="1">
              <a:solidFill>
                <a:schemeClr val="dk1"/>
              </a:solidFill>
              <a:latin typeface="Times New Roman" pitchFamily="18" charset="0"/>
              <a:ea typeface="+mn-ea"/>
              <a:cs typeface="Times New Roman" pitchFamily="18" charset="0"/>
            </a:rPr>
            <a:t>4.pielikums</a:t>
          </a:r>
        </a:p>
        <a:p>
          <a:r>
            <a:rPr lang="lv-LV" sz="1200" b="1">
              <a:solidFill>
                <a:schemeClr val="dk1"/>
              </a:solidFill>
              <a:latin typeface="Times New Roman" pitchFamily="18" charset="0"/>
              <a:ea typeface="+mn-ea"/>
              <a:cs typeface="Times New Roman" pitchFamily="18" charset="0"/>
            </a:rPr>
            <a:t>Finanšu ministrijas informatīvajam ziņojumam par Eiropas Savienības struktūrfondu un Kohēzijas fonda, Eiropas Ekonomikas zonas finanšu instrumenta, Norvēģijas valdības divpusējā finanšu instrumenta un Latvijas–Šveices sadarbības programmas</a:t>
          </a:r>
          <a:r>
            <a:rPr lang="lv-LV" sz="1200" b="1" baseline="0">
              <a:solidFill>
                <a:schemeClr val="dk1"/>
              </a:solidFill>
              <a:latin typeface="Times New Roman" pitchFamily="18" charset="0"/>
              <a:ea typeface="+mn-ea"/>
              <a:cs typeface="Times New Roman" pitchFamily="18" charset="0"/>
            </a:rPr>
            <a:t> </a:t>
          </a:r>
          <a:r>
            <a:rPr lang="lv-LV" sz="1200" b="1">
              <a:solidFill>
                <a:schemeClr val="dk1"/>
              </a:solidFill>
              <a:latin typeface="Times New Roman" pitchFamily="18" charset="0"/>
              <a:ea typeface="+mn-ea"/>
              <a:cs typeface="Times New Roman" pitchFamily="18" charset="0"/>
            </a:rPr>
            <a:t>apguvi līdz 2011gada 31.decembrim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X211"/>
  <sheetViews>
    <sheetView tabSelected="1" view="pageBreakPreview" zoomScaleNormal="80" zoomScaleSheetLayoutView="100" workbookViewId="0">
      <pane ySplit="10" topLeftCell="A203" activePane="bottomLeft" state="frozen"/>
      <selection pane="bottomLeft" activeCell="C207" sqref="C207"/>
    </sheetView>
  </sheetViews>
  <sheetFormatPr defaultColWidth="9" defaultRowHeight="15.75" outlineLevelRow="1"/>
  <cols>
    <col min="1" max="1" width="12.25" style="21" customWidth="1"/>
    <col min="2" max="2" width="27.375" style="167" customWidth="1"/>
    <col min="3" max="3" width="15.75" style="21" customWidth="1"/>
    <col min="4" max="4" width="15.75" style="21" hidden="1" customWidth="1"/>
    <col min="5" max="5" width="15.75" style="21" customWidth="1"/>
    <col min="6" max="49" width="15.75" style="20" hidden="1" customWidth="1"/>
    <col min="50" max="52" width="15.75" style="20" customWidth="1"/>
    <col min="53" max="53" width="15.875" style="20" customWidth="1"/>
    <col min="54" max="66" width="15.75" style="20" hidden="1" customWidth="1"/>
    <col min="67" max="68" width="15.75" style="21" hidden="1" customWidth="1"/>
    <col min="69" max="69" width="16.25" style="21" hidden="1" customWidth="1"/>
    <col min="70" max="70" width="35.375" style="21" hidden="1" customWidth="1"/>
    <col min="71" max="72" width="9" style="123"/>
    <col min="73" max="16384" width="9" style="3"/>
  </cols>
  <sheetData>
    <row r="1" spans="1:76">
      <c r="A1" s="19"/>
      <c r="B1" s="163"/>
      <c r="C1" s="19"/>
      <c r="D1" s="19"/>
      <c r="E1" s="19"/>
      <c r="F1" s="19"/>
      <c r="G1" s="19"/>
      <c r="H1" s="19"/>
      <c r="I1" s="19"/>
      <c r="J1" s="19"/>
      <c r="K1" s="19"/>
      <c r="L1" s="19"/>
      <c r="M1" s="19"/>
      <c r="N1" s="19"/>
      <c r="O1" s="19"/>
      <c r="P1" s="19"/>
      <c r="Q1" s="19"/>
      <c r="R1" s="19"/>
      <c r="S1" s="19"/>
      <c r="T1" s="19"/>
      <c r="U1" s="19"/>
      <c r="V1" s="19"/>
    </row>
    <row r="2" spans="1:76" ht="85.5" customHeight="1">
      <c r="A2" s="22"/>
      <c r="B2" s="22"/>
      <c r="C2" s="22"/>
      <c r="D2" s="22"/>
      <c r="E2" s="22"/>
      <c r="F2" s="22"/>
      <c r="G2" s="22"/>
      <c r="H2" s="22"/>
      <c r="I2" s="22"/>
      <c r="J2" s="22"/>
      <c r="K2" s="22"/>
      <c r="L2" s="22"/>
      <c r="M2" s="22"/>
      <c r="N2" s="22"/>
      <c r="O2" s="22"/>
      <c r="P2" s="22"/>
      <c r="Q2" s="22"/>
      <c r="R2" s="22"/>
      <c r="S2" s="22"/>
      <c r="T2" s="22"/>
      <c r="U2" s="22"/>
      <c r="V2" s="22"/>
    </row>
    <row r="3" spans="1:76" ht="20.25">
      <c r="A3" s="22"/>
      <c r="B3" s="22"/>
      <c r="C3" s="22"/>
      <c r="D3" s="22"/>
      <c r="E3" s="22"/>
      <c r="F3" s="22"/>
      <c r="G3" s="22"/>
      <c r="H3" s="22"/>
      <c r="I3" s="22"/>
      <c r="J3" s="22"/>
      <c r="K3" s="22"/>
      <c r="L3" s="22"/>
      <c r="M3" s="22"/>
      <c r="N3" s="22"/>
      <c r="O3" s="22"/>
      <c r="P3" s="22"/>
      <c r="Q3" s="22"/>
      <c r="R3" s="22"/>
      <c r="S3" s="22"/>
      <c r="T3" s="22"/>
      <c r="U3" s="22"/>
      <c r="V3" s="22"/>
    </row>
    <row r="4" spans="1:76" ht="22.5" customHeight="1">
      <c r="A4" s="170" t="s">
        <v>439</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row>
    <row r="5" spans="1:76" ht="23.45" customHeight="1">
      <c r="A5" s="171"/>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23"/>
      <c r="BH5" s="23"/>
      <c r="BI5" s="24"/>
      <c r="BJ5" s="24"/>
      <c r="BK5" s="24"/>
      <c r="BL5" s="24"/>
      <c r="BM5" s="24"/>
      <c r="BN5" s="24"/>
    </row>
    <row r="6" spans="1:76" s="10" customFormat="1" ht="40.5" customHeight="1">
      <c r="A6" s="177" t="s">
        <v>448</v>
      </c>
      <c r="B6" s="172" t="s">
        <v>210</v>
      </c>
      <c r="C6" s="172" t="s">
        <v>239</v>
      </c>
      <c r="D6" s="172" t="s">
        <v>189</v>
      </c>
      <c r="E6" s="172" t="s">
        <v>240</v>
      </c>
      <c r="F6" s="172" t="s">
        <v>438</v>
      </c>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8" t="s">
        <v>151</v>
      </c>
      <c r="BC6" s="179"/>
      <c r="BD6" s="179"/>
      <c r="BE6" s="180"/>
      <c r="BF6" s="178" t="s">
        <v>152</v>
      </c>
      <c r="BG6" s="179"/>
      <c r="BH6" s="179"/>
      <c r="BI6" s="180"/>
      <c r="BJ6" s="178" t="s">
        <v>153</v>
      </c>
      <c r="BK6" s="179"/>
      <c r="BL6" s="179"/>
      <c r="BM6" s="180"/>
      <c r="BN6" s="178" t="s">
        <v>154</v>
      </c>
      <c r="BO6" s="179"/>
      <c r="BP6" s="179"/>
      <c r="BQ6" s="180"/>
      <c r="BR6" s="177" t="s">
        <v>187</v>
      </c>
      <c r="BS6" s="7"/>
      <c r="BT6" s="7"/>
    </row>
    <row r="7" spans="1:76" s="10" customFormat="1" ht="41.25" hidden="1" customHeight="1">
      <c r="A7" s="177"/>
      <c r="B7" s="172"/>
      <c r="C7" s="172"/>
      <c r="D7" s="172"/>
      <c r="E7" s="172"/>
      <c r="F7" s="172" t="s">
        <v>165</v>
      </c>
      <c r="G7" s="172"/>
      <c r="H7" s="172"/>
      <c r="I7" s="172"/>
      <c r="J7" s="172" t="s">
        <v>166</v>
      </c>
      <c r="K7" s="172"/>
      <c r="L7" s="172"/>
      <c r="M7" s="172"/>
      <c r="N7" s="172" t="s">
        <v>167</v>
      </c>
      <c r="O7" s="172"/>
      <c r="P7" s="172"/>
      <c r="Q7" s="172"/>
      <c r="R7" s="172" t="s">
        <v>168</v>
      </c>
      <c r="S7" s="172"/>
      <c r="T7" s="172"/>
      <c r="U7" s="172"/>
      <c r="V7" s="172" t="s">
        <v>169</v>
      </c>
      <c r="W7" s="172"/>
      <c r="X7" s="172"/>
      <c r="Y7" s="172"/>
      <c r="Z7" s="172" t="s">
        <v>170</v>
      </c>
      <c r="AA7" s="172"/>
      <c r="AB7" s="172"/>
      <c r="AC7" s="172"/>
      <c r="AD7" s="172" t="s">
        <v>171</v>
      </c>
      <c r="AE7" s="172"/>
      <c r="AF7" s="172"/>
      <c r="AG7" s="172"/>
      <c r="AH7" s="172" t="s">
        <v>172</v>
      </c>
      <c r="AI7" s="172"/>
      <c r="AJ7" s="172"/>
      <c r="AK7" s="172"/>
      <c r="AL7" s="172" t="s">
        <v>173</v>
      </c>
      <c r="AM7" s="172"/>
      <c r="AN7" s="172"/>
      <c r="AO7" s="172"/>
      <c r="AP7" s="172" t="s">
        <v>174</v>
      </c>
      <c r="AQ7" s="172"/>
      <c r="AR7" s="172"/>
      <c r="AS7" s="172"/>
      <c r="AT7" s="172" t="s">
        <v>175</v>
      </c>
      <c r="AU7" s="172"/>
      <c r="AV7" s="172"/>
      <c r="AW7" s="172"/>
      <c r="AX7" s="172" t="s">
        <v>176</v>
      </c>
      <c r="AY7" s="172"/>
      <c r="AZ7" s="172"/>
      <c r="BA7" s="172"/>
      <c r="BB7" s="181"/>
      <c r="BC7" s="182"/>
      <c r="BD7" s="182"/>
      <c r="BE7" s="183"/>
      <c r="BF7" s="181"/>
      <c r="BG7" s="182"/>
      <c r="BH7" s="182"/>
      <c r="BI7" s="183"/>
      <c r="BJ7" s="181"/>
      <c r="BK7" s="182"/>
      <c r="BL7" s="182"/>
      <c r="BM7" s="183"/>
      <c r="BN7" s="181"/>
      <c r="BO7" s="182"/>
      <c r="BP7" s="182"/>
      <c r="BQ7" s="183"/>
      <c r="BR7" s="177"/>
      <c r="BS7" s="7"/>
      <c r="BT7" s="7"/>
    </row>
    <row r="8" spans="1:76" s="10" customFormat="1" ht="54.75" customHeight="1">
      <c r="A8" s="177"/>
      <c r="B8" s="172"/>
      <c r="C8" s="172"/>
      <c r="D8" s="172"/>
      <c r="E8" s="172"/>
      <c r="F8" s="172" t="s">
        <v>244</v>
      </c>
      <c r="G8" s="172" t="s">
        <v>241</v>
      </c>
      <c r="H8" s="172"/>
      <c r="I8" s="172" t="s">
        <v>242</v>
      </c>
      <c r="J8" s="172" t="s">
        <v>244</v>
      </c>
      <c r="K8" s="172" t="s">
        <v>241</v>
      </c>
      <c r="L8" s="172"/>
      <c r="M8" s="172" t="s">
        <v>242</v>
      </c>
      <c r="N8" s="172" t="s">
        <v>244</v>
      </c>
      <c r="O8" s="172" t="s">
        <v>241</v>
      </c>
      <c r="P8" s="172"/>
      <c r="Q8" s="172" t="s">
        <v>242</v>
      </c>
      <c r="R8" s="172" t="s">
        <v>244</v>
      </c>
      <c r="S8" s="172" t="s">
        <v>241</v>
      </c>
      <c r="T8" s="172"/>
      <c r="U8" s="172" t="s">
        <v>242</v>
      </c>
      <c r="V8" s="172" t="s">
        <v>244</v>
      </c>
      <c r="W8" s="172" t="s">
        <v>241</v>
      </c>
      <c r="X8" s="172"/>
      <c r="Y8" s="172" t="s">
        <v>242</v>
      </c>
      <c r="Z8" s="172" t="s">
        <v>244</v>
      </c>
      <c r="AA8" s="172" t="s">
        <v>241</v>
      </c>
      <c r="AB8" s="172"/>
      <c r="AC8" s="172" t="s">
        <v>242</v>
      </c>
      <c r="AD8" s="172" t="s">
        <v>244</v>
      </c>
      <c r="AE8" s="172" t="s">
        <v>241</v>
      </c>
      <c r="AF8" s="172"/>
      <c r="AG8" s="172" t="s">
        <v>242</v>
      </c>
      <c r="AH8" s="172" t="s">
        <v>244</v>
      </c>
      <c r="AI8" s="172" t="s">
        <v>241</v>
      </c>
      <c r="AJ8" s="172"/>
      <c r="AK8" s="172" t="s">
        <v>242</v>
      </c>
      <c r="AL8" s="172" t="s">
        <v>244</v>
      </c>
      <c r="AM8" s="172" t="s">
        <v>241</v>
      </c>
      <c r="AN8" s="172"/>
      <c r="AO8" s="172" t="s">
        <v>242</v>
      </c>
      <c r="AP8" s="172" t="s">
        <v>244</v>
      </c>
      <c r="AQ8" s="172" t="s">
        <v>241</v>
      </c>
      <c r="AR8" s="172"/>
      <c r="AS8" s="172" t="s">
        <v>242</v>
      </c>
      <c r="AT8" s="172" t="s">
        <v>244</v>
      </c>
      <c r="AU8" s="172" t="s">
        <v>241</v>
      </c>
      <c r="AV8" s="172"/>
      <c r="AW8" s="172" t="s">
        <v>242</v>
      </c>
      <c r="AX8" s="172" t="s">
        <v>244</v>
      </c>
      <c r="AY8" s="172" t="s">
        <v>241</v>
      </c>
      <c r="AZ8" s="172"/>
      <c r="BA8" s="172" t="s">
        <v>242</v>
      </c>
      <c r="BB8" s="173" t="s">
        <v>177</v>
      </c>
      <c r="BC8" s="175" t="s">
        <v>180</v>
      </c>
      <c r="BD8" s="176"/>
      <c r="BE8" s="173" t="s">
        <v>181</v>
      </c>
      <c r="BF8" s="173" t="s">
        <v>177</v>
      </c>
      <c r="BG8" s="175" t="s">
        <v>180</v>
      </c>
      <c r="BH8" s="176"/>
      <c r="BI8" s="173" t="s">
        <v>181</v>
      </c>
      <c r="BJ8" s="173" t="s">
        <v>177</v>
      </c>
      <c r="BK8" s="175" t="s">
        <v>180</v>
      </c>
      <c r="BL8" s="176"/>
      <c r="BM8" s="173" t="s">
        <v>181</v>
      </c>
      <c r="BN8" s="173" t="s">
        <v>177</v>
      </c>
      <c r="BO8" s="175" t="s">
        <v>183</v>
      </c>
      <c r="BP8" s="176"/>
      <c r="BQ8" s="173" t="s">
        <v>186</v>
      </c>
      <c r="BR8" s="177"/>
      <c r="BS8" s="7"/>
      <c r="BT8" s="7"/>
    </row>
    <row r="9" spans="1:76" s="10" customFormat="1" ht="116.25" customHeight="1">
      <c r="A9" s="177"/>
      <c r="B9" s="172"/>
      <c r="C9" s="172"/>
      <c r="D9" s="172"/>
      <c r="E9" s="172"/>
      <c r="F9" s="172"/>
      <c r="G9" s="25" t="s">
        <v>216</v>
      </c>
      <c r="H9" s="25" t="s">
        <v>243</v>
      </c>
      <c r="I9" s="172"/>
      <c r="J9" s="172"/>
      <c r="K9" s="25" t="s">
        <v>216</v>
      </c>
      <c r="L9" s="25" t="s">
        <v>243</v>
      </c>
      <c r="M9" s="172"/>
      <c r="N9" s="172"/>
      <c r="O9" s="25" t="s">
        <v>216</v>
      </c>
      <c r="P9" s="25" t="s">
        <v>243</v>
      </c>
      <c r="Q9" s="172"/>
      <c r="R9" s="172"/>
      <c r="S9" s="25" t="s">
        <v>216</v>
      </c>
      <c r="T9" s="25" t="s">
        <v>243</v>
      </c>
      <c r="U9" s="172"/>
      <c r="V9" s="172"/>
      <c r="W9" s="25" t="s">
        <v>216</v>
      </c>
      <c r="X9" s="25" t="s">
        <v>243</v>
      </c>
      <c r="Y9" s="172"/>
      <c r="Z9" s="172"/>
      <c r="AA9" s="25" t="s">
        <v>216</v>
      </c>
      <c r="AB9" s="25" t="s">
        <v>243</v>
      </c>
      <c r="AC9" s="172"/>
      <c r="AD9" s="172"/>
      <c r="AE9" s="25" t="s">
        <v>216</v>
      </c>
      <c r="AF9" s="25" t="s">
        <v>243</v>
      </c>
      <c r="AG9" s="172"/>
      <c r="AH9" s="172"/>
      <c r="AI9" s="25" t="s">
        <v>216</v>
      </c>
      <c r="AJ9" s="25" t="s">
        <v>243</v>
      </c>
      <c r="AK9" s="172"/>
      <c r="AL9" s="172"/>
      <c r="AM9" s="25" t="s">
        <v>216</v>
      </c>
      <c r="AN9" s="25" t="s">
        <v>243</v>
      </c>
      <c r="AO9" s="172"/>
      <c r="AP9" s="172"/>
      <c r="AQ9" s="25" t="s">
        <v>216</v>
      </c>
      <c r="AR9" s="25" t="s">
        <v>243</v>
      </c>
      <c r="AS9" s="172"/>
      <c r="AT9" s="172"/>
      <c r="AU9" s="25" t="s">
        <v>216</v>
      </c>
      <c r="AV9" s="25" t="s">
        <v>243</v>
      </c>
      <c r="AW9" s="172"/>
      <c r="AX9" s="172"/>
      <c r="AY9" s="25" t="s">
        <v>216</v>
      </c>
      <c r="AZ9" s="25" t="s">
        <v>243</v>
      </c>
      <c r="BA9" s="172"/>
      <c r="BB9" s="174"/>
      <c r="BC9" s="25" t="s">
        <v>178</v>
      </c>
      <c r="BD9" s="25" t="s">
        <v>179</v>
      </c>
      <c r="BE9" s="174"/>
      <c r="BF9" s="174"/>
      <c r="BG9" s="25" t="s">
        <v>178</v>
      </c>
      <c r="BH9" s="25" t="s">
        <v>179</v>
      </c>
      <c r="BI9" s="174"/>
      <c r="BJ9" s="174"/>
      <c r="BK9" s="25" t="s">
        <v>178</v>
      </c>
      <c r="BL9" s="25" t="s">
        <v>179</v>
      </c>
      <c r="BM9" s="174"/>
      <c r="BN9" s="174"/>
      <c r="BO9" s="25" t="s">
        <v>178</v>
      </c>
      <c r="BP9" s="25" t="s">
        <v>179</v>
      </c>
      <c r="BQ9" s="174"/>
      <c r="BR9" s="177"/>
      <c r="BS9" s="7"/>
      <c r="BT9" s="7"/>
    </row>
    <row r="10" spans="1:76" s="10" customFormat="1" ht="12.75">
      <c r="A10" s="26">
        <v>1</v>
      </c>
      <c r="B10" s="26">
        <v>2</v>
      </c>
      <c r="C10" s="26">
        <v>3</v>
      </c>
      <c r="D10" s="26" t="s">
        <v>188</v>
      </c>
      <c r="E10" s="26">
        <v>4</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v>32</v>
      </c>
      <c r="AG10" s="27">
        <v>33</v>
      </c>
      <c r="AH10" s="27">
        <v>34</v>
      </c>
      <c r="AI10" s="27">
        <v>35</v>
      </c>
      <c r="AJ10" s="27">
        <v>36</v>
      </c>
      <c r="AK10" s="27">
        <v>37</v>
      </c>
      <c r="AL10" s="27">
        <v>38</v>
      </c>
      <c r="AM10" s="27">
        <v>39</v>
      </c>
      <c r="AN10" s="27">
        <v>40</v>
      </c>
      <c r="AO10" s="27">
        <v>41</v>
      </c>
      <c r="AP10" s="27">
        <v>42</v>
      </c>
      <c r="AQ10" s="27">
        <v>43</v>
      </c>
      <c r="AR10" s="27">
        <v>44</v>
      </c>
      <c r="AS10" s="27">
        <v>45</v>
      </c>
      <c r="AT10" s="27">
        <v>46</v>
      </c>
      <c r="AU10" s="27">
        <v>47</v>
      </c>
      <c r="AV10" s="27">
        <v>48</v>
      </c>
      <c r="AW10" s="27">
        <v>49</v>
      </c>
      <c r="AX10" s="27">
        <v>5</v>
      </c>
      <c r="AY10" s="27">
        <v>6</v>
      </c>
      <c r="AZ10" s="27">
        <v>7</v>
      </c>
      <c r="BA10" s="27">
        <v>8</v>
      </c>
      <c r="BB10" s="27">
        <v>54</v>
      </c>
      <c r="BC10" s="27">
        <v>55</v>
      </c>
      <c r="BD10" s="27">
        <v>56</v>
      </c>
      <c r="BE10" s="27">
        <v>57</v>
      </c>
      <c r="BF10" s="27">
        <v>58</v>
      </c>
      <c r="BG10" s="27">
        <v>59</v>
      </c>
      <c r="BH10" s="27">
        <v>60</v>
      </c>
      <c r="BI10" s="27">
        <v>61</v>
      </c>
      <c r="BJ10" s="27">
        <v>62</v>
      </c>
      <c r="BK10" s="27">
        <v>63</v>
      </c>
      <c r="BL10" s="27">
        <v>64</v>
      </c>
      <c r="BM10" s="27">
        <v>65</v>
      </c>
      <c r="BN10" s="27" t="s">
        <v>428</v>
      </c>
      <c r="BO10" s="27" t="s">
        <v>429</v>
      </c>
      <c r="BP10" s="27" t="s">
        <v>182</v>
      </c>
      <c r="BQ10" s="27" t="s">
        <v>430</v>
      </c>
      <c r="BR10" s="26">
        <v>70</v>
      </c>
      <c r="BS10" s="7"/>
      <c r="BT10" s="7"/>
    </row>
    <row r="11" spans="1:76" s="7" customFormat="1" ht="25.5" customHeight="1">
      <c r="A11" s="127"/>
      <c r="B11" s="127" t="s">
        <v>245</v>
      </c>
      <c r="C11" s="128">
        <f>C21</f>
        <v>415108587.96387994</v>
      </c>
      <c r="D11" s="128">
        <f>D21</f>
        <v>0</v>
      </c>
      <c r="E11" s="128">
        <f t="shared" ref="E11" si="0">E21</f>
        <v>60318361</v>
      </c>
      <c r="F11" s="128">
        <f t="shared" ref="F11:BM11" si="1">F21</f>
        <v>4214821.517</v>
      </c>
      <c r="G11" s="128">
        <f t="shared" si="1"/>
        <v>3990969.5624959795</v>
      </c>
      <c r="H11" s="128">
        <f t="shared" si="1"/>
        <v>417091.17750402074</v>
      </c>
      <c r="I11" s="128">
        <f t="shared" si="1"/>
        <v>4376111.1899999995</v>
      </c>
      <c r="J11" s="128">
        <f t="shared" ref="J11:M11" si="2">J21</f>
        <v>7204804.4060000004</v>
      </c>
      <c r="K11" s="128">
        <f t="shared" si="2"/>
        <v>8090946.523337503</v>
      </c>
      <c r="L11" s="128">
        <f t="shared" si="2"/>
        <v>869787.45666249702</v>
      </c>
      <c r="M11" s="128">
        <f t="shared" si="2"/>
        <v>8932992.0199999996</v>
      </c>
      <c r="N11" s="128">
        <f t="shared" ref="N11:BA11" si="3">N21</f>
        <v>11243682.095999999</v>
      </c>
      <c r="O11" s="128">
        <f t="shared" si="3"/>
        <v>14747836.078786587</v>
      </c>
      <c r="P11" s="128">
        <f t="shared" si="3"/>
        <v>1423757.6212134126</v>
      </c>
      <c r="Q11" s="128">
        <f t="shared" si="3"/>
        <v>14325787.300000001</v>
      </c>
      <c r="R11" s="128">
        <f t="shared" si="3"/>
        <v>17108209.763</v>
      </c>
      <c r="S11" s="128">
        <f t="shared" si="3"/>
        <v>20067689.889752969</v>
      </c>
      <c r="T11" s="128">
        <f t="shared" si="3"/>
        <v>1894229.830247028</v>
      </c>
      <c r="U11" s="128">
        <f t="shared" si="3"/>
        <v>19267241.77</v>
      </c>
      <c r="V11" s="128">
        <f t="shared" ref="V11:Y11" si="4">V21</f>
        <v>20859949.416000005</v>
      </c>
      <c r="W11" s="128">
        <f t="shared" si="4"/>
        <v>25466569.600562986</v>
      </c>
      <c r="X11" s="128">
        <f t="shared" si="4"/>
        <v>2332923.0194370146</v>
      </c>
      <c r="Y11" s="128">
        <f t="shared" si="4"/>
        <v>24096498.029999997</v>
      </c>
      <c r="Z11" s="128">
        <f t="shared" si="3"/>
        <v>23812192.765999999</v>
      </c>
      <c r="AA11" s="128">
        <f t="shared" si="3"/>
        <v>30299273.756047796</v>
      </c>
      <c r="AB11" s="128">
        <f t="shared" si="3"/>
        <v>2762435.6839522063</v>
      </c>
      <c r="AC11" s="128">
        <f t="shared" si="3"/>
        <v>28108640.59</v>
      </c>
      <c r="AD11" s="128">
        <f t="shared" si="3"/>
        <v>35482566.673500001</v>
      </c>
      <c r="AE11" s="128">
        <f t="shared" si="3"/>
        <v>36465264.320186518</v>
      </c>
      <c r="AF11" s="128">
        <f t="shared" si="3"/>
        <v>3233915.859813483</v>
      </c>
      <c r="AG11" s="128">
        <f t="shared" si="3"/>
        <v>33265306.979999997</v>
      </c>
      <c r="AH11" s="128">
        <f t="shared" ref="AH11:AK11" si="5">AH21</f>
        <v>38342925.678499997</v>
      </c>
      <c r="AI11" s="128">
        <f t="shared" si="5"/>
        <v>42293590.240331195</v>
      </c>
      <c r="AJ11" s="128">
        <f t="shared" si="5"/>
        <v>3533732.2696688105</v>
      </c>
      <c r="AK11" s="128">
        <f t="shared" si="5"/>
        <v>37313971.640000001</v>
      </c>
      <c r="AL11" s="128">
        <f t="shared" si="3"/>
        <v>41039462.387999997</v>
      </c>
      <c r="AM11" s="128">
        <f t="shared" si="3"/>
        <v>48267206.697560966</v>
      </c>
      <c r="AN11" s="128">
        <f t="shared" si="3"/>
        <v>3837488.8124390356</v>
      </c>
      <c r="AO11" s="128">
        <f t="shared" si="3"/>
        <v>40932879.530000001</v>
      </c>
      <c r="AP11" s="128">
        <f t="shared" si="3"/>
        <v>51025553.214999996</v>
      </c>
      <c r="AQ11" s="128">
        <f t="shared" si="3"/>
        <v>54954310.074922644</v>
      </c>
      <c r="AR11" s="128">
        <f t="shared" si="3"/>
        <v>4330248.6750773583</v>
      </c>
      <c r="AS11" s="128">
        <f t="shared" si="3"/>
        <v>46071861.519999996</v>
      </c>
      <c r="AT11" s="128">
        <f t="shared" ref="AT11:AW11" si="6">AT21</f>
        <v>56456530.303499997</v>
      </c>
      <c r="AU11" s="128">
        <f t="shared" si="6"/>
        <v>62118784.401449539</v>
      </c>
      <c r="AV11" s="128">
        <f t="shared" si="6"/>
        <v>4682762.2041291185</v>
      </c>
      <c r="AW11" s="128">
        <f t="shared" si="6"/>
        <v>51063721.255578652</v>
      </c>
      <c r="AX11" s="128">
        <f t="shared" si="3"/>
        <v>60381911.331500001</v>
      </c>
      <c r="AY11" s="128">
        <f t="shared" si="3"/>
        <v>70894138.961956665</v>
      </c>
      <c r="AZ11" s="128">
        <f t="shared" si="3"/>
        <v>5321676.5880433414</v>
      </c>
      <c r="BA11" s="128">
        <f t="shared" si="3"/>
        <v>59211248.57</v>
      </c>
      <c r="BB11" s="28">
        <f t="shared" si="1"/>
        <v>60012765.829999998</v>
      </c>
      <c r="BC11" s="28">
        <f t="shared" ref="BC11:BD11" si="7">BC21</f>
        <v>48509890.954615302</v>
      </c>
      <c r="BD11" s="28">
        <f t="shared" si="7"/>
        <v>3072230.6553846896</v>
      </c>
      <c r="BE11" s="28">
        <f t="shared" si="1"/>
        <v>36821238.280000001</v>
      </c>
      <c r="BF11" s="28">
        <f t="shared" si="1"/>
        <v>39277658.820168011</v>
      </c>
      <c r="BG11" s="28">
        <f t="shared" si="1"/>
        <v>18290379</v>
      </c>
      <c r="BH11" s="28">
        <f t="shared" ref="BH11" si="8">BH21</f>
        <v>1621342</v>
      </c>
      <c r="BI11" s="28">
        <f t="shared" si="1"/>
        <v>8438714</v>
      </c>
      <c r="BJ11" s="28">
        <f t="shared" si="1"/>
        <v>9610233.4061999954</v>
      </c>
      <c r="BK11" s="28">
        <f t="shared" ref="BK11:BL11" si="9">BK21</f>
        <v>8394376.2200000007</v>
      </c>
      <c r="BL11" s="28">
        <f t="shared" si="9"/>
        <v>386313</v>
      </c>
      <c r="BM11" s="28">
        <f t="shared" si="1"/>
        <v>727305.5</v>
      </c>
      <c r="BN11" s="28" t="e">
        <f t="shared" ref="BN11:BP11" si="10">BN21</f>
        <v>#REF!</v>
      </c>
      <c r="BO11" s="28">
        <f t="shared" si="10"/>
        <v>146088785.13657197</v>
      </c>
      <c r="BP11" s="28">
        <f t="shared" si="10"/>
        <v>10401562.243428031</v>
      </c>
      <c r="BQ11" s="28">
        <f>BO11+BP11</f>
        <v>156490347.38</v>
      </c>
      <c r="BR11" s="82"/>
      <c r="BS11" s="80"/>
    </row>
    <row r="12" spans="1:76" s="7" customFormat="1" ht="34.5" customHeight="1">
      <c r="A12" s="127"/>
      <c r="B12" s="127" t="s">
        <v>246</v>
      </c>
      <c r="C12" s="128">
        <f>C87</f>
        <v>1692047971.5042481</v>
      </c>
      <c r="D12" s="128">
        <f>D87</f>
        <v>0</v>
      </c>
      <c r="E12" s="128">
        <f>E87</f>
        <v>297754597</v>
      </c>
      <c r="F12" s="128">
        <f t="shared" ref="F12:BM12" si="11">F87</f>
        <v>13153217.530000001</v>
      </c>
      <c r="G12" s="128">
        <f t="shared" si="11"/>
        <v>15483893.057483008</v>
      </c>
      <c r="H12" s="128">
        <f t="shared" si="11"/>
        <v>510314.35251699178</v>
      </c>
      <c r="I12" s="128">
        <f t="shared" si="11"/>
        <v>16096353.859999999</v>
      </c>
      <c r="J12" s="128">
        <f t="shared" ref="J12:M12" si="12">J87</f>
        <v>30581685.460999999</v>
      </c>
      <c r="K12" s="128">
        <f t="shared" si="12"/>
        <v>29607964.55624231</v>
      </c>
      <c r="L12" s="128">
        <f t="shared" si="12"/>
        <v>1093812.4137576879</v>
      </c>
      <c r="M12" s="128">
        <f t="shared" si="12"/>
        <v>30019112.09</v>
      </c>
      <c r="N12" s="128">
        <f t="shared" ref="N12:BA12" si="13">N87</f>
        <v>51591777.475074999</v>
      </c>
      <c r="O12" s="128">
        <f t="shared" si="13"/>
        <v>47835267.41948352</v>
      </c>
      <c r="P12" s="128">
        <f t="shared" si="13"/>
        <v>1818866.0823914772</v>
      </c>
      <c r="Q12" s="128">
        <f t="shared" si="13"/>
        <v>48737925.589999996</v>
      </c>
      <c r="R12" s="128">
        <f t="shared" si="13"/>
        <v>66092797.723199993</v>
      </c>
      <c r="S12" s="128">
        <f t="shared" si="13"/>
        <v>66458919.093607597</v>
      </c>
      <c r="T12" s="128">
        <f t="shared" si="13"/>
        <v>2793281.0463924082</v>
      </c>
      <c r="U12" s="128">
        <f t="shared" si="13"/>
        <v>67623236.75</v>
      </c>
      <c r="V12" s="128">
        <f t="shared" ref="V12:Y12" si="14">V87</f>
        <v>87575420.343199998</v>
      </c>
      <c r="W12" s="128">
        <f t="shared" si="14"/>
        <v>88554020.699606672</v>
      </c>
      <c r="X12" s="128">
        <f t="shared" si="14"/>
        <v>4249571.7603933401</v>
      </c>
      <c r="Y12" s="128">
        <f t="shared" si="14"/>
        <v>89999225.899999991</v>
      </c>
      <c r="Z12" s="128">
        <f t="shared" si="13"/>
        <v>103586365.15655001</v>
      </c>
      <c r="AA12" s="128">
        <f t="shared" si="13"/>
        <v>107788334.77284883</v>
      </c>
      <c r="AB12" s="128">
        <f t="shared" si="13"/>
        <v>5417468.4019011809</v>
      </c>
      <c r="AC12" s="128">
        <f t="shared" si="13"/>
        <v>107613174.67</v>
      </c>
      <c r="AD12" s="128">
        <f t="shared" si="13"/>
        <v>146793028.18279999</v>
      </c>
      <c r="AE12" s="128">
        <f t="shared" si="13"/>
        <v>156126938.16992426</v>
      </c>
      <c r="AF12" s="128">
        <f t="shared" si="13"/>
        <v>7846348.1850757664</v>
      </c>
      <c r="AG12" s="128">
        <f t="shared" si="13"/>
        <v>145437058.87</v>
      </c>
      <c r="AH12" s="128">
        <f t="shared" ref="AH12:AK12" si="15">AH87</f>
        <v>183005928.17279997</v>
      </c>
      <c r="AI12" s="128">
        <f t="shared" si="15"/>
        <v>195554031.92474967</v>
      </c>
      <c r="AJ12" s="128">
        <f t="shared" si="15"/>
        <v>10262812.110250354</v>
      </c>
      <c r="AK12" s="128">
        <f t="shared" si="15"/>
        <v>180731289.64000002</v>
      </c>
      <c r="AL12" s="128">
        <f t="shared" si="13"/>
        <v>204199444.58518201</v>
      </c>
      <c r="AM12" s="128">
        <f t="shared" si="13"/>
        <v>225407476.80218586</v>
      </c>
      <c r="AN12" s="128">
        <f t="shared" si="13"/>
        <v>12439927.215596169</v>
      </c>
      <c r="AO12" s="128">
        <f t="shared" si="13"/>
        <v>208215070.68000001</v>
      </c>
      <c r="AP12" s="128">
        <f t="shared" si="13"/>
        <v>232313338.699714</v>
      </c>
      <c r="AQ12" s="128">
        <f t="shared" si="13"/>
        <v>256078218.63512558</v>
      </c>
      <c r="AR12" s="128">
        <f t="shared" si="13"/>
        <v>14610083.937188415</v>
      </c>
      <c r="AS12" s="128">
        <f t="shared" si="13"/>
        <v>237706815.62</v>
      </c>
      <c r="AT12" s="128">
        <f t="shared" ref="AT12:AW12" si="16">AT87</f>
        <v>257025737.99187097</v>
      </c>
      <c r="AU12" s="128">
        <f t="shared" si="16"/>
        <v>287398113.42521906</v>
      </c>
      <c r="AV12" s="128">
        <f t="shared" si="16"/>
        <v>16201188.847251965</v>
      </c>
      <c r="AW12" s="128">
        <f t="shared" si="16"/>
        <v>260995720.99000001</v>
      </c>
      <c r="AX12" s="128">
        <f t="shared" si="13"/>
        <v>288768760.50912803</v>
      </c>
      <c r="AY12" s="128">
        <f t="shared" si="13"/>
        <v>316810684.3868373</v>
      </c>
      <c r="AZ12" s="128">
        <f t="shared" si="13"/>
        <v>17523897.62629069</v>
      </c>
      <c r="BA12" s="128">
        <f t="shared" si="13"/>
        <v>296844945</v>
      </c>
      <c r="BB12" s="28">
        <f t="shared" si="11"/>
        <v>325294648.41642201</v>
      </c>
      <c r="BC12" s="28">
        <f t="shared" ref="BC12:BD12" si="17">BC87</f>
        <v>316918074.70116067</v>
      </c>
      <c r="BD12" s="28">
        <f t="shared" si="17"/>
        <v>15491400.715167314</v>
      </c>
      <c r="BE12" s="28">
        <f t="shared" si="11"/>
        <v>182919114.68000001</v>
      </c>
      <c r="BF12" s="28">
        <f t="shared" si="11"/>
        <v>250527765.02324602</v>
      </c>
      <c r="BG12" s="28">
        <f t="shared" si="11"/>
        <v>200145401.12118199</v>
      </c>
      <c r="BH12" s="28">
        <f t="shared" ref="BH12" si="18">BH87</f>
        <v>8293908.4485142864</v>
      </c>
      <c r="BI12" s="28">
        <f t="shared" si="11"/>
        <v>77752176.5</v>
      </c>
      <c r="BJ12" s="28">
        <f t="shared" si="11"/>
        <v>115945699.505744</v>
      </c>
      <c r="BK12" s="28">
        <f t="shared" ref="BK12:BL12" si="19">BK87</f>
        <v>85157544.735743999</v>
      </c>
      <c r="BL12" s="28">
        <f t="shared" si="19"/>
        <v>2482806.63</v>
      </c>
      <c r="BM12" s="28">
        <f t="shared" si="11"/>
        <v>10091270</v>
      </c>
      <c r="BN12" s="28" t="e">
        <f t="shared" ref="BN12:BP12" si="20">BN87</f>
        <v>#REF!</v>
      </c>
      <c r="BO12" s="28">
        <f t="shared" si="20"/>
        <v>919031704.94492388</v>
      </c>
      <c r="BP12" s="28">
        <f t="shared" si="20"/>
        <v>43792013.419972293</v>
      </c>
      <c r="BQ12" s="28">
        <f t="shared" ref="BQ12:BQ13" si="21">BO12+BP12</f>
        <v>962823718.36489618</v>
      </c>
      <c r="BR12" s="82"/>
      <c r="BS12" s="80"/>
      <c r="BT12" s="4"/>
      <c r="BU12" s="4"/>
      <c r="BV12" s="4"/>
      <c r="BW12" s="4"/>
      <c r="BX12" s="4"/>
    </row>
    <row r="13" spans="1:76" s="7" customFormat="1" ht="21.6" customHeight="1">
      <c r="A13" s="127"/>
      <c r="B13" s="127" t="s">
        <v>247</v>
      </c>
      <c r="C13" s="128">
        <f>C180</f>
        <v>1082161120.5546119</v>
      </c>
      <c r="D13" s="128">
        <f>D180</f>
        <v>0</v>
      </c>
      <c r="E13" s="128">
        <f t="shared" ref="E13" si="22">E180</f>
        <v>176898092</v>
      </c>
      <c r="F13" s="128">
        <f t="shared" ref="F13:BM13" si="23">F180</f>
        <v>3628295.99</v>
      </c>
      <c r="G13" s="128">
        <f t="shared" si="23"/>
        <v>1819507.08</v>
      </c>
      <c r="H13" s="128">
        <f t="shared" si="23"/>
        <v>198345.34117647057</v>
      </c>
      <c r="I13" s="128">
        <f t="shared" si="23"/>
        <v>3034592.9411764704</v>
      </c>
      <c r="J13" s="128">
        <f t="shared" ref="J13:M13" si="24">J180</f>
        <v>6398722.3799999999</v>
      </c>
      <c r="K13" s="128">
        <f t="shared" si="24"/>
        <v>4658423.6399999997</v>
      </c>
      <c r="L13" s="128">
        <f t="shared" si="24"/>
        <v>345892.04411764705</v>
      </c>
      <c r="M13" s="128">
        <f t="shared" si="24"/>
        <v>7058799.2941176472</v>
      </c>
      <c r="N13" s="128">
        <f t="shared" ref="N13:BA13" si="25">N180</f>
        <v>11448869.09</v>
      </c>
      <c r="O13" s="128">
        <f t="shared" si="25"/>
        <v>10088530.84</v>
      </c>
      <c r="P13" s="128">
        <f t="shared" si="25"/>
        <v>668189.12294117652</v>
      </c>
      <c r="Q13" s="128">
        <f t="shared" si="25"/>
        <v>12565632.352941176</v>
      </c>
      <c r="R13" s="128">
        <f t="shared" si="25"/>
        <v>28145553.289999999</v>
      </c>
      <c r="S13" s="128">
        <f t="shared" si="25"/>
        <v>19926910.489999998</v>
      </c>
      <c r="T13" s="128">
        <f t="shared" si="25"/>
        <v>1071865.4429411765</v>
      </c>
      <c r="U13" s="128">
        <f t="shared" si="25"/>
        <v>21711459.352941178</v>
      </c>
      <c r="V13" s="128">
        <f t="shared" ref="V13:Y13" si="26">V180</f>
        <v>39795413.890000001</v>
      </c>
      <c r="W13" s="128">
        <f t="shared" si="26"/>
        <v>36753579</v>
      </c>
      <c r="X13" s="128">
        <f t="shared" si="26"/>
        <v>2994116.4829411767</v>
      </c>
      <c r="Y13" s="128">
        <f t="shared" si="26"/>
        <v>39690031.352941178</v>
      </c>
      <c r="Z13" s="128">
        <f t="shared" si="25"/>
        <v>52995467.000000007</v>
      </c>
      <c r="AA13" s="128">
        <f t="shared" si="25"/>
        <v>57419764.240000002</v>
      </c>
      <c r="AB13" s="128">
        <f t="shared" si="25"/>
        <v>4335553.4111764701</v>
      </c>
      <c r="AC13" s="128">
        <f t="shared" si="25"/>
        <v>62271136.941176474</v>
      </c>
      <c r="AD13" s="128">
        <f t="shared" si="25"/>
        <v>69231349.060000002</v>
      </c>
      <c r="AE13" s="128">
        <f t="shared" si="25"/>
        <v>82873044.670000002</v>
      </c>
      <c r="AF13" s="128">
        <f t="shared" si="25"/>
        <v>7027873.0058823535</v>
      </c>
      <c r="AG13" s="128">
        <f t="shared" si="25"/>
        <v>89062303.705882356</v>
      </c>
      <c r="AH13" s="128">
        <f t="shared" ref="AH13:AK13" si="27">AH180</f>
        <v>80920463.859999999</v>
      </c>
      <c r="AI13" s="128">
        <f t="shared" si="27"/>
        <v>103507369.63</v>
      </c>
      <c r="AJ13" s="128">
        <f t="shared" si="27"/>
        <v>8700229.2176470589</v>
      </c>
      <c r="AK13" s="128">
        <f t="shared" si="27"/>
        <v>111305698.11764705</v>
      </c>
      <c r="AL13" s="128">
        <f t="shared" si="25"/>
        <v>117923187.61087501</v>
      </c>
      <c r="AM13" s="128">
        <f t="shared" si="25"/>
        <v>147955102.56087503</v>
      </c>
      <c r="AN13" s="128">
        <f t="shared" si="25"/>
        <v>10001084.714705881</v>
      </c>
      <c r="AO13" s="128">
        <f t="shared" si="25"/>
        <v>135520679.7647059</v>
      </c>
      <c r="AP13" s="128">
        <f t="shared" si="25"/>
        <v>161823599.56</v>
      </c>
      <c r="AQ13" s="128">
        <f t="shared" si="25"/>
        <v>176694986.82000002</v>
      </c>
      <c r="AR13" s="128">
        <f t="shared" si="25"/>
        <v>12055365.452941176</v>
      </c>
      <c r="AS13" s="128">
        <f t="shared" si="25"/>
        <v>163934774.35294119</v>
      </c>
      <c r="AT13" s="128">
        <f t="shared" ref="AT13:AW13" si="28">AT180</f>
        <v>172368771.09999999</v>
      </c>
      <c r="AU13" s="128">
        <f t="shared" si="28"/>
        <v>191608433</v>
      </c>
      <c r="AV13" s="128">
        <f t="shared" si="28"/>
        <v>13305079.352941178</v>
      </c>
      <c r="AW13" s="128">
        <f t="shared" si="28"/>
        <v>169040931</v>
      </c>
      <c r="AX13" s="128">
        <f t="shared" si="25"/>
        <v>200398231.39087498</v>
      </c>
      <c r="AY13" s="128">
        <f t="shared" si="25"/>
        <v>215063923.92087501</v>
      </c>
      <c r="AZ13" s="128">
        <f t="shared" si="25"/>
        <v>13433472.284317048</v>
      </c>
      <c r="BA13" s="128">
        <f t="shared" si="25"/>
        <v>176898092</v>
      </c>
      <c r="BB13" s="28">
        <f t="shared" si="23"/>
        <v>223700902.724125</v>
      </c>
      <c r="BC13" s="28">
        <f t="shared" ref="BC13:BD13" si="29">BC180</f>
        <v>223731103.254125</v>
      </c>
      <c r="BD13" s="28">
        <f t="shared" si="29"/>
        <v>12241397.284325393</v>
      </c>
      <c r="BE13" s="28">
        <f t="shared" si="23"/>
        <v>176868890</v>
      </c>
      <c r="BF13" s="28">
        <f t="shared" si="23"/>
        <v>136356514.36687198</v>
      </c>
      <c r="BG13" s="28">
        <f t="shared" si="23"/>
        <v>136851206.10687199</v>
      </c>
      <c r="BH13" s="28">
        <f t="shared" ref="BH13" si="30">BH180</f>
        <v>5272773.2070588246</v>
      </c>
      <c r="BI13" s="28">
        <f t="shared" si="23"/>
        <v>91139449</v>
      </c>
      <c r="BJ13" s="28">
        <f t="shared" si="23"/>
        <v>71808868.189999998</v>
      </c>
      <c r="BK13" s="28">
        <f t="shared" ref="BK13:BL13" si="31">BK180</f>
        <v>62590648.210000001</v>
      </c>
      <c r="BL13" s="28">
        <f t="shared" si="31"/>
        <v>1282820.78</v>
      </c>
      <c r="BM13" s="28">
        <f t="shared" si="23"/>
        <v>3805390</v>
      </c>
      <c r="BN13" s="28" t="e">
        <f t="shared" ref="BN13:BP13" si="32">BN180</f>
        <v>#REF!</v>
      </c>
      <c r="BO13" s="28">
        <f t="shared" si="32"/>
        <v>638236881.49187207</v>
      </c>
      <c r="BP13" s="28">
        <f t="shared" si="32"/>
        <v>32230463.555701267</v>
      </c>
      <c r="BQ13" s="28">
        <f t="shared" si="21"/>
        <v>670467345.04757333</v>
      </c>
      <c r="BR13" s="82"/>
      <c r="BS13" s="80"/>
      <c r="BT13" s="4"/>
      <c r="BU13" s="4"/>
      <c r="BV13" s="4"/>
      <c r="BW13" s="4"/>
      <c r="BX13" s="4"/>
    </row>
    <row r="14" spans="1:76" s="1" customFormat="1" ht="14.25" customHeight="1">
      <c r="A14" s="129"/>
      <c r="B14" s="129"/>
      <c r="C14" s="129"/>
      <c r="D14" s="129"/>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83"/>
      <c r="BC14" s="83"/>
      <c r="BD14" s="83"/>
      <c r="BE14" s="83"/>
      <c r="BF14" s="83"/>
      <c r="BG14" s="83"/>
      <c r="BH14" s="83"/>
      <c r="BI14" s="83"/>
      <c r="BJ14" s="83"/>
      <c r="BK14" s="83"/>
      <c r="BL14" s="83"/>
      <c r="BM14" s="83"/>
      <c r="BN14" s="83"/>
      <c r="BO14" s="83"/>
      <c r="BP14" s="83"/>
      <c r="BQ14" s="83"/>
      <c r="BR14" s="84"/>
      <c r="BS14" s="80"/>
      <c r="BT14" s="124"/>
      <c r="BU14" s="5"/>
      <c r="BV14" s="5"/>
      <c r="BW14" s="5"/>
      <c r="BX14" s="6"/>
    </row>
    <row r="15" spans="1:76" s="7" customFormat="1" ht="39" customHeight="1">
      <c r="A15" s="127"/>
      <c r="B15" s="127" t="s">
        <v>248</v>
      </c>
      <c r="C15" s="128">
        <f>C21</f>
        <v>415108587.96387994</v>
      </c>
      <c r="D15" s="128">
        <f>D21</f>
        <v>0</v>
      </c>
      <c r="E15" s="128">
        <f t="shared" ref="E15" si="33">E21</f>
        <v>60318361</v>
      </c>
      <c r="F15" s="128">
        <f t="shared" ref="F15:BM15" si="34">F21</f>
        <v>4214821.517</v>
      </c>
      <c r="G15" s="128">
        <f t="shared" si="34"/>
        <v>3990969.5624959795</v>
      </c>
      <c r="H15" s="128">
        <f t="shared" si="34"/>
        <v>417091.17750402074</v>
      </c>
      <c r="I15" s="128">
        <f t="shared" si="34"/>
        <v>4376111.1899999995</v>
      </c>
      <c r="J15" s="128">
        <f t="shared" ref="J15:M15" si="35">J21</f>
        <v>7204804.4060000004</v>
      </c>
      <c r="K15" s="128">
        <f t="shared" si="35"/>
        <v>8090946.523337503</v>
      </c>
      <c r="L15" s="128">
        <f t="shared" si="35"/>
        <v>869787.45666249702</v>
      </c>
      <c r="M15" s="128">
        <f t="shared" si="35"/>
        <v>8932992.0199999996</v>
      </c>
      <c r="N15" s="128">
        <f t="shared" ref="N15:BA15" si="36">N21</f>
        <v>11243682.095999999</v>
      </c>
      <c r="O15" s="128">
        <f t="shared" si="36"/>
        <v>14747836.078786587</v>
      </c>
      <c r="P15" s="128">
        <f t="shared" si="36"/>
        <v>1423757.6212134126</v>
      </c>
      <c r="Q15" s="128">
        <f t="shared" si="36"/>
        <v>14325787.300000001</v>
      </c>
      <c r="R15" s="128">
        <f t="shared" si="36"/>
        <v>17108209.763</v>
      </c>
      <c r="S15" s="128">
        <f t="shared" si="36"/>
        <v>20067689.889752969</v>
      </c>
      <c r="T15" s="128">
        <f t="shared" si="36"/>
        <v>1894229.830247028</v>
      </c>
      <c r="U15" s="128">
        <f t="shared" si="36"/>
        <v>19267241.77</v>
      </c>
      <c r="V15" s="128">
        <f t="shared" ref="V15:Y15" si="37">V21</f>
        <v>20859949.416000005</v>
      </c>
      <c r="W15" s="128">
        <f t="shared" si="37"/>
        <v>25466569.600562986</v>
      </c>
      <c r="X15" s="128">
        <f t="shared" si="37"/>
        <v>2332923.0194370146</v>
      </c>
      <c r="Y15" s="128">
        <f t="shared" si="37"/>
        <v>24096498.029999997</v>
      </c>
      <c r="Z15" s="128">
        <f t="shared" si="36"/>
        <v>23812192.765999999</v>
      </c>
      <c r="AA15" s="128">
        <f t="shared" si="36"/>
        <v>30299273.756047796</v>
      </c>
      <c r="AB15" s="128">
        <f t="shared" si="36"/>
        <v>2762435.6839522063</v>
      </c>
      <c r="AC15" s="128">
        <f t="shared" si="36"/>
        <v>28108640.59</v>
      </c>
      <c r="AD15" s="128">
        <f t="shared" si="36"/>
        <v>35482566.673500001</v>
      </c>
      <c r="AE15" s="128">
        <f t="shared" si="36"/>
        <v>36465264.320186518</v>
      </c>
      <c r="AF15" s="128">
        <f t="shared" si="36"/>
        <v>3233915.859813483</v>
      </c>
      <c r="AG15" s="128">
        <f t="shared" si="36"/>
        <v>33265306.979999997</v>
      </c>
      <c r="AH15" s="128">
        <f t="shared" ref="AH15:AK15" si="38">AH21</f>
        <v>38342925.678499997</v>
      </c>
      <c r="AI15" s="128">
        <f t="shared" si="38"/>
        <v>42293590.240331195</v>
      </c>
      <c r="AJ15" s="128">
        <f t="shared" si="38"/>
        <v>3533732.2696688105</v>
      </c>
      <c r="AK15" s="128">
        <f t="shared" si="38"/>
        <v>37313971.640000001</v>
      </c>
      <c r="AL15" s="128">
        <f t="shared" si="36"/>
        <v>41039462.387999997</v>
      </c>
      <c r="AM15" s="128">
        <f t="shared" si="36"/>
        <v>48267206.697560966</v>
      </c>
      <c r="AN15" s="128">
        <f t="shared" si="36"/>
        <v>3837488.8124390356</v>
      </c>
      <c r="AO15" s="128">
        <f t="shared" si="36"/>
        <v>40932879.530000001</v>
      </c>
      <c r="AP15" s="128">
        <f t="shared" si="36"/>
        <v>51025553.214999996</v>
      </c>
      <c r="AQ15" s="128">
        <f t="shared" si="36"/>
        <v>54954310.074922644</v>
      </c>
      <c r="AR15" s="128">
        <f t="shared" si="36"/>
        <v>4330248.6750773583</v>
      </c>
      <c r="AS15" s="128">
        <f t="shared" si="36"/>
        <v>46071861.519999996</v>
      </c>
      <c r="AT15" s="128">
        <f t="shared" ref="AT15:AW15" si="39">AT21</f>
        <v>56456530.303499997</v>
      </c>
      <c r="AU15" s="128">
        <f t="shared" si="39"/>
        <v>62118784.401449539</v>
      </c>
      <c r="AV15" s="128">
        <f t="shared" si="39"/>
        <v>4682762.2041291185</v>
      </c>
      <c r="AW15" s="128">
        <f t="shared" si="39"/>
        <v>51063721.255578652</v>
      </c>
      <c r="AX15" s="128">
        <f t="shared" si="36"/>
        <v>60381911.331500001</v>
      </c>
      <c r="AY15" s="128">
        <f t="shared" si="36"/>
        <v>70894138.961956665</v>
      </c>
      <c r="AZ15" s="128">
        <f t="shared" si="36"/>
        <v>5321676.5880433414</v>
      </c>
      <c r="BA15" s="128">
        <f t="shared" si="36"/>
        <v>59211248.57</v>
      </c>
      <c r="BB15" s="28">
        <f t="shared" si="34"/>
        <v>60012765.829999998</v>
      </c>
      <c r="BC15" s="28">
        <f t="shared" ref="BC15:BD15" si="40">BC21</f>
        <v>48509890.954615302</v>
      </c>
      <c r="BD15" s="28">
        <f t="shared" si="40"/>
        <v>3072230.6553846896</v>
      </c>
      <c r="BE15" s="28">
        <f t="shared" si="34"/>
        <v>36821238.280000001</v>
      </c>
      <c r="BF15" s="28">
        <f t="shared" si="34"/>
        <v>39277658.820168011</v>
      </c>
      <c r="BG15" s="28">
        <f t="shared" si="34"/>
        <v>18290379</v>
      </c>
      <c r="BH15" s="28">
        <f t="shared" ref="BH15" si="41">BH21</f>
        <v>1621342</v>
      </c>
      <c r="BI15" s="28">
        <f t="shared" si="34"/>
        <v>8438714</v>
      </c>
      <c r="BJ15" s="28">
        <f t="shared" si="34"/>
        <v>9610233.4061999954</v>
      </c>
      <c r="BK15" s="28">
        <f t="shared" ref="BK15:BL15" si="42">BK21</f>
        <v>8394376.2200000007</v>
      </c>
      <c r="BL15" s="28">
        <f t="shared" si="42"/>
        <v>386313</v>
      </c>
      <c r="BM15" s="28">
        <f t="shared" si="34"/>
        <v>727305.5</v>
      </c>
      <c r="BN15" s="28" t="e">
        <f t="shared" ref="BN15:BP15" si="43">BN21</f>
        <v>#REF!</v>
      </c>
      <c r="BO15" s="28">
        <f t="shared" si="43"/>
        <v>146088785.13657197</v>
      </c>
      <c r="BP15" s="28">
        <f t="shared" si="43"/>
        <v>10401562.243428031</v>
      </c>
      <c r="BQ15" s="28">
        <f t="shared" ref="BQ15:BQ17" si="44">BO15+BP15</f>
        <v>156490347.38</v>
      </c>
      <c r="BR15" s="82"/>
      <c r="BS15" s="80"/>
      <c r="BT15" s="4"/>
      <c r="BU15" s="4"/>
      <c r="BV15" s="4"/>
      <c r="BW15" s="4"/>
      <c r="BX15" s="4"/>
    </row>
    <row r="16" spans="1:76" s="7" customFormat="1" ht="36" customHeight="1">
      <c r="A16" s="127"/>
      <c r="B16" s="127" t="s">
        <v>249</v>
      </c>
      <c r="C16" s="128">
        <f>C89+C119+C135</f>
        <v>517777456.39939201</v>
      </c>
      <c r="D16" s="128">
        <f>D89+D119+D135</f>
        <v>0</v>
      </c>
      <c r="E16" s="128">
        <f t="shared" ref="E16" si="45">E89+E119+E135</f>
        <v>59634331</v>
      </c>
      <c r="F16" s="128">
        <f t="shared" ref="F16:BM16" si="46">F89+F119+F135</f>
        <v>5305126.2</v>
      </c>
      <c r="G16" s="128">
        <f t="shared" si="46"/>
        <v>5461100.25</v>
      </c>
      <c r="H16" s="128">
        <f t="shared" si="46"/>
        <v>119153.8</v>
      </c>
      <c r="I16" s="128">
        <f t="shared" si="46"/>
        <v>5424280</v>
      </c>
      <c r="J16" s="128">
        <f t="shared" ref="J16:M16" si="47">J89+J119+J135</f>
        <v>8651039.9100000001</v>
      </c>
      <c r="K16" s="128">
        <f t="shared" si="47"/>
        <v>9733573.9900000002</v>
      </c>
      <c r="L16" s="128">
        <f t="shared" si="47"/>
        <v>184376.40000000002</v>
      </c>
      <c r="M16" s="128">
        <f t="shared" si="47"/>
        <v>9562713</v>
      </c>
      <c r="N16" s="128">
        <f t="shared" ref="N16:BA16" si="48">N89+N119+N135</f>
        <v>11901194.011875</v>
      </c>
      <c r="O16" s="128">
        <f t="shared" si="48"/>
        <v>12945322.861874999</v>
      </c>
      <c r="P16" s="128">
        <f t="shared" si="48"/>
        <v>330215.44999999995</v>
      </c>
      <c r="Q16" s="128">
        <f t="shared" si="48"/>
        <v>12379228</v>
      </c>
      <c r="R16" s="128">
        <f t="shared" si="48"/>
        <v>14723757.57</v>
      </c>
      <c r="S16" s="128">
        <f t="shared" si="48"/>
        <v>15934846.27</v>
      </c>
      <c r="T16" s="128">
        <f t="shared" si="48"/>
        <v>460027.15</v>
      </c>
      <c r="U16" s="128">
        <f t="shared" si="48"/>
        <v>15616808</v>
      </c>
      <c r="V16" s="128">
        <f t="shared" ref="V16:Y16" si="49">V89+V119+V135</f>
        <v>18336419.579999998</v>
      </c>
      <c r="W16" s="128">
        <f t="shared" si="49"/>
        <v>19599515.559999999</v>
      </c>
      <c r="X16" s="128">
        <f t="shared" si="49"/>
        <v>554890</v>
      </c>
      <c r="Y16" s="128">
        <f t="shared" si="49"/>
        <v>19062557</v>
      </c>
      <c r="Z16" s="128">
        <f t="shared" si="48"/>
        <v>22056166.514750004</v>
      </c>
      <c r="AA16" s="128">
        <f t="shared" si="48"/>
        <v>23348973.994750001</v>
      </c>
      <c r="AB16" s="128">
        <f t="shared" si="48"/>
        <v>671004.80000000005</v>
      </c>
      <c r="AC16" s="128">
        <f t="shared" si="48"/>
        <v>21370931</v>
      </c>
      <c r="AD16" s="128">
        <f t="shared" si="48"/>
        <v>44732363.071000002</v>
      </c>
      <c r="AE16" s="128">
        <f t="shared" si="48"/>
        <v>43768989.571000002</v>
      </c>
      <c r="AF16" s="128">
        <f t="shared" si="48"/>
        <v>788119.35000000009</v>
      </c>
      <c r="AG16" s="128">
        <f t="shared" si="48"/>
        <v>30371939</v>
      </c>
      <c r="AH16" s="128">
        <f t="shared" ref="AH16:AK16" si="50">AH89+AH119+AH135</f>
        <v>54033160.621000007</v>
      </c>
      <c r="AI16" s="128">
        <f t="shared" si="50"/>
        <v>53027579.871000007</v>
      </c>
      <c r="AJ16" s="128">
        <f t="shared" si="50"/>
        <v>863995.45</v>
      </c>
      <c r="AK16" s="128">
        <f t="shared" si="50"/>
        <v>35250089</v>
      </c>
      <c r="AL16" s="128">
        <f t="shared" si="48"/>
        <v>59753202.217625</v>
      </c>
      <c r="AM16" s="128">
        <f t="shared" si="48"/>
        <v>58544932.737624995</v>
      </c>
      <c r="AN16" s="128">
        <f t="shared" si="48"/>
        <v>981110.3</v>
      </c>
      <c r="AO16" s="128">
        <f t="shared" si="48"/>
        <v>39042366</v>
      </c>
      <c r="AP16" s="128">
        <f t="shared" si="48"/>
        <v>65241683.221999995</v>
      </c>
      <c r="AQ16" s="128">
        <f t="shared" si="48"/>
        <v>64474743.732000001</v>
      </c>
      <c r="AR16" s="128">
        <f t="shared" si="48"/>
        <v>1099631.1500000001</v>
      </c>
      <c r="AS16" s="128">
        <f t="shared" si="48"/>
        <v>45598000</v>
      </c>
      <c r="AT16" s="128">
        <f t="shared" ref="AT16:AW16" si="51">AT89+AT119+AT135</f>
        <v>69105553.881999999</v>
      </c>
      <c r="AU16" s="128">
        <f t="shared" si="51"/>
        <v>69555819.931999996</v>
      </c>
      <c r="AV16" s="128">
        <f t="shared" si="51"/>
        <v>1176911.55</v>
      </c>
      <c r="AW16" s="128">
        <f t="shared" si="51"/>
        <v>51198553</v>
      </c>
      <c r="AX16" s="128">
        <f t="shared" si="48"/>
        <v>77795895.890499994</v>
      </c>
      <c r="AY16" s="128">
        <f t="shared" si="48"/>
        <v>76579501.160500005</v>
      </c>
      <c r="AZ16" s="128">
        <f t="shared" si="48"/>
        <v>1295416.95</v>
      </c>
      <c r="BA16" s="128">
        <f t="shared" si="48"/>
        <v>58877771</v>
      </c>
      <c r="BB16" s="28">
        <f t="shared" si="46"/>
        <v>92143368.6505</v>
      </c>
      <c r="BC16" s="28">
        <f t="shared" ref="BC16:BD16" si="52">BC89+BC119+BC135</f>
        <v>92814607.670499995</v>
      </c>
      <c r="BD16" s="28">
        <f t="shared" si="52"/>
        <v>729814</v>
      </c>
      <c r="BE16" s="28">
        <f t="shared" si="46"/>
        <v>48048923</v>
      </c>
      <c r="BF16" s="28">
        <f t="shared" si="46"/>
        <v>63136960.500500001</v>
      </c>
      <c r="BG16" s="28">
        <f t="shared" si="46"/>
        <v>63387240.380499996</v>
      </c>
      <c r="BH16" s="28">
        <f t="shared" ref="BH16" si="53">BH89+BH119+BH135</f>
        <v>610692</v>
      </c>
      <c r="BI16" s="28">
        <f t="shared" si="46"/>
        <v>14237551</v>
      </c>
      <c r="BJ16" s="28">
        <f t="shared" si="46"/>
        <v>50097164.925743997</v>
      </c>
      <c r="BK16" s="28">
        <f t="shared" ref="BK16:BL16" si="54">BK89+BK119+BK135</f>
        <v>46473724.585744001</v>
      </c>
      <c r="BL16" s="28">
        <f t="shared" si="54"/>
        <v>0</v>
      </c>
      <c r="BM16" s="28">
        <f t="shared" si="46"/>
        <v>4673380</v>
      </c>
      <c r="BN16" s="28" t="e">
        <f t="shared" ref="BN16:BP16" si="55">BN89+BN119+BN135</f>
        <v>#REF!</v>
      </c>
      <c r="BO16" s="28">
        <f t="shared" si="55"/>
        <v>279255073.79724401</v>
      </c>
      <c r="BP16" s="28">
        <f t="shared" si="55"/>
        <v>2635922.9500000002</v>
      </c>
      <c r="BQ16" s="28">
        <f t="shared" si="44"/>
        <v>281890996.747244</v>
      </c>
      <c r="BR16" s="82"/>
      <c r="BS16" s="80"/>
      <c r="BT16" s="4"/>
      <c r="BU16" s="4"/>
      <c r="BV16" s="4"/>
      <c r="BW16" s="4"/>
      <c r="BX16" s="4"/>
    </row>
    <row r="17" spans="1:76" s="7" customFormat="1" ht="39" customHeight="1">
      <c r="A17" s="127"/>
      <c r="B17" s="127" t="s">
        <v>250</v>
      </c>
      <c r="C17" s="128">
        <f>C111+C124+C137+C139+C149+C163+C169+C173+C180</f>
        <v>2256431635.6594677</v>
      </c>
      <c r="D17" s="128">
        <f>D111+D124+D137+D139+D149+D163+D169+D173+D180</f>
        <v>0</v>
      </c>
      <c r="E17" s="128">
        <f t="shared" ref="E17" si="56">E111+E124+E137+E139+E149+E163+E169+E173+E180</f>
        <v>415018358</v>
      </c>
      <c r="F17" s="128">
        <f t="shared" ref="F17:BM17" si="57">F111+F124+F137+F139+F149+F163+F169+F173+F180</f>
        <v>11476387.32</v>
      </c>
      <c r="G17" s="128">
        <f t="shared" si="57"/>
        <v>11842299.887483008</v>
      </c>
      <c r="H17" s="128">
        <f t="shared" si="57"/>
        <v>589505.89369346236</v>
      </c>
      <c r="I17" s="128">
        <f t="shared" si="57"/>
        <v>13706666.80117647</v>
      </c>
      <c r="J17" s="128">
        <f t="shared" ref="J17:M17" si="58">J111+J124+J137+J139+J149+J163+J169+J173+J180</f>
        <v>28329367.930999998</v>
      </c>
      <c r="K17" s="128">
        <f t="shared" si="58"/>
        <v>24532814.206242308</v>
      </c>
      <c r="L17" s="128">
        <f t="shared" si="58"/>
        <v>1255328.057875335</v>
      </c>
      <c r="M17" s="128">
        <f t="shared" si="58"/>
        <v>27515198.384117648</v>
      </c>
      <c r="N17" s="128">
        <f t="shared" ref="N17:BA17" si="59">N111+N124+N137+N139+N149+N163+N169+N173+N180</f>
        <v>51139452.553200006</v>
      </c>
      <c r="O17" s="128">
        <f t="shared" si="59"/>
        <v>44978475.397608519</v>
      </c>
      <c r="P17" s="128">
        <f t="shared" si="59"/>
        <v>2156839.7553326539</v>
      </c>
      <c r="Q17" s="128">
        <f t="shared" si="59"/>
        <v>48924329.942941174</v>
      </c>
      <c r="R17" s="128">
        <f t="shared" si="59"/>
        <v>79514593.443199992</v>
      </c>
      <c r="S17" s="128">
        <f t="shared" si="59"/>
        <v>70450983.313607588</v>
      </c>
      <c r="T17" s="128">
        <f t="shared" si="59"/>
        <v>3405119.3393335855</v>
      </c>
      <c r="U17" s="128">
        <f t="shared" si="59"/>
        <v>73717888.10294117</v>
      </c>
      <c r="V17" s="128">
        <f t="shared" ref="V17:Y17" si="60">V111+V124+V137+V139+V149+V163+V169+V173+V180</f>
        <v>109034414.65319999</v>
      </c>
      <c r="W17" s="128">
        <f t="shared" si="60"/>
        <v>105708084.13960665</v>
      </c>
      <c r="X17" s="128">
        <f t="shared" si="60"/>
        <v>6688798.2433345169</v>
      </c>
      <c r="Y17" s="128">
        <f t="shared" si="60"/>
        <v>110626700.25294116</v>
      </c>
      <c r="Z17" s="128">
        <f t="shared" si="59"/>
        <v>134525665.64180002</v>
      </c>
      <c r="AA17" s="128">
        <f t="shared" si="59"/>
        <v>141859125.0180988</v>
      </c>
      <c r="AB17" s="128">
        <f t="shared" si="59"/>
        <v>9082017.0130776502</v>
      </c>
      <c r="AC17" s="128">
        <f t="shared" si="59"/>
        <v>148513380.61117649</v>
      </c>
      <c r="AD17" s="128">
        <f t="shared" si="59"/>
        <v>171292014.17180002</v>
      </c>
      <c r="AE17" s="128">
        <f t="shared" si="59"/>
        <v>195230993.26892424</v>
      </c>
      <c r="AF17" s="128">
        <f t="shared" si="59"/>
        <v>14086101.84095812</v>
      </c>
      <c r="AG17" s="128">
        <f t="shared" si="59"/>
        <v>204127423.57588238</v>
      </c>
      <c r="AH17" s="128">
        <f t="shared" ref="AH17:AK17" si="61">AH111+AH124+AH137+AH139+AH149+AH163+AH169+AH173+AH180</f>
        <v>209893231.4118</v>
      </c>
      <c r="AI17" s="128">
        <f t="shared" si="61"/>
        <v>246033821.68374965</v>
      </c>
      <c r="AJ17" s="128">
        <f t="shared" si="61"/>
        <v>18099045.877897412</v>
      </c>
      <c r="AK17" s="128">
        <f t="shared" si="61"/>
        <v>256786898.75764707</v>
      </c>
      <c r="AL17" s="128">
        <f t="shared" si="59"/>
        <v>262369429.97843203</v>
      </c>
      <c r="AM17" s="128">
        <f t="shared" si="59"/>
        <v>314817646.62543589</v>
      </c>
      <c r="AN17" s="128">
        <f t="shared" si="59"/>
        <v>21459901.630302049</v>
      </c>
      <c r="AO17" s="128">
        <f t="shared" si="59"/>
        <v>304693384.4447059</v>
      </c>
      <c r="AP17" s="128">
        <f t="shared" si="59"/>
        <v>328895255.037714</v>
      </c>
      <c r="AQ17" s="128">
        <f t="shared" si="59"/>
        <v>368298461.7231257</v>
      </c>
      <c r="AR17" s="128">
        <f t="shared" si="59"/>
        <v>25565818.24012959</v>
      </c>
      <c r="AS17" s="128">
        <f t="shared" si="59"/>
        <v>356043589.97294116</v>
      </c>
      <c r="AT17" s="128">
        <f t="shared" ref="AT17:AW17" si="62">AT111+AT124+AT137+AT139+AT149+AT163+AT169+AT173+AT180</f>
        <v>360288955.20987099</v>
      </c>
      <c r="AU17" s="128">
        <f t="shared" si="62"/>
        <v>409450726.49321902</v>
      </c>
      <c r="AV17" s="128">
        <f t="shared" si="62"/>
        <v>28329356.65019314</v>
      </c>
      <c r="AW17" s="128">
        <f t="shared" si="62"/>
        <v>378838098.99000001</v>
      </c>
      <c r="AX17" s="128">
        <f t="shared" si="59"/>
        <v>411371096.00950301</v>
      </c>
      <c r="AY17" s="128">
        <f t="shared" si="59"/>
        <v>455295107.14721239</v>
      </c>
      <c r="AZ17" s="128">
        <f t="shared" si="59"/>
        <v>29661952.960607737</v>
      </c>
      <c r="BA17" s="128">
        <f t="shared" si="59"/>
        <v>414865266</v>
      </c>
      <c r="BB17" s="28">
        <f t="shared" si="57"/>
        <v>456852182.49004698</v>
      </c>
      <c r="BC17" s="28">
        <f t="shared" ref="BC17:BD17" si="63">BC111+BC124+BC137+BC139+BC149+BC163+BC169+BC173+BC180</f>
        <v>447834570.28478575</v>
      </c>
      <c r="BD17" s="28">
        <f t="shared" si="63"/>
        <v>27002983.999492705</v>
      </c>
      <c r="BE17" s="28">
        <f t="shared" si="57"/>
        <v>311739081.68000001</v>
      </c>
      <c r="BF17" s="28">
        <f t="shared" si="57"/>
        <v>323747318.88961798</v>
      </c>
      <c r="BG17" s="28">
        <f t="shared" si="57"/>
        <v>273609366.84755397</v>
      </c>
      <c r="BH17" s="28">
        <f t="shared" ref="BH17" si="64">BH111+BH124+BH137+BH139+BH149+BH163+BH169+BH173+BH180</f>
        <v>12955989.655573111</v>
      </c>
      <c r="BI17" s="28">
        <f t="shared" si="57"/>
        <v>154654074.5</v>
      </c>
      <c r="BJ17" s="28">
        <f t="shared" si="57"/>
        <v>137657402.76999998</v>
      </c>
      <c r="BK17" s="28">
        <f t="shared" ref="BK17:BL17" si="65">BK111+BK124+BK137+BK139+BK149+BK163+BK169+BK173+BK180</f>
        <v>101274468.36</v>
      </c>
      <c r="BL17" s="28">
        <f t="shared" si="65"/>
        <v>3765627.41</v>
      </c>
      <c r="BM17" s="28">
        <f t="shared" si="57"/>
        <v>9223280</v>
      </c>
      <c r="BN17" s="28" t="e">
        <f t="shared" ref="BN17:BP17" si="66">BN111+BN124+BN137+BN139+BN149+BN163+BN169+BN173+BN180</f>
        <v>#REF!</v>
      </c>
      <c r="BO17" s="28">
        <f t="shared" si="66"/>
        <v>1278013512.6395521</v>
      </c>
      <c r="BP17" s="28">
        <f t="shared" si="66"/>
        <v>73386554.025673553</v>
      </c>
      <c r="BQ17" s="28">
        <f t="shared" si="44"/>
        <v>1351400066.6652257</v>
      </c>
      <c r="BR17" s="82"/>
      <c r="BS17" s="80"/>
      <c r="BT17" s="4"/>
      <c r="BU17" s="4"/>
      <c r="BV17" s="4"/>
      <c r="BW17" s="4"/>
      <c r="BX17" s="4"/>
    </row>
    <row r="18" spans="1:76" s="1" customFormat="1" ht="5.25" customHeight="1">
      <c r="A18" s="129"/>
      <c r="B18" s="129"/>
      <c r="C18" s="129"/>
      <c r="D18" s="129"/>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83"/>
      <c r="BC18" s="83"/>
      <c r="BD18" s="83"/>
      <c r="BE18" s="83"/>
      <c r="BF18" s="83"/>
      <c r="BG18" s="83"/>
      <c r="BH18" s="83"/>
      <c r="BI18" s="83"/>
      <c r="BJ18" s="83"/>
      <c r="BK18" s="83"/>
      <c r="BL18" s="83"/>
      <c r="BM18" s="83"/>
      <c r="BN18" s="83"/>
      <c r="BO18" s="83"/>
      <c r="BP18" s="83"/>
      <c r="BQ18" s="83"/>
      <c r="BR18" s="84"/>
      <c r="BS18" s="80"/>
      <c r="BT18" s="124"/>
      <c r="BU18" s="5"/>
      <c r="BV18" s="5"/>
      <c r="BW18" s="5"/>
      <c r="BX18" s="6"/>
    </row>
    <row r="19" spans="1:76" s="15" customFormat="1" ht="33.75" customHeight="1">
      <c r="A19" s="131"/>
      <c r="B19" s="131" t="s">
        <v>251</v>
      </c>
      <c r="C19" s="132">
        <f>C11+C12+C13</f>
        <v>3189317680.0227404</v>
      </c>
      <c r="D19" s="132">
        <f>D11+D12+D13</f>
        <v>0</v>
      </c>
      <c r="E19" s="132">
        <f t="shared" ref="E19" si="67">E11+E12+E13</f>
        <v>534971050</v>
      </c>
      <c r="F19" s="132">
        <f t="shared" ref="F19:BM19" si="68">F11+F12+F13</f>
        <v>20996335.037</v>
      </c>
      <c r="G19" s="132">
        <f t="shared" si="68"/>
        <v>21294369.699978985</v>
      </c>
      <c r="H19" s="132">
        <f t="shared" si="68"/>
        <v>1125750.871197483</v>
      </c>
      <c r="I19" s="132">
        <f t="shared" si="68"/>
        <v>23507057.991176467</v>
      </c>
      <c r="J19" s="132">
        <f t="shared" ref="J19:M19" si="69">J11+J12+J13</f>
        <v>44185212.247000001</v>
      </c>
      <c r="K19" s="132">
        <f t="shared" si="69"/>
        <v>42357334.719579816</v>
      </c>
      <c r="L19" s="132">
        <f t="shared" si="69"/>
        <v>2309491.9145378321</v>
      </c>
      <c r="M19" s="132">
        <f t="shared" si="69"/>
        <v>46010903.404117644</v>
      </c>
      <c r="N19" s="132">
        <f t="shared" ref="N19:BA19" si="70">N11+N12+N13</f>
        <v>74284328.661074996</v>
      </c>
      <c r="O19" s="132">
        <f t="shared" si="70"/>
        <v>72671634.338270113</v>
      </c>
      <c r="P19" s="132">
        <f t="shared" si="70"/>
        <v>3910812.8265460664</v>
      </c>
      <c r="Q19" s="132">
        <f t="shared" si="70"/>
        <v>75629345.242941171</v>
      </c>
      <c r="R19" s="132">
        <f t="shared" si="70"/>
        <v>111346560.7762</v>
      </c>
      <c r="S19" s="132">
        <f t="shared" si="70"/>
        <v>106453519.47336055</v>
      </c>
      <c r="T19" s="132">
        <f t="shared" si="70"/>
        <v>5759376.3195806127</v>
      </c>
      <c r="U19" s="132">
        <f t="shared" si="70"/>
        <v>108601937.87294117</v>
      </c>
      <c r="V19" s="132">
        <f t="shared" ref="V19:Y19" si="71">V11+V12+V13</f>
        <v>148230783.64920002</v>
      </c>
      <c r="W19" s="132">
        <f t="shared" si="71"/>
        <v>150774169.30016965</v>
      </c>
      <c r="X19" s="132">
        <f t="shared" si="71"/>
        <v>9576611.2627715319</v>
      </c>
      <c r="Y19" s="132">
        <f t="shared" si="71"/>
        <v>153785755.28294116</v>
      </c>
      <c r="Z19" s="132">
        <f t="shared" si="70"/>
        <v>180394024.92255002</v>
      </c>
      <c r="AA19" s="132">
        <f t="shared" si="70"/>
        <v>195507372.76889664</v>
      </c>
      <c r="AB19" s="132">
        <f t="shared" si="70"/>
        <v>12515457.497029856</v>
      </c>
      <c r="AC19" s="132">
        <f t="shared" si="70"/>
        <v>197992952.20117646</v>
      </c>
      <c r="AD19" s="132">
        <f t="shared" si="70"/>
        <v>251506943.9163</v>
      </c>
      <c r="AE19" s="132">
        <f t="shared" si="70"/>
        <v>275465247.16011077</v>
      </c>
      <c r="AF19" s="132">
        <f t="shared" si="70"/>
        <v>18108137.050771601</v>
      </c>
      <c r="AG19" s="132">
        <f t="shared" si="70"/>
        <v>267764669.55588233</v>
      </c>
      <c r="AH19" s="132">
        <f t="shared" ref="AH19:AK19" si="72">AH11+AH12+AH13</f>
        <v>302269317.71129996</v>
      </c>
      <c r="AI19" s="132">
        <f t="shared" si="72"/>
        <v>341354991.7950809</v>
      </c>
      <c r="AJ19" s="132">
        <f t="shared" si="72"/>
        <v>22496773.597566225</v>
      </c>
      <c r="AK19" s="132">
        <f t="shared" si="72"/>
        <v>329350959.39764708</v>
      </c>
      <c r="AL19" s="132">
        <f t="shared" si="70"/>
        <v>363162094.58405703</v>
      </c>
      <c r="AM19" s="132">
        <f t="shared" si="70"/>
        <v>421629786.06062186</v>
      </c>
      <c r="AN19" s="132">
        <f t="shared" si="70"/>
        <v>26278500.742741086</v>
      </c>
      <c r="AO19" s="132">
        <f t="shared" si="70"/>
        <v>384668629.97470593</v>
      </c>
      <c r="AP19" s="132">
        <f t="shared" si="70"/>
        <v>445162491.47471398</v>
      </c>
      <c r="AQ19" s="132">
        <f t="shared" si="70"/>
        <v>487727515.53004825</v>
      </c>
      <c r="AR19" s="132">
        <f t="shared" si="70"/>
        <v>30995698.065206949</v>
      </c>
      <c r="AS19" s="132">
        <f t="shared" si="70"/>
        <v>447713451.49294114</v>
      </c>
      <c r="AT19" s="132">
        <f t="shared" ref="AT19:AW19" si="73">AT11+AT12+AT13</f>
        <v>485851039.39537096</v>
      </c>
      <c r="AU19" s="132">
        <f t="shared" si="73"/>
        <v>541125330.82666862</v>
      </c>
      <c r="AV19" s="132">
        <f t="shared" si="73"/>
        <v>34189030.404322259</v>
      </c>
      <c r="AW19" s="132">
        <f t="shared" si="73"/>
        <v>481100373.24557865</v>
      </c>
      <c r="AX19" s="132">
        <f t="shared" si="70"/>
        <v>549548903.23150301</v>
      </c>
      <c r="AY19" s="132">
        <f t="shared" si="70"/>
        <v>602768747.26966906</v>
      </c>
      <c r="AZ19" s="132">
        <f t="shared" si="70"/>
        <v>36279046.49865108</v>
      </c>
      <c r="BA19" s="132">
        <f t="shared" si="70"/>
        <v>532954285.56999999</v>
      </c>
      <c r="BB19" s="85">
        <f t="shared" si="68"/>
        <v>609008316.97054696</v>
      </c>
      <c r="BC19" s="85">
        <f t="shared" ref="BC19:BD19" si="74">BC11+BC12+BC13</f>
        <v>589159068.9099009</v>
      </c>
      <c r="BD19" s="85">
        <f t="shared" si="74"/>
        <v>30805028.654877394</v>
      </c>
      <c r="BE19" s="85">
        <f t="shared" si="68"/>
        <v>396609242.96000004</v>
      </c>
      <c r="BF19" s="85">
        <f t="shared" si="68"/>
        <v>426161938.21028602</v>
      </c>
      <c r="BG19" s="85">
        <f t="shared" si="68"/>
        <v>355286986.22805399</v>
      </c>
      <c r="BH19" s="85">
        <f t="shared" ref="BH19" si="75">BH11+BH12+BH13</f>
        <v>15188023.655573111</v>
      </c>
      <c r="BI19" s="85">
        <f t="shared" si="68"/>
        <v>177330339.5</v>
      </c>
      <c r="BJ19" s="85">
        <f t="shared" si="68"/>
        <v>197364801.10194397</v>
      </c>
      <c r="BK19" s="85">
        <f t="shared" ref="BK19:BL19" si="76">BK11+BK12+BK13</f>
        <v>156142569.16574401</v>
      </c>
      <c r="BL19" s="85">
        <f t="shared" si="76"/>
        <v>4151940.41</v>
      </c>
      <c r="BM19" s="85">
        <f t="shared" si="68"/>
        <v>14623965.5</v>
      </c>
      <c r="BN19" s="85" t="e">
        <f t="shared" ref="BN19:BP19" si="77">BN11+BN12+BN13</f>
        <v>#REF!</v>
      </c>
      <c r="BO19" s="85">
        <f t="shared" si="77"/>
        <v>1703357371.5733681</v>
      </c>
      <c r="BP19" s="85">
        <f t="shared" si="77"/>
        <v>86424039.219101593</v>
      </c>
      <c r="BQ19" s="85">
        <f>BO19+BP19</f>
        <v>1789781410.7924697</v>
      </c>
      <c r="BR19" s="86"/>
      <c r="BS19" s="80"/>
      <c r="BT19" s="4"/>
      <c r="BU19" s="14"/>
      <c r="BV19" s="14"/>
      <c r="BW19" s="14"/>
      <c r="BX19" s="14"/>
    </row>
    <row r="20" spans="1:76" s="1" customFormat="1" ht="5.25" customHeight="1">
      <c r="A20" s="129"/>
      <c r="B20" s="129"/>
      <c r="C20" s="129"/>
      <c r="D20" s="129"/>
      <c r="E20" s="129"/>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83"/>
      <c r="BC20" s="83"/>
      <c r="BD20" s="83"/>
      <c r="BE20" s="83"/>
      <c r="BF20" s="83"/>
      <c r="BG20" s="83"/>
      <c r="BH20" s="83"/>
      <c r="BI20" s="83"/>
      <c r="BJ20" s="83"/>
      <c r="BK20" s="83"/>
      <c r="BL20" s="83"/>
      <c r="BM20" s="83"/>
      <c r="BN20" s="83"/>
      <c r="BO20" s="83"/>
      <c r="BP20" s="83"/>
      <c r="BQ20" s="83"/>
      <c r="BR20" s="84"/>
      <c r="BS20" s="80"/>
      <c r="BT20" s="124"/>
      <c r="BU20" s="5"/>
      <c r="BV20" s="5"/>
      <c r="BW20" s="5"/>
      <c r="BX20" s="6"/>
    </row>
    <row r="21" spans="1:76" s="7" customFormat="1" ht="22.9" customHeight="1">
      <c r="A21" s="133"/>
      <c r="B21" s="133" t="s">
        <v>252</v>
      </c>
      <c r="C21" s="134">
        <f>C22+C46+C62+C68+C77+C81+C84</f>
        <v>415108587.96387994</v>
      </c>
      <c r="D21" s="134">
        <f>D22+D46+D62+D68+D77+D81+D84</f>
        <v>0</v>
      </c>
      <c r="E21" s="134">
        <f t="shared" ref="E21:BM21" si="78">E22+E46+E62+E68+E77+E81+E84</f>
        <v>60318361</v>
      </c>
      <c r="F21" s="134">
        <f t="shared" si="78"/>
        <v>4214821.517</v>
      </c>
      <c r="G21" s="134">
        <f t="shared" si="78"/>
        <v>3990969.5624959795</v>
      </c>
      <c r="H21" s="134">
        <f t="shared" si="78"/>
        <v>417091.17750402074</v>
      </c>
      <c r="I21" s="134">
        <f t="shared" si="78"/>
        <v>4376111.1899999995</v>
      </c>
      <c r="J21" s="134">
        <f t="shared" ref="J21:M21" si="79">J22+J46+J62+J68+J77+J81+J84</f>
        <v>7204804.4060000004</v>
      </c>
      <c r="K21" s="134">
        <f t="shared" si="79"/>
        <v>8090946.523337503</v>
      </c>
      <c r="L21" s="134">
        <f t="shared" si="79"/>
        <v>869787.45666249702</v>
      </c>
      <c r="M21" s="134">
        <f t="shared" si="79"/>
        <v>8932992.0199999996</v>
      </c>
      <c r="N21" s="134">
        <f t="shared" ref="N21:BA21" si="80">N22+N46+N62+N68+N77+N81+N84</f>
        <v>11243682.095999999</v>
      </c>
      <c r="O21" s="134">
        <f t="shared" si="80"/>
        <v>14747836.078786587</v>
      </c>
      <c r="P21" s="134">
        <f t="shared" si="80"/>
        <v>1423757.6212134126</v>
      </c>
      <c r="Q21" s="134">
        <f t="shared" si="80"/>
        <v>14325787.300000001</v>
      </c>
      <c r="R21" s="134">
        <f t="shared" si="80"/>
        <v>17108209.763</v>
      </c>
      <c r="S21" s="134">
        <f t="shared" si="80"/>
        <v>20067689.889752969</v>
      </c>
      <c r="T21" s="134">
        <f t="shared" si="80"/>
        <v>1894229.830247028</v>
      </c>
      <c r="U21" s="134">
        <f t="shared" si="80"/>
        <v>19267241.77</v>
      </c>
      <c r="V21" s="134">
        <f t="shared" ref="V21:Y21" si="81">V22+V46+V62+V68+V77+V81+V84</f>
        <v>20859949.416000005</v>
      </c>
      <c r="W21" s="134">
        <f t="shared" si="81"/>
        <v>25466569.600562986</v>
      </c>
      <c r="X21" s="134">
        <f t="shared" si="81"/>
        <v>2332923.0194370146</v>
      </c>
      <c r="Y21" s="134">
        <f t="shared" si="81"/>
        <v>24096498.029999997</v>
      </c>
      <c r="Z21" s="134">
        <f t="shared" si="80"/>
        <v>23812192.765999999</v>
      </c>
      <c r="AA21" s="134">
        <f t="shared" si="80"/>
        <v>30299273.756047796</v>
      </c>
      <c r="AB21" s="134">
        <f t="shared" si="80"/>
        <v>2762435.6839522063</v>
      </c>
      <c r="AC21" s="134">
        <f t="shared" si="80"/>
        <v>28108640.59</v>
      </c>
      <c r="AD21" s="134">
        <f t="shared" si="80"/>
        <v>35482566.673500001</v>
      </c>
      <c r="AE21" s="134">
        <f t="shared" si="80"/>
        <v>36465264.320186518</v>
      </c>
      <c r="AF21" s="134">
        <f t="shared" si="80"/>
        <v>3233915.859813483</v>
      </c>
      <c r="AG21" s="134">
        <f t="shared" si="80"/>
        <v>33265306.979999997</v>
      </c>
      <c r="AH21" s="134">
        <f t="shared" ref="AH21:AK21" si="82">AH22+AH46+AH62+AH68+AH77+AH81+AH84</f>
        <v>38342925.678499997</v>
      </c>
      <c r="AI21" s="134">
        <f t="shared" si="82"/>
        <v>42293590.240331195</v>
      </c>
      <c r="AJ21" s="134">
        <f t="shared" si="82"/>
        <v>3533732.2696688105</v>
      </c>
      <c r="AK21" s="134">
        <f t="shared" si="82"/>
        <v>37313971.640000001</v>
      </c>
      <c r="AL21" s="134">
        <f t="shared" si="80"/>
        <v>41039462.387999997</v>
      </c>
      <c r="AM21" s="134">
        <f t="shared" si="80"/>
        <v>48267206.697560966</v>
      </c>
      <c r="AN21" s="134">
        <f t="shared" si="80"/>
        <v>3837488.8124390356</v>
      </c>
      <c r="AO21" s="134">
        <f t="shared" si="80"/>
        <v>40932879.530000001</v>
      </c>
      <c r="AP21" s="134">
        <f t="shared" si="80"/>
        <v>51025553.214999996</v>
      </c>
      <c r="AQ21" s="134">
        <f t="shared" si="80"/>
        <v>54954310.074922644</v>
      </c>
      <c r="AR21" s="134">
        <f t="shared" si="80"/>
        <v>4330248.6750773583</v>
      </c>
      <c r="AS21" s="134">
        <f t="shared" si="80"/>
        <v>46071861.519999996</v>
      </c>
      <c r="AT21" s="134">
        <f t="shared" ref="AT21:AW21" si="83">AT22+AT46+AT62+AT68+AT77+AT81+AT84</f>
        <v>56456530.303499997</v>
      </c>
      <c r="AU21" s="134">
        <f t="shared" si="83"/>
        <v>62118784.401449539</v>
      </c>
      <c r="AV21" s="134">
        <f t="shared" si="83"/>
        <v>4682762.2041291185</v>
      </c>
      <c r="AW21" s="134">
        <f t="shared" si="83"/>
        <v>51063721.255578652</v>
      </c>
      <c r="AX21" s="134">
        <f t="shared" si="80"/>
        <v>60381911.331500001</v>
      </c>
      <c r="AY21" s="134">
        <f t="shared" si="80"/>
        <v>70894138.961956665</v>
      </c>
      <c r="AZ21" s="134">
        <f t="shared" si="80"/>
        <v>5321676.5880433414</v>
      </c>
      <c r="BA21" s="134">
        <f t="shared" si="80"/>
        <v>59211248.57</v>
      </c>
      <c r="BB21" s="87">
        <f t="shared" si="78"/>
        <v>60012765.829999998</v>
      </c>
      <c r="BC21" s="87">
        <f t="shared" ref="BC21:BD21" si="84">BC22+BC46+BC62+BC68+BC77+BC81+BC84</f>
        <v>48509890.954615302</v>
      </c>
      <c r="BD21" s="87">
        <f t="shared" si="84"/>
        <v>3072230.6553846896</v>
      </c>
      <c r="BE21" s="87">
        <f t="shared" si="78"/>
        <v>36821238.280000001</v>
      </c>
      <c r="BF21" s="87">
        <f t="shared" si="78"/>
        <v>39277658.820168011</v>
      </c>
      <c r="BG21" s="87">
        <f t="shared" si="78"/>
        <v>18290379</v>
      </c>
      <c r="BH21" s="87">
        <f t="shared" ref="BH21" si="85">BH22+BH46+BH62+BH68+BH77+BH81+BH84</f>
        <v>1621342</v>
      </c>
      <c r="BI21" s="87">
        <f t="shared" si="78"/>
        <v>8438714</v>
      </c>
      <c r="BJ21" s="87">
        <f t="shared" si="78"/>
        <v>9610233.4061999954</v>
      </c>
      <c r="BK21" s="87">
        <f t="shared" ref="BK21:BL21" si="86">BK22+BK46+BK62+BK68+BK77+BK81+BK84</f>
        <v>8394376.2200000007</v>
      </c>
      <c r="BL21" s="87">
        <f t="shared" si="86"/>
        <v>386313</v>
      </c>
      <c r="BM21" s="87">
        <f t="shared" si="78"/>
        <v>727305.5</v>
      </c>
      <c r="BN21" s="87" t="e">
        <f>#REF!+AX21+BB21+BF21+BJ21</f>
        <v>#REF!</v>
      </c>
      <c r="BO21" s="87">
        <f>AY21+BC21+BG21+BK21</f>
        <v>146088785.13657197</v>
      </c>
      <c r="BP21" s="87">
        <f>AZ21+BD21+BH21+BL21</f>
        <v>10401562.243428031</v>
      </c>
      <c r="BQ21" s="87">
        <f t="shared" ref="BQ21:BQ84" si="87">BO21+BP21</f>
        <v>156490347.38</v>
      </c>
      <c r="BR21" s="82"/>
      <c r="BS21" s="80"/>
      <c r="BT21" s="4"/>
      <c r="BU21" s="4"/>
      <c r="BV21" s="4"/>
      <c r="BW21" s="4"/>
      <c r="BX21" s="4"/>
    </row>
    <row r="22" spans="1:76" s="2" customFormat="1" ht="31.5" customHeight="1">
      <c r="A22" s="135"/>
      <c r="B22" s="136" t="s">
        <v>253</v>
      </c>
      <c r="C22" s="137">
        <f>SUM(C23:C45)</f>
        <v>166495472.365944</v>
      </c>
      <c r="D22" s="137">
        <f>SUM(D23:D45)</f>
        <v>0</v>
      </c>
      <c r="E22" s="137">
        <f>SUM(E23:E45)</f>
        <v>29330402</v>
      </c>
      <c r="F22" s="137">
        <f t="shared" ref="F22:BM22" si="88">SUM(F23:F45)</f>
        <v>452952</v>
      </c>
      <c r="G22" s="137">
        <f t="shared" si="88"/>
        <v>1967742</v>
      </c>
      <c r="H22" s="137">
        <f t="shared" si="88"/>
        <v>304238</v>
      </c>
      <c r="I22" s="137">
        <f t="shared" si="88"/>
        <v>2271980</v>
      </c>
      <c r="J22" s="137">
        <f t="shared" si="88"/>
        <v>1800931.17</v>
      </c>
      <c r="K22" s="137">
        <f t="shared" si="88"/>
        <v>4105263</v>
      </c>
      <c r="L22" s="137">
        <f t="shared" si="88"/>
        <v>626218.77</v>
      </c>
      <c r="M22" s="137">
        <f t="shared" si="88"/>
        <v>4731481.7699999996</v>
      </c>
      <c r="N22" s="137">
        <f t="shared" si="88"/>
        <v>4263889.17</v>
      </c>
      <c r="O22" s="137">
        <f t="shared" si="88"/>
        <v>7383766</v>
      </c>
      <c r="P22" s="137">
        <f t="shared" si="88"/>
        <v>1022620.77</v>
      </c>
      <c r="Q22" s="137">
        <f t="shared" si="88"/>
        <v>8246349.7699999996</v>
      </c>
      <c r="R22" s="137">
        <f t="shared" si="88"/>
        <v>6548902.1699999999</v>
      </c>
      <c r="S22" s="137">
        <f t="shared" si="88"/>
        <v>9839115</v>
      </c>
      <c r="T22" s="137">
        <f t="shared" si="88"/>
        <v>1350196.77</v>
      </c>
      <c r="U22" s="137">
        <f t="shared" si="88"/>
        <v>11189311.77</v>
      </c>
      <c r="V22" s="137">
        <f t="shared" si="88"/>
        <v>8408107.1700000018</v>
      </c>
      <c r="W22" s="137">
        <f t="shared" si="88"/>
        <v>11917038</v>
      </c>
      <c r="X22" s="137">
        <f t="shared" si="88"/>
        <v>1656084.77</v>
      </c>
      <c r="Y22" s="137">
        <f t="shared" si="88"/>
        <v>13573122.77</v>
      </c>
      <c r="Z22" s="137">
        <f t="shared" si="88"/>
        <v>9731196.1699999999</v>
      </c>
      <c r="AA22" s="137">
        <f t="shared" si="88"/>
        <v>13590232</v>
      </c>
      <c r="AB22" s="137">
        <f t="shared" si="88"/>
        <v>1917724.77</v>
      </c>
      <c r="AC22" s="137">
        <f t="shared" si="88"/>
        <v>15507956.77</v>
      </c>
      <c r="AD22" s="137">
        <f t="shared" si="88"/>
        <v>13761170.17</v>
      </c>
      <c r="AE22" s="137">
        <f t="shared" si="88"/>
        <v>16240687</v>
      </c>
      <c r="AF22" s="137">
        <f t="shared" si="88"/>
        <v>2246238.77</v>
      </c>
      <c r="AG22" s="137">
        <f t="shared" si="88"/>
        <v>18486925.77</v>
      </c>
      <c r="AH22" s="137">
        <f t="shared" si="88"/>
        <v>14334843.17</v>
      </c>
      <c r="AI22" s="137">
        <f t="shared" si="88"/>
        <v>17340010</v>
      </c>
      <c r="AJ22" s="137">
        <f t="shared" si="88"/>
        <v>2381106.77</v>
      </c>
      <c r="AK22" s="137">
        <f t="shared" si="88"/>
        <v>19721116.77</v>
      </c>
      <c r="AL22" s="137">
        <f t="shared" si="88"/>
        <v>14848538.17</v>
      </c>
      <c r="AM22" s="137">
        <f t="shared" si="88"/>
        <v>18529983</v>
      </c>
      <c r="AN22" s="137">
        <f t="shared" si="88"/>
        <v>2520996.77</v>
      </c>
      <c r="AO22" s="137">
        <f t="shared" si="88"/>
        <v>21050979.77</v>
      </c>
      <c r="AP22" s="137">
        <f t="shared" si="88"/>
        <v>16038033.17</v>
      </c>
      <c r="AQ22" s="137">
        <f t="shared" si="88"/>
        <v>20865743</v>
      </c>
      <c r="AR22" s="137">
        <f t="shared" si="88"/>
        <v>2861002.77</v>
      </c>
      <c r="AS22" s="137">
        <f t="shared" si="88"/>
        <v>23726745.77</v>
      </c>
      <c r="AT22" s="137">
        <f t="shared" si="88"/>
        <v>19517232.170000002</v>
      </c>
      <c r="AU22" s="137">
        <f t="shared" si="88"/>
        <v>22961769</v>
      </c>
      <c r="AV22" s="137">
        <f t="shared" si="88"/>
        <v>3152773.77</v>
      </c>
      <c r="AW22" s="137">
        <f t="shared" si="88"/>
        <v>26114542.77</v>
      </c>
      <c r="AX22" s="137">
        <f t="shared" si="88"/>
        <v>21274884.170000002</v>
      </c>
      <c r="AY22" s="137">
        <f t="shared" si="88"/>
        <v>25730210</v>
      </c>
      <c r="AZ22" s="137">
        <f t="shared" si="88"/>
        <v>3600191.77</v>
      </c>
      <c r="BA22" s="137">
        <f t="shared" si="88"/>
        <v>29330401.77</v>
      </c>
      <c r="BB22" s="88">
        <f t="shared" si="88"/>
        <v>23498679</v>
      </c>
      <c r="BC22" s="88">
        <f t="shared" si="88"/>
        <v>15924403</v>
      </c>
      <c r="BD22" s="88">
        <f t="shared" si="88"/>
        <v>1831249</v>
      </c>
      <c r="BE22" s="88">
        <f t="shared" si="88"/>
        <v>16198530</v>
      </c>
      <c r="BF22" s="88">
        <f t="shared" si="88"/>
        <v>17403003</v>
      </c>
      <c r="BG22" s="88">
        <f t="shared" si="88"/>
        <v>8380978</v>
      </c>
      <c r="BH22" s="88">
        <f t="shared" si="88"/>
        <v>1069629</v>
      </c>
      <c r="BI22" s="88">
        <f t="shared" si="88"/>
        <v>3331269</v>
      </c>
      <c r="BJ22" s="88">
        <f t="shared" si="88"/>
        <v>4079394</v>
      </c>
      <c r="BK22" s="88">
        <f t="shared" si="88"/>
        <v>3046510</v>
      </c>
      <c r="BL22" s="88">
        <f t="shared" si="88"/>
        <v>386313</v>
      </c>
      <c r="BM22" s="88">
        <f t="shared" si="88"/>
        <v>0</v>
      </c>
      <c r="BN22" s="88" t="e">
        <f>#REF!+AX22+BB22+BF22+BJ22</f>
        <v>#REF!</v>
      </c>
      <c r="BO22" s="88">
        <f>AY22+BC22+BG22+BK22</f>
        <v>53082101</v>
      </c>
      <c r="BP22" s="88">
        <f>AZ22+BD22+BH22+BL22</f>
        <v>6887382.7699999996</v>
      </c>
      <c r="BQ22" s="88">
        <f t="shared" si="87"/>
        <v>59969483.769999996</v>
      </c>
      <c r="BR22" s="89"/>
      <c r="BS22" s="80"/>
      <c r="BT22" s="125"/>
      <c r="BU22" s="77"/>
      <c r="BV22" s="77"/>
      <c r="BW22" s="77"/>
      <c r="BX22" s="77"/>
    </row>
    <row r="23" spans="1:76" s="13" customFormat="1" ht="38.25" hidden="1" customHeight="1" outlineLevel="1">
      <c r="A23" s="138" t="s">
        <v>46</v>
      </c>
      <c r="B23" s="138" t="s">
        <v>254</v>
      </c>
      <c r="C23" s="139">
        <v>0</v>
      </c>
      <c r="D23" s="139"/>
      <c r="E23" s="139">
        <v>0</v>
      </c>
      <c r="F23" s="140"/>
      <c r="G23" s="140"/>
      <c r="H23" s="140"/>
      <c r="I23" s="140">
        <f>G23+H23</f>
        <v>0</v>
      </c>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91"/>
      <c r="BC23" s="91"/>
      <c r="BD23" s="91"/>
      <c r="BE23" s="91"/>
      <c r="BF23" s="91"/>
      <c r="BG23" s="91"/>
      <c r="BH23" s="91"/>
      <c r="BI23" s="91"/>
      <c r="BJ23" s="91"/>
      <c r="BK23" s="91"/>
      <c r="BL23" s="91"/>
      <c r="BM23" s="91"/>
      <c r="BN23" s="91" t="e">
        <f>#REF!+AX23+BB23+BF23+BJ23</f>
        <v>#REF!</v>
      </c>
      <c r="BO23" s="91">
        <f t="shared" ref="BO23:BP45" si="89">AY23+BC23+BG23+BK23</f>
        <v>0</v>
      </c>
      <c r="BP23" s="91">
        <f t="shared" si="89"/>
        <v>0</v>
      </c>
      <c r="BQ23" s="91">
        <f t="shared" si="87"/>
        <v>0</v>
      </c>
      <c r="BR23" s="92"/>
      <c r="BS23" s="80"/>
      <c r="BT23" s="76"/>
      <c r="BU23" s="76"/>
      <c r="BV23" s="76"/>
      <c r="BW23" s="76"/>
      <c r="BX23" s="76"/>
    </row>
    <row r="24" spans="1:76" s="13" customFormat="1" ht="41.25" customHeight="1" collapsed="1">
      <c r="A24" s="138" t="s">
        <v>47</v>
      </c>
      <c r="B24" s="138" t="s">
        <v>255</v>
      </c>
      <c r="C24" s="139">
        <v>38625269.394827999</v>
      </c>
      <c r="D24" s="139"/>
      <c r="E24" s="139">
        <v>7824161</v>
      </c>
      <c r="F24" s="140">
        <v>360559</v>
      </c>
      <c r="G24" s="140">
        <v>360559</v>
      </c>
      <c r="H24" s="140">
        <v>63628</v>
      </c>
      <c r="I24" s="140">
        <f t="shared" ref="I24:I45" si="90">G24+H24</f>
        <v>424187</v>
      </c>
      <c r="J24" s="140">
        <f>F24+555135</f>
        <v>915694</v>
      </c>
      <c r="K24" s="140">
        <f>G24+555135</f>
        <v>915694</v>
      </c>
      <c r="L24" s="140">
        <f>H24+97965</f>
        <v>161593</v>
      </c>
      <c r="M24" s="140">
        <f>K24+L24</f>
        <v>1077287</v>
      </c>
      <c r="N24" s="140">
        <f>J24+616565</f>
        <v>1532259</v>
      </c>
      <c r="O24" s="140">
        <f>K24+616565</f>
        <v>1532259</v>
      </c>
      <c r="P24" s="140">
        <f>L24+108805</f>
        <v>270398</v>
      </c>
      <c r="Q24" s="140">
        <f>O24+P24</f>
        <v>1802657</v>
      </c>
      <c r="R24" s="140">
        <f>N24+451350</f>
        <v>1983609</v>
      </c>
      <c r="S24" s="140">
        <f>O24+451350</f>
        <v>1983609</v>
      </c>
      <c r="T24" s="140">
        <f>P24+79650</f>
        <v>350048</v>
      </c>
      <c r="U24" s="140">
        <f>S24+T24</f>
        <v>2333657</v>
      </c>
      <c r="V24" s="140">
        <f>R24+552118</f>
        <v>2535727</v>
      </c>
      <c r="W24" s="140">
        <f>S24+552118</f>
        <v>2535727</v>
      </c>
      <c r="X24" s="140">
        <f>T24+97433</f>
        <v>447481</v>
      </c>
      <c r="Y24" s="140">
        <f>W24+X24</f>
        <v>2983208</v>
      </c>
      <c r="Z24" s="140">
        <f>V24+464472</f>
        <v>3000199</v>
      </c>
      <c r="AA24" s="140">
        <f>W24+464472</f>
        <v>3000199</v>
      </c>
      <c r="AB24" s="140">
        <f>X24+81966</f>
        <v>529447</v>
      </c>
      <c r="AC24" s="140">
        <f>AA24+AB24</f>
        <v>3529646</v>
      </c>
      <c r="AD24" s="140">
        <f>Z24+440011</f>
        <v>3440210</v>
      </c>
      <c r="AE24" s="140">
        <f>AA24+440011</f>
        <v>3440210</v>
      </c>
      <c r="AF24" s="140">
        <f>AB24+66002</f>
        <v>595449</v>
      </c>
      <c r="AG24" s="140">
        <f>AE24+AF24</f>
        <v>4035659</v>
      </c>
      <c r="AH24" s="140">
        <f>AD24+352977</f>
        <v>3793187</v>
      </c>
      <c r="AI24" s="140">
        <f>AE24+352977</f>
        <v>3793187</v>
      </c>
      <c r="AJ24" s="140">
        <f>AF24+52947</f>
        <v>648396</v>
      </c>
      <c r="AK24" s="140">
        <f>AI24+AJ24</f>
        <v>4441583</v>
      </c>
      <c r="AL24" s="140">
        <f>AH24+323971</f>
        <v>4117158</v>
      </c>
      <c r="AM24" s="140">
        <f>AI24+323971</f>
        <v>4117158</v>
      </c>
      <c r="AN24" s="140">
        <f>AJ24+48596</f>
        <v>696992</v>
      </c>
      <c r="AO24" s="140">
        <f>AM24+AN24</f>
        <v>4814150</v>
      </c>
      <c r="AP24" s="140">
        <f>AL24+856920</f>
        <v>4974078</v>
      </c>
      <c r="AQ24" s="140">
        <f>AM24+856920</f>
        <v>4974078</v>
      </c>
      <c r="AR24" s="140">
        <f>AN24+151221</f>
        <v>848213</v>
      </c>
      <c r="AS24" s="140">
        <f>AQ24+AR24</f>
        <v>5822291</v>
      </c>
      <c r="AT24" s="140">
        <f>AP24+658500</f>
        <v>5632578</v>
      </c>
      <c r="AU24" s="140">
        <f>AQ24+658500</f>
        <v>5632578</v>
      </c>
      <c r="AV24" s="140">
        <f>AR24+116205</f>
        <v>964418</v>
      </c>
      <c r="AW24" s="140">
        <f>AU24+AV24</f>
        <v>6596996</v>
      </c>
      <c r="AX24" s="140">
        <f>AT24+1017959</f>
        <v>6650537</v>
      </c>
      <c r="AY24" s="140">
        <f>AU24+1017959</f>
        <v>6650537</v>
      </c>
      <c r="AZ24" s="140">
        <f>AV24+209206</f>
        <v>1173624</v>
      </c>
      <c r="BA24" s="140">
        <f>AY24+AZ24</f>
        <v>7824161</v>
      </c>
      <c r="BB24" s="91">
        <v>2560000</v>
      </c>
      <c r="BC24" s="91">
        <v>2560000</v>
      </c>
      <c r="BD24" s="91">
        <v>451764</v>
      </c>
      <c r="BE24" s="91">
        <v>2715844</v>
      </c>
      <c r="BF24" s="91">
        <v>3940500</v>
      </c>
      <c r="BG24" s="91">
        <v>3940500</v>
      </c>
      <c r="BH24" s="91">
        <v>695382</v>
      </c>
      <c r="BI24" s="91">
        <v>0</v>
      </c>
      <c r="BJ24" s="91">
        <v>1702752</v>
      </c>
      <c r="BK24" s="91">
        <v>1702752</v>
      </c>
      <c r="BL24" s="91">
        <v>300485</v>
      </c>
      <c r="BM24" s="91">
        <v>0</v>
      </c>
      <c r="BN24" s="91" t="e">
        <f>#REF!+AX24+BB24+BF24+BJ24</f>
        <v>#REF!</v>
      </c>
      <c r="BO24" s="91">
        <f t="shared" si="89"/>
        <v>14853789</v>
      </c>
      <c r="BP24" s="91">
        <f t="shared" si="89"/>
        <v>2621255</v>
      </c>
      <c r="BQ24" s="91">
        <f t="shared" si="87"/>
        <v>17475044</v>
      </c>
      <c r="BR24" s="92"/>
      <c r="BS24" s="80"/>
    </row>
    <row r="25" spans="1:76" s="13" customFormat="1" ht="48.75" customHeight="1" outlineLevel="1">
      <c r="A25" s="138" t="s">
        <v>137</v>
      </c>
      <c r="B25" s="138" t="s">
        <v>256</v>
      </c>
      <c r="C25" s="139">
        <v>0</v>
      </c>
      <c r="D25" s="139"/>
      <c r="E25" s="139">
        <v>0</v>
      </c>
      <c r="F25" s="140"/>
      <c r="G25" s="140"/>
      <c r="H25" s="140"/>
      <c r="I25" s="140">
        <f t="shared" si="90"/>
        <v>0</v>
      </c>
      <c r="J25" s="140"/>
      <c r="K25" s="140"/>
      <c r="L25" s="140"/>
      <c r="M25" s="140">
        <f>K25+L25</f>
        <v>0</v>
      </c>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91"/>
      <c r="BC25" s="91"/>
      <c r="BD25" s="91"/>
      <c r="BE25" s="91">
        <v>0</v>
      </c>
      <c r="BF25" s="91"/>
      <c r="BG25" s="91"/>
      <c r="BH25" s="91"/>
      <c r="BI25" s="91"/>
      <c r="BJ25" s="91"/>
      <c r="BK25" s="91"/>
      <c r="BL25" s="91"/>
      <c r="BM25" s="91"/>
      <c r="BN25" s="91" t="e">
        <f>#REF!+AX25+BB25+BF25+BJ25</f>
        <v>#REF!</v>
      </c>
      <c r="BO25" s="91">
        <f t="shared" si="89"/>
        <v>0</v>
      </c>
      <c r="BP25" s="91">
        <f t="shared" si="89"/>
        <v>0</v>
      </c>
      <c r="BQ25" s="91">
        <f t="shared" si="87"/>
        <v>0</v>
      </c>
      <c r="BR25" s="92"/>
      <c r="BS25" s="80"/>
    </row>
    <row r="26" spans="1:76" s="13" customFormat="1" ht="55.5" customHeight="1">
      <c r="A26" s="138" t="s">
        <v>48</v>
      </c>
      <c r="B26" s="138" t="s">
        <v>257</v>
      </c>
      <c r="C26" s="139">
        <v>7804604</v>
      </c>
      <c r="D26" s="139"/>
      <c r="E26" s="139">
        <v>198277</v>
      </c>
      <c r="F26" s="140">
        <v>0</v>
      </c>
      <c r="G26" s="140">
        <v>0</v>
      </c>
      <c r="H26" s="140">
        <v>0</v>
      </c>
      <c r="I26" s="140">
        <f t="shared" si="90"/>
        <v>0</v>
      </c>
      <c r="J26" s="140">
        <v>17698.73</v>
      </c>
      <c r="K26" s="140">
        <v>17699</v>
      </c>
      <c r="L26" s="140">
        <v>2069.77</v>
      </c>
      <c r="M26" s="140">
        <f>K26+L26</f>
        <v>19768.77</v>
      </c>
      <c r="N26" s="140">
        <f>J26+12599</f>
        <v>30297.73</v>
      </c>
      <c r="O26" s="140">
        <f>K26+12599</f>
        <v>30298</v>
      </c>
      <c r="P26" s="140">
        <f>L26+1473</f>
        <v>3542.77</v>
      </c>
      <c r="Q26" s="140">
        <f>O26+P26</f>
        <v>33840.769999999997</v>
      </c>
      <c r="R26" s="140">
        <f>N26+14202</f>
        <v>44499.729999999996</v>
      </c>
      <c r="S26" s="140">
        <f>O26+14202</f>
        <v>44500</v>
      </c>
      <c r="T26" s="140">
        <f>P26+1661</f>
        <v>5203.7700000000004</v>
      </c>
      <c r="U26" s="140">
        <f>S26+T26</f>
        <v>49703.770000000004</v>
      </c>
      <c r="V26" s="140">
        <f>R26</f>
        <v>44499.729999999996</v>
      </c>
      <c r="W26" s="140">
        <f>S26</f>
        <v>44500</v>
      </c>
      <c r="X26" s="140">
        <f>T26</f>
        <v>5203.7700000000004</v>
      </c>
      <c r="Y26" s="140">
        <f>W26+X26</f>
        <v>49703.770000000004</v>
      </c>
      <c r="Z26" s="140">
        <f>V26+32517</f>
        <v>77016.73</v>
      </c>
      <c r="AA26" s="140">
        <f>W26+32517</f>
        <v>77017</v>
      </c>
      <c r="AB26" s="140">
        <f>X26+3803</f>
        <v>9006.77</v>
      </c>
      <c r="AC26" s="140">
        <f>AA26+AB26</f>
        <v>86023.77</v>
      </c>
      <c r="AD26" s="140">
        <f>Z26</f>
        <v>77016.73</v>
      </c>
      <c r="AE26" s="140">
        <f>AA26</f>
        <v>77017</v>
      </c>
      <c r="AF26" s="140">
        <f>AB26</f>
        <v>9006.77</v>
      </c>
      <c r="AG26" s="140">
        <f>AE26+AF26</f>
        <v>86023.77</v>
      </c>
      <c r="AH26" s="140">
        <f>AD26</f>
        <v>77016.73</v>
      </c>
      <c r="AI26" s="140">
        <f>AE26</f>
        <v>77017</v>
      </c>
      <c r="AJ26" s="140">
        <f>AF26</f>
        <v>9006.77</v>
      </c>
      <c r="AK26" s="140">
        <f>AI26+AJ26</f>
        <v>86023.77</v>
      </c>
      <c r="AL26" s="140">
        <f>AH26+34720</f>
        <v>111736.73</v>
      </c>
      <c r="AM26" s="140">
        <f>AI26+34720</f>
        <v>111737</v>
      </c>
      <c r="AN26" s="140">
        <f>AJ26+2891</f>
        <v>11897.77</v>
      </c>
      <c r="AO26" s="140">
        <f>AM26+AN26</f>
        <v>123634.77</v>
      </c>
      <c r="AP26" s="140">
        <f>AL26+35200</f>
        <v>146936.72999999998</v>
      </c>
      <c r="AQ26" s="140">
        <f>AM26+35200</f>
        <v>146937</v>
      </c>
      <c r="AR26" s="140">
        <f>AN26+6212</f>
        <v>18109.77</v>
      </c>
      <c r="AS26" s="140">
        <f>AQ26+AR26</f>
        <v>165046.76999999999</v>
      </c>
      <c r="AT26" s="140">
        <f>AP26+30580</f>
        <v>177516.72999999998</v>
      </c>
      <c r="AU26" s="140">
        <f>AQ26+30580</f>
        <v>177517</v>
      </c>
      <c r="AV26" s="140">
        <f>AR26+2650</f>
        <v>20759.77</v>
      </c>
      <c r="AW26" s="140">
        <f>AU26+AV26</f>
        <v>198276.77</v>
      </c>
      <c r="AX26" s="140">
        <f>AT26</f>
        <v>177516.72999999998</v>
      </c>
      <c r="AY26" s="140">
        <f>AU26</f>
        <v>177517</v>
      </c>
      <c r="AZ26" s="140">
        <f>AV26</f>
        <v>20759.77</v>
      </c>
      <c r="BA26" s="140">
        <f>AY26+AZ26</f>
        <v>198276.77</v>
      </c>
      <c r="BB26" s="91">
        <v>1565050</v>
      </c>
      <c r="BC26" s="91">
        <v>1565050</v>
      </c>
      <c r="BD26" s="91">
        <v>183024</v>
      </c>
      <c r="BE26" s="91">
        <f>BC26+BD26</f>
        <v>1748074</v>
      </c>
      <c r="BF26" s="91">
        <v>1375641</v>
      </c>
      <c r="BG26" s="91">
        <v>1200554</v>
      </c>
      <c r="BH26" s="91">
        <v>140398</v>
      </c>
      <c r="BI26" s="91">
        <v>317573</v>
      </c>
      <c r="BJ26" s="91">
        <v>0</v>
      </c>
      <c r="BK26" s="91">
        <v>0</v>
      </c>
      <c r="BL26" s="91">
        <v>0</v>
      </c>
      <c r="BM26" s="91">
        <v>0</v>
      </c>
      <c r="BN26" s="91" t="e">
        <f>#REF!+AX26+BB26+BF26+BJ26</f>
        <v>#REF!</v>
      </c>
      <c r="BO26" s="91">
        <f>AY26+BC26+BG26+BK26</f>
        <v>2943121</v>
      </c>
      <c r="BP26" s="91">
        <f t="shared" si="89"/>
        <v>344181.77</v>
      </c>
      <c r="BQ26" s="91">
        <f t="shared" si="87"/>
        <v>3287302.77</v>
      </c>
      <c r="BR26" s="92"/>
      <c r="BS26" s="80"/>
    </row>
    <row r="27" spans="1:76" s="13" customFormat="1" ht="58.5" customHeight="1">
      <c r="A27" s="138" t="s">
        <v>73</v>
      </c>
      <c r="B27" s="138" t="s">
        <v>258</v>
      </c>
      <c r="C27" s="139">
        <v>34695182</v>
      </c>
      <c r="D27" s="139"/>
      <c r="E27" s="139">
        <v>3544716</v>
      </c>
      <c r="F27" s="140">
        <v>52664</v>
      </c>
      <c r="G27" s="140">
        <v>52664</v>
      </c>
      <c r="H27" s="140">
        <v>3752</v>
      </c>
      <c r="I27" s="140">
        <f t="shared" si="90"/>
        <v>56416</v>
      </c>
      <c r="J27" s="140">
        <f>F27+229335</f>
        <v>281999</v>
      </c>
      <c r="K27" s="140">
        <f>G27+229335</f>
        <v>281999</v>
      </c>
      <c r="L27" s="140">
        <f>H27+16337</f>
        <v>20089</v>
      </c>
      <c r="M27" s="140">
        <f>K27+L27</f>
        <v>302088</v>
      </c>
      <c r="N27" s="140">
        <f>J27+1165475</f>
        <v>1447474</v>
      </c>
      <c r="O27" s="140">
        <f>K27+1165475</f>
        <v>1447474</v>
      </c>
      <c r="P27" s="140">
        <f>L27+83025</f>
        <v>103114</v>
      </c>
      <c r="Q27" s="140">
        <f>O27+P27</f>
        <v>1550588</v>
      </c>
      <c r="R27" s="140">
        <f>N27+264614</f>
        <v>1712088</v>
      </c>
      <c r="S27" s="140">
        <f>O27+264614</f>
        <v>1712088</v>
      </c>
      <c r="T27" s="140">
        <f>P27+18850</f>
        <v>121964</v>
      </c>
      <c r="U27" s="140">
        <f>S27+T27</f>
        <v>1834052</v>
      </c>
      <c r="V27" s="140">
        <f>R27+303162</f>
        <v>2015250</v>
      </c>
      <c r="W27" s="140">
        <f>S27+303162</f>
        <v>2015250</v>
      </c>
      <c r="X27" s="140">
        <f>T27+21596</f>
        <v>143560</v>
      </c>
      <c r="Y27" s="140">
        <f>W27+X27</f>
        <v>2158810</v>
      </c>
      <c r="Z27" s="140">
        <f>V27+5838</f>
        <v>2021088</v>
      </c>
      <c r="AA27" s="140">
        <f>W27+5838</f>
        <v>2021088</v>
      </c>
      <c r="AB27" s="140">
        <f>X27+416</f>
        <v>143976</v>
      </c>
      <c r="AC27" s="140">
        <f>AA27+AB27</f>
        <v>2165064</v>
      </c>
      <c r="AD27" s="140">
        <f>Z27+808824</f>
        <v>2829912</v>
      </c>
      <c r="AE27" s="140">
        <f>AA27+808824</f>
        <v>2829912</v>
      </c>
      <c r="AF27" s="140">
        <f>AB27+57618</f>
        <v>201594</v>
      </c>
      <c r="AG27" s="140">
        <f>AE27+AF27</f>
        <v>3031506</v>
      </c>
      <c r="AH27" s="140">
        <f>AD27+2413</f>
        <v>2832325</v>
      </c>
      <c r="AI27" s="140">
        <f>AE27+2413</f>
        <v>2832325</v>
      </c>
      <c r="AJ27" s="140">
        <f>AF27+172</f>
        <v>201766</v>
      </c>
      <c r="AK27" s="140">
        <f>AI27+AJ27</f>
        <v>3034091</v>
      </c>
      <c r="AL27" s="140">
        <f>AH27+36617</f>
        <v>2868942</v>
      </c>
      <c r="AM27" s="140">
        <f>AI27+36617</f>
        <v>2868942</v>
      </c>
      <c r="AN27" s="140">
        <f>AJ27+2609</f>
        <v>204375</v>
      </c>
      <c r="AO27" s="140">
        <f>AM27+AN27</f>
        <v>3073317</v>
      </c>
      <c r="AP27" s="140">
        <f>AL27</f>
        <v>2868942</v>
      </c>
      <c r="AQ27" s="140">
        <f>AM27</f>
        <v>2868942</v>
      </c>
      <c r="AR27" s="140">
        <f>AN27</f>
        <v>204375</v>
      </c>
      <c r="AS27" s="140">
        <f>AQ27+AR27</f>
        <v>3073317</v>
      </c>
      <c r="AT27" s="140">
        <f>AP27+65336</f>
        <v>2934278</v>
      </c>
      <c r="AU27" s="140">
        <f>AQ27+65336</f>
        <v>2934278</v>
      </c>
      <c r="AV27" s="140">
        <f>AR27+4654</f>
        <v>209029</v>
      </c>
      <c r="AW27" s="140">
        <f>AU27+AV27</f>
        <v>3143307</v>
      </c>
      <c r="AX27" s="140">
        <f>AT27+374714</f>
        <v>3308992</v>
      </c>
      <c r="AY27" s="140">
        <f>AU27+374714</f>
        <v>3308992</v>
      </c>
      <c r="AZ27" s="140">
        <f>AV27+26695</f>
        <v>235724</v>
      </c>
      <c r="BA27" s="140">
        <f>AY27+AZ27</f>
        <v>3544716</v>
      </c>
      <c r="BB27" s="91">
        <v>2376877</v>
      </c>
      <c r="BC27" s="91">
        <v>2376877</v>
      </c>
      <c r="BD27" s="91">
        <v>169322</v>
      </c>
      <c r="BE27" s="91">
        <f>BC27+BD27</f>
        <v>2546199</v>
      </c>
      <c r="BF27" s="91">
        <v>2918588</v>
      </c>
      <c r="BG27" s="91">
        <v>2918588</v>
      </c>
      <c r="BH27" s="91">
        <v>207912</v>
      </c>
      <c r="BI27" s="91">
        <v>2666423</v>
      </c>
      <c r="BJ27" s="91">
        <v>1668930</v>
      </c>
      <c r="BK27" s="91">
        <v>1204819</v>
      </c>
      <c r="BL27" s="91">
        <v>85828</v>
      </c>
      <c r="BM27" s="91">
        <v>0</v>
      </c>
      <c r="BN27" s="91" t="e">
        <f>#REF!+AX27+BB27+BF27+BJ27</f>
        <v>#REF!</v>
      </c>
      <c r="BO27" s="91">
        <f t="shared" si="89"/>
        <v>9809276</v>
      </c>
      <c r="BP27" s="91">
        <f t="shared" si="89"/>
        <v>698786</v>
      </c>
      <c r="BQ27" s="91">
        <f t="shared" si="87"/>
        <v>10508062</v>
      </c>
      <c r="BR27" s="92"/>
      <c r="BS27" s="80"/>
    </row>
    <row r="28" spans="1:76" s="13" customFormat="1" ht="86.25" customHeight="1">
      <c r="A28" s="138" t="s">
        <v>49</v>
      </c>
      <c r="B28" s="138" t="s">
        <v>259</v>
      </c>
      <c r="C28" s="139">
        <v>1001494.997196</v>
      </c>
      <c r="D28" s="139"/>
      <c r="E28" s="139">
        <v>476462</v>
      </c>
      <c r="F28" s="140">
        <v>0</v>
      </c>
      <c r="G28" s="140">
        <v>99100</v>
      </c>
      <c r="H28" s="140">
        <v>0</v>
      </c>
      <c r="I28" s="140">
        <f t="shared" si="90"/>
        <v>99100</v>
      </c>
      <c r="J28" s="140">
        <v>47216</v>
      </c>
      <c r="K28" s="140">
        <f>G28+43274</f>
        <v>142374</v>
      </c>
      <c r="L28" s="140">
        <v>0</v>
      </c>
      <c r="M28" s="140">
        <v>142374</v>
      </c>
      <c r="N28" s="140">
        <f>J28</f>
        <v>47216</v>
      </c>
      <c r="O28" s="140">
        <f>K28+43273</f>
        <v>185647</v>
      </c>
      <c r="P28" s="140">
        <v>0</v>
      </c>
      <c r="Q28" s="140">
        <v>185647</v>
      </c>
      <c r="R28" s="140">
        <f>N28</f>
        <v>47216</v>
      </c>
      <c r="S28" s="140">
        <f>O28+43273</f>
        <v>228920</v>
      </c>
      <c r="T28" s="140">
        <v>0</v>
      </c>
      <c r="U28" s="140">
        <v>228920</v>
      </c>
      <c r="V28" s="140">
        <f>R28+196278</f>
        <v>243494</v>
      </c>
      <c r="W28" s="140">
        <f>S28+43273</f>
        <v>272193</v>
      </c>
      <c r="X28" s="140">
        <v>0</v>
      </c>
      <c r="Y28" s="140">
        <v>272193</v>
      </c>
      <c r="Z28" s="140">
        <f>V28</f>
        <v>243494</v>
      </c>
      <c r="AA28" s="140">
        <f>W28+43154</f>
        <v>315347</v>
      </c>
      <c r="AB28" s="140">
        <v>0</v>
      </c>
      <c r="AC28" s="140">
        <v>315347</v>
      </c>
      <c r="AD28" s="140">
        <f>Z28</f>
        <v>243494</v>
      </c>
      <c r="AE28" s="140">
        <f>AA28+42979</f>
        <v>358326</v>
      </c>
      <c r="AF28" s="140">
        <v>0</v>
      </c>
      <c r="AG28" s="140">
        <v>358326</v>
      </c>
      <c r="AH28" s="140">
        <f>AD28</f>
        <v>243494</v>
      </c>
      <c r="AI28" s="140">
        <f>AE28+42471</f>
        <v>400797</v>
      </c>
      <c r="AJ28" s="140">
        <v>0</v>
      </c>
      <c r="AK28" s="140">
        <v>400797</v>
      </c>
      <c r="AL28" s="140">
        <f>AH28</f>
        <v>243494</v>
      </c>
      <c r="AM28" s="140">
        <f>AI28+40973</f>
        <v>441770</v>
      </c>
      <c r="AN28" s="140">
        <v>0</v>
      </c>
      <c r="AO28" s="140">
        <v>441770</v>
      </c>
      <c r="AP28" s="140">
        <f>AL28</f>
        <v>243494</v>
      </c>
      <c r="AQ28" s="140">
        <f>AM28+12326</f>
        <v>454096</v>
      </c>
      <c r="AR28" s="140">
        <v>0</v>
      </c>
      <c r="AS28" s="140">
        <v>454096</v>
      </c>
      <c r="AT28" s="140">
        <f>AP28+142800</f>
        <v>386294</v>
      </c>
      <c r="AU28" s="140">
        <f>AQ28+20281</f>
        <v>474377</v>
      </c>
      <c r="AV28" s="140">
        <v>0</v>
      </c>
      <c r="AW28" s="140">
        <v>474377</v>
      </c>
      <c r="AX28" s="140">
        <f>AT28</f>
        <v>386294</v>
      </c>
      <c r="AY28" s="140">
        <f>AU28+2085</f>
        <v>476462</v>
      </c>
      <c r="AZ28" s="140">
        <v>0</v>
      </c>
      <c r="BA28" s="140">
        <v>476462</v>
      </c>
      <c r="BB28" s="91">
        <v>615201</v>
      </c>
      <c r="BC28" s="91">
        <v>276312</v>
      </c>
      <c r="BD28" s="91">
        <v>0</v>
      </c>
      <c r="BE28" s="91">
        <v>115902</v>
      </c>
      <c r="BF28" s="91">
        <v>0</v>
      </c>
      <c r="BG28" s="91">
        <v>0</v>
      </c>
      <c r="BH28" s="91">
        <v>0</v>
      </c>
      <c r="BI28" s="91">
        <v>0</v>
      </c>
      <c r="BJ28" s="91">
        <v>0</v>
      </c>
      <c r="BK28" s="91">
        <v>0</v>
      </c>
      <c r="BL28" s="91">
        <v>0</v>
      </c>
      <c r="BM28" s="91">
        <v>0</v>
      </c>
      <c r="BN28" s="91" t="e">
        <f>#REF!+AX28+BB28+BF28+BJ28</f>
        <v>#REF!</v>
      </c>
      <c r="BO28" s="91">
        <f t="shared" si="89"/>
        <v>752774</v>
      </c>
      <c r="BP28" s="91">
        <f t="shared" si="89"/>
        <v>0</v>
      </c>
      <c r="BQ28" s="91">
        <f t="shared" si="87"/>
        <v>752774</v>
      </c>
      <c r="BR28" s="92"/>
      <c r="BS28" s="80"/>
    </row>
    <row r="29" spans="1:76" s="13" customFormat="1" ht="65.25" customHeight="1">
      <c r="A29" s="138" t="s">
        <v>50</v>
      </c>
      <c r="B29" s="138" t="s">
        <v>260</v>
      </c>
      <c r="C29" s="139">
        <v>0</v>
      </c>
      <c r="D29" s="139"/>
      <c r="E29" s="139">
        <v>0</v>
      </c>
      <c r="F29" s="140"/>
      <c r="G29" s="140"/>
      <c r="H29" s="140"/>
      <c r="I29" s="140">
        <f t="shared" si="90"/>
        <v>0</v>
      </c>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91"/>
      <c r="BC29" s="91"/>
      <c r="BD29" s="91"/>
      <c r="BE29" s="91"/>
      <c r="BF29" s="91"/>
      <c r="BG29" s="91"/>
      <c r="BH29" s="91"/>
      <c r="BI29" s="91"/>
      <c r="BJ29" s="91"/>
      <c r="BK29" s="91"/>
      <c r="BL29" s="91"/>
      <c r="BM29" s="91"/>
      <c r="BN29" s="91" t="e">
        <f>#REF!+AX29+BB29+BF29+BJ29</f>
        <v>#REF!</v>
      </c>
      <c r="BO29" s="91">
        <f t="shared" si="89"/>
        <v>0</v>
      </c>
      <c r="BP29" s="91">
        <f t="shared" si="89"/>
        <v>0</v>
      </c>
      <c r="BQ29" s="91">
        <f t="shared" si="87"/>
        <v>0</v>
      </c>
      <c r="BR29" s="92"/>
      <c r="BS29" s="80"/>
    </row>
    <row r="30" spans="1:76" s="13" customFormat="1" ht="117" customHeight="1">
      <c r="A30" s="138" t="s">
        <v>51</v>
      </c>
      <c r="B30" s="138" t="s">
        <v>261</v>
      </c>
      <c r="C30" s="139">
        <v>2550000</v>
      </c>
      <c r="D30" s="139"/>
      <c r="E30" s="139">
        <v>1251969</v>
      </c>
      <c r="F30" s="140">
        <v>0</v>
      </c>
      <c r="G30" s="140">
        <v>45729</v>
      </c>
      <c r="H30" s="140">
        <v>0</v>
      </c>
      <c r="I30" s="140">
        <v>45729</v>
      </c>
      <c r="J30" s="140">
        <v>0</v>
      </c>
      <c r="K30" s="140">
        <f>G30+35266</f>
        <v>80995</v>
      </c>
      <c r="L30" s="140">
        <v>0</v>
      </c>
      <c r="M30" s="140">
        <v>80995</v>
      </c>
      <c r="N30" s="140">
        <v>78563</v>
      </c>
      <c r="O30" s="140">
        <f>K30+133599</f>
        <v>214594</v>
      </c>
      <c r="P30" s="140">
        <v>0</v>
      </c>
      <c r="Q30" s="140">
        <v>54557</v>
      </c>
      <c r="R30" s="140">
        <f>N30</f>
        <v>78563</v>
      </c>
      <c r="S30" s="140">
        <f>O30+54557</f>
        <v>269151</v>
      </c>
      <c r="T30" s="140">
        <v>0</v>
      </c>
      <c r="U30" s="140">
        <v>269151</v>
      </c>
      <c r="V30" s="140">
        <f>R30</f>
        <v>78563</v>
      </c>
      <c r="W30" s="140">
        <f>S30+57757</f>
        <v>326908</v>
      </c>
      <c r="X30" s="140">
        <v>0</v>
      </c>
      <c r="Y30" s="140">
        <v>326908</v>
      </c>
      <c r="Z30" s="140">
        <f>V30</f>
        <v>78563</v>
      </c>
      <c r="AA30" s="140">
        <f>W30+72457</f>
        <v>399365</v>
      </c>
      <c r="AB30" s="140">
        <v>0</v>
      </c>
      <c r="AC30" s="140">
        <v>399365</v>
      </c>
      <c r="AD30" s="140">
        <f>Z30+207544</f>
        <v>286107</v>
      </c>
      <c r="AE30" s="140">
        <f>AA30+134667</f>
        <v>534032</v>
      </c>
      <c r="AF30" s="140">
        <v>0</v>
      </c>
      <c r="AG30" s="140">
        <v>534032</v>
      </c>
      <c r="AH30" s="140">
        <f>AD30</f>
        <v>286107</v>
      </c>
      <c r="AI30" s="140">
        <f>AE30+134369</f>
        <v>668401</v>
      </c>
      <c r="AJ30" s="140">
        <v>0</v>
      </c>
      <c r="AK30" s="140">
        <v>668401</v>
      </c>
      <c r="AL30" s="140">
        <f>AH30</f>
        <v>286107</v>
      </c>
      <c r="AM30" s="140">
        <f>AI30+172767</f>
        <v>841168</v>
      </c>
      <c r="AN30" s="140">
        <v>0</v>
      </c>
      <c r="AO30" s="140">
        <v>841168</v>
      </c>
      <c r="AP30" s="140">
        <f>AL30</f>
        <v>286107</v>
      </c>
      <c r="AQ30" s="140">
        <f>AM30+276117</f>
        <v>1117285</v>
      </c>
      <c r="AR30" s="140">
        <v>0</v>
      </c>
      <c r="AS30" s="140">
        <v>1117285</v>
      </c>
      <c r="AT30" s="140">
        <f t="shared" ref="AT30:AU32" si="91">AP30</f>
        <v>286107</v>
      </c>
      <c r="AU30" s="140">
        <f>AQ30+94242</f>
        <v>1211527</v>
      </c>
      <c r="AV30" s="140">
        <v>0</v>
      </c>
      <c r="AW30" s="140">
        <v>1211527</v>
      </c>
      <c r="AX30" s="140">
        <f t="shared" ref="AX30:AY32" si="92">AT30</f>
        <v>286107</v>
      </c>
      <c r="AY30" s="140">
        <f>AU30+40442</f>
        <v>1251969</v>
      </c>
      <c r="AZ30" s="140">
        <v>0</v>
      </c>
      <c r="BA30" s="140">
        <v>1251969</v>
      </c>
      <c r="BB30" s="91">
        <v>1393125</v>
      </c>
      <c r="BC30" s="91">
        <v>787754</v>
      </c>
      <c r="BD30" s="91">
        <v>0</v>
      </c>
      <c r="BE30" s="91">
        <v>787754</v>
      </c>
      <c r="BF30" s="91">
        <v>810118</v>
      </c>
      <c r="BG30" s="91">
        <v>0</v>
      </c>
      <c r="BH30" s="91">
        <v>0</v>
      </c>
      <c r="BI30" s="91">
        <v>0</v>
      </c>
      <c r="BJ30" s="91">
        <v>0</v>
      </c>
      <c r="BK30" s="91">
        <v>0</v>
      </c>
      <c r="BL30" s="91">
        <v>0</v>
      </c>
      <c r="BM30" s="91">
        <v>0</v>
      </c>
      <c r="BN30" s="91" t="e">
        <f>#REF!+AX30+BB30+BF30+BJ30</f>
        <v>#REF!</v>
      </c>
      <c r="BO30" s="91">
        <f t="shared" si="89"/>
        <v>2039723</v>
      </c>
      <c r="BP30" s="91">
        <f t="shared" si="89"/>
        <v>0</v>
      </c>
      <c r="BQ30" s="91">
        <f t="shared" si="87"/>
        <v>2039723</v>
      </c>
      <c r="BR30" s="92"/>
      <c r="BS30" s="80"/>
    </row>
    <row r="31" spans="1:76" s="13" customFormat="1" ht="84.75" customHeight="1">
      <c r="A31" s="138" t="s">
        <v>52</v>
      </c>
      <c r="B31" s="138" t="s">
        <v>262</v>
      </c>
      <c r="C31" s="139">
        <v>6325236</v>
      </c>
      <c r="D31" s="139"/>
      <c r="E31" s="139">
        <f>377292+426928+819063</f>
        <v>1623283</v>
      </c>
      <c r="F31" s="140">
        <v>0</v>
      </c>
      <c r="G31" s="140">
        <v>127091</v>
      </c>
      <c r="H31" s="140">
        <v>22428</v>
      </c>
      <c r="I31" s="140">
        <f t="shared" si="90"/>
        <v>149519</v>
      </c>
      <c r="J31" s="140">
        <v>21576.44</v>
      </c>
      <c r="K31" s="140">
        <f>G31+21576+127091</f>
        <v>275758</v>
      </c>
      <c r="L31" s="140">
        <f>H31+3808+22428</f>
        <v>48664</v>
      </c>
      <c r="M31" s="140">
        <f t="shared" ref="M31:M36" si="93">K31+L31</f>
        <v>324422</v>
      </c>
      <c r="N31" s="140">
        <f>J31+22411+196636</f>
        <v>240623.44</v>
      </c>
      <c r="O31" s="140">
        <f>K31+22411+127091</f>
        <v>425260</v>
      </c>
      <c r="P31" s="140">
        <f>L31+3955+22428</f>
        <v>75047</v>
      </c>
      <c r="Q31" s="140">
        <f t="shared" ref="Q31:Q36" si="94">O31+P31</f>
        <v>500307</v>
      </c>
      <c r="R31" s="140">
        <f>N31+71102+136165</f>
        <v>447890.44</v>
      </c>
      <c r="S31" s="140">
        <f>O31+71102+254182</f>
        <v>750544</v>
      </c>
      <c r="T31" s="140">
        <f>P31+12547+44856</f>
        <v>132450</v>
      </c>
      <c r="U31" s="140">
        <f t="shared" ref="U31:U36" si="95">S31+T31</f>
        <v>882994</v>
      </c>
      <c r="V31" s="140">
        <f>R31+41372</f>
        <v>489262.44</v>
      </c>
      <c r="W31" s="140">
        <f>S31+41372+137682</f>
        <v>929598</v>
      </c>
      <c r="X31" s="140">
        <f>T31+7301+24297</f>
        <v>164048</v>
      </c>
      <c r="Y31" s="140">
        <f t="shared" ref="Y31:Y36" si="96">W31+X31</f>
        <v>1093646</v>
      </c>
      <c r="Z31" s="140">
        <f>V31+183634</f>
        <v>672896.44</v>
      </c>
      <c r="AA31" s="140">
        <f>W31+84727</f>
        <v>1014325</v>
      </c>
      <c r="AB31" s="140">
        <f>X31+14952</f>
        <v>179000</v>
      </c>
      <c r="AC31" s="140">
        <f t="shared" ref="AC31:AC36" si="97">AA31+AB31</f>
        <v>1193325</v>
      </c>
      <c r="AD31" s="140">
        <f>Z31+29688+117416</f>
        <v>820000.44</v>
      </c>
      <c r="AE31" s="140">
        <f>AA31+29688+63546</f>
        <v>1107559</v>
      </c>
      <c r="AF31" s="140">
        <f>AB31+5239+11214</f>
        <v>195453</v>
      </c>
      <c r="AG31" s="140">
        <f t="shared" ref="AG31:AG36" si="98">AE31+AF31</f>
        <v>1303012</v>
      </c>
      <c r="AH31" s="140">
        <f>AD31+59175</f>
        <v>879175.44</v>
      </c>
      <c r="AI31" s="140">
        <f>AE31+59175+52955</f>
        <v>1219689</v>
      </c>
      <c r="AJ31" s="140">
        <f>AF31+10443+9345</f>
        <v>215241</v>
      </c>
      <c r="AK31" s="140">
        <f t="shared" ref="AK31:AK36" si="99">AI31+AJ31</f>
        <v>1434930</v>
      </c>
      <c r="AL31" s="140">
        <f>AH31+41396</f>
        <v>920571.44</v>
      </c>
      <c r="AM31" s="140">
        <f>AI31+41396+52955</f>
        <v>1314040</v>
      </c>
      <c r="AN31" s="140">
        <f>AJ31+7305+9345</f>
        <v>231891</v>
      </c>
      <c r="AO31" s="140">
        <f t="shared" ref="AO31:AO36" si="100">AM31+AN31</f>
        <v>1545931</v>
      </c>
      <c r="AP31" s="140">
        <f>AL31+33978</f>
        <v>954549.44</v>
      </c>
      <c r="AQ31" s="140">
        <f>AM31+33978+31773</f>
        <v>1379791</v>
      </c>
      <c r="AR31" s="140">
        <f>AN31+5996+5605</f>
        <v>243492</v>
      </c>
      <c r="AS31" s="140">
        <f t="shared" ref="AS31:AS36" si="101">AQ31+AR31</f>
        <v>1623283</v>
      </c>
      <c r="AT31" s="140">
        <f t="shared" si="91"/>
        <v>954549.44</v>
      </c>
      <c r="AU31" s="140">
        <f t="shared" si="91"/>
        <v>1379791</v>
      </c>
      <c r="AV31" s="140">
        <f>AR31</f>
        <v>243492</v>
      </c>
      <c r="AW31" s="140">
        <f t="shared" ref="AW31:AW36" si="102">AU31+AV31</f>
        <v>1623283</v>
      </c>
      <c r="AX31" s="140">
        <f t="shared" si="92"/>
        <v>954549.44</v>
      </c>
      <c r="AY31" s="140">
        <f t="shared" si="92"/>
        <v>1379791</v>
      </c>
      <c r="AZ31" s="140">
        <f>AV31</f>
        <v>243492</v>
      </c>
      <c r="BA31" s="140">
        <f t="shared" ref="BA31:BA36" si="103">AY31+AZ31</f>
        <v>1623283</v>
      </c>
      <c r="BB31" s="91">
        <f>63320+1743179</f>
        <v>1806499</v>
      </c>
      <c r="BC31" s="91">
        <v>63320</v>
      </c>
      <c r="BD31" s="91">
        <v>11174</v>
      </c>
      <c r="BE31" s="91">
        <f>BC31+BD31</f>
        <v>74494</v>
      </c>
      <c r="BF31" s="91">
        <v>1228390</v>
      </c>
      <c r="BG31" s="91">
        <v>10979</v>
      </c>
      <c r="BH31" s="91">
        <v>1937</v>
      </c>
      <c r="BI31" s="91">
        <f>BG31+BH31</f>
        <v>12916</v>
      </c>
      <c r="BJ31" s="91">
        <v>0</v>
      </c>
      <c r="BK31" s="91">
        <v>0</v>
      </c>
      <c r="BL31" s="91">
        <v>0</v>
      </c>
      <c r="BM31" s="91">
        <v>0</v>
      </c>
      <c r="BN31" s="91" t="e">
        <f>#REF!+AX31+BB31+BF31+BJ31</f>
        <v>#REF!</v>
      </c>
      <c r="BO31" s="91">
        <f t="shared" si="89"/>
        <v>1454090</v>
      </c>
      <c r="BP31" s="91">
        <f t="shared" si="89"/>
        <v>256603</v>
      </c>
      <c r="BQ31" s="91">
        <f t="shared" si="87"/>
        <v>1710693</v>
      </c>
      <c r="BR31" s="92"/>
      <c r="BS31" s="80"/>
    </row>
    <row r="32" spans="1:76" s="13" customFormat="1" ht="90" customHeight="1">
      <c r="A32" s="138" t="s">
        <v>53</v>
      </c>
      <c r="B32" s="138" t="s">
        <v>263</v>
      </c>
      <c r="C32" s="139">
        <v>8345584</v>
      </c>
      <c r="D32" s="139"/>
      <c r="E32" s="139">
        <f>139585+2364659+28600+93405</f>
        <v>2626249</v>
      </c>
      <c r="F32" s="140">
        <v>39729</v>
      </c>
      <c r="G32" s="140">
        <v>180475</v>
      </c>
      <c r="H32" s="140">
        <v>23961</v>
      </c>
      <c r="I32" s="140">
        <f t="shared" si="90"/>
        <v>204436</v>
      </c>
      <c r="J32" s="140">
        <f>F32+28250</f>
        <v>67979</v>
      </c>
      <c r="K32" s="140">
        <f>G32+28250+224513</f>
        <v>433238</v>
      </c>
      <c r="L32" s="140">
        <f>H32+31131</f>
        <v>55092</v>
      </c>
      <c r="M32" s="140">
        <f t="shared" si="93"/>
        <v>488330</v>
      </c>
      <c r="N32" s="140">
        <f>J32+218468</f>
        <v>286447</v>
      </c>
      <c r="O32" s="140">
        <f>K32+202775</f>
        <v>636013</v>
      </c>
      <c r="P32" s="140">
        <f>L32+27706</f>
        <v>82798</v>
      </c>
      <c r="Q32" s="140">
        <f t="shared" si="94"/>
        <v>718811</v>
      </c>
      <c r="R32" s="140">
        <f>N32+110706+153631</f>
        <v>550784</v>
      </c>
      <c r="S32" s="140">
        <f>O32+110706+237116</f>
        <v>983835</v>
      </c>
      <c r="T32" s="140">
        <f>P32+629+31927</f>
        <v>115354</v>
      </c>
      <c r="U32" s="140">
        <f t="shared" si="95"/>
        <v>1099189</v>
      </c>
      <c r="V32" s="140">
        <f>R32+96496</f>
        <v>647280</v>
      </c>
      <c r="W32" s="140">
        <f>S32+166047</f>
        <v>1149882</v>
      </c>
      <c r="X32" s="140">
        <f>T32+20021</f>
        <v>135375</v>
      </c>
      <c r="Y32" s="140">
        <f t="shared" si="96"/>
        <v>1285257</v>
      </c>
      <c r="Z32" s="140">
        <f>V32+264505</f>
        <v>911785</v>
      </c>
      <c r="AA32" s="140">
        <f>W32+170135</f>
        <v>1320017</v>
      </c>
      <c r="AB32" s="140">
        <f>X32+20925</f>
        <v>156300</v>
      </c>
      <c r="AC32" s="140">
        <f t="shared" si="97"/>
        <v>1476317</v>
      </c>
      <c r="AD32" s="140">
        <f>Z32+179103</f>
        <v>1090888</v>
      </c>
      <c r="AE32" s="140">
        <f>AA32+111758</f>
        <v>1431775</v>
      </c>
      <c r="AF32" s="140">
        <f>AB32+9734</f>
        <v>166034</v>
      </c>
      <c r="AG32" s="140">
        <f t="shared" si="98"/>
        <v>1597809</v>
      </c>
      <c r="AH32" s="140">
        <f>AD32+98033</f>
        <v>1188921</v>
      </c>
      <c r="AI32" s="140">
        <f>AE32+96609</f>
        <v>1528384</v>
      </c>
      <c r="AJ32" s="140">
        <f>AF32+8367</f>
        <v>174401</v>
      </c>
      <c r="AK32" s="140">
        <f t="shared" si="99"/>
        <v>1702785</v>
      </c>
      <c r="AL32" s="140">
        <f>AH32</f>
        <v>1188921</v>
      </c>
      <c r="AM32" s="140">
        <f>AI32+184170</f>
        <v>1712554</v>
      </c>
      <c r="AN32" s="140">
        <f>AJ32+15950</f>
        <v>190351</v>
      </c>
      <c r="AO32" s="140">
        <f t="shared" si="100"/>
        <v>1902905</v>
      </c>
      <c r="AP32" s="140">
        <f>AL32</f>
        <v>1188921</v>
      </c>
      <c r="AQ32" s="140">
        <f>AM32+232143</f>
        <v>1944697</v>
      </c>
      <c r="AR32" s="140">
        <f>AN32+20104</f>
        <v>210455</v>
      </c>
      <c r="AS32" s="140">
        <f t="shared" si="101"/>
        <v>2155152</v>
      </c>
      <c r="AT32" s="140">
        <f t="shared" si="91"/>
        <v>1188921</v>
      </c>
      <c r="AU32" s="140">
        <f>AQ32+228724</f>
        <v>2173421</v>
      </c>
      <c r="AV32" s="140">
        <f>AR32+19808</f>
        <v>230263</v>
      </c>
      <c r="AW32" s="140">
        <f t="shared" si="102"/>
        <v>2403684</v>
      </c>
      <c r="AX32" s="140">
        <f t="shared" si="92"/>
        <v>1188921</v>
      </c>
      <c r="AY32" s="140">
        <f>AU32+204827</f>
        <v>2378248</v>
      </c>
      <c r="AZ32" s="140">
        <f>AV32+17738</f>
        <v>248001</v>
      </c>
      <c r="BA32" s="140">
        <f t="shared" si="103"/>
        <v>2626249</v>
      </c>
      <c r="BB32" s="91">
        <v>2387674</v>
      </c>
      <c r="BC32" s="91">
        <v>1063944</v>
      </c>
      <c r="BD32" s="91">
        <v>92140</v>
      </c>
      <c r="BE32" s="91">
        <v>1139729</v>
      </c>
      <c r="BF32" s="91">
        <v>2274395</v>
      </c>
      <c r="BG32" s="91">
        <v>0</v>
      </c>
      <c r="BH32" s="91">
        <v>0</v>
      </c>
      <c r="BI32" s="91">
        <v>0</v>
      </c>
      <c r="BJ32" s="91">
        <v>481766</v>
      </c>
      <c r="BK32" s="91">
        <v>0</v>
      </c>
      <c r="BL32" s="91">
        <v>0</v>
      </c>
      <c r="BM32" s="91">
        <v>0</v>
      </c>
      <c r="BN32" s="91" t="e">
        <f>#REF!+AX32+BB32+BF32+BJ32</f>
        <v>#REF!</v>
      </c>
      <c r="BO32" s="91">
        <f t="shared" si="89"/>
        <v>3442192</v>
      </c>
      <c r="BP32" s="91">
        <f t="shared" si="89"/>
        <v>340141</v>
      </c>
      <c r="BQ32" s="91">
        <f t="shared" si="87"/>
        <v>3782333</v>
      </c>
      <c r="BR32" s="92"/>
      <c r="BS32" s="80"/>
    </row>
    <row r="33" spans="1:71" s="13" customFormat="1" ht="60" customHeight="1">
      <c r="A33" s="138" t="s">
        <v>54</v>
      </c>
      <c r="B33" s="138" t="s">
        <v>264</v>
      </c>
      <c r="C33" s="139">
        <v>21973111</v>
      </c>
      <c r="D33" s="139"/>
      <c r="E33" s="139">
        <v>6099164</v>
      </c>
      <c r="F33" s="140">
        <v>0</v>
      </c>
      <c r="G33" s="140">
        <v>502185</v>
      </c>
      <c r="H33" s="140">
        <v>88621</v>
      </c>
      <c r="I33" s="140">
        <f t="shared" si="90"/>
        <v>590806</v>
      </c>
      <c r="J33" s="140">
        <v>0</v>
      </c>
      <c r="K33" s="140">
        <f>G33+499335</f>
        <v>1001520</v>
      </c>
      <c r="L33" s="140">
        <f>H33+88118</f>
        <v>176739</v>
      </c>
      <c r="M33" s="140">
        <f t="shared" si="93"/>
        <v>1178259</v>
      </c>
      <c r="N33" s="140">
        <v>0</v>
      </c>
      <c r="O33" s="140">
        <f>K33+502421</f>
        <v>1503941</v>
      </c>
      <c r="P33" s="140">
        <f>L33+88662</f>
        <v>265401</v>
      </c>
      <c r="Q33" s="140">
        <f t="shared" si="94"/>
        <v>1769342</v>
      </c>
      <c r="R33" s="140">
        <v>0</v>
      </c>
      <c r="S33" s="140">
        <f>O33+499689</f>
        <v>2003630</v>
      </c>
      <c r="T33" s="140">
        <f>P33+88180</f>
        <v>353581</v>
      </c>
      <c r="U33" s="140">
        <f t="shared" si="95"/>
        <v>2357211</v>
      </c>
      <c r="V33" s="140">
        <v>0</v>
      </c>
      <c r="W33" s="140">
        <f>S33+499335</f>
        <v>2502965</v>
      </c>
      <c r="X33" s="140">
        <f>T33+88118</f>
        <v>441699</v>
      </c>
      <c r="Y33" s="140">
        <f t="shared" si="96"/>
        <v>2944664</v>
      </c>
      <c r="Z33" s="140">
        <v>0</v>
      </c>
      <c r="AA33" s="140">
        <f>W33+499335</f>
        <v>3002300</v>
      </c>
      <c r="AB33" s="140">
        <f>X33+88118</f>
        <v>529817</v>
      </c>
      <c r="AC33" s="140">
        <f t="shared" si="97"/>
        <v>3532117</v>
      </c>
      <c r="AD33" s="140">
        <v>1472154</v>
      </c>
      <c r="AE33" s="140">
        <f>AA33+601798</f>
        <v>3604098</v>
      </c>
      <c r="AF33" s="140">
        <f>AB33+106200</f>
        <v>636017</v>
      </c>
      <c r="AG33" s="140">
        <f t="shared" si="98"/>
        <v>4240115</v>
      </c>
      <c r="AH33" s="140">
        <f>AD33</f>
        <v>1472154</v>
      </c>
      <c r="AI33" s="140">
        <f>AE33+51430</f>
        <v>3655528</v>
      </c>
      <c r="AJ33" s="140">
        <f>AF33+9076</f>
        <v>645093</v>
      </c>
      <c r="AK33" s="140">
        <f t="shared" si="99"/>
        <v>4300621</v>
      </c>
      <c r="AL33" s="140">
        <f>AH33</f>
        <v>1472154</v>
      </c>
      <c r="AM33" s="140">
        <f>AI33+4978</f>
        <v>3660506</v>
      </c>
      <c r="AN33" s="140">
        <f>AJ33+878</f>
        <v>645971</v>
      </c>
      <c r="AO33" s="140">
        <f t="shared" si="100"/>
        <v>4306477</v>
      </c>
      <c r="AP33" s="140">
        <f>AL33</f>
        <v>1472154</v>
      </c>
      <c r="AQ33" s="140">
        <f>AM33+499688</f>
        <v>4160194</v>
      </c>
      <c r="AR33" s="140">
        <f>AN33+88180</f>
        <v>734151</v>
      </c>
      <c r="AS33" s="140">
        <f t="shared" si="101"/>
        <v>4894345</v>
      </c>
      <c r="AT33" s="140">
        <f>AP33+2323227</f>
        <v>3795381</v>
      </c>
      <c r="AU33" s="140">
        <f>AQ33+499355</f>
        <v>4659549</v>
      </c>
      <c r="AV33" s="140">
        <f>AR33+88122</f>
        <v>822273</v>
      </c>
      <c r="AW33" s="140">
        <f t="shared" si="102"/>
        <v>5481822</v>
      </c>
      <c r="AX33" s="140">
        <f>AT33</f>
        <v>3795381</v>
      </c>
      <c r="AY33" s="140">
        <f>AU33+524741</f>
        <v>5184290</v>
      </c>
      <c r="AZ33" s="140">
        <f>AV33+92601</f>
        <v>914874</v>
      </c>
      <c r="BA33" s="140">
        <f t="shared" si="103"/>
        <v>6099164</v>
      </c>
      <c r="BB33" s="91">
        <v>2428889</v>
      </c>
      <c r="BC33" s="91">
        <v>3083417</v>
      </c>
      <c r="BD33" s="91">
        <v>544133</v>
      </c>
      <c r="BE33" s="91">
        <f>BC33+BD33</f>
        <v>3627550</v>
      </c>
      <c r="BF33" s="91">
        <v>2659399</v>
      </c>
      <c r="BG33" s="91">
        <v>0</v>
      </c>
      <c r="BH33" s="91">
        <v>0</v>
      </c>
      <c r="BI33" s="91">
        <v>0</v>
      </c>
      <c r="BJ33" s="91">
        <v>0</v>
      </c>
      <c r="BK33" s="91">
        <v>0</v>
      </c>
      <c r="BL33" s="91">
        <v>0</v>
      </c>
      <c r="BM33" s="91">
        <v>0</v>
      </c>
      <c r="BN33" s="91" t="e">
        <f>#REF!+AX33+BB33+BF33+BJ33</f>
        <v>#REF!</v>
      </c>
      <c r="BO33" s="91">
        <f t="shared" si="89"/>
        <v>8267707</v>
      </c>
      <c r="BP33" s="91">
        <f t="shared" si="89"/>
        <v>1459007</v>
      </c>
      <c r="BQ33" s="91">
        <f t="shared" si="87"/>
        <v>9726714</v>
      </c>
      <c r="BR33" s="92"/>
      <c r="BS33" s="80"/>
    </row>
    <row r="34" spans="1:71" s="13" customFormat="1" ht="108.75" customHeight="1">
      <c r="A34" s="138" t="s">
        <v>55</v>
      </c>
      <c r="B34" s="138" t="s">
        <v>265</v>
      </c>
      <c r="C34" s="139">
        <v>4214158.9672320001</v>
      </c>
      <c r="D34" s="139"/>
      <c r="E34" s="139">
        <v>9153</v>
      </c>
      <c r="F34" s="140">
        <v>0</v>
      </c>
      <c r="G34" s="140">
        <v>7780</v>
      </c>
      <c r="H34" s="140">
        <v>1373</v>
      </c>
      <c r="I34" s="140">
        <f t="shared" si="90"/>
        <v>9153</v>
      </c>
      <c r="J34" s="140">
        <v>304115</v>
      </c>
      <c r="K34" s="140">
        <f>G34</f>
        <v>7780</v>
      </c>
      <c r="L34" s="140">
        <f>H34</f>
        <v>1373</v>
      </c>
      <c r="M34" s="140">
        <f t="shared" si="93"/>
        <v>9153</v>
      </c>
      <c r="N34" s="140">
        <f>J34</f>
        <v>304115</v>
      </c>
      <c r="O34" s="140">
        <f>K34</f>
        <v>7780</v>
      </c>
      <c r="P34" s="140">
        <f>L34</f>
        <v>1373</v>
      </c>
      <c r="Q34" s="140">
        <f t="shared" si="94"/>
        <v>9153</v>
      </c>
      <c r="R34" s="140">
        <f>N34</f>
        <v>304115</v>
      </c>
      <c r="S34" s="140">
        <f>O34</f>
        <v>7780</v>
      </c>
      <c r="T34" s="140">
        <f>P34</f>
        <v>1373</v>
      </c>
      <c r="U34" s="140">
        <f t="shared" si="95"/>
        <v>9153</v>
      </c>
      <c r="V34" s="140">
        <f>R34</f>
        <v>304115</v>
      </c>
      <c r="W34" s="140">
        <f>S34</f>
        <v>7780</v>
      </c>
      <c r="X34" s="140">
        <f>T34</f>
        <v>1373</v>
      </c>
      <c r="Y34" s="140">
        <f t="shared" si="96"/>
        <v>9153</v>
      </c>
      <c r="Z34" s="140">
        <f>V34</f>
        <v>304115</v>
      </c>
      <c r="AA34" s="140">
        <f>W34</f>
        <v>7780</v>
      </c>
      <c r="AB34" s="140">
        <f>X34</f>
        <v>1373</v>
      </c>
      <c r="AC34" s="140">
        <f t="shared" si="97"/>
        <v>9153</v>
      </c>
      <c r="AD34" s="140">
        <f>Z34+403464+64723</f>
        <v>772302</v>
      </c>
      <c r="AE34" s="140">
        <f>AA34</f>
        <v>7780</v>
      </c>
      <c r="AF34" s="140">
        <f>AB34</f>
        <v>1373</v>
      </c>
      <c r="AG34" s="140">
        <f t="shared" si="98"/>
        <v>9153</v>
      </c>
      <c r="AH34" s="140">
        <f>AD34</f>
        <v>772302</v>
      </c>
      <c r="AI34" s="140">
        <f>AE34</f>
        <v>7780</v>
      </c>
      <c r="AJ34" s="140">
        <f>AF34</f>
        <v>1373</v>
      </c>
      <c r="AK34" s="140">
        <f t="shared" si="99"/>
        <v>9153</v>
      </c>
      <c r="AL34" s="140">
        <f>AH34</f>
        <v>772302</v>
      </c>
      <c r="AM34" s="140">
        <f>AI34</f>
        <v>7780</v>
      </c>
      <c r="AN34" s="140">
        <f>AJ34</f>
        <v>1373</v>
      </c>
      <c r="AO34" s="140">
        <f t="shared" si="100"/>
        <v>9153</v>
      </c>
      <c r="AP34" s="140">
        <f>AL34</f>
        <v>772302</v>
      </c>
      <c r="AQ34" s="140">
        <f>AM34</f>
        <v>7780</v>
      </c>
      <c r="AR34" s="140">
        <f>AN34</f>
        <v>1373</v>
      </c>
      <c r="AS34" s="140">
        <f t="shared" si="101"/>
        <v>9153</v>
      </c>
      <c r="AT34" s="140">
        <f t="shared" ref="AT34:AV35" si="104">AP34</f>
        <v>772302</v>
      </c>
      <c r="AU34" s="140">
        <f t="shared" si="104"/>
        <v>7780</v>
      </c>
      <c r="AV34" s="140">
        <f t="shared" si="104"/>
        <v>1373</v>
      </c>
      <c r="AW34" s="140">
        <f t="shared" si="102"/>
        <v>9153</v>
      </c>
      <c r="AX34" s="140">
        <f t="shared" ref="AX34:AZ35" si="105">AT34</f>
        <v>772302</v>
      </c>
      <c r="AY34" s="140">
        <f t="shared" si="105"/>
        <v>7780</v>
      </c>
      <c r="AZ34" s="140">
        <f t="shared" si="105"/>
        <v>1373</v>
      </c>
      <c r="BA34" s="140">
        <f t="shared" si="103"/>
        <v>9153</v>
      </c>
      <c r="BB34" s="91">
        <v>356707</v>
      </c>
      <c r="BC34" s="91">
        <v>0</v>
      </c>
      <c r="BD34" s="91">
        <v>0</v>
      </c>
      <c r="BE34" s="91">
        <v>0</v>
      </c>
      <c r="BF34" s="91">
        <v>0</v>
      </c>
      <c r="BG34" s="91">
        <v>0</v>
      </c>
      <c r="BH34" s="91">
        <v>0</v>
      </c>
      <c r="BI34" s="91">
        <v>0</v>
      </c>
      <c r="BJ34" s="91">
        <v>0</v>
      </c>
      <c r="BK34" s="91">
        <v>0</v>
      </c>
      <c r="BL34" s="91">
        <v>0</v>
      </c>
      <c r="BM34" s="91">
        <v>0</v>
      </c>
      <c r="BN34" s="91" t="e">
        <f>#REF!+AX34+BB34+BF34+BJ34</f>
        <v>#REF!</v>
      </c>
      <c r="BO34" s="91">
        <f t="shared" si="89"/>
        <v>7780</v>
      </c>
      <c r="BP34" s="91">
        <f t="shared" si="89"/>
        <v>1373</v>
      </c>
      <c r="BQ34" s="91">
        <f t="shared" si="87"/>
        <v>9153</v>
      </c>
      <c r="BR34" s="92"/>
      <c r="BS34" s="80"/>
    </row>
    <row r="35" spans="1:71" s="13" customFormat="1" ht="78.75" customHeight="1">
      <c r="A35" s="138" t="s">
        <v>56</v>
      </c>
      <c r="B35" s="138" t="s">
        <v>266</v>
      </c>
      <c r="C35" s="139">
        <v>9558134</v>
      </c>
      <c r="D35" s="139"/>
      <c r="E35" s="139">
        <v>161534</v>
      </c>
      <c r="F35" s="140">
        <v>0</v>
      </c>
      <c r="G35" s="140">
        <v>69835</v>
      </c>
      <c r="H35" s="140">
        <v>12324</v>
      </c>
      <c r="I35" s="140">
        <f>G35+H35</f>
        <v>82159</v>
      </c>
      <c r="J35" s="140">
        <v>0</v>
      </c>
      <c r="K35" s="140">
        <f>G35+24940</f>
        <v>94775</v>
      </c>
      <c r="L35" s="140">
        <f>H35+4401</f>
        <v>16725</v>
      </c>
      <c r="M35" s="140">
        <f t="shared" si="93"/>
        <v>111500</v>
      </c>
      <c r="N35" s="140">
        <v>0</v>
      </c>
      <c r="O35" s="140">
        <f>K35+42529</f>
        <v>137304</v>
      </c>
      <c r="P35" s="140">
        <f>L35+7505</f>
        <v>24230</v>
      </c>
      <c r="Q35" s="140">
        <f t="shared" si="94"/>
        <v>161534</v>
      </c>
      <c r="R35" s="140">
        <v>0</v>
      </c>
      <c r="S35" s="140">
        <f>O35</f>
        <v>137304</v>
      </c>
      <c r="T35" s="140">
        <f>P35</f>
        <v>24230</v>
      </c>
      <c r="U35" s="140">
        <f t="shared" si="95"/>
        <v>161534</v>
      </c>
      <c r="V35" s="140">
        <v>0</v>
      </c>
      <c r="W35" s="140">
        <f>S35</f>
        <v>137304</v>
      </c>
      <c r="X35" s="140">
        <f>T35</f>
        <v>24230</v>
      </c>
      <c r="Y35" s="140">
        <f t="shared" si="96"/>
        <v>161534</v>
      </c>
      <c r="Z35" s="140">
        <v>346766</v>
      </c>
      <c r="AA35" s="140">
        <f>W35</f>
        <v>137304</v>
      </c>
      <c r="AB35" s="140">
        <f>X35</f>
        <v>24230</v>
      </c>
      <c r="AC35" s="140">
        <f t="shared" si="97"/>
        <v>161534</v>
      </c>
      <c r="AD35" s="140">
        <f>Z35</f>
        <v>346766</v>
      </c>
      <c r="AE35" s="140">
        <f>AA35</f>
        <v>137304</v>
      </c>
      <c r="AF35" s="140">
        <f>AB35</f>
        <v>24230</v>
      </c>
      <c r="AG35" s="140">
        <f t="shared" si="98"/>
        <v>161534</v>
      </c>
      <c r="AH35" s="140">
        <f>AD35</f>
        <v>346766</v>
      </c>
      <c r="AI35" s="140">
        <f>AE35</f>
        <v>137304</v>
      </c>
      <c r="AJ35" s="140">
        <f>AF35</f>
        <v>24230</v>
      </c>
      <c r="AK35" s="140">
        <f t="shared" si="99"/>
        <v>161534</v>
      </c>
      <c r="AL35" s="140">
        <f>AH35</f>
        <v>346766</v>
      </c>
      <c r="AM35" s="140">
        <f>AI35</f>
        <v>137304</v>
      </c>
      <c r="AN35" s="140">
        <f>AJ35</f>
        <v>24230</v>
      </c>
      <c r="AO35" s="140">
        <f t="shared" si="100"/>
        <v>161534</v>
      </c>
      <c r="AP35" s="140">
        <f>AL35</f>
        <v>346766</v>
      </c>
      <c r="AQ35" s="140">
        <f>AM35</f>
        <v>137304</v>
      </c>
      <c r="AR35" s="140">
        <f>AN35</f>
        <v>24230</v>
      </c>
      <c r="AS35" s="140">
        <f t="shared" si="101"/>
        <v>161534</v>
      </c>
      <c r="AT35" s="140">
        <f t="shared" si="104"/>
        <v>346766</v>
      </c>
      <c r="AU35" s="140">
        <f t="shared" si="104"/>
        <v>137304</v>
      </c>
      <c r="AV35" s="140">
        <f t="shared" si="104"/>
        <v>24230</v>
      </c>
      <c r="AW35" s="140">
        <f t="shared" si="102"/>
        <v>161534</v>
      </c>
      <c r="AX35" s="140">
        <f t="shared" si="105"/>
        <v>346766</v>
      </c>
      <c r="AY35" s="140">
        <f t="shared" si="105"/>
        <v>137304</v>
      </c>
      <c r="AZ35" s="140">
        <f t="shared" si="105"/>
        <v>24230</v>
      </c>
      <c r="BA35" s="140">
        <f t="shared" si="103"/>
        <v>161534</v>
      </c>
      <c r="BB35" s="91">
        <v>398708</v>
      </c>
      <c r="BC35" s="91">
        <v>0</v>
      </c>
      <c r="BD35" s="91">
        <v>0</v>
      </c>
      <c r="BE35" s="91">
        <v>0</v>
      </c>
      <c r="BF35" s="91">
        <v>0</v>
      </c>
      <c r="BG35" s="91">
        <v>0</v>
      </c>
      <c r="BH35" s="91">
        <v>0</v>
      </c>
      <c r="BI35" s="91">
        <v>0</v>
      </c>
      <c r="BJ35" s="91">
        <v>0</v>
      </c>
      <c r="BK35" s="91">
        <v>0</v>
      </c>
      <c r="BL35" s="91">
        <v>0</v>
      </c>
      <c r="BM35" s="91">
        <v>0</v>
      </c>
      <c r="BN35" s="91" t="e">
        <f>#REF!+AX35+BB35+BF35+BJ35</f>
        <v>#REF!</v>
      </c>
      <c r="BO35" s="91">
        <f t="shared" si="89"/>
        <v>137304</v>
      </c>
      <c r="BP35" s="91">
        <f t="shared" si="89"/>
        <v>24230</v>
      </c>
      <c r="BQ35" s="91">
        <f t="shared" si="87"/>
        <v>161534</v>
      </c>
      <c r="BR35" s="92"/>
      <c r="BS35" s="80"/>
    </row>
    <row r="36" spans="1:71" s="13" customFormat="1" ht="85.5" customHeight="1">
      <c r="A36" s="138" t="s">
        <v>57</v>
      </c>
      <c r="B36" s="138" t="s">
        <v>267</v>
      </c>
      <c r="C36" s="139">
        <v>3880000</v>
      </c>
      <c r="D36" s="139"/>
      <c r="E36" s="139">
        <f>282838+979070</f>
        <v>1261908</v>
      </c>
      <c r="F36" s="140">
        <v>0</v>
      </c>
      <c r="G36" s="140">
        <v>50439</v>
      </c>
      <c r="H36" s="140">
        <v>8901</v>
      </c>
      <c r="I36" s="140">
        <f t="shared" si="90"/>
        <v>59340</v>
      </c>
      <c r="J36" s="140">
        <v>48782</v>
      </c>
      <c r="K36" s="140">
        <f>48782+G36+54832</f>
        <v>154053</v>
      </c>
      <c r="L36" s="140">
        <f>H36+8608+9676</f>
        <v>27185</v>
      </c>
      <c r="M36" s="140">
        <f t="shared" si="93"/>
        <v>181238</v>
      </c>
      <c r="N36" s="140">
        <f>J36+26387</f>
        <v>75169</v>
      </c>
      <c r="O36" s="140">
        <f>K36+26387+63206</f>
        <v>243646</v>
      </c>
      <c r="P36" s="140">
        <f>L36+4656+11154</f>
        <v>42995</v>
      </c>
      <c r="Q36" s="140">
        <f t="shared" si="94"/>
        <v>286641</v>
      </c>
      <c r="R36" s="140">
        <f>N36</f>
        <v>75169</v>
      </c>
      <c r="S36" s="140">
        <f>O36+79557</f>
        <v>323203</v>
      </c>
      <c r="T36" s="140">
        <f>P36+14039</f>
        <v>57034</v>
      </c>
      <c r="U36" s="140">
        <f t="shared" si="95"/>
        <v>380237</v>
      </c>
      <c r="V36" s="140">
        <f>R36+268946</f>
        <v>344115</v>
      </c>
      <c r="W36" s="140">
        <f>S36+61440</f>
        <v>384643</v>
      </c>
      <c r="X36" s="140">
        <f>T36+10842</f>
        <v>67876</v>
      </c>
      <c r="Y36" s="140">
        <f t="shared" si="96"/>
        <v>452519</v>
      </c>
      <c r="Z36" s="140">
        <f>V36</f>
        <v>344115</v>
      </c>
      <c r="AA36" s="140">
        <f>W36+78681</f>
        <v>463324</v>
      </c>
      <c r="AB36" s="140">
        <f>X36+13885</f>
        <v>81761</v>
      </c>
      <c r="AC36" s="140">
        <f t="shared" si="97"/>
        <v>545085</v>
      </c>
      <c r="AD36" s="140">
        <f>Z36+80645+71763</f>
        <v>496523</v>
      </c>
      <c r="AE36" s="140">
        <f>AA36+80645+56995</f>
        <v>600964</v>
      </c>
      <c r="AF36" s="140">
        <f>AB36+14231+10058</f>
        <v>106050</v>
      </c>
      <c r="AG36" s="140">
        <f t="shared" si="98"/>
        <v>707014</v>
      </c>
      <c r="AH36" s="140">
        <f>AD36</f>
        <v>496523</v>
      </c>
      <c r="AI36" s="140">
        <f>AE36+54401</f>
        <v>655365</v>
      </c>
      <c r="AJ36" s="140">
        <f>AF36+9600</f>
        <v>115650</v>
      </c>
      <c r="AK36" s="140">
        <f t="shared" si="99"/>
        <v>771015</v>
      </c>
      <c r="AL36" s="140">
        <f>AH36</f>
        <v>496523</v>
      </c>
      <c r="AM36" s="140">
        <f>AI36+88298</f>
        <v>743663</v>
      </c>
      <c r="AN36" s="140">
        <f>AJ36+15582</f>
        <v>131232</v>
      </c>
      <c r="AO36" s="140">
        <f t="shared" si="100"/>
        <v>874895</v>
      </c>
      <c r="AP36" s="140">
        <f>AL36+201772</f>
        <v>698295</v>
      </c>
      <c r="AQ36" s="140">
        <f>AM36+79586</f>
        <v>823249</v>
      </c>
      <c r="AR36" s="140">
        <f>AN36+14045</f>
        <v>145277</v>
      </c>
      <c r="AS36" s="140">
        <f t="shared" si="101"/>
        <v>968526</v>
      </c>
      <c r="AT36" s="140">
        <f>AP36+84598</f>
        <v>782893</v>
      </c>
      <c r="AU36" s="140">
        <f>AQ36+84598+76003</f>
        <v>983850</v>
      </c>
      <c r="AV36" s="140">
        <f>AR36+14929+13412</f>
        <v>173618</v>
      </c>
      <c r="AW36" s="140">
        <f t="shared" si="102"/>
        <v>1157468</v>
      </c>
      <c r="AX36" s="140">
        <f>AT36</f>
        <v>782893</v>
      </c>
      <c r="AY36" s="140">
        <f>AU36+88773</f>
        <v>1072623</v>
      </c>
      <c r="AZ36" s="140">
        <f>AV36+15667</f>
        <v>189285</v>
      </c>
      <c r="BA36" s="140">
        <f t="shared" si="103"/>
        <v>1261908</v>
      </c>
      <c r="BB36" s="91">
        <f>182145+787041</f>
        <v>969186</v>
      </c>
      <c r="BC36" s="91">
        <f>182145+768694</f>
        <v>950839</v>
      </c>
      <c r="BD36" s="91">
        <f>32143+135652</f>
        <v>167795</v>
      </c>
      <c r="BE36" s="91">
        <f>214288+702512</f>
        <v>916800</v>
      </c>
      <c r="BF36" s="91">
        <v>1421528</v>
      </c>
      <c r="BG36" s="91">
        <v>0</v>
      </c>
      <c r="BH36" s="91">
        <v>0</v>
      </c>
      <c r="BI36" s="91">
        <v>0</v>
      </c>
      <c r="BJ36" s="91">
        <v>0</v>
      </c>
      <c r="BK36" s="91">
        <v>0</v>
      </c>
      <c r="BL36" s="91">
        <v>0</v>
      </c>
      <c r="BM36" s="91">
        <v>0</v>
      </c>
      <c r="BN36" s="91" t="e">
        <f>#REF!+AX36+BB36+BF36+BJ36</f>
        <v>#REF!</v>
      </c>
      <c r="BO36" s="91">
        <f t="shared" si="89"/>
        <v>2023462</v>
      </c>
      <c r="BP36" s="91">
        <f t="shared" si="89"/>
        <v>357080</v>
      </c>
      <c r="BQ36" s="91">
        <f t="shared" si="87"/>
        <v>2380542</v>
      </c>
      <c r="BR36" s="92"/>
      <c r="BS36" s="80"/>
    </row>
    <row r="37" spans="1:71" s="13" customFormat="1" ht="107.25" customHeight="1">
      <c r="A37" s="138" t="s">
        <v>58</v>
      </c>
      <c r="B37" s="138" t="s">
        <v>268</v>
      </c>
      <c r="C37" s="139">
        <v>0</v>
      </c>
      <c r="D37" s="139"/>
      <c r="E37" s="139">
        <v>0</v>
      </c>
      <c r="F37" s="140"/>
      <c r="G37" s="140"/>
      <c r="H37" s="140"/>
      <c r="I37" s="140">
        <f t="shared" si="90"/>
        <v>0</v>
      </c>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91"/>
      <c r="BC37" s="91"/>
      <c r="BD37" s="91"/>
      <c r="BE37" s="91"/>
      <c r="BF37" s="91"/>
      <c r="BG37" s="91"/>
      <c r="BH37" s="91"/>
      <c r="BI37" s="91"/>
      <c r="BJ37" s="91"/>
      <c r="BK37" s="91"/>
      <c r="BL37" s="91"/>
      <c r="BM37" s="91"/>
      <c r="BN37" s="91" t="e">
        <f>#REF!+AX37+BB37+BF37+BJ37</f>
        <v>#REF!</v>
      </c>
      <c r="BO37" s="91">
        <f t="shared" si="89"/>
        <v>0</v>
      </c>
      <c r="BP37" s="91">
        <f t="shared" si="89"/>
        <v>0</v>
      </c>
      <c r="BQ37" s="91">
        <f t="shared" si="87"/>
        <v>0</v>
      </c>
      <c r="BR37" s="92"/>
      <c r="BS37" s="80"/>
    </row>
    <row r="38" spans="1:71" s="13" customFormat="1" ht="39.75" customHeight="1">
      <c r="A38" s="138" t="s">
        <v>59</v>
      </c>
      <c r="B38" s="138" t="s">
        <v>269</v>
      </c>
      <c r="C38" s="139">
        <v>0</v>
      </c>
      <c r="D38" s="139"/>
      <c r="E38" s="139">
        <v>0</v>
      </c>
      <c r="F38" s="140"/>
      <c r="G38" s="140"/>
      <c r="H38" s="140"/>
      <c r="I38" s="140">
        <f t="shared" si="90"/>
        <v>0</v>
      </c>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91"/>
      <c r="BC38" s="91"/>
      <c r="BD38" s="91"/>
      <c r="BE38" s="91"/>
      <c r="BF38" s="91"/>
      <c r="BG38" s="91"/>
      <c r="BH38" s="91"/>
      <c r="BI38" s="91"/>
      <c r="BJ38" s="91"/>
      <c r="BK38" s="91"/>
      <c r="BL38" s="91"/>
      <c r="BM38" s="91"/>
      <c r="BN38" s="91" t="e">
        <f>#REF!+AX38+BB38+BF38+BJ38</f>
        <v>#REF!</v>
      </c>
      <c r="BO38" s="91">
        <f t="shared" si="89"/>
        <v>0</v>
      </c>
      <c r="BP38" s="91">
        <f t="shared" si="89"/>
        <v>0</v>
      </c>
      <c r="BQ38" s="91">
        <f t="shared" si="87"/>
        <v>0</v>
      </c>
      <c r="BR38" s="92"/>
      <c r="BS38" s="80"/>
    </row>
    <row r="39" spans="1:71" s="13" customFormat="1" ht="80.25" customHeight="1">
      <c r="A39" s="138" t="s">
        <v>60</v>
      </c>
      <c r="B39" s="138" t="s">
        <v>270</v>
      </c>
      <c r="C39" s="139">
        <v>16956067.876044001</v>
      </c>
      <c r="D39" s="139"/>
      <c r="E39" s="139">
        <v>1863796</v>
      </c>
      <c r="F39" s="140">
        <v>0</v>
      </c>
      <c r="G39" s="140">
        <v>358213</v>
      </c>
      <c r="H39" s="140">
        <v>63214</v>
      </c>
      <c r="I39" s="140">
        <f>G39+H39</f>
        <v>421427</v>
      </c>
      <c r="J39" s="140">
        <v>0</v>
      </c>
      <c r="K39" s="140">
        <f>G39+116292</f>
        <v>474505</v>
      </c>
      <c r="L39" s="140">
        <f>H39+20522</f>
        <v>83736</v>
      </c>
      <c r="M39" s="140">
        <f>K39+L39</f>
        <v>558241</v>
      </c>
      <c r="N39" s="140">
        <v>0</v>
      </c>
      <c r="O39" s="140">
        <f>K39+116292</f>
        <v>590797</v>
      </c>
      <c r="P39" s="140">
        <f>L39+20522</f>
        <v>104258</v>
      </c>
      <c r="Q39" s="140">
        <f>O39+P39</f>
        <v>695055</v>
      </c>
      <c r="R39" s="140">
        <v>877389</v>
      </c>
      <c r="S39" s="140">
        <f>O39+124203</f>
        <v>715000</v>
      </c>
      <c r="T39" s="140">
        <f>P39+21918</f>
        <v>126176</v>
      </c>
      <c r="U39" s="140">
        <f>S39+T39</f>
        <v>841176</v>
      </c>
      <c r="V39" s="140">
        <f>R39</f>
        <v>877389</v>
      </c>
      <c r="W39" s="140">
        <f>S39+136642</f>
        <v>851642</v>
      </c>
      <c r="X39" s="140">
        <f>T39+24113</f>
        <v>150289</v>
      </c>
      <c r="Y39" s="140">
        <f>W39+X39</f>
        <v>1001931</v>
      </c>
      <c r="Z39" s="140">
        <f>V39</f>
        <v>877389</v>
      </c>
      <c r="AA39" s="140">
        <f>W39+128731</f>
        <v>980373</v>
      </c>
      <c r="AB39" s="140">
        <f>X39+22717</f>
        <v>173006</v>
      </c>
      <c r="AC39" s="140">
        <f>AA39+AB39</f>
        <v>1153379</v>
      </c>
      <c r="AD39" s="140">
        <f>Z39</f>
        <v>877389</v>
      </c>
      <c r="AE39" s="140">
        <f>AA39+116292</f>
        <v>1096665</v>
      </c>
      <c r="AF39" s="140">
        <f>AB39+20522</f>
        <v>193528</v>
      </c>
      <c r="AG39" s="140">
        <f>AE39+AF39</f>
        <v>1290193</v>
      </c>
      <c r="AH39" s="140">
        <f>AD39</f>
        <v>877389</v>
      </c>
      <c r="AI39" s="140">
        <f>AE39+116292</f>
        <v>1212957</v>
      </c>
      <c r="AJ39" s="140">
        <f>AF39+20522</f>
        <v>214050</v>
      </c>
      <c r="AK39" s="140">
        <f>AI39+AJ39</f>
        <v>1427007</v>
      </c>
      <c r="AL39" s="140">
        <f>AH39</f>
        <v>877389</v>
      </c>
      <c r="AM39" s="140">
        <f>AI39+116292</f>
        <v>1329249</v>
      </c>
      <c r="AN39" s="140">
        <f>AJ39+20522</f>
        <v>234572</v>
      </c>
      <c r="AO39" s="140">
        <f>AM39+AN39</f>
        <v>1563821</v>
      </c>
      <c r="AP39" s="140">
        <f>AL39</f>
        <v>877389</v>
      </c>
      <c r="AQ39" s="140">
        <f>AM39+84993</f>
        <v>1414242</v>
      </c>
      <c r="AR39" s="140">
        <f>AN39+14999</f>
        <v>249571</v>
      </c>
      <c r="AS39" s="140">
        <f>AQ39+AR39</f>
        <v>1663813</v>
      </c>
      <c r="AT39" s="140">
        <f>AP39</f>
        <v>877389</v>
      </c>
      <c r="AU39" s="140">
        <f>AQ39+84993</f>
        <v>1499235</v>
      </c>
      <c r="AV39" s="140">
        <f>AR39+14999</f>
        <v>264570</v>
      </c>
      <c r="AW39" s="140">
        <f>AU39+AV39</f>
        <v>1763805</v>
      </c>
      <c r="AX39" s="140">
        <f>AT39</f>
        <v>877389</v>
      </c>
      <c r="AY39" s="140">
        <f>AU39+84993</f>
        <v>1584228</v>
      </c>
      <c r="AZ39" s="140">
        <f>AV39+14998</f>
        <v>279568</v>
      </c>
      <c r="BA39" s="140">
        <f>AY39+AZ39</f>
        <v>1863796</v>
      </c>
      <c r="BB39" s="91">
        <v>2593000</v>
      </c>
      <c r="BC39" s="91">
        <v>0</v>
      </c>
      <c r="BD39" s="91">
        <v>0</v>
      </c>
      <c r="BE39" s="91">
        <v>0</v>
      </c>
      <c r="BF39" s="91">
        <v>0</v>
      </c>
      <c r="BG39" s="91">
        <v>0</v>
      </c>
      <c r="BH39" s="91">
        <v>0</v>
      </c>
      <c r="BI39" s="91">
        <v>0</v>
      </c>
      <c r="BJ39" s="91">
        <v>0</v>
      </c>
      <c r="BK39" s="91">
        <v>0</v>
      </c>
      <c r="BL39" s="91">
        <v>0</v>
      </c>
      <c r="BM39" s="91">
        <v>0</v>
      </c>
      <c r="BN39" s="91" t="e">
        <f>#REF!+AX39+BB39+BF39+BJ39</f>
        <v>#REF!</v>
      </c>
      <c r="BO39" s="91">
        <f t="shared" si="89"/>
        <v>1584228</v>
      </c>
      <c r="BP39" s="91">
        <f t="shared" si="89"/>
        <v>279568</v>
      </c>
      <c r="BQ39" s="91">
        <f t="shared" si="87"/>
        <v>1863796</v>
      </c>
      <c r="BR39" s="92"/>
      <c r="BS39" s="80"/>
    </row>
    <row r="40" spans="1:71" s="13" customFormat="1" ht="78.75" customHeight="1">
      <c r="A40" s="138" t="s">
        <v>61</v>
      </c>
      <c r="B40" s="138" t="s">
        <v>271</v>
      </c>
      <c r="C40" s="139">
        <v>0</v>
      </c>
      <c r="D40" s="139"/>
      <c r="E40" s="139">
        <v>0</v>
      </c>
      <c r="F40" s="140"/>
      <c r="G40" s="140"/>
      <c r="H40" s="140"/>
      <c r="I40" s="140">
        <f t="shared" si="90"/>
        <v>0</v>
      </c>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91"/>
      <c r="BC40" s="91"/>
      <c r="BD40" s="91"/>
      <c r="BE40" s="91"/>
      <c r="BF40" s="91"/>
      <c r="BG40" s="91"/>
      <c r="BH40" s="91"/>
      <c r="BI40" s="91"/>
      <c r="BJ40" s="91"/>
      <c r="BK40" s="91"/>
      <c r="BL40" s="91"/>
      <c r="BM40" s="91"/>
      <c r="BN40" s="91" t="e">
        <f>#REF!+AX40+BB40+BF40+BJ40</f>
        <v>#REF!</v>
      </c>
      <c r="BO40" s="91">
        <f t="shared" si="89"/>
        <v>0</v>
      </c>
      <c r="BP40" s="91">
        <f t="shared" si="89"/>
        <v>0</v>
      </c>
      <c r="BQ40" s="91">
        <f t="shared" si="87"/>
        <v>0</v>
      </c>
      <c r="BR40" s="92"/>
      <c r="BS40" s="80"/>
    </row>
    <row r="41" spans="1:71" s="13" customFormat="1" ht="104.25" customHeight="1">
      <c r="A41" s="138" t="s">
        <v>62</v>
      </c>
      <c r="B41" s="138" t="s">
        <v>272</v>
      </c>
      <c r="C41" s="139">
        <v>0</v>
      </c>
      <c r="D41" s="139"/>
      <c r="E41" s="139">
        <v>0</v>
      </c>
      <c r="F41" s="140"/>
      <c r="G41" s="140"/>
      <c r="H41" s="140"/>
      <c r="I41" s="140">
        <f t="shared" si="90"/>
        <v>0</v>
      </c>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91"/>
      <c r="BC41" s="91"/>
      <c r="BD41" s="91"/>
      <c r="BE41" s="91"/>
      <c r="BF41" s="91"/>
      <c r="BG41" s="91"/>
      <c r="BH41" s="91"/>
      <c r="BI41" s="91"/>
      <c r="BJ41" s="91"/>
      <c r="BK41" s="91"/>
      <c r="BL41" s="91"/>
      <c r="BM41" s="91"/>
      <c r="BN41" s="91" t="e">
        <f>#REF!+AX41+BB41+BF41+BJ41</f>
        <v>#REF!</v>
      </c>
      <c r="BO41" s="91">
        <f t="shared" si="89"/>
        <v>0</v>
      </c>
      <c r="BP41" s="91">
        <f t="shared" si="89"/>
        <v>0</v>
      </c>
      <c r="BQ41" s="91">
        <f t="shared" si="87"/>
        <v>0</v>
      </c>
      <c r="BR41" s="92"/>
      <c r="BS41" s="80"/>
    </row>
    <row r="42" spans="1:71" s="13" customFormat="1" ht="78" customHeight="1">
      <c r="A42" s="138" t="s">
        <v>63</v>
      </c>
      <c r="B42" s="138" t="s">
        <v>421</v>
      </c>
      <c r="C42" s="139">
        <v>0</v>
      </c>
      <c r="D42" s="139"/>
      <c r="E42" s="139">
        <v>0</v>
      </c>
      <c r="F42" s="140"/>
      <c r="G42" s="140"/>
      <c r="H42" s="140"/>
      <c r="I42" s="140">
        <f t="shared" si="90"/>
        <v>0</v>
      </c>
      <c r="J42" s="140"/>
      <c r="K42" s="140"/>
      <c r="L42" s="140"/>
      <c r="M42" s="140"/>
      <c r="N42" s="140"/>
      <c r="O42" s="140"/>
      <c r="P42" s="140"/>
      <c r="Q42" s="140"/>
      <c r="R42" s="140"/>
      <c r="S42" s="140"/>
      <c r="T42" s="140"/>
      <c r="U42" s="140"/>
      <c r="V42" s="140"/>
      <c r="W42" s="140"/>
      <c r="X42" s="140"/>
      <c r="Y42" s="140">
        <v>0</v>
      </c>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91"/>
      <c r="BC42" s="91"/>
      <c r="BD42" s="91"/>
      <c r="BE42" s="91"/>
      <c r="BF42" s="91"/>
      <c r="BG42" s="91"/>
      <c r="BH42" s="91"/>
      <c r="BI42" s="91"/>
      <c r="BJ42" s="91"/>
      <c r="BK42" s="91"/>
      <c r="BL42" s="91"/>
      <c r="BM42" s="91"/>
      <c r="BN42" s="91" t="e">
        <f>#REF!+AX42+BB42+BF42+BJ42</f>
        <v>#REF!</v>
      </c>
      <c r="BO42" s="91">
        <f t="shared" si="89"/>
        <v>0</v>
      </c>
      <c r="BP42" s="91">
        <f t="shared" si="89"/>
        <v>0</v>
      </c>
      <c r="BQ42" s="91">
        <f t="shared" si="87"/>
        <v>0</v>
      </c>
      <c r="BR42" s="92"/>
      <c r="BS42" s="80"/>
    </row>
    <row r="43" spans="1:71" s="13" customFormat="1" ht="42.75" customHeight="1">
      <c r="A43" s="138" t="s">
        <v>64</v>
      </c>
      <c r="B43" s="138" t="s">
        <v>273</v>
      </c>
      <c r="C43" s="139">
        <v>973356.13064400002</v>
      </c>
      <c r="D43" s="139"/>
      <c r="E43" s="139">
        <v>192378</v>
      </c>
      <c r="F43" s="140">
        <v>0</v>
      </c>
      <c r="G43" s="140">
        <v>4423</v>
      </c>
      <c r="H43" s="140">
        <v>0</v>
      </c>
      <c r="I43" s="140">
        <f>G43+H43</f>
        <v>4423</v>
      </c>
      <c r="J43" s="140">
        <v>0</v>
      </c>
      <c r="K43" s="140">
        <f>G43+163</f>
        <v>4586</v>
      </c>
      <c r="L43" s="140">
        <v>0</v>
      </c>
      <c r="M43" s="140">
        <f>K43+L43</f>
        <v>4586</v>
      </c>
      <c r="N43" s="140">
        <v>0</v>
      </c>
      <c r="O43" s="140">
        <f>K43+95141</f>
        <v>99727</v>
      </c>
      <c r="P43" s="140">
        <v>0</v>
      </c>
      <c r="Q43" s="140">
        <f>O43+P43</f>
        <v>99727</v>
      </c>
      <c r="R43" s="140">
        <v>0</v>
      </c>
      <c r="S43" s="140">
        <f>O43+313</f>
        <v>100040</v>
      </c>
      <c r="T43" s="140">
        <v>0</v>
      </c>
      <c r="U43" s="140">
        <f>S43+T43</f>
        <v>100040</v>
      </c>
      <c r="V43" s="140">
        <v>194891</v>
      </c>
      <c r="W43" s="140">
        <f>S43+1363</f>
        <v>101403</v>
      </c>
      <c r="X43" s="140">
        <v>0</v>
      </c>
      <c r="Y43" s="140">
        <f>W43+X43</f>
        <v>101403</v>
      </c>
      <c r="Z43" s="140">
        <v>194891</v>
      </c>
      <c r="AA43" s="140">
        <f>W43+163</f>
        <v>101566</v>
      </c>
      <c r="AB43" s="140">
        <v>0</v>
      </c>
      <c r="AC43" s="140">
        <f>AA43</f>
        <v>101566</v>
      </c>
      <c r="AD43" s="140">
        <v>194891</v>
      </c>
      <c r="AE43" s="140">
        <f>AA43+1518</f>
        <v>103084</v>
      </c>
      <c r="AF43" s="140">
        <v>0</v>
      </c>
      <c r="AG43" s="140">
        <f>AE43</f>
        <v>103084</v>
      </c>
      <c r="AH43" s="140">
        <v>194891</v>
      </c>
      <c r="AI43" s="140">
        <f>AE43+54653</f>
        <v>157737</v>
      </c>
      <c r="AJ43" s="140">
        <v>0</v>
      </c>
      <c r="AK43" s="140">
        <f>AI43</f>
        <v>157737</v>
      </c>
      <c r="AL43" s="140">
        <v>194891</v>
      </c>
      <c r="AM43" s="140">
        <f>AI43+969</f>
        <v>158706</v>
      </c>
      <c r="AN43" s="140">
        <v>0</v>
      </c>
      <c r="AO43" s="140">
        <f>AM43</f>
        <v>158706</v>
      </c>
      <c r="AP43" s="140">
        <v>194891</v>
      </c>
      <c r="AQ43" s="140">
        <f>AM43+2389</f>
        <v>161095</v>
      </c>
      <c r="AR43" s="140">
        <v>0</v>
      </c>
      <c r="AS43" s="140">
        <f>AQ43</f>
        <v>161095</v>
      </c>
      <c r="AT43" s="140">
        <v>194891</v>
      </c>
      <c r="AU43" s="140">
        <f>AQ43+969</f>
        <v>162064</v>
      </c>
      <c r="AV43" s="140">
        <v>0</v>
      </c>
      <c r="AW43" s="140">
        <f>AU43</f>
        <v>162064</v>
      </c>
      <c r="AX43" s="140">
        <v>194891</v>
      </c>
      <c r="AY43" s="140">
        <f>AU43+30314</f>
        <v>192378</v>
      </c>
      <c r="AZ43" s="140">
        <v>0</v>
      </c>
      <c r="BA43" s="140">
        <f>AY43</f>
        <v>192378</v>
      </c>
      <c r="BB43" s="91">
        <v>192378</v>
      </c>
      <c r="BC43" s="91">
        <v>227747</v>
      </c>
      <c r="BD43" s="91">
        <v>0</v>
      </c>
      <c r="BE43" s="91">
        <f>BC43</f>
        <v>227747</v>
      </c>
      <c r="BF43" s="91">
        <v>227747</v>
      </c>
      <c r="BG43" s="91">
        <v>174357</v>
      </c>
      <c r="BH43" s="91">
        <v>0</v>
      </c>
      <c r="BI43" s="91">
        <f>BG43</f>
        <v>174357</v>
      </c>
      <c r="BJ43" s="91">
        <v>225946</v>
      </c>
      <c r="BK43" s="91">
        <v>138939</v>
      </c>
      <c r="BL43" s="91">
        <v>0</v>
      </c>
      <c r="BM43" s="91">
        <v>0</v>
      </c>
      <c r="BN43" s="91" t="e">
        <f>#REF!+AX43+BB43+BF43+BJ43</f>
        <v>#REF!</v>
      </c>
      <c r="BO43" s="91">
        <f t="shared" si="89"/>
        <v>733421</v>
      </c>
      <c r="BP43" s="91">
        <f t="shared" si="89"/>
        <v>0</v>
      </c>
      <c r="BQ43" s="91">
        <f t="shared" si="87"/>
        <v>733421</v>
      </c>
      <c r="BR43" s="92"/>
      <c r="BS43" s="80"/>
    </row>
    <row r="44" spans="1:71" s="13" customFormat="1" ht="143.25" customHeight="1">
      <c r="A44" s="138" t="s">
        <v>65</v>
      </c>
      <c r="B44" s="138" t="s">
        <v>274</v>
      </c>
      <c r="C44" s="139">
        <v>3584300</v>
      </c>
      <c r="D44" s="139"/>
      <c r="E44" s="139">
        <f>503220+966449+325415</f>
        <v>1795084</v>
      </c>
      <c r="F44" s="140">
        <v>0</v>
      </c>
      <c r="G44" s="140">
        <v>90873</v>
      </c>
      <c r="H44" s="140">
        <v>16036</v>
      </c>
      <c r="I44" s="140">
        <f t="shared" si="90"/>
        <v>106909</v>
      </c>
      <c r="J44" s="140">
        <f>21916+12837+61118</f>
        <v>95871</v>
      </c>
      <c r="K44" s="140">
        <f>G44+21916+73943</f>
        <v>186732</v>
      </c>
      <c r="L44" s="140">
        <f>H44+13049+3868</f>
        <v>32953</v>
      </c>
      <c r="M44" s="140">
        <f>K44+L44</f>
        <v>219685</v>
      </c>
      <c r="N44" s="140">
        <f>J44+86571</f>
        <v>182442</v>
      </c>
      <c r="O44" s="140">
        <f>K44+93560</f>
        <v>280292</v>
      </c>
      <c r="P44" s="140">
        <f>L44+16511</f>
        <v>49464</v>
      </c>
      <c r="Q44" s="140">
        <f>O44+P44</f>
        <v>329756</v>
      </c>
      <c r="R44" s="140">
        <f>N44</f>
        <v>182442</v>
      </c>
      <c r="S44" s="140">
        <f>O44+75477</f>
        <v>355769</v>
      </c>
      <c r="T44" s="140">
        <f>P44+13319</f>
        <v>62783</v>
      </c>
      <c r="U44" s="140">
        <f>S44+T44</f>
        <v>418552</v>
      </c>
      <c r="V44" s="140">
        <f>R44+135316</f>
        <v>317758</v>
      </c>
      <c r="W44" s="140">
        <f>S44+68944</f>
        <v>424713</v>
      </c>
      <c r="X44" s="140">
        <f>T44+12167</f>
        <v>74950</v>
      </c>
      <c r="Y44" s="140">
        <f>W44+X44</f>
        <v>499663</v>
      </c>
      <c r="Z44" s="140">
        <f>V44</f>
        <v>317758</v>
      </c>
      <c r="AA44" s="140">
        <f>W44+84197</f>
        <v>508910</v>
      </c>
      <c r="AB44" s="140">
        <f>X44+14858</f>
        <v>89808</v>
      </c>
      <c r="AC44" s="140">
        <f>AA44+AB44</f>
        <v>598718</v>
      </c>
      <c r="AD44" s="140">
        <f>Z44+42265</f>
        <v>360023</v>
      </c>
      <c r="AE44" s="140">
        <f>AA44+42265+114676</f>
        <v>665851</v>
      </c>
      <c r="AF44" s="140">
        <f>AB44+7459+20237</f>
        <v>117504</v>
      </c>
      <c r="AG44" s="140">
        <f>AE44+AF44</f>
        <v>783355</v>
      </c>
      <c r="AH44" s="140">
        <f>AD44</f>
        <v>360023</v>
      </c>
      <c r="AI44" s="140">
        <f>AE44+81578</f>
        <v>747429</v>
      </c>
      <c r="AJ44" s="140">
        <f>AF44+14396</f>
        <v>131900</v>
      </c>
      <c r="AK44" s="140">
        <f>AI44+AJ44</f>
        <v>879329</v>
      </c>
      <c r="AL44" s="140">
        <f>AH44</f>
        <v>360023</v>
      </c>
      <c r="AM44" s="140">
        <f>AI44+91867</f>
        <v>839296</v>
      </c>
      <c r="AN44" s="140">
        <f>AJ44+16212</f>
        <v>148112</v>
      </c>
      <c r="AO44" s="140">
        <f>AM44+AN44</f>
        <v>987408</v>
      </c>
      <c r="AP44" s="140">
        <f>AL44+47962</f>
        <v>407985</v>
      </c>
      <c r="AQ44" s="140">
        <f>AM44+47962+142685</f>
        <v>1029943</v>
      </c>
      <c r="AR44" s="140">
        <f>AN44+8464+25180</f>
        <v>181756</v>
      </c>
      <c r="AS44" s="140">
        <f>AQ44+AR44</f>
        <v>1211699</v>
      </c>
      <c r="AT44" s="140">
        <f>AP44</f>
        <v>407985</v>
      </c>
      <c r="AU44" s="140">
        <f>AQ44+96287</f>
        <v>1126230</v>
      </c>
      <c r="AV44" s="140">
        <f>AR44+16992</f>
        <v>198748</v>
      </c>
      <c r="AW44" s="140">
        <f>AU44+AV44</f>
        <v>1324978</v>
      </c>
      <c r="AX44" s="140">
        <f>AT44+315594</f>
        <v>723579</v>
      </c>
      <c r="AY44" s="140">
        <f>AU44+315594+83999</f>
        <v>1525823</v>
      </c>
      <c r="AZ44" s="140">
        <f>AV44+55693+14820</f>
        <v>269261</v>
      </c>
      <c r="BA44" s="140">
        <f>AY44+AZ44</f>
        <v>1795084</v>
      </c>
      <c r="BB44" s="91">
        <f>654804+1432186</f>
        <v>2086990</v>
      </c>
      <c r="BC44" s="91">
        <f>654804+545944</f>
        <v>1200748</v>
      </c>
      <c r="BD44" s="91">
        <f>115554+96343</f>
        <v>211897</v>
      </c>
      <c r="BE44" s="91">
        <f>770358+359922</f>
        <v>1130280</v>
      </c>
      <c r="BF44" s="91">
        <f>136000+410697</f>
        <v>546697</v>
      </c>
      <c r="BG44" s="91">
        <v>136000</v>
      </c>
      <c r="BH44" s="91">
        <v>24000</v>
      </c>
      <c r="BI44" s="91">
        <f>BG44+BH44</f>
        <v>160000</v>
      </c>
      <c r="BJ44" s="91">
        <v>0</v>
      </c>
      <c r="BK44" s="91">
        <v>0</v>
      </c>
      <c r="BL44" s="91">
        <v>0</v>
      </c>
      <c r="BM44" s="91">
        <v>0</v>
      </c>
      <c r="BN44" s="91" t="e">
        <f>#REF!+AX44+BB44+BF44+BJ44</f>
        <v>#REF!</v>
      </c>
      <c r="BO44" s="91">
        <f t="shared" si="89"/>
        <v>2862571</v>
      </c>
      <c r="BP44" s="91">
        <f t="shared" si="89"/>
        <v>505158</v>
      </c>
      <c r="BQ44" s="91">
        <f t="shared" si="87"/>
        <v>3367729</v>
      </c>
      <c r="BR44" s="92"/>
      <c r="BS44" s="80"/>
    </row>
    <row r="45" spans="1:71" s="13" customFormat="1" ht="105.75" customHeight="1">
      <c r="A45" s="138" t="s">
        <v>66</v>
      </c>
      <c r="B45" s="138" t="s">
        <v>275</v>
      </c>
      <c r="C45" s="139">
        <v>6008974</v>
      </c>
      <c r="D45" s="139"/>
      <c r="E45" s="139">
        <f>322378+57950+21940</f>
        <v>402268</v>
      </c>
      <c r="F45" s="140">
        <v>0</v>
      </c>
      <c r="G45" s="140">
        <v>18376</v>
      </c>
      <c r="H45" s="140">
        <v>0</v>
      </c>
      <c r="I45" s="140">
        <f t="shared" si="90"/>
        <v>18376</v>
      </c>
      <c r="J45" s="140">
        <v>0</v>
      </c>
      <c r="K45" s="140">
        <f>G45+15179</f>
        <v>33555</v>
      </c>
      <c r="L45" s="140">
        <v>0</v>
      </c>
      <c r="M45" s="140">
        <f>K45+L45</f>
        <v>33555</v>
      </c>
      <c r="N45" s="140">
        <v>39283</v>
      </c>
      <c r="O45" s="140">
        <f>K45+15179</f>
        <v>48734</v>
      </c>
      <c r="P45" s="140"/>
      <c r="Q45" s="140">
        <f>O45+P45</f>
        <v>48734</v>
      </c>
      <c r="R45" s="140">
        <f>166220+78917</f>
        <v>245137</v>
      </c>
      <c r="S45" s="140">
        <f>O45+166220+8788</f>
        <v>223742</v>
      </c>
      <c r="T45" s="140">
        <v>0</v>
      </c>
      <c r="U45" s="140">
        <f>S45+T45</f>
        <v>223742</v>
      </c>
      <c r="V45" s="140">
        <f>R45+51373+19253</f>
        <v>315763</v>
      </c>
      <c r="W45" s="140">
        <f>S45+8788</f>
        <v>232530</v>
      </c>
      <c r="X45" s="140">
        <f>T45</f>
        <v>0</v>
      </c>
      <c r="Y45" s="140">
        <f>W45+X45</f>
        <v>232530</v>
      </c>
      <c r="Z45" s="140">
        <f>V45+25357</f>
        <v>341120</v>
      </c>
      <c r="AA45" s="140">
        <f>W45+8787</f>
        <v>241317</v>
      </c>
      <c r="AB45" s="140">
        <f>X45</f>
        <v>0</v>
      </c>
      <c r="AC45" s="140">
        <f>AA45+AB45</f>
        <v>241317</v>
      </c>
      <c r="AD45" s="140">
        <f>Z45+112374</f>
        <v>453494</v>
      </c>
      <c r="AE45" s="140">
        <f>AA45+4793</f>
        <v>246110</v>
      </c>
      <c r="AF45" s="140">
        <f>AB45</f>
        <v>0</v>
      </c>
      <c r="AG45" s="140">
        <f>AE45+AF45</f>
        <v>246110</v>
      </c>
      <c r="AH45" s="140">
        <f>AD45+61075</f>
        <v>514569</v>
      </c>
      <c r="AI45" s="140">
        <f>AE45</f>
        <v>246110</v>
      </c>
      <c r="AJ45" s="140">
        <f>AF45</f>
        <v>0</v>
      </c>
      <c r="AK45" s="140">
        <f>AI45+AJ45</f>
        <v>246110</v>
      </c>
      <c r="AL45" s="140">
        <f>AH45+76991</f>
        <v>591560</v>
      </c>
      <c r="AM45" s="140">
        <f>AI45</f>
        <v>246110</v>
      </c>
      <c r="AN45" s="140">
        <f>AJ45</f>
        <v>0</v>
      </c>
      <c r="AO45" s="140">
        <f>AM45+AN45</f>
        <v>246110</v>
      </c>
      <c r="AP45" s="140">
        <f>AL45+13663</f>
        <v>605223</v>
      </c>
      <c r="AQ45" s="140">
        <f>AM45</f>
        <v>246110</v>
      </c>
      <c r="AR45" s="140">
        <f>AN418</f>
        <v>0</v>
      </c>
      <c r="AS45" s="140">
        <f>AQ45+AR45</f>
        <v>246110</v>
      </c>
      <c r="AT45" s="140">
        <f>AP45+156158+18000</f>
        <v>779381</v>
      </c>
      <c r="AU45" s="140">
        <f>AQ45+156158</f>
        <v>402268</v>
      </c>
      <c r="AV45" s="140">
        <f>AR45</f>
        <v>0</v>
      </c>
      <c r="AW45" s="140">
        <f>AU45+AV45</f>
        <v>402268</v>
      </c>
      <c r="AX45" s="140">
        <f>AT45+49385</f>
        <v>828766</v>
      </c>
      <c r="AY45" s="140">
        <f>AU45</f>
        <v>402268</v>
      </c>
      <c r="AZ45" s="140">
        <f>AV45</f>
        <v>0</v>
      </c>
      <c r="BA45" s="140">
        <f>AY45+AZ45</f>
        <v>402268</v>
      </c>
      <c r="BB45" s="91">
        <v>1768395</v>
      </c>
      <c r="BC45" s="91">
        <v>1768395</v>
      </c>
      <c r="BD45" s="91">
        <v>0</v>
      </c>
      <c r="BE45" s="91">
        <v>1168157</v>
      </c>
      <c r="BF45" s="91">
        <v>0</v>
      </c>
      <c r="BG45" s="91">
        <v>0</v>
      </c>
      <c r="BH45" s="91">
        <v>0</v>
      </c>
      <c r="BI45" s="91">
        <v>0</v>
      </c>
      <c r="BJ45" s="91">
        <v>0</v>
      </c>
      <c r="BK45" s="91">
        <v>0</v>
      </c>
      <c r="BL45" s="91">
        <v>0</v>
      </c>
      <c r="BM45" s="91">
        <v>0</v>
      </c>
      <c r="BN45" s="91" t="e">
        <f>#REF!+AX45+BB45+BF45+BJ45</f>
        <v>#REF!</v>
      </c>
      <c r="BO45" s="91">
        <f t="shared" si="89"/>
        <v>2170663</v>
      </c>
      <c r="BP45" s="91">
        <f t="shared" si="89"/>
        <v>0</v>
      </c>
      <c r="BQ45" s="91">
        <f t="shared" si="87"/>
        <v>2170663</v>
      </c>
      <c r="BR45" s="92"/>
      <c r="BS45" s="80"/>
    </row>
    <row r="46" spans="1:71" s="8" customFormat="1">
      <c r="A46" s="141"/>
      <c r="B46" s="142" t="s">
        <v>276</v>
      </c>
      <c r="C46" s="143">
        <f>SUM(C47:C61)</f>
        <v>175168719.51491997</v>
      </c>
      <c r="D46" s="143"/>
      <c r="E46" s="143">
        <f t="shared" ref="E46:BM46" si="106">SUM(E47:E61)</f>
        <v>17149999</v>
      </c>
      <c r="F46" s="143">
        <f t="shared" si="106"/>
        <v>2802649.6770000001</v>
      </c>
      <c r="G46" s="143">
        <f t="shared" si="106"/>
        <v>1341341.06</v>
      </c>
      <c r="H46" s="143">
        <f t="shared" si="106"/>
        <v>101460.13</v>
      </c>
      <c r="I46" s="143">
        <f t="shared" si="106"/>
        <v>1442801.19</v>
      </c>
      <c r="J46" s="143">
        <f t="shared" si="106"/>
        <v>3097402.7659999998</v>
      </c>
      <c r="K46" s="143">
        <f t="shared" si="106"/>
        <v>2678605.5099999998</v>
      </c>
      <c r="L46" s="143">
        <f t="shared" si="106"/>
        <v>230807.74</v>
      </c>
      <c r="M46" s="143">
        <f t="shared" si="106"/>
        <v>2909413.25</v>
      </c>
      <c r="N46" s="143">
        <f t="shared" si="106"/>
        <v>3716936.2060000002</v>
      </c>
      <c r="O46" s="143">
        <f t="shared" si="106"/>
        <v>5131118.96</v>
      </c>
      <c r="P46" s="143">
        <f t="shared" si="106"/>
        <v>358571.35</v>
      </c>
      <c r="Q46" s="143">
        <f t="shared" si="106"/>
        <v>4144514.31</v>
      </c>
      <c r="R46" s="143">
        <f t="shared" si="106"/>
        <v>6665635.1629999997</v>
      </c>
      <c r="S46" s="143">
        <f t="shared" si="106"/>
        <v>7096222.0199999996</v>
      </c>
      <c r="T46" s="143">
        <f t="shared" si="106"/>
        <v>477206.48</v>
      </c>
      <c r="U46" s="143">
        <f t="shared" si="106"/>
        <v>5277229.5</v>
      </c>
      <c r="V46" s="143">
        <f t="shared" si="106"/>
        <v>7064679.2059999993</v>
      </c>
      <c r="W46" s="143">
        <f t="shared" si="106"/>
        <v>9381570.4699999988</v>
      </c>
      <c r="X46" s="143">
        <f t="shared" si="106"/>
        <v>597190.09000000008</v>
      </c>
      <c r="Y46" s="143">
        <f t="shared" si="106"/>
        <v>6649842.5600000005</v>
      </c>
      <c r="Z46" s="143">
        <f t="shared" si="106"/>
        <v>7175098.4559999993</v>
      </c>
      <c r="AA46" s="143">
        <f t="shared" si="106"/>
        <v>11381687.92</v>
      </c>
      <c r="AB46" s="143">
        <f t="shared" si="106"/>
        <v>733035.7</v>
      </c>
      <c r="AC46" s="143">
        <f t="shared" si="106"/>
        <v>7769230.6200000001</v>
      </c>
      <c r="AD46" s="143">
        <f t="shared" si="106"/>
        <v>14193671.063500002</v>
      </c>
      <c r="AE46" s="143">
        <f t="shared" si="106"/>
        <v>14149862.18</v>
      </c>
      <c r="AF46" s="143">
        <f t="shared" si="106"/>
        <v>866775.83</v>
      </c>
      <c r="AG46" s="143">
        <f t="shared" si="106"/>
        <v>8976018.8100000005</v>
      </c>
      <c r="AH46" s="143">
        <f t="shared" si="106"/>
        <v>14862252.708500002</v>
      </c>
      <c r="AI46" s="143">
        <f t="shared" si="106"/>
        <v>17761488.219999999</v>
      </c>
      <c r="AJ46" s="143">
        <f t="shared" si="106"/>
        <v>1022860.4</v>
      </c>
      <c r="AK46" s="143">
        <f t="shared" si="106"/>
        <v>10721174.620000001</v>
      </c>
      <c r="AL46" s="143">
        <f t="shared" si="106"/>
        <v>15223861.098000001</v>
      </c>
      <c r="AM46" s="143">
        <f t="shared" si="106"/>
        <v>20736489</v>
      </c>
      <c r="AN46" s="143">
        <f t="shared" si="106"/>
        <v>1141883.81</v>
      </c>
      <c r="AO46" s="143">
        <f t="shared" si="106"/>
        <v>11820863.01</v>
      </c>
      <c r="AP46" s="143">
        <f t="shared" si="106"/>
        <v>23562747.894999996</v>
      </c>
      <c r="AQ46" s="143">
        <f t="shared" si="106"/>
        <v>24387351.460000001</v>
      </c>
      <c r="AR46" s="143">
        <f t="shared" si="106"/>
        <v>1284704.94</v>
      </c>
      <c r="AS46" s="143">
        <f t="shared" si="106"/>
        <v>13417537.199999999</v>
      </c>
      <c r="AT46" s="143">
        <f t="shared" si="106"/>
        <v>23990470.793499995</v>
      </c>
      <c r="AU46" s="143">
        <f t="shared" si="106"/>
        <v>28249944.100000001</v>
      </c>
      <c r="AV46" s="143">
        <f t="shared" si="106"/>
        <v>1381789.51</v>
      </c>
      <c r="AW46" s="143">
        <f t="shared" si="106"/>
        <v>15225164.01</v>
      </c>
      <c r="AX46" s="143">
        <f t="shared" si="106"/>
        <v>24466920.721499994</v>
      </c>
      <c r="AY46" s="143">
        <f t="shared" si="106"/>
        <v>32527434.949999999</v>
      </c>
      <c r="AZ46" s="143">
        <f t="shared" si="106"/>
        <v>1489223.12</v>
      </c>
      <c r="BA46" s="143">
        <f t="shared" si="106"/>
        <v>17149999.07</v>
      </c>
      <c r="BB46" s="93">
        <f t="shared" si="106"/>
        <v>22950745.639999993</v>
      </c>
      <c r="BC46" s="93">
        <f t="shared" si="106"/>
        <v>20571089.439999998</v>
      </c>
      <c r="BD46" s="93">
        <f t="shared" si="106"/>
        <v>1081652.26</v>
      </c>
      <c r="BE46" s="93">
        <f t="shared" si="106"/>
        <v>10511185.699999999</v>
      </c>
      <c r="BF46" s="93">
        <f t="shared" si="106"/>
        <v>13688077.859216005</v>
      </c>
      <c r="BG46" s="93">
        <f t="shared" si="106"/>
        <v>4927268</v>
      </c>
      <c r="BH46" s="93">
        <f t="shared" si="106"/>
        <v>551713</v>
      </c>
      <c r="BI46" s="93">
        <f t="shared" si="106"/>
        <v>1225914</v>
      </c>
      <c r="BJ46" s="93">
        <f t="shared" si="106"/>
        <v>4060817.2461999943</v>
      </c>
      <c r="BK46" s="93">
        <f t="shared" si="106"/>
        <v>0</v>
      </c>
      <c r="BL46" s="93">
        <f t="shared" si="106"/>
        <v>0</v>
      </c>
      <c r="BM46" s="93">
        <f t="shared" si="106"/>
        <v>0</v>
      </c>
      <c r="BN46" s="93" t="e">
        <f>#REF!+AX46+BB46+BF46+BJ46</f>
        <v>#REF!</v>
      </c>
      <c r="BO46" s="93">
        <f t="shared" ref="BO46:BP86" si="107">AY46+BC46+BG46+BK46</f>
        <v>58025792.390000001</v>
      </c>
      <c r="BP46" s="93">
        <f t="shared" si="107"/>
        <v>3122588.38</v>
      </c>
      <c r="BQ46" s="93">
        <f t="shared" si="87"/>
        <v>61148380.770000003</v>
      </c>
      <c r="BR46" s="89"/>
      <c r="BS46" s="80"/>
    </row>
    <row r="47" spans="1:71" s="13" customFormat="1" ht="62.25" customHeight="1">
      <c r="A47" s="138" t="s">
        <v>21</v>
      </c>
      <c r="B47" s="138" t="s">
        <v>277</v>
      </c>
      <c r="C47" s="139">
        <v>5441400</v>
      </c>
      <c r="D47" s="139"/>
      <c r="E47" s="139">
        <v>850518</v>
      </c>
      <c r="F47" s="139">
        <v>169873</v>
      </c>
      <c r="G47" s="139">
        <v>94359</v>
      </c>
      <c r="H47" s="139">
        <v>0</v>
      </c>
      <c r="I47" s="139">
        <v>94359</v>
      </c>
      <c r="J47" s="139">
        <v>169873</v>
      </c>
      <c r="K47" s="139">
        <v>205350</v>
      </c>
      <c r="L47" s="139">
        <v>0</v>
      </c>
      <c r="M47" s="139">
        <v>205350</v>
      </c>
      <c r="N47" s="139">
        <v>169873</v>
      </c>
      <c r="O47" s="139">
        <v>309749</v>
      </c>
      <c r="P47" s="139">
        <v>0</v>
      </c>
      <c r="Q47" s="139">
        <v>309749</v>
      </c>
      <c r="R47" s="139">
        <v>254924.79999999999</v>
      </c>
      <c r="S47" s="139">
        <v>378369</v>
      </c>
      <c r="T47" s="139">
        <v>0</v>
      </c>
      <c r="U47" s="139">
        <v>378369</v>
      </c>
      <c r="V47" s="139">
        <v>254924.79999999999</v>
      </c>
      <c r="W47" s="139">
        <v>462580</v>
      </c>
      <c r="X47" s="139">
        <v>0</v>
      </c>
      <c r="Y47" s="139">
        <v>462580</v>
      </c>
      <c r="Z47" s="139">
        <v>254924.79999999999</v>
      </c>
      <c r="AA47" s="139">
        <v>521161</v>
      </c>
      <c r="AB47" s="139">
        <v>0</v>
      </c>
      <c r="AC47" s="139">
        <v>521161</v>
      </c>
      <c r="AD47" s="139">
        <v>467554.3</v>
      </c>
      <c r="AE47" s="139">
        <v>573219</v>
      </c>
      <c r="AF47" s="139">
        <v>0</v>
      </c>
      <c r="AG47" s="139">
        <v>573219</v>
      </c>
      <c r="AH47" s="139">
        <v>467554.3</v>
      </c>
      <c r="AI47" s="139">
        <v>630868</v>
      </c>
      <c r="AJ47" s="139">
        <v>0</v>
      </c>
      <c r="AK47" s="139">
        <v>630868</v>
      </c>
      <c r="AL47" s="139">
        <v>467554.3</v>
      </c>
      <c r="AM47" s="139">
        <v>686839</v>
      </c>
      <c r="AN47" s="139">
        <v>0</v>
      </c>
      <c r="AO47" s="139">
        <v>686839</v>
      </c>
      <c r="AP47" s="139">
        <v>722709.7</v>
      </c>
      <c r="AQ47" s="139">
        <v>738897</v>
      </c>
      <c r="AR47" s="139">
        <v>0</v>
      </c>
      <c r="AS47" s="139">
        <v>738897</v>
      </c>
      <c r="AT47" s="139">
        <v>722709.7</v>
      </c>
      <c r="AU47" s="139">
        <v>788375</v>
      </c>
      <c r="AV47" s="139">
        <v>0</v>
      </c>
      <c r="AW47" s="139">
        <v>788375</v>
      </c>
      <c r="AX47" s="139">
        <v>722709.7</v>
      </c>
      <c r="AY47" s="139">
        <v>850518</v>
      </c>
      <c r="AZ47" s="139">
        <v>0</v>
      </c>
      <c r="BA47" s="139">
        <v>850518</v>
      </c>
      <c r="BB47" s="90">
        <v>997406.95</v>
      </c>
      <c r="BC47" s="90">
        <v>1076501</v>
      </c>
      <c r="BD47" s="90">
        <v>0</v>
      </c>
      <c r="BE47" s="90">
        <v>1046501</v>
      </c>
      <c r="BF47" s="90">
        <v>816147.94</v>
      </c>
      <c r="BG47" s="90">
        <v>0</v>
      </c>
      <c r="BH47" s="90">
        <v>0</v>
      </c>
      <c r="BI47" s="90">
        <v>0</v>
      </c>
      <c r="BJ47" s="90">
        <v>0</v>
      </c>
      <c r="BK47" s="90">
        <v>0</v>
      </c>
      <c r="BL47" s="90">
        <v>0</v>
      </c>
      <c r="BM47" s="90">
        <v>0</v>
      </c>
      <c r="BN47" s="90" t="e">
        <f>#REF!+AX47+BB47+BF47+BJ47</f>
        <v>#REF!</v>
      </c>
      <c r="BO47" s="90">
        <f t="shared" si="107"/>
        <v>1927019</v>
      </c>
      <c r="BP47" s="90">
        <f t="shared" si="107"/>
        <v>0</v>
      </c>
      <c r="BQ47" s="90">
        <f t="shared" si="87"/>
        <v>1927019</v>
      </c>
      <c r="BR47" s="92"/>
      <c r="BS47" s="80"/>
    </row>
    <row r="48" spans="1:71" s="13" customFormat="1" ht="62.25" customHeight="1">
      <c r="A48" s="138" t="s">
        <v>22</v>
      </c>
      <c r="B48" s="138" t="s">
        <v>278</v>
      </c>
      <c r="C48" s="139">
        <v>69796818.137699991</v>
      </c>
      <c r="D48" s="139"/>
      <c r="E48" s="139">
        <v>4769136</v>
      </c>
      <c r="F48" s="139">
        <v>885151</v>
      </c>
      <c r="G48" s="139">
        <v>283495</v>
      </c>
      <c r="H48" s="139">
        <v>64915</v>
      </c>
      <c r="I48" s="139">
        <v>348410</v>
      </c>
      <c r="J48" s="139">
        <v>885151</v>
      </c>
      <c r="K48" s="139">
        <v>644772</v>
      </c>
      <c r="L48" s="139">
        <v>136667</v>
      </c>
      <c r="M48" s="139">
        <v>781439</v>
      </c>
      <c r="N48" s="139">
        <v>885151</v>
      </c>
      <c r="O48" s="139">
        <v>980343</v>
      </c>
      <c r="P48" s="139">
        <v>206724</v>
      </c>
      <c r="Q48" s="139">
        <v>1187067</v>
      </c>
      <c r="R48" s="139">
        <v>1939908.5830000001</v>
      </c>
      <c r="S48" s="139">
        <v>1303854</v>
      </c>
      <c r="T48" s="139">
        <v>275686</v>
      </c>
      <c r="U48" s="139">
        <v>1579540</v>
      </c>
      <c r="V48" s="139">
        <v>1939908.5830000001</v>
      </c>
      <c r="W48" s="139">
        <v>1627180</v>
      </c>
      <c r="X48" s="139">
        <v>344616</v>
      </c>
      <c r="Y48" s="139">
        <v>1971796</v>
      </c>
      <c r="Z48" s="139">
        <v>1939908.5830000001</v>
      </c>
      <c r="AA48" s="139">
        <v>1954490</v>
      </c>
      <c r="AB48" s="139">
        <v>414249</v>
      </c>
      <c r="AC48" s="139">
        <v>2368739</v>
      </c>
      <c r="AD48" s="139">
        <v>4576802.5405000001</v>
      </c>
      <c r="AE48" s="139">
        <v>2916019.2</v>
      </c>
      <c r="AF48" s="139">
        <v>480683</v>
      </c>
      <c r="AG48" s="139">
        <v>2744355</v>
      </c>
      <c r="AH48" s="139">
        <v>4576802.5405000001</v>
      </c>
      <c r="AI48" s="139">
        <v>4203722</v>
      </c>
      <c r="AJ48" s="139">
        <v>547117</v>
      </c>
      <c r="AK48" s="139">
        <v>3119971</v>
      </c>
      <c r="AL48" s="139">
        <v>4576802.5405000001</v>
      </c>
      <c r="AM48" s="139">
        <v>5489578.7999999998</v>
      </c>
      <c r="AN48" s="139">
        <v>613397</v>
      </c>
      <c r="AO48" s="139">
        <v>3493587</v>
      </c>
      <c r="AP48" s="139">
        <v>7741075.2895</v>
      </c>
      <c r="AQ48" s="139">
        <v>7101609.2000000002</v>
      </c>
      <c r="AR48" s="139">
        <v>679677</v>
      </c>
      <c r="AS48" s="139">
        <v>3867203</v>
      </c>
      <c r="AT48" s="139">
        <v>7741075.2895</v>
      </c>
      <c r="AU48" s="139">
        <v>8712716.6000000015</v>
      </c>
      <c r="AV48" s="139">
        <v>705408</v>
      </c>
      <c r="AW48" s="139">
        <v>4239819</v>
      </c>
      <c r="AX48" s="139">
        <v>7741075.2895</v>
      </c>
      <c r="AY48" s="139">
        <v>10468490</v>
      </c>
      <c r="AZ48" s="139">
        <v>743174</v>
      </c>
      <c r="BA48" s="139">
        <v>4769136</v>
      </c>
      <c r="BB48" s="90">
        <v>9770931.182</v>
      </c>
      <c r="BC48" s="90">
        <v>9323283</v>
      </c>
      <c r="BD48" s="90">
        <v>591357</v>
      </c>
      <c r="BE48" s="90">
        <v>4711099</v>
      </c>
      <c r="BF48" s="90">
        <v>5755187.2000000002</v>
      </c>
      <c r="BG48" s="90">
        <v>3818045</v>
      </c>
      <c r="BH48" s="90">
        <v>426235</v>
      </c>
      <c r="BI48" s="90">
        <v>0</v>
      </c>
      <c r="BJ48" s="90">
        <v>4060817.2461999943</v>
      </c>
      <c r="BK48" s="90">
        <v>0</v>
      </c>
      <c r="BL48" s="90">
        <v>0</v>
      </c>
      <c r="BM48" s="90">
        <v>0</v>
      </c>
      <c r="BN48" s="90" t="e">
        <f>#REF!+AX48+BB48+BF48+BJ48</f>
        <v>#REF!</v>
      </c>
      <c r="BO48" s="90">
        <f t="shared" si="107"/>
        <v>23609818</v>
      </c>
      <c r="BP48" s="90">
        <f t="shared" si="107"/>
        <v>1760766</v>
      </c>
      <c r="BQ48" s="90">
        <f t="shared" si="87"/>
        <v>25370584</v>
      </c>
      <c r="BR48" s="94" t="s">
        <v>193</v>
      </c>
      <c r="BS48" s="80"/>
    </row>
    <row r="49" spans="1:71" s="13" customFormat="1" ht="62.25" customHeight="1">
      <c r="A49" s="138" t="s">
        <v>190</v>
      </c>
      <c r="B49" s="138" t="s">
        <v>422</v>
      </c>
      <c r="C49" s="139">
        <v>3070747.4611200001</v>
      </c>
      <c r="D49" s="139"/>
      <c r="E49" s="139">
        <v>0</v>
      </c>
      <c r="F49" s="139">
        <v>0</v>
      </c>
      <c r="G49" s="139">
        <v>0</v>
      </c>
      <c r="H49" s="139">
        <v>0</v>
      </c>
      <c r="I49" s="139">
        <v>0</v>
      </c>
      <c r="J49" s="139">
        <v>0</v>
      </c>
      <c r="K49" s="139">
        <v>0</v>
      </c>
      <c r="L49" s="139">
        <v>0</v>
      </c>
      <c r="M49" s="139">
        <v>0</v>
      </c>
      <c r="N49" s="139">
        <v>0</v>
      </c>
      <c r="O49" s="139">
        <v>0</v>
      </c>
      <c r="P49" s="139">
        <v>0</v>
      </c>
      <c r="Q49" s="139">
        <v>0</v>
      </c>
      <c r="R49" s="139">
        <v>0</v>
      </c>
      <c r="S49" s="139">
        <v>0</v>
      </c>
      <c r="T49" s="139">
        <v>0</v>
      </c>
      <c r="U49" s="139">
        <v>0</v>
      </c>
      <c r="V49" s="139">
        <v>0</v>
      </c>
      <c r="W49" s="139">
        <v>0</v>
      </c>
      <c r="X49" s="139">
        <v>0</v>
      </c>
      <c r="Y49" s="139">
        <v>0</v>
      </c>
      <c r="Z49" s="139">
        <v>0</v>
      </c>
      <c r="AA49" s="139">
        <v>0</v>
      </c>
      <c r="AB49" s="139">
        <v>0</v>
      </c>
      <c r="AC49" s="139">
        <v>0</v>
      </c>
      <c r="AD49" s="139">
        <v>0</v>
      </c>
      <c r="AE49" s="139">
        <v>0</v>
      </c>
      <c r="AF49" s="139">
        <v>0</v>
      </c>
      <c r="AG49" s="139">
        <v>0</v>
      </c>
      <c r="AH49" s="139">
        <v>0</v>
      </c>
      <c r="AI49" s="139">
        <v>0</v>
      </c>
      <c r="AJ49" s="139">
        <v>0</v>
      </c>
      <c r="AK49" s="139">
        <v>0</v>
      </c>
      <c r="AL49" s="139">
        <v>0</v>
      </c>
      <c r="AM49" s="139">
        <v>0</v>
      </c>
      <c r="AN49" s="139">
        <v>0</v>
      </c>
      <c r="AO49" s="139">
        <v>0</v>
      </c>
      <c r="AP49" s="139">
        <v>0</v>
      </c>
      <c r="AQ49" s="139">
        <v>0</v>
      </c>
      <c r="AR49" s="139">
        <v>0</v>
      </c>
      <c r="AS49" s="139">
        <v>0</v>
      </c>
      <c r="AT49" s="139">
        <v>0</v>
      </c>
      <c r="AU49" s="139">
        <v>0</v>
      </c>
      <c r="AV49" s="139">
        <v>0</v>
      </c>
      <c r="AW49" s="139">
        <v>0</v>
      </c>
      <c r="AX49" s="139">
        <v>0</v>
      </c>
      <c r="AY49" s="139">
        <v>0</v>
      </c>
      <c r="AZ49" s="139">
        <v>0</v>
      </c>
      <c r="BA49" s="139">
        <v>0</v>
      </c>
      <c r="BB49" s="90">
        <v>0</v>
      </c>
      <c r="BC49" s="90">
        <v>0</v>
      </c>
      <c r="BD49" s="90">
        <v>0</v>
      </c>
      <c r="BE49" s="90">
        <v>0</v>
      </c>
      <c r="BF49" s="90">
        <v>0</v>
      </c>
      <c r="BG49" s="90">
        <v>0</v>
      </c>
      <c r="BH49" s="90">
        <v>0</v>
      </c>
      <c r="BI49" s="90">
        <v>0</v>
      </c>
      <c r="BJ49" s="90">
        <v>0</v>
      </c>
      <c r="BK49" s="90">
        <v>0</v>
      </c>
      <c r="BL49" s="90">
        <v>0</v>
      </c>
      <c r="BM49" s="90">
        <v>0</v>
      </c>
      <c r="BN49" s="90" t="e">
        <f>#REF!+AX49+BB49+BF49+BJ49</f>
        <v>#REF!</v>
      </c>
      <c r="BO49" s="90">
        <f t="shared" si="107"/>
        <v>0</v>
      </c>
      <c r="BP49" s="90">
        <f t="shared" si="107"/>
        <v>0</v>
      </c>
      <c r="BQ49" s="90">
        <f t="shared" si="87"/>
        <v>0</v>
      </c>
      <c r="BR49" s="95"/>
      <c r="BS49" s="80"/>
    </row>
    <row r="50" spans="1:71" s="13" customFormat="1" ht="79.5" customHeight="1">
      <c r="A50" s="138" t="s">
        <v>191</v>
      </c>
      <c r="B50" s="138" t="s">
        <v>279</v>
      </c>
      <c r="C50" s="139">
        <v>519738.31688399997</v>
      </c>
      <c r="D50" s="139"/>
      <c r="E50" s="139">
        <v>0</v>
      </c>
      <c r="F50" s="139">
        <v>0</v>
      </c>
      <c r="G50" s="139">
        <v>0</v>
      </c>
      <c r="H50" s="139">
        <v>0</v>
      </c>
      <c r="I50" s="139">
        <v>0</v>
      </c>
      <c r="J50" s="139">
        <v>0</v>
      </c>
      <c r="K50" s="139">
        <v>0</v>
      </c>
      <c r="L50" s="139">
        <v>0</v>
      </c>
      <c r="M50" s="139">
        <v>0</v>
      </c>
      <c r="N50" s="139">
        <v>0</v>
      </c>
      <c r="O50" s="139">
        <v>0</v>
      </c>
      <c r="P50" s="139">
        <v>0</v>
      </c>
      <c r="Q50" s="139">
        <v>0</v>
      </c>
      <c r="R50" s="139">
        <v>0</v>
      </c>
      <c r="S50" s="139">
        <v>0</v>
      </c>
      <c r="T50" s="139">
        <v>0</v>
      </c>
      <c r="U50" s="139">
        <v>0</v>
      </c>
      <c r="V50" s="139">
        <v>0</v>
      </c>
      <c r="W50" s="139">
        <v>0</v>
      </c>
      <c r="X50" s="139">
        <v>0</v>
      </c>
      <c r="Y50" s="139">
        <v>0</v>
      </c>
      <c r="Z50" s="139">
        <v>0</v>
      </c>
      <c r="AA50" s="139">
        <v>0</v>
      </c>
      <c r="AB50" s="139">
        <v>0</v>
      </c>
      <c r="AC50" s="139">
        <v>0</v>
      </c>
      <c r="AD50" s="139">
        <v>0</v>
      </c>
      <c r="AE50" s="139">
        <v>0</v>
      </c>
      <c r="AF50" s="139">
        <v>0</v>
      </c>
      <c r="AG50" s="139">
        <v>0</v>
      </c>
      <c r="AH50" s="139">
        <v>0</v>
      </c>
      <c r="AI50" s="139">
        <v>0</v>
      </c>
      <c r="AJ50" s="139">
        <v>0</v>
      </c>
      <c r="AK50" s="139">
        <v>0</v>
      </c>
      <c r="AL50" s="139">
        <v>0</v>
      </c>
      <c r="AM50" s="139">
        <v>0</v>
      </c>
      <c r="AN50" s="139">
        <v>0</v>
      </c>
      <c r="AO50" s="139">
        <v>0</v>
      </c>
      <c r="AP50" s="139">
        <v>0</v>
      </c>
      <c r="AQ50" s="139">
        <v>0</v>
      </c>
      <c r="AR50" s="139">
        <v>0</v>
      </c>
      <c r="AS50" s="139">
        <v>0</v>
      </c>
      <c r="AT50" s="139">
        <v>0</v>
      </c>
      <c r="AU50" s="139">
        <v>0</v>
      </c>
      <c r="AV50" s="139">
        <v>0</v>
      </c>
      <c r="AW50" s="139">
        <v>0</v>
      </c>
      <c r="AX50" s="139">
        <v>0</v>
      </c>
      <c r="AY50" s="139">
        <v>0</v>
      </c>
      <c r="AZ50" s="139">
        <v>0</v>
      </c>
      <c r="BA50" s="139">
        <v>0</v>
      </c>
      <c r="BB50" s="90">
        <v>0</v>
      </c>
      <c r="BC50" s="90">
        <v>0</v>
      </c>
      <c r="BD50" s="90">
        <v>0</v>
      </c>
      <c r="BE50" s="90">
        <v>0</v>
      </c>
      <c r="BF50" s="90">
        <v>0</v>
      </c>
      <c r="BG50" s="90">
        <v>0</v>
      </c>
      <c r="BH50" s="90">
        <v>0</v>
      </c>
      <c r="BI50" s="90">
        <v>0</v>
      </c>
      <c r="BJ50" s="90">
        <v>0</v>
      </c>
      <c r="BK50" s="90">
        <v>0</v>
      </c>
      <c r="BL50" s="90">
        <v>0</v>
      </c>
      <c r="BM50" s="90">
        <v>0</v>
      </c>
      <c r="BN50" s="90" t="e">
        <f>#REF!+AX50+BB50+BF50+BJ50</f>
        <v>#REF!</v>
      </c>
      <c r="BO50" s="90">
        <f t="shared" si="107"/>
        <v>0</v>
      </c>
      <c r="BP50" s="90">
        <f t="shared" si="107"/>
        <v>0</v>
      </c>
      <c r="BQ50" s="90">
        <f t="shared" si="87"/>
        <v>0</v>
      </c>
      <c r="BR50" s="92"/>
      <c r="BS50" s="80"/>
    </row>
    <row r="51" spans="1:71" s="13" customFormat="1" ht="87" customHeight="1">
      <c r="A51" s="138" t="s">
        <v>23</v>
      </c>
      <c r="B51" s="138" t="s">
        <v>280</v>
      </c>
      <c r="C51" s="139">
        <v>5770350</v>
      </c>
      <c r="D51" s="139"/>
      <c r="E51" s="139">
        <v>130906</v>
      </c>
      <c r="F51" s="139">
        <v>41693.120000000003</v>
      </c>
      <c r="G51" s="139">
        <v>46326</v>
      </c>
      <c r="H51" s="139">
        <v>8175</v>
      </c>
      <c r="I51" s="139">
        <v>54501</v>
      </c>
      <c r="J51" s="139">
        <v>41693.120000000003</v>
      </c>
      <c r="K51" s="139">
        <v>70865</v>
      </c>
      <c r="L51" s="139">
        <v>12505</v>
      </c>
      <c r="M51" s="139">
        <v>83370</v>
      </c>
      <c r="N51" s="139">
        <v>41693.120000000003</v>
      </c>
      <c r="O51" s="139">
        <v>91165</v>
      </c>
      <c r="P51" s="139">
        <v>16088</v>
      </c>
      <c r="Q51" s="139">
        <v>107253</v>
      </c>
      <c r="R51" s="139">
        <v>83386.240000000005</v>
      </c>
      <c r="S51" s="139">
        <v>111270</v>
      </c>
      <c r="T51" s="139">
        <v>19636</v>
      </c>
      <c r="U51" s="139">
        <v>130906</v>
      </c>
      <c r="V51" s="139">
        <v>83386.240000000005</v>
      </c>
      <c r="W51" s="139">
        <v>111270</v>
      </c>
      <c r="X51" s="139">
        <v>19636</v>
      </c>
      <c r="Y51" s="139">
        <v>130906</v>
      </c>
      <c r="Z51" s="139">
        <v>83386.240000000005</v>
      </c>
      <c r="AA51" s="139">
        <v>111270</v>
      </c>
      <c r="AB51" s="139">
        <v>19636</v>
      </c>
      <c r="AC51" s="139">
        <v>130906</v>
      </c>
      <c r="AD51" s="139">
        <v>111269.62</v>
      </c>
      <c r="AE51" s="139">
        <v>111270</v>
      </c>
      <c r="AF51" s="139">
        <v>19636</v>
      </c>
      <c r="AG51" s="139">
        <v>130906</v>
      </c>
      <c r="AH51" s="139">
        <v>111269.62</v>
      </c>
      <c r="AI51" s="139">
        <v>111270</v>
      </c>
      <c r="AJ51" s="139">
        <v>19636</v>
      </c>
      <c r="AK51" s="139">
        <v>130906</v>
      </c>
      <c r="AL51" s="139">
        <v>111269.62</v>
      </c>
      <c r="AM51" s="139">
        <v>111270</v>
      </c>
      <c r="AN51" s="139">
        <v>19636</v>
      </c>
      <c r="AO51" s="139">
        <v>130906</v>
      </c>
      <c r="AP51" s="139">
        <v>111269.62</v>
      </c>
      <c r="AQ51" s="139">
        <v>111270</v>
      </c>
      <c r="AR51" s="139">
        <v>19636</v>
      </c>
      <c r="AS51" s="139">
        <v>130906</v>
      </c>
      <c r="AT51" s="139">
        <v>111269.62</v>
      </c>
      <c r="AU51" s="139">
        <v>111270</v>
      </c>
      <c r="AV51" s="139">
        <v>19636</v>
      </c>
      <c r="AW51" s="139">
        <v>130906</v>
      </c>
      <c r="AX51" s="139">
        <v>111269.62</v>
      </c>
      <c r="AY51" s="139">
        <v>111270</v>
      </c>
      <c r="AZ51" s="139">
        <v>19636</v>
      </c>
      <c r="BA51" s="139">
        <v>130906</v>
      </c>
      <c r="BB51" s="90">
        <v>0</v>
      </c>
      <c r="BC51" s="90">
        <v>0</v>
      </c>
      <c r="BD51" s="90">
        <v>0</v>
      </c>
      <c r="BE51" s="90">
        <v>0</v>
      </c>
      <c r="BF51" s="90">
        <v>577036.09</v>
      </c>
      <c r="BG51" s="90">
        <v>577033</v>
      </c>
      <c r="BH51" s="90">
        <v>101830</v>
      </c>
      <c r="BI51" s="90">
        <v>678863</v>
      </c>
      <c r="BJ51" s="90">
        <v>0</v>
      </c>
      <c r="BK51" s="90">
        <v>0</v>
      </c>
      <c r="BL51" s="90">
        <v>0</v>
      </c>
      <c r="BM51" s="90">
        <v>0</v>
      </c>
      <c r="BN51" s="90" t="e">
        <f>#REF!+AX51+BB51+BF51+BJ51</f>
        <v>#REF!</v>
      </c>
      <c r="BO51" s="90">
        <f t="shared" si="107"/>
        <v>688303</v>
      </c>
      <c r="BP51" s="90">
        <f t="shared" si="107"/>
        <v>121466</v>
      </c>
      <c r="BQ51" s="90">
        <f t="shared" si="87"/>
        <v>809769</v>
      </c>
      <c r="BR51" s="92"/>
      <c r="BS51" s="80"/>
    </row>
    <row r="52" spans="1:71" s="13" customFormat="1" ht="53.25" customHeight="1">
      <c r="A52" s="138" t="s">
        <v>24</v>
      </c>
      <c r="B52" s="138" t="s">
        <v>281</v>
      </c>
      <c r="C52" s="139">
        <v>1970593.5412079999</v>
      </c>
      <c r="D52" s="139"/>
      <c r="E52" s="139">
        <v>566229</v>
      </c>
      <c r="F52" s="139">
        <v>63156</v>
      </c>
      <c r="G52" s="139">
        <v>11605</v>
      </c>
      <c r="H52" s="139">
        <v>3737</v>
      </c>
      <c r="I52" s="139">
        <v>15342</v>
      </c>
      <c r="J52" s="139">
        <v>63156</v>
      </c>
      <c r="K52" s="139">
        <v>35433</v>
      </c>
      <c r="L52" s="139">
        <v>9631</v>
      </c>
      <c r="M52" s="139">
        <v>45064</v>
      </c>
      <c r="N52" s="139">
        <v>63156</v>
      </c>
      <c r="O52" s="139">
        <v>46792</v>
      </c>
      <c r="P52" s="139">
        <v>13325</v>
      </c>
      <c r="Q52" s="139">
        <v>60117</v>
      </c>
      <c r="R52" s="139">
        <v>109562.625</v>
      </c>
      <c r="S52" s="139">
        <v>59514</v>
      </c>
      <c r="T52" s="139">
        <v>17260</v>
      </c>
      <c r="U52" s="139">
        <v>76774</v>
      </c>
      <c r="V52" s="139">
        <v>109562.625</v>
      </c>
      <c r="W52" s="139">
        <v>97152</v>
      </c>
      <c r="X52" s="139">
        <v>25591</v>
      </c>
      <c r="Y52" s="139">
        <v>122743</v>
      </c>
      <c r="Z52" s="139">
        <v>109562.625</v>
      </c>
      <c r="AA52" s="139">
        <v>136450</v>
      </c>
      <c r="AB52" s="139">
        <v>34215</v>
      </c>
      <c r="AC52" s="139">
        <v>170665</v>
      </c>
      <c r="AD52" s="139">
        <v>225579.1875</v>
      </c>
      <c r="AE52" s="139">
        <v>146539</v>
      </c>
      <c r="AF52" s="139">
        <v>37685</v>
      </c>
      <c r="AG52" s="139">
        <v>184224</v>
      </c>
      <c r="AH52" s="139">
        <v>225579.1875</v>
      </c>
      <c r="AI52" s="139">
        <v>229607</v>
      </c>
      <c r="AJ52" s="139">
        <v>54033</v>
      </c>
      <c r="AK52" s="139">
        <v>283640</v>
      </c>
      <c r="AL52" s="139">
        <v>225579.1875</v>
      </c>
      <c r="AM52" s="139">
        <v>275855</v>
      </c>
      <c r="AN52" s="139">
        <v>63883</v>
      </c>
      <c r="AO52" s="139">
        <v>339738</v>
      </c>
      <c r="AP52" s="139">
        <v>364799.0625</v>
      </c>
      <c r="AQ52" s="139">
        <v>342698</v>
      </c>
      <c r="AR52" s="139">
        <v>77368</v>
      </c>
      <c r="AS52" s="139">
        <v>420066</v>
      </c>
      <c r="AT52" s="139">
        <v>364799.0625</v>
      </c>
      <c r="AU52" s="139">
        <v>389604</v>
      </c>
      <c r="AV52" s="139">
        <v>87334</v>
      </c>
      <c r="AW52" s="139">
        <v>476938</v>
      </c>
      <c r="AX52" s="139">
        <v>364799.0625</v>
      </c>
      <c r="AY52" s="139">
        <v>464066</v>
      </c>
      <c r="AZ52" s="139">
        <v>102163</v>
      </c>
      <c r="BA52" s="139">
        <v>566229</v>
      </c>
      <c r="BB52" s="90">
        <v>366002.79749999999</v>
      </c>
      <c r="BC52" s="90">
        <v>313199</v>
      </c>
      <c r="BD52" s="90">
        <v>75539</v>
      </c>
      <c r="BE52" s="90">
        <v>388738</v>
      </c>
      <c r="BF52" s="90">
        <v>221824.41120799992</v>
      </c>
      <c r="BG52" s="90">
        <v>0</v>
      </c>
      <c r="BH52" s="90">
        <v>0</v>
      </c>
      <c r="BI52" s="90">
        <v>0</v>
      </c>
      <c r="BJ52" s="90">
        <v>0</v>
      </c>
      <c r="BK52" s="90">
        <v>0</v>
      </c>
      <c r="BL52" s="90">
        <v>0</v>
      </c>
      <c r="BM52" s="90">
        <v>0</v>
      </c>
      <c r="BN52" s="90" t="e">
        <f>#REF!+AX52+BB52+BF52+BJ52</f>
        <v>#REF!</v>
      </c>
      <c r="BO52" s="90">
        <f t="shared" si="107"/>
        <v>777265</v>
      </c>
      <c r="BP52" s="90">
        <f t="shared" si="107"/>
        <v>177702</v>
      </c>
      <c r="BQ52" s="90">
        <f t="shared" si="87"/>
        <v>954967</v>
      </c>
      <c r="BR52" s="92"/>
      <c r="BS52" s="80"/>
    </row>
    <row r="53" spans="1:71" s="13" customFormat="1" ht="75.75" customHeight="1">
      <c r="A53" s="138" t="s">
        <v>425</v>
      </c>
      <c r="B53" s="138" t="s">
        <v>282</v>
      </c>
      <c r="C53" s="139">
        <f>48697755.119052+5306307</f>
        <v>54004062.119052</v>
      </c>
      <c r="D53" s="139"/>
      <c r="E53" s="139">
        <v>0</v>
      </c>
      <c r="F53" s="139">
        <v>678402</v>
      </c>
      <c r="G53" s="139">
        <v>0</v>
      </c>
      <c r="H53" s="139">
        <v>0</v>
      </c>
      <c r="I53" s="139">
        <v>0</v>
      </c>
      <c r="J53" s="139">
        <v>678402</v>
      </c>
      <c r="K53" s="139">
        <v>0</v>
      </c>
      <c r="L53" s="139">
        <v>0</v>
      </c>
      <c r="M53" s="139">
        <v>0</v>
      </c>
      <c r="N53" s="139">
        <v>1062010.29</v>
      </c>
      <c r="O53" s="139">
        <v>1316106</v>
      </c>
      <c r="P53" s="139">
        <v>16785</v>
      </c>
      <c r="Q53" s="139">
        <v>0</v>
      </c>
      <c r="R53" s="139">
        <v>2054368.69</v>
      </c>
      <c r="S53" s="139">
        <v>2219058</v>
      </c>
      <c r="T53" s="139">
        <v>24685</v>
      </c>
      <c r="U53" s="139">
        <v>0</v>
      </c>
      <c r="V53" s="139">
        <v>2054368.69</v>
      </c>
      <c r="W53" s="139">
        <v>3156826</v>
      </c>
      <c r="X53" s="139">
        <v>32585</v>
      </c>
      <c r="Y53" s="139">
        <v>0</v>
      </c>
      <c r="Z53" s="139">
        <v>2054368.69</v>
      </c>
      <c r="AA53" s="139">
        <v>4076294</v>
      </c>
      <c r="AB53" s="139">
        <v>40485</v>
      </c>
      <c r="AC53" s="139">
        <v>0</v>
      </c>
      <c r="AD53" s="139">
        <v>4535264.6900000004</v>
      </c>
      <c r="AE53" s="139">
        <v>5031284</v>
      </c>
      <c r="AF53" s="139">
        <v>48385</v>
      </c>
      <c r="AG53" s="139">
        <v>0</v>
      </c>
      <c r="AH53" s="139">
        <v>4535264.6900000004</v>
      </c>
      <c r="AI53" s="139">
        <v>5985210</v>
      </c>
      <c r="AJ53" s="139">
        <v>56285</v>
      </c>
      <c r="AK53" s="139">
        <v>0</v>
      </c>
      <c r="AL53" s="139">
        <v>4535264.6900000004</v>
      </c>
      <c r="AM53" s="139">
        <v>6904750</v>
      </c>
      <c r="AN53" s="139">
        <v>64185</v>
      </c>
      <c r="AO53" s="139">
        <v>0</v>
      </c>
      <c r="AP53" s="139">
        <v>7512339.8899999987</v>
      </c>
      <c r="AQ53" s="139">
        <v>7859368</v>
      </c>
      <c r="AR53" s="139">
        <v>72085</v>
      </c>
      <c r="AS53" s="139">
        <v>0</v>
      </c>
      <c r="AT53" s="139">
        <v>7512339.8899999987</v>
      </c>
      <c r="AU53" s="139">
        <v>8814267</v>
      </c>
      <c r="AV53" s="139">
        <v>79985</v>
      </c>
      <c r="AW53" s="139">
        <v>0</v>
      </c>
      <c r="AX53" s="139">
        <v>7512339.8899999987</v>
      </c>
      <c r="AY53" s="139">
        <v>10037273</v>
      </c>
      <c r="AZ53" s="139">
        <v>105167</v>
      </c>
      <c r="BA53" s="139">
        <v>0</v>
      </c>
      <c r="BB53" s="90">
        <v>6182568.1500000004</v>
      </c>
      <c r="BC53" s="90">
        <v>4054487</v>
      </c>
      <c r="BD53" s="90">
        <v>114312</v>
      </c>
      <c r="BE53" s="90">
        <v>0</v>
      </c>
      <c r="BF53" s="90">
        <v>1458862.0990520045</v>
      </c>
      <c r="BG53" s="90">
        <v>0</v>
      </c>
      <c r="BH53" s="90">
        <v>0</v>
      </c>
      <c r="BI53" s="90">
        <v>0</v>
      </c>
      <c r="BJ53" s="90">
        <v>0</v>
      </c>
      <c r="BK53" s="90">
        <v>0</v>
      </c>
      <c r="BL53" s="90">
        <v>0</v>
      </c>
      <c r="BM53" s="90">
        <v>0</v>
      </c>
      <c r="BN53" s="90" t="e">
        <f>#REF!+AX53+BB53+BF53+BJ53</f>
        <v>#REF!</v>
      </c>
      <c r="BO53" s="90">
        <f t="shared" si="107"/>
        <v>14091760</v>
      </c>
      <c r="BP53" s="90">
        <f t="shared" si="107"/>
        <v>219479</v>
      </c>
      <c r="BQ53" s="90">
        <f t="shared" si="87"/>
        <v>14311239</v>
      </c>
      <c r="BR53" s="96" t="s">
        <v>194</v>
      </c>
      <c r="BS53" s="80"/>
    </row>
    <row r="54" spans="1:71" s="13" customFormat="1" ht="59.25" customHeight="1">
      <c r="A54" s="138" t="s">
        <v>25</v>
      </c>
      <c r="B54" s="138" t="s">
        <v>283</v>
      </c>
      <c r="C54" s="139">
        <v>0</v>
      </c>
      <c r="D54" s="139"/>
      <c r="E54" s="139">
        <v>0</v>
      </c>
      <c r="F54" s="139">
        <v>0</v>
      </c>
      <c r="G54" s="139">
        <v>0</v>
      </c>
      <c r="H54" s="139">
        <v>0</v>
      </c>
      <c r="I54" s="139">
        <v>0</v>
      </c>
      <c r="J54" s="139">
        <v>0</v>
      </c>
      <c r="K54" s="139">
        <v>0</v>
      </c>
      <c r="L54" s="139">
        <v>0</v>
      </c>
      <c r="M54" s="139">
        <v>0</v>
      </c>
      <c r="N54" s="139">
        <v>0</v>
      </c>
      <c r="O54" s="139">
        <v>0</v>
      </c>
      <c r="P54" s="139">
        <v>0</v>
      </c>
      <c r="Q54" s="139">
        <v>0</v>
      </c>
      <c r="R54" s="139">
        <v>0</v>
      </c>
      <c r="S54" s="139">
        <v>0</v>
      </c>
      <c r="T54" s="139">
        <v>0</v>
      </c>
      <c r="U54" s="139">
        <v>0</v>
      </c>
      <c r="V54" s="139">
        <v>0</v>
      </c>
      <c r="W54" s="139">
        <v>0</v>
      </c>
      <c r="X54" s="139">
        <v>0</v>
      </c>
      <c r="Y54" s="139">
        <v>0</v>
      </c>
      <c r="Z54" s="139">
        <v>0</v>
      </c>
      <c r="AA54" s="139">
        <v>0</v>
      </c>
      <c r="AB54" s="139">
        <v>0</v>
      </c>
      <c r="AC54" s="139">
        <v>0</v>
      </c>
      <c r="AD54" s="139">
        <v>0</v>
      </c>
      <c r="AE54" s="139">
        <v>0</v>
      </c>
      <c r="AF54" s="139">
        <v>0</v>
      </c>
      <c r="AG54" s="139">
        <v>0</v>
      </c>
      <c r="AH54" s="139">
        <v>0</v>
      </c>
      <c r="AI54" s="139">
        <v>0</v>
      </c>
      <c r="AJ54" s="139">
        <v>0</v>
      </c>
      <c r="AK54" s="139">
        <v>0</v>
      </c>
      <c r="AL54" s="139">
        <v>0</v>
      </c>
      <c r="AM54" s="139">
        <v>0</v>
      </c>
      <c r="AN54" s="139">
        <v>0</v>
      </c>
      <c r="AO54" s="139">
        <v>0</v>
      </c>
      <c r="AP54" s="139">
        <v>0</v>
      </c>
      <c r="AQ54" s="139">
        <v>0</v>
      </c>
      <c r="AR54" s="139">
        <v>0</v>
      </c>
      <c r="AS54" s="139">
        <v>0</v>
      </c>
      <c r="AT54" s="139">
        <v>0</v>
      </c>
      <c r="AU54" s="139">
        <v>0</v>
      </c>
      <c r="AV54" s="139">
        <v>0</v>
      </c>
      <c r="AW54" s="139">
        <v>0</v>
      </c>
      <c r="AX54" s="139">
        <v>0</v>
      </c>
      <c r="AY54" s="139">
        <v>0</v>
      </c>
      <c r="AZ54" s="139">
        <v>0</v>
      </c>
      <c r="BA54" s="139">
        <v>0</v>
      </c>
      <c r="BB54" s="90">
        <v>0</v>
      </c>
      <c r="BC54" s="90">
        <v>0</v>
      </c>
      <c r="BD54" s="90">
        <v>0</v>
      </c>
      <c r="BE54" s="90">
        <v>0</v>
      </c>
      <c r="BF54" s="90">
        <v>0</v>
      </c>
      <c r="BG54" s="90">
        <v>0</v>
      </c>
      <c r="BH54" s="90">
        <v>0</v>
      </c>
      <c r="BI54" s="90">
        <v>0</v>
      </c>
      <c r="BJ54" s="90">
        <v>0</v>
      </c>
      <c r="BK54" s="90">
        <v>0</v>
      </c>
      <c r="BL54" s="90">
        <v>0</v>
      </c>
      <c r="BM54" s="90">
        <v>0</v>
      </c>
      <c r="BN54" s="90" t="e">
        <f>#REF!+AX54+BB54+BF54+BJ54</f>
        <v>#REF!</v>
      </c>
      <c r="BO54" s="90">
        <f t="shared" si="107"/>
        <v>0</v>
      </c>
      <c r="BP54" s="90">
        <f t="shared" si="107"/>
        <v>0</v>
      </c>
      <c r="BQ54" s="90">
        <f t="shared" si="87"/>
        <v>0</v>
      </c>
      <c r="BR54" s="92"/>
      <c r="BS54" s="80"/>
    </row>
    <row r="55" spans="1:71" s="13" customFormat="1" ht="71.25" customHeight="1">
      <c r="A55" s="138" t="s">
        <v>26</v>
      </c>
      <c r="B55" s="138" t="s">
        <v>284</v>
      </c>
      <c r="C55" s="139">
        <v>850000</v>
      </c>
      <c r="D55" s="139"/>
      <c r="E55" s="139">
        <v>414867</v>
      </c>
      <c r="F55" s="139">
        <v>8762</v>
      </c>
      <c r="G55" s="139">
        <v>42793.06</v>
      </c>
      <c r="H55" s="139">
        <v>7552.13</v>
      </c>
      <c r="I55" s="139">
        <v>50345.19</v>
      </c>
      <c r="J55" s="139">
        <v>8762</v>
      </c>
      <c r="K55" s="139">
        <v>64420.51</v>
      </c>
      <c r="L55" s="139">
        <v>11367.74</v>
      </c>
      <c r="M55" s="139">
        <v>75788.25</v>
      </c>
      <c r="N55" s="139">
        <v>8762</v>
      </c>
      <c r="O55" s="139">
        <v>77197.960000000006</v>
      </c>
      <c r="P55" s="139">
        <v>13623.35</v>
      </c>
      <c r="Q55" s="139">
        <v>90821.31</v>
      </c>
      <c r="R55" s="139">
        <v>44025.708000000006</v>
      </c>
      <c r="S55" s="139">
        <v>100932.02</v>
      </c>
      <c r="T55" s="139">
        <v>17811.48</v>
      </c>
      <c r="U55" s="139">
        <v>118743.5</v>
      </c>
      <c r="V55" s="139">
        <v>44025.708000000006</v>
      </c>
      <c r="W55" s="139">
        <v>119391.47</v>
      </c>
      <c r="X55" s="139">
        <v>21069.09</v>
      </c>
      <c r="Y55" s="139">
        <v>140460.56</v>
      </c>
      <c r="Z55" s="139">
        <v>44025.708000000006</v>
      </c>
      <c r="AA55" s="139">
        <v>134973.92000000001</v>
      </c>
      <c r="AB55" s="139">
        <v>23818.7</v>
      </c>
      <c r="AC55" s="139">
        <v>158792.62</v>
      </c>
      <c r="AD55" s="139">
        <v>132184.978</v>
      </c>
      <c r="AE55" s="139">
        <v>204649.98</v>
      </c>
      <c r="AF55" s="139">
        <v>36114.83</v>
      </c>
      <c r="AG55" s="139">
        <v>240764.81</v>
      </c>
      <c r="AH55" s="139">
        <v>132184.978</v>
      </c>
      <c r="AI55" s="139">
        <v>246953.22</v>
      </c>
      <c r="AJ55" s="139">
        <v>43580.4</v>
      </c>
      <c r="AK55" s="139">
        <v>290533.62</v>
      </c>
      <c r="AL55" s="139">
        <v>132184.978</v>
      </c>
      <c r="AM55" s="139">
        <v>262451.20000000001</v>
      </c>
      <c r="AN55" s="139">
        <v>46314.81</v>
      </c>
      <c r="AO55" s="139">
        <v>308766.01</v>
      </c>
      <c r="AP55" s="139">
        <v>237976.10200000001</v>
      </c>
      <c r="AQ55" s="139">
        <v>296091.26</v>
      </c>
      <c r="AR55" s="139">
        <v>52250.94</v>
      </c>
      <c r="AS55" s="139">
        <v>348342.2</v>
      </c>
      <c r="AT55" s="139">
        <v>237976.10200000001</v>
      </c>
      <c r="AU55" s="139">
        <v>335860.5</v>
      </c>
      <c r="AV55" s="139">
        <v>59269.51</v>
      </c>
      <c r="AW55" s="139">
        <v>395130.01</v>
      </c>
      <c r="AX55" s="139">
        <v>237976.10200000001</v>
      </c>
      <c r="AY55" s="139">
        <v>352636.95</v>
      </c>
      <c r="AZ55" s="139">
        <v>62230.12</v>
      </c>
      <c r="BA55" s="139">
        <v>414867.07</v>
      </c>
      <c r="BB55" s="90">
        <v>339029.85649999999</v>
      </c>
      <c r="BC55" s="90">
        <v>331702.44</v>
      </c>
      <c r="BD55" s="90">
        <v>58536.26</v>
      </c>
      <c r="BE55" s="90">
        <v>390238.7</v>
      </c>
      <c r="BF55" s="90">
        <v>134328.07150000002</v>
      </c>
      <c r="BG55" s="90">
        <v>0</v>
      </c>
      <c r="BH55" s="90">
        <v>0</v>
      </c>
      <c r="BI55" s="90">
        <v>0</v>
      </c>
      <c r="BJ55" s="90">
        <v>0</v>
      </c>
      <c r="BK55" s="90">
        <v>0</v>
      </c>
      <c r="BL55" s="90">
        <v>0</v>
      </c>
      <c r="BM55" s="90">
        <v>0</v>
      </c>
      <c r="BN55" s="90" t="e">
        <f>#REF!+AX55+BB55+BF55+BJ55</f>
        <v>#REF!</v>
      </c>
      <c r="BO55" s="90">
        <f t="shared" si="107"/>
        <v>684339.39</v>
      </c>
      <c r="BP55" s="90">
        <f t="shared" si="107"/>
        <v>120766.38</v>
      </c>
      <c r="BQ55" s="90">
        <f t="shared" si="87"/>
        <v>805105.77</v>
      </c>
      <c r="BR55" s="95"/>
      <c r="BS55" s="80"/>
    </row>
    <row r="56" spans="1:71" s="13" customFormat="1" ht="111.75" customHeight="1">
      <c r="A56" s="138" t="s">
        <v>27</v>
      </c>
      <c r="B56" s="138" t="s">
        <v>285</v>
      </c>
      <c r="C56" s="139">
        <v>0</v>
      </c>
      <c r="D56" s="139"/>
      <c r="E56" s="139">
        <v>0</v>
      </c>
      <c r="F56" s="139">
        <v>0</v>
      </c>
      <c r="G56" s="139">
        <v>0</v>
      </c>
      <c r="H56" s="139">
        <v>0</v>
      </c>
      <c r="I56" s="139">
        <v>0</v>
      </c>
      <c r="J56" s="139">
        <v>0</v>
      </c>
      <c r="K56" s="139">
        <v>0</v>
      </c>
      <c r="L56" s="139">
        <v>0</v>
      </c>
      <c r="M56" s="139">
        <v>0</v>
      </c>
      <c r="N56" s="139">
        <v>0</v>
      </c>
      <c r="O56" s="139">
        <v>0</v>
      </c>
      <c r="P56" s="139">
        <v>0</v>
      </c>
      <c r="Q56" s="139">
        <v>0</v>
      </c>
      <c r="R56" s="139">
        <v>0</v>
      </c>
      <c r="S56" s="139">
        <v>0</v>
      </c>
      <c r="T56" s="139">
        <v>0</v>
      </c>
      <c r="U56" s="139">
        <v>0</v>
      </c>
      <c r="V56" s="139">
        <v>0</v>
      </c>
      <c r="W56" s="139">
        <v>0</v>
      </c>
      <c r="X56" s="139">
        <v>0</v>
      </c>
      <c r="Y56" s="139">
        <v>0</v>
      </c>
      <c r="Z56" s="139">
        <v>0</v>
      </c>
      <c r="AA56" s="139">
        <v>0</v>
      </c>
      <c r="AB56" s="139">
        <v>0</v>
      </c>
      <c r="AC56" s="139">
        <v>0</v>
      </c>
      <c r="AD56" s="139">
        <v>0</v>
      </c>
      <c r="AE56" s="139">
        <v>0</v>
      </c>
      <c r="AF56" s="139">
        <v>0</v>
      </c>
      <c r="AG56" s="139">
        <v>0</v>
      </c>
      <c r="AH56" s="139">
        <v>0</v>
      </c>
      <c r="AI56" s="139">
        <v>0</v>
      </c>
      <c r="AJ56" s="139">
        <v>0</v>
      </c>
      <c r="AK56" s="139">
        <v>0</v>
      </c>
      <c r="AL56" s="139">
        <v>0</v>
      </c>
      <c r="AM56" s="139">
        <v>0</v>
      </c>
      <c r="AN56" s="139">
        <v>0</v>
      </c>
      <c r="AO56" s="139">
        <v>0</v>
      </c>
      <c r="AP56" s="139">
        <v>0</v>
      </c>
      <c r="AQ56" s="139">
        <v>0</v>
      </c>
      <c r="AR56" s="139">
        <v>0</v>
      </c>
      <c r="AS56" s="139">
        <v>0</v>
      </c>
      <c r="AT56" s="139">
        <v>0</v>
      </c>
      <c r="AU56" s="139">
        <v>0</v>
      </c>
      <c r="AV56" s="139">
        <v>0</v>
      </c>
      <c r="AW56" s="139">
        <v>0</v>
      </c>
      <c r="AX56" s="139">
        <v>0</v>
      </c>
      <c r="AY56" s="139">
        <v>0</v>
      </c>
      <c r="AZ56" s="139">
        <v>0</v>
      </c>
      <c r="BA56" s="139">
        <v>0</v>
      </c>
      <c r="BB56" s="90">
        <v>0</v>
      </c>
      <c r="BC56" s="90">
        <v>0</v>
      </c>
      <c r="BD56" s="90">
        <v>0</v>
      </c>
      <c r="BE56" s="90">
        <v>0</v>
      </c>
      <c r="BF56" s="90">
        <v>0</v>
      </c>
      <c r="BG56" s="90">
        <v>0</v>
      </c>
      <c r="BH56" s="90">
        <v>0</v>
      </c>
      <c r="BI56" s="90">
        <v>0</v>
      </c>
      <c r="BJ56" s="90">
        <v>0</v>
      </c>
      <c r="BK56" s="90">
        <v>0</v>
      </c>
      <c r="BL56" s="90">
        <v>0</v>
      </c>
      <c r="BM56" s="90">
        <v>0</v>
      </c>
      <c r="BN56" s="90" t="e">
        <f>#REF!+AX56+BB56+BF56+BJ56</f>
        <v>#REF!</v>
      </c>
      <c r="BO56" s="90">
        <f t="shared" si="107"/>
        <v>0</v>
      </c>
      <c r="BP56" s="90">
        <f t="shared" si="107"/>
        <v>0</v>
      </c>
      <c r="BQ56" s="90">
        <f t="shared" si="87"/>
        <v>0</v>
      </c>
      <c r="BR56" s="92"/>
      <c r="BS56" s="80"/>
    </row>
    <row r="57" spans="1:71" s="13" customFormat="1" ht="59.25" customHeight="1">
      <c r="A57" s="138" t="s">
        <v>28</v>
      </c>
      <c r="B57" s="138" t="s">
        <v>286</v>
      </c>
      <c r="C57" s="139">
        <v>10940071.258476</v>
      </c>
      <c r="D57" s="139"/>
      <c r="E57" s="139">
        <v>2508405</v>
      </c>
      <c r="F57" s="139">
        <v>154607</v>
      </c>
      <c r="G57" s="139">
        <v>25875</v>
      </c>
      <c r="H57" s="139">
        <v>425</v>
      </c>
      <c r="I57" s="139">
        <v>26300</v>
      </c>
      <c r="J57" s="139">
        <v>154607</v>
      </c>
      <c r="K57" s="139">
        <v>114029</v>
      </c>
      <c r="L57" s="139">
        <v>1871</v>
      </c>
      <c r="M57" s="139">
        <v>115900</v>
      </c>
      <c r="N57" s="139">
        <v>154607</v>
      </c>
      <c r="O57" s="139">
        <v>202182</v>
      </c>
      <c r="P57" s="139">
        <v>3318</v>
      </c>
      <c r="Q57" s="139">
        <v>205500</v>
      </c>
      <c r="R57" s="139">
        <v>361397.32799999998</v>
      </c>
      <c r="S57" s="139">
        <v>302141</v>
      </c>
      <c r="T57" s="139">
        <v>4959</v>
      </c>
      <c r="U57" s="139">
        <v>307100</v>
      </c>
      <c r="V57" s="139">
        <v>361397.32799999998</v>
      </c>
      <c r="W57" s="139">
        <v>394722</v>
      </c>
      <c r="X57" s="139">
        <v>6478</v>
      </c>
      <c r="Y57" s="139">
        <v>401200</v>
      </c>
      <c r="Z57" s="139">
        <v>361397.32799999998</v>
      </c>
      <c r="AA57" s="139">
        <v>498617</v>
      </c>
      <c r="AB57" s="139">
        <v>8183</v>
      </c>
      <c r="AC57" s="139">
        <v>506800</v>
      </c>
      <c r="AD57" s="139">
        <v>878373.14799999993</v>
      </c>
      <c r="AE57" s="139">
        <v>602020</v>
      </c>
      <c r="AF57" s="139">
        <v>9880</v>
      </c>
      <c r="AG57" s="139">
        <v>611900</v>
      </c>
      <c r="AH57" s="139">
        <v>878373.14799999993</v>
      </c>
      <c r="AI57" s="139">
        <v>707883</v>
      </c>
      <c r="AJ57" s="139">
        <v>11617</v>
      </c>
      <c r="AK57" s="139">
        <v>719500</v>
      </c>
      <c r="AL57" s="139">
        <v>878373.14799999993</v>
      </c>
      <c r="AM57" s="139">
        <v>813745</v>
      </c>
      <c r="AN57" s="139">
        <v>13355</v>
      </c>
      <c r="AO57" s="139">
        <v>827100</v>
      </c>
      <c r="AP57" s="139">
        <v>1498744.1319999998</v>
      </c>
      <c r="AQ57" s="139">
        <v>1170507</v>
      </c>
      <c r="AR57" s="139">
        <v>19103</v>
      </c>
      <c r="AS57" s="139">
        <v>1337185</v>
      </c>
      <c r="AT57" s="139">
        <v>1498744.1319999998</v>
      </c>
      <c r="AU57" s="139">
        <v>1527269</v>
      </c>
      <c r="AV57" s="139">
        <v>24851</v>
      </c>
      <c r="AW57" s="139">
        <v>1847270</v>
      </c>
      <c r="AX57" s="139">
        <v>1498744.1319999998</v>
      </c>
      <c r="AY57" s="139">
        <v>2030853</v>
      </c>
      <c r="AZ57" s="139">
        <v>34827</v>
      </c>
      <c r="BA57" s="139">
        <v>2508405</v>
      </c>
      <c r="BB57" s="90">
        <v>1392319.683</v>
      </c>
      <c r="BC57" s="90">
        <v>1425594</v>
      </c>
      <c r="BD57" s="90">
        <v>22503</v>
      </c>
      <c r="BE57" s="90">
        <v>1005372</v>
      </c>
      <c r="BF57" s="90">
        <v>1376480.0134760009</v>
      </c>
      <c r="BG57" s="90">
        <v>0</v>
      </c>
      <c r="BH57" s="90">
        <v>0</v>
      </c>
      <c r="BI57" s="90">
        <v>0</v>
      </c>
      <c r="BJ57" s="90">
        <v>0</v>
      </c>
      <c r="BK57" s="90">
        <v>0</v>
      </c>
      <c r="BL57" s="90">
        <v>0</v>
      </c>
      <c r="BM57" s="90">
        <v>0</v>
      </c>
      <c r="BN57" s="90" t="e">
        <f>#REF!+AX57+BB57+BF57+BJ57</f>
        <v>#REF!</v>
      </c>
      <c r="BO57" s="90">
        <f t="shared" si="107"/>
        <v>3456447</v>
      </c>
      <c r="BP57" s="90">
        <f t="shared" si="107"/>
        <v>57330</v>
      </c>
      <c r="BQ57" s="90">
        <f t="shared" si="87"/>
        <v>3513777</v>
      </c>
      <c r="BR57" s="96" t="s">
        <v>195</v>
      </c>
      <c r="BS57" s="80"/>
    </row>
    <row r="58" spans="1:71" s="13" customFormat="1" ht="81.75" customHeight="1">
      <c r="A58" s="138" t="s">
        <v>29</v>
      </c>
      <c r="B58" s="138" t="s">
        <v>287</v>
      </c>
      <c r="C58" s="139">
        <v>8705014.6804799996</v>
      </c>
      <c r="D58" s="139"/>
      <c r="E58" s="139">
        <v>1857111</v>
      </c>
      <c r="F58" s="139">
        <v>165987</v>
      </c>
      <c r="G58" s="139">
        <v>100426</v>
      </c>
      <c r="H58" s="139">
        <v>7768</v>
      </c>
      <c r="I58" s="139">
        <v>108194</v>
      </c>
      <c r="J58" s="139">
        <v>165987</v>
      </c>
      <c r="K58" s="139">
        <v>287093</v>
      </c>
      <c r="L58" s="139">
        <v>22207</v>
      </c>
      <c r="M58" s="139">
        <v>309300</v>
      </c>
      <c r="N58" s="139">
        <v>165987</v>
      </c>
      <c r="O58" s="139">
        <v>480837</v>
      </c>
      <c r="P58" s="139">
        <v>37195</v>
      </c>
      <c r="Q58" s="139">
        <v>505747</v>
      </c>
      <c r="R58" s="139">
        <v>339982.22700000001</v>
      </c>
      <c r="S58" s="139">
        <v>683913</v>
      </c>
      <c r="T58" s="139">
        <v>52903</v>
      </c>
      <c r="U58" s="139">
        <v>686754</v>
      </c>
      <c r="V58" s="139">
        <v>339982.22700000001</v>
      </c>
      <c r="W58" s="139">
        <v>908044</v>
      </c>
      <c r="X58" s="139">
        <v>70241</v>
      </c>
      <c r="Y58" s="139">
        <v>843984</v>
      </c>
      <c r="Z58" s="139">
        <v>339982.22700000001</v>
      </c>
      <c r="AA58" s="139">
        <v>1145262</v>
      </c>
      <c r="AB58" s="139">
        <v>88590</v>
      </c>
      <c r="AC58" s="139">
        <v>1018781</v>
      </c>
      <c r="AD58" s="139">
        <v>774970.29450000008</v>
      </c>
      <c r="AE58" s="139">
        <v>1378176</v>
      </c>
      <c r="AF58" s="139">
        <v>106608</v>
      </c>
      <c r="AG58" s="139">
        <v>1191905</v>
      </c>
      <c r="AH58" s="139">
        <v>774970.29450000008</v>
      </c>
      <c r="AI58" s="139">
        <v>1599335</v>
      </c>
      <c r="AJ58" s="139">
        <v>123714</v>
      </c>
      <c r="AK58" s="139">
        <v>1352263</v>
      </c>
      <c r="AL58" s="139">
        <v>774970.29450000008</v>
      </c>
      <c r="AM58" s="139">
        <v>1825134</v>
      </c>
      <c r="AN58" s="139">
        <v>141182</v>
      </c>
      <c r="AO58" s="139">
        <v>1517994</v>
      </c>
      <c r="AP58" s="139">
        <v>1296955.9755000002</v>
      </c>
      <c r="AQ58" s="139">
        <v>2032198</v>
      </c>
      <c r="AR58" s="139">
        <v>157199</v>
      </c>
      <c r="AS58" s="139">
        <v>1664242</v>
      </c>
      <c r="AT58" s="139">
        <v>1296955.9755000002</v>
      </c>
      <c r="AU58" s="139">
        <v>2208883</v>
      </c>
      <c r="AV58" s="139">
        <v>170866</v>
      </c>
      <c r="AW58" s="139">
        <v>1786299</v>
      </c>
      <c r="AX58" s="139">
        <v>1296955.9755000002</v>
      </c>
      <c r="AY58" s="139">
        <v>2358983</v>
      </c>
      <c r="AZ58" s="139">
        <v>182477</v>
      </c>
      <c r="BA58" s="139">
        <v>1857111</v>
      </c>
      <c r="BB58" s="90">
        <v>996747.89250000007</v>
      </c>
      <c r="BC58" s="90">
        <v>1483047</v>
      </c>
      <c r="BD58" s="90">
        <v>114718</v>
      </c>
      <c r="BE58" s="90">
        <v>636675</v>
      </c>
      <c r="BF58" s="90">
        <v>1594884.7424799991</v>
      </c>
      <c r="BG58" s="90">
        <v>0</v>
      </c>
      <c r="BH58" s="90">
        <v>0</v>
      </c>
      <c r="BI58" s="90">
        <v>0</v>
      </c>
      <c r="BJ58" s="90">
        <v>0</v>
      </c>
      <c r="BK58" s="90">
        <v>0</v>
      </c>
      <c r="BL58" s="90">
        <v>0</v>
      </c>
      <c r="BM58" s="90">
        <v>0</v>
      </c>
      <c r="BN58" s="90" t="e">
        <f>#REF!+AX58+BB58+BF58+BJ58</f>
        <v>#REF!</v>
      </c>
      <c r="BO58" s="90">
        <f t="shared" si="107"/>
        <v>3842030</v>
      </c>
      <c r="BP58" s="90">
        <f t="shared" si="107"/>
        <v>297195</v>
      </c>
      <c r="BQ58" s="90">
        <f t="shared" si="87"/>
        <v>4139225</v>
      </c>
      <c r="BR58" s="92"/>
      <c r="BS58" s="80"/>
    </row>
    <row r="59" spans="1:71" s="13" customFormat="1" ht="61.5" customHeight="1">
      <c r="A59" s="138" t="s">
        <v>30</v>
      </c>
      <c r="B59" s="138" t="s">
        <v>288</v>
      </c>
      <c r="C59" s="139">
        <v>1262086</v>
      </c>
      <c r="D59" s="139"/>
      <c r="E59" s="139">
        <v>770455</v>
      </c>
      <c r="F59" s="139">
        <v>0</v>
      </c>
      <c r="G59" s="139">
        <v>1730</v>
      </c>
      <c r="H59" s="139">
        <v>305</v>
      </c>
      <c r="I59" s="139">
        <v>2035</v>
      </c>
      <c r="J59" s="139">
        <v>0</v>
      </c>
      <c r="K59" s="139">
        <v>74010</v>
      </c>
      <c r="L59" s="139">
        <v>13060</v>
      </c>
      <c r="M59" s="139">
        <v>87070</v>
      </c>
      <c r="N59" s="139">
        <v>0</v>
      </c>
      <c r="O59" s="139">
        <v>88792</v>
      </c>
      <c r="P59" s="139">
        <v>15669</v>
      </c>
      <c r="Q59" s="139">
        <v>104461</v>
      </c>
      <c r="R59" s="139">
        <v>41263.638000000006</v>
      </c>
      <c r="S59" s="139">
        <v>90522</v>
      </c>
      <c r="T59" s="139">
        <v>15975</v>
      </c>
      <c r="U59" s="139">
        <v>106497</v>
      </c>
      <c r="V59" s="139">
        <v>41263.638000000006</v>
      </c>
      <c r="W59" s="139">
        <v>92251</v>
      </c>
      <c r="X59" s="139">
        <v>16280</v>
      </c>
      <c r="Y59" s="139">
        <v>108531</v>
      </c>
      <c r="Z59" s="139">
        <v>41263.638000000006</v>
      </c>
      <c r="AA59" s="139">
        <v>174847</v>
      </c>
      <c r="AB59" s="139">
        <v>30855</v>
      </c>
      <c r="AC59" s="139">
        <v>205702</v>
      </c>
      <c r="AD59" s="139">
        <v>144422.73300000001</v>
      </c>
      <c r="AE59" s="139">
        <v>248645</v>
      </c>
      <c r="AF59" s="139">
        <v>43879</v>
      </c>
      <c r="AG59" s="139">
        <v>292524</v>
      </c>
      <c r="AH59" s="139">
        <v>144422.73300000001</v>
      </c>
      <c r="AI59" s="139">
        <v>409493</v>
      </c>
      <c r="AJ59" s="139">
        <v>72264</v>
      </c>
      <c r="AK59" s="139">
        <v>481757</v>
      </c>
      <c r="AL59" s="139">
        <v>144422.73300000001</v>
      </c>
      <c r="AM59" s="139">
        <v>418979</v>
      </c>
      <c r="AN59" s="139">
        <v>73937</v>
      </c>
      <c r="AO59" s="139">
        <v>492916</v>
      </c>
      <c r="AP59" s="139">
        <v>268213.647</v>
      </c>
      <c r="AQ59" s="139">
        <v>529940</v>
      </c>
      <c r="AR59" s="139">
        <v>93519</v>
      </c>
      <c r="AS59" s="139">
        <v>623459</v>
      </c>
      <c r="AT59" s="139">
        <v>268213.647</v>
      </c>
      <c r="AU59" s="139">
        <v>640389</v>
      </c>
      <c r="AV59" s="139">
        <v>113010</v>
      </c>
      <c r="AW59" s="139">
        <v>753399</v>
      </c>
      <c r="AX59" s="139">
        <v>268213.647</v>
      </c>
      <c r="AY59" s="139">
        <v>654887</v>
      </c>
      <c r="AZ59" s="139">
        <v>115568</v>
      </c>
      <c r="BA59" s="139">
        <v>770455</v>
      </c>
      <c r="BB59" s="90">
        <v>627338.96299999999</v>
      </c>
      <c r="BC59" s="90">
        <v>242697</v>
      </c>
      <c r="BD59" s="90">
        <v>42829</v>
      </c>
      <c r="BE59" s="90">
        <v>0</v>
      </c>
      <c r="BF59" s="90">
        <v>0</v>
      </c>
      <c r="BG59" s="90">
        <v>0</v>
      </c>
      <c r="BH59" s="90">
        <v>0</v>
      </c>
      <c r="BI59" s="90">
        <v>0</v>
      </c>
      <c r="BJ59" s="90">
        <v>0</v>
      </c>
      <c r="BK59" s="90">
        <v>0</v>
      </c>
      <c r="BL59" s="90">
        <v>0</v>
      </c>
      <c r="BM59" s="90">
        <v>0</v>
      </c>
      <c r="BN59" s="90" t="e">
        <f>#REF!+AX59+BB59+BF59+BJ59</f>
        <v>#REF!</v>
      </c>
      <c r="BO59" s="90">
        <f t="shared" si="107"/>
        <v>897584</v>
      </c>
      <c r="BP59" s="90">
        <f t="shared" si="107"/>
        <v>158397</v>
      </c>
      <c r="BQ59" s="90">
        <f t="shared" si="87"/>
        <v>1055981</v>
      </c>
      <c r="BR59" s="95" t="s">
        <v>196</v>
      </c>
      <c r="BS59" s="80"/>
    </row>
    <row r="60" spans="1:71" s="13" customFormat="1" ht="75" customHeight="1">
      <c r="A60" s="138" t="s">
        <v>31</v>
      </c>
      <c r="B60" s="138" t="s">
        <v>289</v>
      </c>
      <c r="C60" s="139">
        <v>3215141</v>
      </c>
      <c r="D60" s="139"/>
      <c r="E60" s="139">
        <v>826540</v>
      </c>
      <c r="F60" s="139">
        <v>60153</v>
      </c>
      <c r="G60" s="139">
        <v>48638</v>
      </c>
      <c r="H60" s="139">
        <v>8583</v>
      </c>
      <c r="I60" s="139">
        <v>57221</v>
      </c>
      <c r="J60" s="139">
        <v>60153</v>
      </c>
      <c r="K60" s="139">
        <v>133161</v>
      </c>
      <c r="L60" s="139">
        <v>23499</v>
      </c>
      <c r="M60" s="139">
        <v>156660</v>
      </c>
      <c r="N60" s="139">
        <v>60153</v>
      </c>
      <c r="O60" s="139">
        <v>203114</v>
      </c>
      <c r="P60" s="139">
        <v>35844</v>
      </c>
      <c r="Q60" s="139">
        <v>238958</v>
      </c>
      <c r="R60" s="139">
        <v>139877.06200000001</v>
      </c>
      <c r="S60" s="139">
        <v>273650</v>
      </c>
      <c r="T60" s="139">
        <v>48291</v>
      </c>
      <c r="U60" s="139">
        <v>321941</v>
      </c>
      <c r="V60" s="139">
        <v>139877.06200000001</v>
      </c>
      <c r="W60" s="139">
        <v>343936</v>
      </c>
      <c r="X60" s="139">
        <v>60694</v>
      </c>
      <c r="Y60" s="139">
        <v>404630</v>
      </c>
      <c r="Z60" s="139">
        <v>139877.06200000001</v>
      </c>
      <c r="AA60" s="139">
        <v>413693</v>
      </c>
      <c r="AB60" s="139">
        <v>73004</v>
      </c>
      <c r="AC60" s="139">
        <v>486697</v>
      </c>
      <c r="AD60" s="139">
        <v>339187.217</v>
      </c>
      <c r="AE60" s="139">
        <v>475464</v>
      </c>
      <c r="AF60" s="139">
        <v>83905</v>
      </c>
      <c r="AG60" s="139">
        <v>559369</v>
      </c>
      <c r="AH60" s="139">
        <v>339187.217</v>
      </c>
      <c r="AI60" s="139">
        <v>536146</v>
      </c>
      <c r="AJ60" s="139">
        <v>94614</v>
      </c>
      <c r="AK60" s="139">
        <v>630760</v>
      </c>
      <c r="AL60" s="139">
        <v>339187.217</v>
      </c>
      <c r="AM60" s="139">
        <v>600638</v>
      </c>
      <c r="AN60" s="139">
        <v>105994</v>
      </c>
      <c r="AO60" s="139">
        <v>706632</v>
      </c>
      <c r="AP60" s="139">
        <v>578359.40299999993</v>
      </c>
      <c r="AQ60" s="139">
        <v>645250</v>
      </c>
      <c r="AR60" s="139">
        <v>113867</v>
      </c>
      <c r="AS60" s="139">
        <v>759117</v>
      </c>
      <c r="AT60" s="139">
        <v>578359.40299999993</v>
      </c>
      <c r="AU60" s="139">
        <v>688105</v>
      </c>
      <c r="AV60" s="139">
        <v>121430</v>
      </c>
      <c r="AW60" s="139">
        <v>809535</v>
      </c>
      <c r="AX60" s="139">
        <v>578359.40299999993</v>
      </c>
      <c r="AY60" s="139">
        <v>702559</v>
      </c>
      <c r="AZ60" s="139">
        <v>123981</v>
      </c>
      <c r="BA60" s="139">
        <v>826540</v>
      </c>
      <c r="BB60" s="90">
        <v>610481.69050000003</v>
      </c>
      <c r="BC60" s="90">
        <v>350527</v>
      </c>
      <c r="BD60" s="90">
        <v>61858</v>
      </c>
      <c r="BE60" s="90">
        <v>412385</v>
      </c>
      <c r="BF60" s="90">
        <v>85408.816499999957</v>
      </c>
      <c r="BG60" s="90">
        <v>134005</v>
      </c>
      <c r="BH60" s="90">
        <v>23648</v>
      </c>
      <c r="BI60" s="90">
        <v>157653</v>
      </c>
      <c r="BJ60" s="90">
        <v>0</v>
      </c>
      <c r="BK60" s="90">
        <v>0</v>
      </c>
      <c r="BL60" s="90">
        <v>0</v>
      </c>
      <c r="BM60" s="90">
        <v>0</v>
      </c>
      <c r="BN60" s="90" t="e">
        <f>#REF!+AX60+BB60+BF60+BJ60</f>
        <v>#REF!</v>
      </c>
      <c r="BO60" s="90">
        <f t="shared" si="107"/>
        <v>1187091</v>
      </c>
      <c r="BP60" s="90">
        <f t="shared" si="107"/>
        <v>209487</v>
      </c>
      <c r="BQ60" s="90">
        <f t="shared" si="87"/>
        <v>1396578</v>
      </c>
      <c r="BR60" s="92"/>
      <c r="BS60" s="80"/>
    </row>
    <row r="61" spans="1:71" s="13" customFormat="1" ht="81.75" customHeight="1">
      <c r="A61" s="138" t="s">
        <v>32</v>
      </c>
      <c r="B61" s="138" t="s">
        <v>290</v>
      </c>
      <c r="C61" s="139">
        <v>9622697</v>
      </c>
      <c r="D61" s="139"/>
      <c r="E61" s="139">
        <v>4455832</v>
      </c>
      <c r="F61" s="139">
        <v>574865.55700000003</v>
      </c>
      <c r="G61" s="139">
        <v>686094</v>
      </c>
      <c r="H61" s="139">
        <v>0</v>
      </c>
      <c r="I61" s="139">
        <v>686094</v>
      </c>
      <c r="J61" s="139">
        <v>869618.64599999995</v>
      </c>
      <c r="K61" s="139">
        <v>1049472</v>
      </c>
      <c r="L61" s="139">
        <v>0</v>
      </c>
      <c r="M61" s="139">
        <v>1049472</v>
      </c>
      <c r="N61" s="139">
        <v>1105543.7960000001</v>
      </c>
      <c r="O61" s="139">
        <v>1334841</v>
      </c>
      <c r="P61" s="139">
        <v>0</v>
      </c>
      <c r="Q61" s="139">
        <v>1334841</v>
      </c>
      <c r="R61" s="139">
        <v>1296938.2619999999</v>
      </c>
      <c r="S61" s="139">
        <v>1572999</v>
      </c>
      <c r="T61" s="139">
        <v>0</v>
      </c>
      <c r="U61" s="139">
        <v>1570605</v>
      </c>
      <c r="V61" s="139">
        <v>1695982.3049999997</v>
      </c>
      <c r="W61" s="139">
        <v>2068218</v>
      </c>
      <c r="X61" s="139">
        <v>0</v>
      </c>
      <c r="Y61" s="139">
        <v>2063012</v>
      </c>
      <c r="Z61" s="139">
        <v>1806401.5549999997</v>
      </c>
      <c r="AA61" s="139">
        <v>2214630</v>
      </c>
      <c r="AB61" s="139">
        <v>0</v>
      </c>
      <c r="AC61" s="139">
        <v>2200987</v>
      </c>
      <c r="AD61" s="139">
        <v>2008062.3549999997</v>
      </c>
      <c r="AE61" s="139">
        <v>2462576</v>
      </c>
      <c r="AF61" s="139">
        <v>0</v>
      </c>
      <c r="AG61" s="139">
        <v>2446852</v>
      </c>
      <c r="AH61" s="139">
        <v>2676644</v>
      </c>
      <c r="AI61" s="139">
        <v>3101001</v>
      </c>
      <c r="AJ61" s="139">
        <v>0</v>
      </c>
      <c r="AK61" s="139">
        <v>3080976</v>
      </c>
      <c r="AL61" s="139">
        <v>3038252.3895</v>
      </c>
      <c r="AM61" s="139">
        <v>3347249</v>
      </c>
      <c r="AN61" s="139">
        <v>0</v>
      </c>
      <c r="AO61" s="139">
        <v>3316385</v>
      </c>
      <c r="AP61" s="139">
        <v>3230305.0734999999</v>
      </c>
      <c r="AQ61" s="139">
        <v>3559523</v>
      </c>
      <c r="AR61" s="139">
        <v>0</v>
      </c>
      <c r="AS61" s="139">
        <v>3528120</v>
      </c>
      <c r="AT61" s="139">
        <v>3658027.9719999996</v>
      </c>
      <c r="AU61" s="139">
        <v>4033205</v>
      </c>
      <c r="AV61" s="139">
        <v>0</v>
      </c>
      <c r="AW61" s="139">
        <v>3997493</v>
      </c>
      <c r="AX61" s="139">
        <v>4134477.9</v>
      </c>
      <c r="AY61" s="139">
        <v>4495899</v>
      </c>
      <c r="AZ61" s="139">
        <v>0</v>
      </c>
      <c r="BA61" s="139">
        <v>4455832</v>
      </c>
      <c r="BB61" s="90">
        <v>1667918.4749999999</v>
      </c>
      <c r="BC61" s="90">
        <v>1970052</v>
      </c>
      <c r="BD61" s="90">
        <v>0</v>
      </c>
      <c r="BE61" s="90">
        <v>1920177</v>
      </c>
      <c r="BF61" s="90">
        <v>1667918.4749999999</v>
      </c>
      <c r="BG61" s="90">
        <v>398185</v>
      </c>
      <c r="BH61" s="90">
        <v>0</v>
      </c>
      <c r="BI61" s="90">
        <v>389398</v>
      </c>
      <c r="BJ61" s="90">
        <v>0</v>
      </c>
      <c r="BK61" s="90">
        <v>0</v>
      </c>
      <c r="BL61" s="90">
        <v>0</v>
      </c>
      <c r="BM61" s="90">
        <v>0</v>
      </c>
      <c r="BN61" s="90" t="e">
        <f>#REF!+AX61+BB61+BF61+BJ61</f>
        <v>#REF!</v>
      </c>
      <c r="BO61" s="90">
        <f t="shared" si="107"/>
        <v>6864136</v>
      </c>
      <c r="BP61" s="90">
        <f t="shared" si="107"/>
        <v>0</v>
      </c>
      <c r="BQ61" s="90">
        <f t="shared" si="87"/>
        <v>6864136</v>
      </c>
      <c r="BR61" s="95" t="s">
        <v>197</v>
      </c>
      <c r="BS61" s="80"/>
    </row>
    <row r="62" spans="1:71" s="8" customFormat="1">
      <c r="A62" s="141"/>
      <c r="B62" s="142" t="s">
        <v>291</v>
      </c>
      <c r="C62" s="143">
        <f>SUM(C63:C67)</f>
        <v>35788393.130952001</v>
      </c>
      <c r="D62" s="143"/>
      <c r="E62" s="143">
        <f t="shared" ref="E62:BM62" si="108">SUM(E63:E67)</f>
        <v>5329017</v>
      </c>
      <c r="F62" s="143">
        <f t="shared" si="108"/>
        <v>227135</v>
      </c>
      <c r="G62" s="143">
        <f t="shared" si="108"/>
        <v>227135</v>
      </c>
      <c r="H62" s="143">
        <f t="shared" si="108"/>
        <v>0</v>
      </c>
      <c r="I62" s="143">
        <f t="shared" si="108"/>
        <v>227135</v>
      </c>
      <c r="J62" s="143">
        <f t="shared" si="108"/>
        <v>384927</v>
      </c>
      <c r="K62" s="143">
        <f t="shared" si="108"/>
        <v>384927</v>
      </c>
      <c r="L62" s="143">
        <f t="shared" si="108"/>
        <v>0</v>
      </c>
      <c r="M62" s="143">
        <f t="shared" si="108"/>
        <v>384927</v>
      </c>
      <c r="N62" s="143">
        <f t="shared" si="108"/>
        <v>742239</v>
      </c>
      <c r="O62" s="143">
        <f t="shared" si="108"/>
        <v>742239</v>
      </c>
      <c r="P62" s="143">
        <f t="shared" si="108"/>
        <v>0</v>
      </c>
      <c r="Q62" s="143">
        <f t="shared" si="108"/>
        <v>592239</v>
      </c>
      <c r="R62" s="143">
        <f t="shared" si="108"/>
        <v>1027774</v>
      </c>
      <c r="S62" s="143">
        <f t="shared" si="108"/>
        <v>1027774</v>
      </c>
      <c r="T62" s="143">
        <f t="shared" si="108"/>
        <v>0</v>
      </c>
      <c r="U62" s="143">
        <f t="shared" si="108"/>
        <v>1027774</v>
      </c>
      <c r="V62" s="143">
        <f t="shared" si="108"/>
        <v>1528269</v>
      </c>
      <c r="W62" s="143">
        <f t="shared" si="108"/>
        <v>1528269</v>
      </c>
      <c r="X62" s="143">
        <f t="shared" si="108"/>
        <v>0</v>
      </c>
      <c r="Y62" s="143">
        <f t="shared" si="108"/>
        <v>1528269</v>
      </c>
      <c r="Z62" s="143">
        <f t="shared" si="108"/>
        <v>2193585</v>
      </c>
      <c r="AA62" s="143">
        <f t="shared" si="108"/>
        <v>2193585</v>
      </c>
      <c r="AB62" s="143">
        <f t="shared" si="108"/>
        <v>0</v>
      </c>
      <c r="AC62" s="143">
        <f t="shared" si="108"/>
        <v>1893585</v>
      </c>
      <c r="AD62" s="143">
        <f t="shared" si="108"/>
        <v>2586501</v>
      </c>
      <c r="AE62" s="143">
        <f t="shared" si="108"/>
        <v>2586501</v>
      </c>
      <c r="AF62" s="143">
        <f t="shared" si="108"/>
        <v>0</v>
      </c>
      <c r="AG62" s="143">
        <f t="shared" si="108"/>
        <v>2586501</v>
      </c>
      <c r="AH62" s="143">
        <f t="shared" si="108"/>
        <v>3216134</v>
      </c>
      <c r="AI62" s="143">
        <f t="shared" si="108"/>
        <v>3216134</v>
      </c>
      <c r="AJ62" s="143">
        <f t="shared" si="108"/>
        <v>0</v>
      </c>
      <c r="AK62" s="143">
        <f t="shared" si="108"/>
        <v>3216134</v>
      </c>
      <c r="AL62" s="143">
        <f t="shared" si="108"/>
        <v>4265786</v>
      </c>
      <c r="AM62" s="143">
        <f t="shared" si="108"/>
        <v>4265786</v>
      </c>
      <c r="AN62" s="143">
        <f t="shared" si="108"/>
        <v>0</v>
      </c>
      <c r="AO62" s="143">
        <f t="shared" si="108"/>
        <v>3815786</v>
      </c>
      <c r="AP62" s="143">
        <f t="shared" si="108"/>
        <v>4421978</v>
      </c>
      <c r="AQ62" s="143">
        <f t="shared" si="108"/>
        <v>4421978</v>
      </c>
      <c r="AR62" s="143">
        <f t="shared" si="108"/>
        <v>0</v>
      </c>
      <c r="AS62" s="143">
        <f t="shared" si="108"/>
        <v>4421978</v>
      </c>
      <c r="AT62" s="143">
        <f t="shared" si="108"/>
        <v>4978225</v>
      </c>
      <c r="AU62" s="143">
        <f t="shared" si="108"/>
        <v>4978225</v>
      </c>
      <c r="AV62" s="143">
        <f t="shared" si="108"/>
        <v>0</v>
      </c>
      <c r="AW62" s="143">
        <f t="shared" si="108"/>
        <v>4978225</v>
      </c>
      <c r="AX62" s="143">
        <f t="shared" si="108"/>
        <v>5929017</v>
      </c>
      <c r="AY62" s="143">
        <f t="shared" si="108"/>
        <v>5929017</v>
      </c>
      <c r="AZ62" s="143">
        <f t="shared" si="108"/>
        <v>0</v>
      </c>
      <c r="BA62" s="143">
        <f t="shared" si="108"/>
        <v>5329017</v>
      </c>
      <c r="BB62" s="93">
        <f t="shared" si="108"/>
        <v>6700331</v>
      </c>
      <c r="BC62" s="93">
        <f t="shared" si="108"/>
        <v>6700331</v>
      </c>
      <c r="BD62" s="93">
        <f t="shared" si="108"/>
        <v>0</v>
      </c>
      <c r="BE62" s="93">
        <f t="shared" si="108"/>
        <v>5500331</v>
      </c>
      <c r="BF62" s="93">
        <f t="shared" si="108"/>
        <v>5532996.9209519997</v>
      </c>
      <c r="BG62" s="93">
        <f t="shared" si="108"/>
        <v>3611170</v>
      </c>
      <c r="BH62" s="93">
        <f t="shared" si="108"/>
        <v>0</v>
      </c>
      <c r="BI62" s="93">
        <f t="shared" si="108"/>
        <v>2411170</v>
      </c>
      <c r="BJ62" s="93">
        <f t="shared" si="108"/>
        <v>406375</v>
      </c>
      <c r="BK62" s="93">
        <f t="shared" si="108"/>
        <v>4684191.58</v>
      </c>
      <c r="BL62" s="93">
        <f t="shared" si="108"/>
        <v>0</v>
      </c>
      <c r="BM62" s="93">
        <f t="shared" si="108"/>
        <v>0</v>
      </c>
      <c r="BN62" s="93" t="e">
        <f>#REF!+AX62+BB62+BF62+BJ62</f>
        <v>#REF!</v>
      </c>
      <c r="BO62" s="93">
        <f t="shared" si="107"/>
        <v>20924709.579999998</v>
      </c>
      <c r="BP62" s="93">
        <f t="shared" si="107"/>
        <v>0</v>
      </c>
      <c r="BQ62" s="93">
        <f t="shared" si="87"/>
        <v>20924709.579999998</v>
      </c>
      <c r="BR62" s="89"/>
      <c r="BS62" s="80"/>
    </row>
    <row r="63" spans="1:71" s="13" customFormat="1" ht="108" customHeight="1">
      <c r="A63" s="138" t="s">
        <v>33</v>
      </c>
      <c r="B63" s="138" t="s">
        <v>446</v>
      </c>
      <c r="C63" s="139">
        <v>18120843.920952</v>
      </c>
      <c r="D63" s="139"/>
      <c r="E63" s="139">
        <v>5329017</v>
      </c>
      <c r="F63" s="139">
        <v>227135</v>
      </c>
      <c r="G63" s="139">
        <v>227135</v>
      </c>
      <c r="H63" s="139">
        <v>0</v>
      </c>
      <c r="I63" s="139">
        <v>227135</v>
      </c>
      <c r="J63" s="139">
        <f>F63+157792</f>
        <v>384927</v>
      </c>
      <c r="K63" s="139">
        <f>G63+157792</f>
        <v>384927</v>
      </c>
      <c r="L63" s="139">
        <v>0</v>
      </c>
      <c r="M63" s="139">
        <f>I63+157792</f>
        <v>384927</v>
      </c>
      <c r="N63" s="139">
        <f>J63+207312</f>
        <v>592239</v>
      </c>
      <c r="O63" s="139">
        <f>K63+207312</f>
        <v>592239</v>
      </c>
      <c r="P63" s="139">
        <v>0</v>
      </c>
      <c r="Q63" s="139">
        <f>M63+207312</f>
        <v>592239</v>
      </c>
      <c r="R63" s="139">
        <f>N63+435535</f>
        <v>1027774</v>
      </c>
      <c r="S63" s="139">
        <f>O63+435535</f>
        <v>1027774</v>
      </c>
      <c r="T63" s="139">
        <v>0</v>
      </c>
      <c r="U63" s="139">
        <f>Q63+435535</f>
        <v>1027774</v>
      </c>
      <c r="V63" s="139">
        <f>R63+500495</f>
        <v>1528269</v>
      </c>
      <c r="W63" s="139">
        <f>S63+500495</f>
        <v>1528269</v>
      </c>
      <c r="X63" s="139">
        <v>0</v>
      </c>
      <c r="Y63" s="139">
        <f>U63+500495</f>
        <v>1528269</v>
      </c>
      <c r="Z63" s="139">
        <f>V63+365316</f>
        <v>1893585</v>
      </c>
      <c r="AA63" s="139">
        <f>W63+365316</f>
        <v>1893585</v>
      </c>
      <c r="AB63" s="139">
        <v>0</v>
      </c>
      <c r="AC63" s="139">
        <f>Y63+365316</f>
        <v>1893585</v>
      </c>
      <c r="AD63" s="139">
        <f>Z63+692916</f>
        <v>2586501</v>
      </c>
      <c r="AE63" s="139">
        <f>AA63+692916</f>
        <v>2586501</v>
      </c>
      <c r="AF63" s="139">
        <v>0</v>
      </c>
      <c r="AG63" s="139">
        <f>AC63+692916</f>
        <v>2586501</v>
      </c>
      <c r="AH63" s="139">
        <f>AD63+629633</f>
        <v>3216134</v>
      </c>
      <c r="AI63" s="139">
        <f>AE63+629633</f>
        <v>3216134</v>
      </c>
      <c r="AJ63" s="139">
        <v>0</v>
      </c>
      <c r="AK63" s="139">
        <f>AG63+629633</f>
        <v>3216134</v>
      </c>
      <c r="AL63" s="139">
        <f>AH63+599652</f>
        <v>3815786</v>
      </c>
      <c r="AM63" s="139">
        <f>AI63+599652</f>
        <v>3815786</v>
      </c>
      <c r="AN63" s="139">
        <v>0</v>
      </c>
      <c r="AO63" s="139">
        <f>AK63+599652</f>
        <v>3815786</v>
      </c>
      <c r="AP63" s="139">
        <f>AL63+606192</f>
        <v>4421978</v>
      </c>
      <c r="AQ63" s="139">
        <f>AM63+606192</f>
        <v>4421978</v>
      </c>
      <c r="AR63" s="139">
        <v>0</v>
      </c>
      <c r="AS63" s="139">
        <f>AO63+606192</f>
        <v>4421978</v>
      </c>
      <c r="AT63" s="139">
        <f>AP63+556247</f>
        <v>4978225</v>
      </c>
      <c r="AU63" s="139">
        <f>AQ63+556247</f>
        <v>4978225</v>
      </c>
      <c r="AV63" s="139">
        <v>0</v>
      </c>
      <c r="AW63" s="139">
        <f>AS63+556247</f>
        <v>4978225</v>
      </c>
      <c r="AX63" s="139">
        <f>AT63+350792</f>
        <v>5329017</v>
      </c>
      <c r="AY63" s="139">
        <f>AU63+350792</f>
        <v>5329017</v>
      </c>
      <c r="AZ63" s="139">
        <v>0</v>
      </c>
      <c r="BA63" s="139">
        <f>AW63+350792</f>
        <v>5329017</v>
      </c>
      <c r="BB63" s="90">
        <v>5500331</v>
      </c>
      <c r="BC63" s="90">
        <v>5500331</v>
      </c>
      <c r="BD63" s="90">
        <v>0</v>
      </c>
      <c r="BE63" s="90">
        <f>5500331</f>
        <v>5500331</v>
      </c>
      <c r="BF63" s="90">
        <f>2411170+1921826.920952</f>
        <v>4332996.9209519997</v>
      </c>
      <c r="BG63" s="90">
        <v>2411170</v>
      </c>
      <c r="BH63" s="90">
        <v>0</v>
      </c>
      <c r="BI63" s="90">
        <f>2411170</f>
        <v>2411170</v>
      </c>
      <c r="BJ63" s="90">
        <v>0</v>
      </c>
      <c r="BK63" s="90">
        <v>4277816.58</v>
      </c>
      <c r="BL63" s="90">
        <v>0</v>
      </c>
      <c r="BM63" s="90">
        <v>0</v>
      </c>
      <c r="BN63" s="90" t="e">
        <f>#REF!+AX63+BB63+BF63+BJ63</f>
        <v>#REF!</v>
      </c>
      <c r="BO63" s="90">
        <f t="shared" si="107"/>
        <v>17518334.579999998</v>
      </c>
      <c r="BP63" s="90">
        <f t="shared" si="107"/>
        <v>0</v>
      </c>
      <c r="BQ63" s="90">
        <f t="shared" si="87"/>
        <v>17518334.579999998</v>
      </c>
      <c r="BR63" s="92" t="s">
        <v>161</v>
      </c>
      <c r="BS63" s="80"/>
    </row>
    <row r="64" spans="1:71" s="13" customFormat="1" ht="111" customHeight="1">
      <c r="A64" s="138" t="s">
        <v>34</v>
      </c>
      <c r="B64" s="138" t="s">
        <v>292</v>
      </c>
      <c r="C64" s="144">
        <v>2398644</v>
      </c>
      <c r="D64" s="139"/>
      <c r="E64" s="139">
        <v>0</v>
      </c>
      <c r="F64" s="139"/>
      <c r="G64" s="139"/>
      <c r="H64" s="139"/>
      <c r="I64" s="139"/>
      <c r="J64" s="139"/>
      <c r="K64" s="139"/>
      <c r="L64" s="139"/>
      <c r="M64" s="139"/>
      <c r="N64" s="139">
        <v>0</v>
      </c>
      <c r="O64" s="139"/>
      <c r="P64" s="139">
        <v>0</v>
      </c>
      <c r="Q64" s="139">
        <v>0</v>
      </c>
      <c r="R64" s="139"/>
      <c r="S64" s="139"/>
      <c r="T64" s="139"/>
      <c r="U64" s="139"/>
      <c r="V64" s="139"/>
      <c r="W64" s="139"/>
      <c r="X64" s="139"/>
      <c r="Y64" s="139"/>
      <c r="Z64" s="139">
        <v>0</v>
      </c>
      <c r="AA64" s="139"/>
      <c r="AB64" s="139">
        <v>0</v>
      </c>
      <c r="AC64" s="139">
        <v>0</v>
      </c>
      <c r="AD64" s="139"/>
      <c r="AE64" s="139"/>
      <c r="AF64" s="139"/>
      <c r="AG64" s="139"/>
      <c r="AH64" s="139"/>
      <c r="AI64" s="139"/>
      <c r="AJ64" s="139"/>
      <c r="AK64" s="139"/>
      <c r="AL64" s="139">
        <v>0</v>
      </c>
      <c r="AM64" s="139"/>
      <c r="AN64" s="139">
        <v>0</v>
      </c>
      <c r="AO64" s="139">
        <v>0</v>
      </c>
      <c r="AP64" s="139"/>
      <c r="AQ64" s="139"/>
      <c r="AR64" s="139"/>
      <c r="AS64" s="139"/>
      <c r="AT64" s="139"/>
      <c r="AU64" s="139"/>
      <c r="AV64" s="139"/>
      <c r="AW64" s="139"/>
      <c r="AX64" s="139">
        <v>0</v>
      </c>
      <c r="AY64" s="139"/>
      <c r="AZ64" s="139">
        <v>0</v>
      </c>
      <c r="BA64" s="139">
        <v>0</v>
      </c>
      <c r="BB64" s="90">
        <v>0</v>
      </c>
      <c r="BC64" s="90"/>
      <c r="BD64" s="90">
        <v>0</v>
      </c>
      <c r="BE64" s="90">
        <v>0</v>
      </c>
      <c r="BF64" s="90">
        <v>0</v>
      </c>
      <c r="BG64" s="90"/>
      <c r="BH64" s="90">
        <v>0</v>
      </c>
      <c r="BI64" s="90">
        <v>0</v>
      </c>
      <c r="BJ64" s="90">
        <v>406375</v>
      </c>
      <c r="BK64" s="90">
        <v>406375</v>
      </c>
      <c r="BL64" s="90">
        <v>0</v>
      </c>
      <c r="BM64" s="90">
        <v>0</v>
      </c>
      <c r="BN64" s="90" t="e">
        <f>#REF!+AX64+BB64+BF64+BJ64</f>
        <v>#REF!</v>
      </c>
      <c r="BO64" s="90">
        <f t="shared" si="107"/>
        <v>406375</v>
      </c>
      <c r="BP64" s="90">
        <f t="shared" si="107"/>
        <v>0</v>
      </c>
      <c r="BQ64" s="90">
        <f t="shared" si="87"/>
        <v>406375</v>
      </c>
      <c r="BR64" s="92" t="s">
        <v>164</v>
      </c>
      <c r="BS64" s="80"/>
    </row>
    <row r="65" spans="1:71" s="13" customFormat="1" ht="51" customHeight="1">
      <c r="A65" s="138" t="s">
        <v>192</v>
      </c>
      <c r="B65" s="138" t="s">
        <v>143</v>
      </c>
      <c r="C65" s="139">
        <v>3000000</v>
      </c>
      <c r="D65" s="139"/>
      <c r="E65" s="139">
        <v>0</v>
      </c>
      <c r="F65" s="139"/>
      <c r="G65" s="139"/>
      <c r="H65" s="139"/>
      <c r="I65" s="139"/>
      <c r="J65" s="139"/>
      <c r="K65" s="139"/>
      <c r="L65" s="139"/>
      <c r="M65" s="139"/>
      <c r="N65" s="139">
        <f>O65</f>
        <v>150000</v>
      </c>
      <c r="O65" s="139">
        <v>150000</v>
      </c>
      <c r="P65" s="139"/>
      <c r="Q65" s="139"/>
      <c r="R65" s="139"/>
      <c r="S65" s="139"/>
      <c r="T65" s="139"/>
      <c r="U65" s="139"/>
      <c r="V65" s="139"/>
      <c r="W65" s="139"/>
      <c r="X65" s="139"/>
      <c r="Y65" s="139"/>
      <c r="Z65" s="139">
        <f>AA65</f>
        <v>300000</v>
      </c>
      <c r="AA65" s="139">
        <v>300000</v>
      </c>
      <c r="AB65" s="139"/>
      <c r="AC65" s="139"/>
      <c r="AD65" s="139"/>
      <c r="AE65" s="139"/>
      <c r="AF65" s="139"/>
      <c r="AG65" s="139"/>
      <c r="AH65" s="139"/>
      <c r="AI65" s="139"/>
      <c r="AJ65" s="139"/>
      <c r="AK65" s="139"/>
      <c r="AL65" s="139">
        <f>AM65</f>
        <v>450000</v>
      </c>
      <c r="AM65" s="139">
        <v>450000</v>
      </c>
      <c r="AN65" s="139"/>
      <c r="AO65" s="139"/>
      <c r="AP65" s="139"/>
      <c r="AQ65" s="139"/>
      <c r="AR65" s="139"/>
      <c r="AS65" s="139"/>
      <c r="AT65" s="139"/>
      <c r="AU65" s="139"/>
      <c r="AV65" s="139"/>
      <c r="AW65" s="139"/>
      <c r="AX65" s="139">
        <f>AY65</f>
        <v>600000</v>
      </c>
      <c r="AY65" s="139">
        <v>600000</v>
      </c>
      <c r="AZ65" s="139"/>
      <c r="BA65" s="139"/>
      <c r="BB65" s="90">
        <f>BC65</f>
        <v>1200000</v>
      </c>
      <c r="BC65" s="90">
        <v>1200000</v>
      </c>
      <c r="BD65" s="90"/>
      <c r="BE65" s="90"/>
      <c r="BF65" s="90">
        <f>BG65</f>
        <v>1200000</v>
      </c>
      <c r="BG65" s="90">
        <v>1200000</v>
      </c>
      <c r="BH65" s="90"/>
      <c r="BI65" s="90"/>
      <c r="BJ65" s="90"/>
      <c r="BK65" s="90"/>
      <c r="BL65" s="90"/>
      <c r="BM65" s="90"/>
      <c r="BN65" s="90" t="e">
        <f>#REF!+AX65+BB65+BF65+BJ65</f>
        <v>#REF!</v>
      </c>
      <c r="BO65" s="90">
        <f t="shared" si="107"/>
        <v>3000000</v>
      </c>
      <c r="BP65" s="90">
        <f t="shared" si="107"/>
        <v>0</v>
      </c>
      <c r="BQ65" s="90">
        <f t="shared" si="87"/>
        <v>3000000</v>
      </c>
      <c r="BR65" s="92" t="s">
        <v>160</v>
      </c>
      <c r="BS65" s="80"/>
    </row>
    <row r="66" spans="1:71" s="13" customFormat="1" ht="51" customHeight="1">
      <c r="A66" s="138" t="s">
        <v>35</v>
      </c>
      <c r="B66" s="138" t="s">
        <v>219</v>
      </c>
      <c r="C66" s="139">
        <v>12167953</v>
      </c>
      <c r="D66" s="139"/>
      <c r="E66" s="139">
        <v>0</v>
      </c>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90"/>
      <c r="BC66" s="90"/>
      <c r="BD66" s="90"/>
      <c r="BE66" s="90"/>
      <c r="BF66" s="90"/>
      <c r="BG66" s="90"/>
      <c r="BH66" s="90"/>
      <c r="BI66" s="90"/>
      <c r="BJ66" s="90"/>
      <c r="BK66" s="90"/>
      <c r="BL66" s="90"/>
      <c r="BM66" s="90"/>
      <c r="BN66" s="90" t="e">
        <f>#REF!+AX66+BB66+BF66+BJ66</f>
        <v>#REF!</v>
      </c>
      <c r="BO66" s="90">
        <f t="shared" si="107"/>
        <v>0</v>
      </c>
      <c r="BP66" s="90">
        <f t="shared" si="107"/>
        <v>0</v>
      </c>
      <c r="BQ66" s="90">
        <f t="shared" si="87"/>
        <v>0</v>
      </c>
      <c r="BR66" s="92" t="s">
        <v>159</v>
      </c>
      <c r="BS66" s="80"/>
    </row>
    <row r="67" spans="1:71" s="13" customFormat="1" ht="51" customHeight="1">
      <c r="A67" s="138" t="s">
        <v>36</v>
      </c>
      <c r="B67" s="138" t="s">
        <v>293</v>
      </c>
      <c r="C67" s="139">
        <v>100952.20999999999</v>
      </c>
      <c r="D67" s="139"/>
      <c r="E67" s="139">
        <v>0</v>
      </c>
      <c r="F67" s="139"/>
      <c r="G67" s="139"/>
      <c r="H67" s="139"/>
      <c r="I67" s="139"/>
      <c r="J67" s="139"/>
      <c r="K67" s="139"/>
      <c r="L67" s="139"/>
      <c r="M67" s="139"/>
      <c r="N67" s="139">
        <v>0</v>
      </c>
      <c r="O67" s="139">
        <v>0</v>
      </c>
      <c r="P67" s="139">
        <v>0</v>
      </c>
      <c r="Q67" s="139">
        <v>0</v>
      </c>
      <c r="R67" s="139"/>
      <c r="S67" s="139"/>
      <c r="T67" s="139"/>
      <c r="U67" s="139"/>
      <c r="V67" s="139"/>
      <c r="W67" s="139"/>
      <c r="X67" s="139"/>
      <c r="Y67" s="139"/>
      <c r="Z67" s="139">
        <v>0</v>
      </c>
      <c r="AA67" s="139">
        <v>0</v>
      </c>
      <c r="AB67" s="139">
        <v>0</v>
      </c>
      <c r="AC67" s="139">
        <v>0</v>
      </c>
      <c r="AD67" s="139"/>
      <c r="AE67" s="139"/>
      <c r="AF67" s="139"/>
      <c r="AG67" s="139"/>
      <c r="AH67" s="139"/>
      <c r="AI67" s="139"/>
      <c r="AJ67" s="139"/>
      <c r="AK67" s="139"/>
      <c r="AL67" s="139">
        <v>0</v>
      </c>
      <c r="AM67" s="139">
        <v>0</v>
      </c>
      <c r="AN67" s="139">
        <v>0</v>
      </c>
      <c r="AO67" s="139">
        <v>0</v>
      </c>
      <c r="AP67" s="139"/>
      <c r="AQ67" s="139"/>
      <c r="AR67" s="139"/>
      <c r="AS67" s="139"/>
      <c r="AT67" s="139"/>
      <c r="AU67" s="139"/>
      <c r="AV67" s="139"/>
      <c r="AW67" s="139"/>
      <c r="AX67" s="139">
        <v>0</v>
      </c>
      <c r="AY67" s="139">
        <v>0</v>
      </c>
      <c r="AZ67" s="139">
        <v>0</v>
      </c>
      <c r="BA67" s="139">
        <v>0</v>
      </c>
      <c r="BB67" s="90">
        <v>0</v>
      </c>
      <c r="BC67" s="90">
        <v>0</v>
      </c>
      <c r="BD67" s="90">
        <v>0</v>
      </c>
      <c r="BE67" s="90">
        <v>0</v>
      </c>
      <c r="BF67" s="90">
        <v>0</v>
      </c>
      <c r="BG67" s="90">
        <v>0</v>
      </c>
      <c r="BH67" s="90">
        <v>0</v>
      </c>
      <c r="BI67" s="90">
        <v>0</v>
      </c>
      <c r="BJ67" s="90">
        <v>0</v>
      </c>
      <c r="BK67" s="90">
        <v>0</v>
      </c>
      <c r="BL67" s="90">
        <v>0</v>
      </c>
      <c r="BM67" s="90">
        <v>0</v>
      </c>
      <c r="BN67" s="90" t="e">
        <f>#REF!+AX67+BB67+BF67+BJ67</f>
        <v>#REF!</v>
      </c>
      <c r="BO67" s="90">
        <f t="shared" si="107"/>
        <v>0</v>
      </c>
      <c r="BP67" s="90">
        <f t="shared" si="107"/>
        <v>0</v>
      </c>
      <c r="BQ67" s="90">
        <f t="shared" si="87"/>
        <v>0</v>
      </c>
      <c r="BR67" s="92" t="s">
        <v>162</v>
      </c>
      <c r="BS67" s="80"/>
    </row>
    <row r="68" spans="1:71" s="8" customFormat="1">
      <c r="A68" s="141"/>
      <c r="B68" s="142" t="s">
        <v>294</v>
      </c>
      <c r="C68" s="143">
        <f>SUM(C69:C76)</f>
        <v>8279705.9145400003</v>
      </c>
      <c r="D68" s="143"/>
      <c r="E68" s="143">
        <f t="shared" ref="E68:BM68" si="109">SUM(E69:E76)</f>
        <v>2369399</v>
      </c>
      <c r="F68" s="143">
        <f t="shared" si="109"/>
        <v>225895</v>
      </c>
      <c r="G68" s="143">
        <f t="shared" si="109"/>
        <v>0</v>
      </c>
      <c r="H68" s="143">
        <f t="shared" si="109"/>
        <v>0</v>
      </c>
      <c r="I68" s="143">
        <f t="shared" si="109"/>
        <v>225895</v>
      </c>
      <c r="J68" s="143">
        <f t="shared" si="109"/>
        <v>422816</v>
      </c>
      <c r="K68" s="143">
        <f t="shared" si="109"/>
        <v>0</v>
      </c>
      <c r="L68" s="143">
        <f t="shared" si="109"/>
        <v>0</v>
      </c>
      <c r="M68" s="143">
        <f t="shared" si="109"/>
        <v>422088</v>
      </c>
      <c r="N68" s="143">
        <f t="shared" si="109"/>
        <v>568866.22</v>
      </c>
      <c r="O68" s="143">
        <f t="shared" si="109"/>
        <v>0</v>
      </c>
      <c r="P68" s="143">
        <f t="shared" si="109"/>
        <v>0</v>
      </c>
      <c r="Q68" s="143">
        <f t="shared" si="109"/>
        <v>568138.22</v>
      </c>
      <c r="R68" s="143">
        <f t="shared" si="109"/>
        <v>807514.5</v>
      </c>
      <c r="S68" s="143">
        <f t="shared" si="109"/>
        <v>90000</v>
      </c>
      <c r="T68" s="143">
        <f t="shared" si="109"/>
        <v>0</v>
      </c>
      <c r="U68" s="143">
        <f t="shared" si="109"/>
        <v>716786.5</v>
      </c>
      <c r="V68" s="143">
        <f t="shared" si="109"/>
        <v>1200165.7</v>
      </c>
      <c r="W68" s="143">
        <f t="shared" si="109"/>
        <v>140000</v>
      </c>
      <c r="X68" s="143">
        <f t="shared" si="109"/>
        <v>0</v>
      </c>
      <c r="Y68" s="143">
        <f t="shared" si="109"/>
        <v>1059437.7</v>
      </c>
      <c r="Z68" s="143">
        <f t="shared" si="109"/>
        <v>1498967.2</v>
      </c>
      <c r="AA68" s="143">
        <f t="shared" si="109"/>
        <v>140000</v>
      </c>
      <c r="AB68" s="143">
        <f t="shared" si="109"/>
        <v>0</v>
      </c>
      <c r="AC68" s="143">
        <f t="shared" si="109"/>
        <v>1358239.2</v>
      </c>
      <c r="AD68" s="143">
        <f t="shared" si="109"/>
        <v>1650427.4</v>
      </c>
      <c r="AE68" s="143">
        <f t="shared" si="109"/>
        <v>153821</v>
      </c>
      <c r="AF68" s="143">
        <f t="shared" si="109"/>
        <v>0</v>
      </c>
      <c r="AG68" s="143">
        <f t="shared" si="109"/>
        <v>1495878.4</v>
      </c>
      <c r="AH68" s="143">
        <f t="shared" si="109"/>
        <v>1965420.25</v>
      </c>
      <c r="AI68" s="143">
        <f t="shared" si="109"/>
        <v>193192</v>
      </c>
      <c r="AJ68" s="143">
        <f t="shared" si="109"/>
        <v>0</v>
      </c>
      <c r="AK68" s="143">
        <f t="shared" si="109"/>
        <v>1771500.25</v>
      </c>
      <c r="AL68" s="143">
        <f t="shared" si="109"/>
        <v>2151386.75</v>
      </c>
      <c r="AM68" s="143">
        <f t="shared" si="109"/>
        <v>232651</v>
      </c>
      <c r="AN68" s="143">
        <f t="shared" si="109"/>
        <v>0</v>
      </c>
      <c r="AO68" s="143">
        <f t="shared" si="109"/>
        <v>1918007.75</v>
      </c>
      <c r="AP68" s="143">
        <f t="shared" si="109"/>
        <v>2337398.5499999998</v>
      </c>
      <c r="AQ68" s="143">
        <f t="shared" si="109"/>
        <v>346064</v>
      </c>
      <c r="AR68" s="143">
        <f t="shared" si="109"/>
        <v>0</v>
      </c>
      <c r="AS68" s="143">
        <f t="shared" si="109"/>
        <v>1990606.55</v>
      </c>
      <c r="AT68" s="143">
        <f t="shared" si="109"/>
        <v>2485650.1</v>
      </c>
      <c r="AU68" s="143">
        <f t="shared" si="109"/>
        <v>459812</v>
      </c>
      <c r="AV68" s="143">
        <f t="shared" si="109"/>
        <v>0</v>
      </c>
      <c r="AW68" s="143">
        <f t="shared" si="109"/>
        <v>2025110.1</v>
      </c>
      <c r="AX68" s="143">
        <f t="shared" si="109"/>
        <v>2630693.85</v>
      </c>
      <c r="AY68" s="143">
        <f t="shared" si="109"/>
        <v>507948</v>
      </c>
      <c r="AZ68" s="143">
        <f t="shared" si="109"/>
        <v>0</v>
      </c>
      <c r="BA68" s="143">
        <f t="shared" si="109"/>
        <v>2122017.73</v>
      </c>
      <c r="BB68" s="93">
        <f t="shared" si="109"/>
        <v>1813879</v>
      </c>
      <c r="BC68" s="93">
        <f t="shared" si="109"/>
        <v>902052</v>
      </c>
      <c r="BD68" s="93">
        <f t="shared" si="109"/>
        <v>0</v>
      </c>
      <c r="BE68" s="93">
        <f t="shared" si="109"/>
        <v>966449</v>
      </c>
      <c r="BF68" s="93">
        <f t="shared" si="109"/>
        <v>545094</v>
      </c>
      <c r="BG68" s="93">
        <f t="shared" si="109"/>
        <v>204963</v>
      </c>
      <c r="BH68" s="93">
        <f t="shared" si="109"/>
        <v>0</v>
      </c>
      <c r="BI68" s="93">
        <f t="shared" si="109"/>
        <v>312989</v>
      </c>
      <c r="BJ68" s="93">
        <f t="shared" si="109"/>
        <v>48333.5</v>
      </c>
      <c r="BK68" s="93">
        <f t="shared" si="109"/>
        <v>0</v>
      </c>
      <c r="BL68" s="93">
        <f t="shared" si="109"/>
        <v>0</v>
      </c>
      <c r="BM68" s="93">
        <f t="shared" si="109"/>
        <v>48333.5</v>
      </c>
      <c r="BN68" s="93" t="e">
        <f>#REF!+AX68+BB68+BF68+BJ68</f>
        <v>#REF!</v>
      </c>
      <c r="BO68" s="93">
        <f t="shared" si="107"/>
        <v>1614963</v>
      </c>
      <c r="BP68" s="93">
        <f t="shared" si="107"/>
        <v>0</v>
      </c>
      <c r="BQ68" s="93">
        <f t="shared" si="87"/>
        <v>1614963</v>
      </c>
      <c r="BR68" s="89"/>
      <c r="BS68" s="80"/>
    </row>
    <row r="69" spans="1:71" s="13" customFormat="1" ht="45.75" customHeight="1">
      <c r="A69" s="138" t="s">
        <v>38</v>
      </c>
      <c r="B69" s="138" t="s">
        <v>295</v>
      </c>
      <c r="C69" s="140">
        <v>0</v>
      </c>
      <c r="D69" s="140"/>
      <c r="E69" s="139">
        <v>0</v>
      </c>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90"/>
      <c r="BC69" s="90"/>
      <c r="BD69" s="90"/>
      <c r="BE69" s="90"/>
      <c r="BF69" s="90"/>
      <c r="BG69" s="90"/>
      <c r="BH69" s="90"/>
      <c r="BI69" s="90"/>
      <c r="BJ69" s="90"/>
      <c r="BK69" s="90"/>
      <c r="BL69" s="90"/>
      <c r="BM69" s="90"/>
      <c r="BN69" s="90" t="e">
        <f>#REF!+AX69+BB69+BF69+BJ69</f>
        <v>#REF!</v>
      </c>
      <c r="BO69" s="90">
        <f t="shared" si="107"/>
        <v>0</v>
      </c>
      <c r="BP69" s="90">
        <f t="shared" si="107"/>
        <v>0</v>
      </c>
      <c r="BQ69" s="90">
        <f t="shared" si="87"/>
        <v>0</v>
      </c>
      <c r="BR69" s="92"/>
      <c r="BS69" s="80"/>
    </row>
    <row r="70" spans="1:71" s="13" customFormat="1" ht="77.25" customHeight="1">
      <c r="A70" s="138" t="s">
        <v>39</v>
      </c>
      <c r="B70" s="138" t="s">
        <v>296</v>
      </c>
      <c r="C70" s="140">
        <v>1761645</v>
      </c>
      <c r="D70" s="140"/>
      <c r="E70" s="140">
        <v>906591</v>
      </c>
      <c r="F70" s="140">
        <v>74717</v>
      </c>
      <c r="G70" s="140"/>
      <c r="H70" s="140"/>
      <c r="I70" s="140">
        <f>F70</f>
        <v>74717</v>
      </c>
      <c r="J70" s="140">
        <f>20500+F70</f>
        <v>95217</v>
      </c>
      <c r="K70" s="140"/>
      <c r="L70" s="140"/>
      <c r="M70" s="140">
        <f>J70</f>
        <v>95217</v>
      </c>
      <c r="N70" s="140">
        <f>29433.2*0.85+6200*0.85+J70</f>
        <v>125505.22</v>
      </c>
      <c r="O70" s="140"/>
      <c r="P70" s="140"/>
      <c r="Q70" s="140">
        <f>N70</f>
        <v>125505.22</v>
      </c>
      <c r="R70" s="140">
        <f>7336.8*0.85+1200*0.85+N70</f>
        <v>132761.5</v>
      </c>
      <c r="S70" s="140"/>
      <c r="T70" s="140"/>
      <c r="U70" s="140">
        <f>R70</f>
        <v>132761.5</v>
      </c>
      <c r="V70" s="140">
        <f>R70+43027*0.85+15185*0.85</f>
        <v>182241.7</v>
      </c>
      <c r="W70" s="140"/>
      <c r="X70" s="140"/>
      <c r="Y70" s="140">
        <f>V70</f>
        <v>182241.7</v>
      </c>
      <c r="Z70" s="140">
        <f>183530*0.85+12900*0.85+V70</f>
        <v>349207.2</v>
      </c>
      <c r="AA70" s="140"/>
      <c r="AB70" s="140"/>
      <c r="AC70" s="140">
        <f>Z70</f>
        <v>349207.2</v>
      </c>
      <c r="AD70" s="140">
        <f>Z70+47792*0.85+16200*0.85</f>
        <v>403600.4</v>
      </c>
      <c r="AE70" s="140"/>
      <c r="AF70" s="140"/>
      <c r="AG70" s="140">
        <f>AD70</f>
        <v>403600.4</v>
      </c>
      <c r="AH70" s="140">
        <f>AD70+96881*0.85+20700*0.85</f>
        <v>503544.25</v>
      </c>
      <c r="AI70" s="140"/>
      <c r="AJ70" s="140"/>
      <c r="AK70" s="140">
        <f>AH70</f>
        <v>503544.25</v>
      </c>
      <c r="AL70" s="140">
        <f>AH70+21188*0.85+6542*0.85</f>
        <v>527114.75</v>
      </c>
      <c r="AM70" s="140">
        <v>0</v>
      </c>
      <c r="AN70" s="140">
        <v>0</v>
      </c>
      <c r="AO70" s="140">
        <f>AL70</f>
        <v>527114.75</v>
      </c>
      <c r="AP70" s="140">
        <f>AL70+20700*0.85+4408*0.85</f>
        <v>548456.55000000005</v>
      </c>
      <c r="AQ70" s="140"/>
      <c r="AR70" s="140"/>
      <c r="AS70" s="140">
        <f>AP70</f>
        <v>548456.55000000005</v>
      </c>
      <c r="AT70" s="140">
        <f>AP70+23123*0.85+11200*0.85</f>
        <v>577631.10000000009</v>
      </c>
      <c r="AU70" s="140"/>
      <c r="AV70" s="140"/>
      <c r="AW70" s="140">
        <f>AT70</f>
        <v>577631.10000000009</v>
      </c>
      <c r="AX70" s="140">
        <f>AT70+23200*0.85+72775*0.85</f>
        <v>659209.85000000009</v>
      </c>
      <c r="AY70" s="140">
        <v>0</v>
      </c>
      <c r="AZ70" s="140">
        <v>0</v>
      </c>
      <c r="BA70" s="140">
        <f>AX70</f>
        <v>659209.85000000009</v>
      </c>
      <c r="BB70" s="91">
        <f>550580</f>
        <v>550580</v>
      </c>
      <c r="BC70" s="91">
        <v>0</v>
      </c>
      <c r="BD70" s="91">
        <v>0</v>
      </c>
      <c r="BE70" s="91">
        <f>391522+267541</f>
        <v>659063</v>
      </c>
      <c r="BF70" s="91">
        <f>27142+21902</f>
        <v>49044</v>
      </c>
      <c r="BG70" s="91">
        <v>0</v>
      </c>
      <c r="BH70" s="91">
        <v>0</v>
      </c>
      <c r="BI70" s="91">
        <v>21902</v>
      </c>
      <c r="BJ70" s="91">
        <v>0</v>
      </c>
      <c r="BK70" s="91">
        <v>0</v>
      </c>
      <c r="BL70" s="91">
        <v>0</v>
      </c>
      <c r="BM70" s="91">
        <v>0</v>
      </c>
      <c r="BN70" s="91" t="e">
        <f>#REF!+AX70+BB70+BF70+BJ70</f>
        <v>#REF!</v>
      </c>
      <c r="BO70" s="91">
        <f t="shared" si="107"/>
        <v>0</v>
      </c>
      <c r="BP70" s="91">
        <f t="shared" si="107"/>
        <v>0</v>
      </c>
      <c r="BQ70" s="91">
        <f t="shared" si="87"/>
        <v>0</v>
      </c>
      <c r="BR70" s="92"/>
      <c r="BS70" s="80"/>
    </row>
    <row r="71" spans="1:71" s="13" customFormat="1" ht="48.75" customHeight="1">
      <c r="A71" s="138" t="s">
        <v>40</v>
      </c>
      <c r="B71" s="138" t="s">
        <v>297</v>
      </c>
      <c r="C71" s="140">
        <v>347835.972504</v>
      </c>
      <c r="D71" s="140"/>
      <c r="E71" s="140">
        <v>0</v>
      </c>
      <c r="F71" s="140">
        <v>0</v>
      </c>
      <c r="G71" s="140"/>
      <c r="H71" s="140"/>
      <c r="I71" s="140">
        <v>0</v>
      </c>
      <c r="J71" s="140">
        <v>728</v>
      </c>
      <c r="K71" s="140"/>
      <c r="L71" s="140"/>
      <c r="M71" s="140">
        <v>0</v>
      </c>
      <c r="N71" s="140">
        <f>J71</f>
        <v>728</v>
      </c>
      <c r="O71" s="140"/>
      <c r="P71" s="140"/>
      <c r="Q71" s="140"/>
      <c r="R71" s="140">
        <f>N71</f>
        <v>728</v>
      </c>
      <c r="S71" s="140"/>
      <c r="T71" s="140"/>
      <c r="U71" s="140"/>
      <c r="V71" s="140">
        <f>R71</f>
        <v>728</v>
      </c>
      <c r="W71" s="140"/>
      <c r="X71" s="140"/>
      <c r="Y71" s="140"/>
      <c r="Z71" s="140">
        <f>V71</f>
        <v>728</v>
      </c>
      <c r="AA71" s="140"/>
      <c r="AB71" s="140"/>
      <c r="AC71" s="140"/>
      <c r="AD71" s="140">
        <f>Z71</f>
        <v>728</v>
      </c>
      <c r="AE71" s="140"/>
      <c r="AF71" s="140"/>
      <c r="AG71" s="140"/>
      <c r="AH71" s="140">
        <f>AD71</f>
        <v>728</v>
      </c>
      <c r="AI71" s="140"/>
      <c r="AJ71" s="140"/>
      <c r="AK71" s="140"/>
      <c r="AL71" s="140">
        <f>AH71</f>
        <v>728</v>
      </c>
      <c r="AM71" s="140">
        <v>0</v>
      </c>
      <c r="AN71" s="140">
        <v>0</v>
      </c>
      <c r="AO71" s="140">
        <v>0</v>
      </c>
      <c r="AP71" s="140">
        <f>AL71</f>
        <v>728</v>
      </c>
      <c r="AQ71" s="140"/>
      <c r="AR71" s="140"/>
      <c r="AS71" s="140"/>
      <c r="AT71" s="140">
        <f>AP71</f>
        <v>728</v>
      </c>
      <c r="AU71" s="140"/>
      <c r="AV71" s="140"/>
      <c r="AW71" s="140"/>
      <c r="AX71" s="140">
        <f>AT71</f>
        <v>728</v>
      </c>
      <c r="AY71" s="140">
        <v>0</v>
      </c>
      <c r="AZ71" s="140">
        <v>0</v>
      </c>
      <c r="BA71" s="140">
        <v>0</v>
      </c>
      <c r="BB71" s="168">
        <f>1677+3913</f>
        <v>5590</v>
      </c>
      <c r="BC71" s="91">
        <v>0</v>
      </c>
      <c r="BD71" s="91">
        <v>0</v>
      </c>
      <c r="BE71" s="91">
        <v>0</v>
      </c>
      <c r="BF71" s="91">
        <v>0</v>
      </c>
      <c r="BG71" s="91">
        <v>0</v>
      </c>
      <c r="BH71" s="91">
        <v>0</v>
      </c>
      <c r="BI71" s="91">
        <v>0</v>
      </c>
      <c r="BJ71" s="91">
        <v>0</v>
      </c>
      <c r="BK71" s="91">
        <v>0</v>
      </c>
      <c r="BL71" s="91">
        <v>0</v>
      </c>
      <c r="BM71" s="91"/>
      <c r="BN71" s="91" t="e">
        <f>#REF!+AX71+BB71+BF71+BJ71</f>
        <v>#REF!</v>
      </c>
      <c r="BO71" s="91">
        <f t="shared" si="107"/>
        <v>0</v>
      </c>
      <c r="BP71" s="91">
        <f t="shared" si="107"/>
        <v>0</v>
      </c>
      <c r="BQ71" s="91">
        <f t="shared" si="87"/>
        <v>0</v>
      </c>
      <c r="BR71" s="92"/>
      <c r="BS71" s="80"/>
    </row>
    <row r="72" spans="1:71" s="13" customFormat="1" ht="76.5" customHeight="1">
      <c r="A72" s="138" t="s">
        <v>41</v>
      </c>
      <c r="B72" s="138" t="s">
        <v>298</v>
      </c>
      <c r="C72" s="140">
        <v>443850</v>
      </c>
      <c r="D72" s="140"/>
      <c r="E72" s="140">
        <v>34000</v>
      </c>
      <c r="F72" s="140">
        <v>13507</v>
      </c>
      <c r="G72" s="140"/>
      <c r="H72" s="140"/>
      <c r="I72" s="140">
        <f>F72</f>
        <v>13507</v>
      </c>
      <c r="J72" s="140">
        <f>F72</f>
        <v>13507</v>
      </c>
      <c r="K72" s="140"/>
      <c r="L72" s="140"/>
      <c r="M72" s="140">
        <f>J72</f>
        <v>13507</v>
      </c>
      <c r="N72" s="140">
        <f>J72+7457</f>
        <v>20964</v>
      </c>
      <c r="O72" s="140"/>
      <c r="P72" s="140"/>
      <c r="Q72" s="140">
        <f>N72</f>
        <v>20964</v>
      </c>
      <c r="R72" s="140">
        <f>N72+3059</f>
        <v>24023</v>
      </c>
      <c r="S72" s="140"/>
      <c r="T72" s="140"/>
      <c r="U72" s="140">
        <f>R72</f>
        <v>24023</v>
      </c>
      <c r="V72" s="140">
        <f>R72</f>
        <v>24023</v>
      </c>
      <c r="W72" s="140"/>
      <c r="X72" s="140"/>
      <c r="Y72" s="140">
        <f>U72</f>
        <v>24023</v>
      </c>
      <c r="Z72" s="140">
        <f>V72</f>
        <v>24023</v>
      </c>
      <c r="AA72" s="140"/>
      <c r="AB72" s="140"/>
      <c r="AC72" s="140">
        <f>Z72</f>
        <v>24023</v>
      </c>
      <c r="AD72" s="140">
        <f>Z72</f>
        <v>24023</v>
      </c>
      <c r="AE72" s="140"/>
      <c r="AF72" s="140"/>
      <c r="AG72" s="140">
        <f>AD72</f>
        <v>24023</v>
      </c>
      <c r="AH72" s="140">
        <f>AD72+9977</f>
        <v>34000</v>
      </c>
      <c r="AI72" s="140"/>
      <c r="AJ72" s="140"/>
      <c r="AK72" s="140">
        <f>AH72</f>
        <v>34000</v>
      </c>
      <c r="AL72" s="140">
        <f>AH72</f>
        <v>34000</v>
      </c>
      <c r="AM72" s="140"/>
      <c r="AN72" s="140"/>
      <c r="AO72" s="140">
        <f>AK72</f>
        <v>34000</v>
      </c>
      <c r="AP72" s="140">
        <f>AL72</f>
        <v>34000</v>
      </c>
      <c r="AQ72" s="140"/>
      <c r="AR72" s="140"/>
      <c r="AS72" s="140">
        <f>AO72</f>
        <v>34000</v>
      </c>
      <c r="AT72" s="140">
        <f>AP72</f>
        <v>34000</v>
      </c>
      <c r="AU72" s="140"/>
      <c r="AV72" s="140"/>
      <c r="AW72" s="140">
        <f>AS72</f>
        <v>34000</v>
      </c>
      <c r="AX72" s="140">
        <f>AT72</f>
        <v>34000</v>
      </c>
      <c r="AY72" s="140"/>
      <c r="AZ72" s="140"/>
      <c r="BA72" s="140">
        <f>AW72</f>
        <v>34000</v>
      </c>
      <c r="BB72" s="168">
        <f>14481+33790</f>
        <v>48271</v>
      </c>
      <c r="BC72" s="91">
        <v>0</v>
      </c>
      <c r="BD72" s="91">
        <v>0</v>
      </c>
      <c r="BE72" s="91">
        <v>0</v>
      </c>
      <c r="BF72" s="91">
        <v>0</v>
      </c>
      <c r="BG72" s="91">
        <v>0</v>
      </c>
      <c r="BH72" s="91">
        <v>0</v>
      </c>
      <c r="BI72" s="91">
        <v>0</v>
      </c>
      <c r="BJ72" s="91">
        <v>0</v>
      </c>
      <c r="BK72" s="91">
        <v>0</v>
      </c>
      <c r="BL72" s="91">
        <v>0</v>
      </c>
      <c r="BM72" s="91">
        <v>0</v>
      </c>
      <c r="BN72" s="91" t="e">
        <f>#REF!+AX72+BB72+BF72+BJ72</f>
        <v>#REF!</v>
      </c>
      <c r="BO72" s="91">
        <f t="shared" si="107"/>
        <v>0</v>
      </c>
      <c r="BP72" s="91">
        <f t="shared" si="107"/>
        <v>0</v>
      </c>
      <c r="BQ72" s="91">
        <f t="shared" si="87"/>
        <v>0</v>
      </c>
      <c r="BR72" s="92"/>
      <c r="BS72" s="80"/>
    </row>
    <row r="73" spans="1:71" s="13" customFormat="1" ht="79.5" customHeight="1">
      <c r="A73" s="138" t="s">
        <v>42</v>
      </c>
      <c r="B73" s="138" t="s">
        <v>299</v>
      </c>
      <c r="C73" s="140">
        <v>55302</v>
      </c>
      <c r="D73" s="140"/>
      <c r="E73" s="140">
        <v>0</v>
      </c>
      <c r="F73" s="140">
        <v>0</v>
      </c>
      <c r="G73" s="140"/>
      <c r="H73" s="140"/>
      <c r="I73" s="140">
        <v>0</v>
      </c>
      <c r="J73" s="140">
        <v>0</v>
      </c>
      <c r="K73" s="140"/>
      <c r="L73" s="140"/>
      <c r="M73" s="140">
        <v>0</v>
      </c>
      <c r="N73" s="140">
        <v>0</v>
      </c>
      <c r="O73" s="140"/>
      <c r="P73" s="140"/>
      <c r="Q73" s="140">
        <v>0</v>
      </c>
      <c r="R73" s="140"/>
      <c r="S73" s="140"/>
      <c r="T73" s="140"/>
      <c r="U73" s="140"/>
      <c r="V73" s="140"/>
      <c r="W73" s="140"/>
      <c r="X73" s="140"/>
      <c r="Y73" s="140"/>
      <c r="Z73" s="140"/>
      <c r="AA73" s="140"/>
      <c r="AB73" s="140"/>
      <c r="AC73" s="140"/>
      <c r="AD73" s="140"/>
      <c r="AE73" s="140"/>
      <c r="AF73" s="140"/>
      <c r="AG73" s="140"/>
      <c r="AH73" s="140"/>
      <c r="AI73" s="140"/>
      <c r="AJ73" s="140"/>
      <c r="AK73" s="140"/>
      <c r="AL73" s="140">
        <v>0</v>
      </c>
      <c r="AM73" s="140">
        <v>0</v>
      </c>
      <c r="AN73" s="140">
        <v>0</v>
      </c>
      <c r="AO73" s="140">
        <v>0</v>
      </c>
      <c r="AP73" s="140"/>
      <c r="AQ73" s="140"/>
      <c r="AR73" s="140"/>
      <c r="AS73" s="140"/>
      <c r="AT73" s="140"/>
      <c r="AU73" s="140"/>
      <c r="AV73" s="140"/>
      <c r="AW73" s="140"/>
      <c r="AX73" s="140">
        <v>0</v>
      </c>
      <c r="AY73" s="140">
        <v>0</v>
      </c>
      <c r="AZ73" s="140">
        <v>0</v>
      </c>
      <c r="BA73" s="140">
        <v>0</v>
      </c>
      <c r="BB73" s="91">
        <v>0</v>
      </c>
      <c r="BC73" s="91">
        <v>0</v>
      </c>
      <c r="BD73" s="91">
        <v>0</v>
      </c>
      <c r="BE73" s="91">
        <v>0</v>
      </c>
      <c r="BF73" s="91">
        <v>0</v>
      </c>
      <c r="BG73" s="91">
        <v>0</v>
      </c>
      <c r="BH73" s="91">
        <v>0</v>
      </c>
      <c r="BI73" s="91">
        <v>0</v>
      </c>
      <c r="BJ73" s="91">
        <v>0</v>
      </c>
      <c r="BK73" s="91">
        <v>0</v>
      </c>
      <c r="BL73" s="91">
        <v>0</v>
      </c>
      <c r="BM73" s="91">
        <v>0</v>
      </c>
      <c r="BN73" s="91" t="e">
        <f>#REF!+AX73+BB73+BF73+BJ73</f>
        <v>#REF!</v>
      </c>
      <c r="BO73" s="91">
        <f t="shared" si="107"/>
        <v>0</v>
      </c>
      <c r="BP73" s="91">
        <f t="shared" si="107"/>
        <v>0</v>
      </c>
      <c r="BQ73" s="91">
        <f t="shared" si="87"/>
        <v>0</v>
      </c>
      <c r="BR73" s="92" t="s">
        <v>198</v>
      </c>
      <c r="BS73" s="80"/>
    </row>
    <row r="74" spans="1:71" s="13" customFormat="1" ht="55.5" customHeight="1">
      <c r="A74" s="138" t="s">
        <v>43</v>
      </c>
      <c r="B74" s="138" t="s">
        <v>300</v>
      </c>
      <c r="C74" s="140">
        <v>1907556.9420359998</v>
      </c>
      <c r="D74" s="140"/>
      <c r="E74" s="140">
        <v>388948</v>
      </c>
      <c r="F74" s="140">
        <v>103367</v>
      </c>
      <c r="G74" s="140"/>
      <c r="H74" s="140"/>
      <c r="I74" s="140">
        <f>F74</f>
        <v>103367</v>
      </c>
      <c r="J74" s="140">
        <f>F74+57924</f>
        <v>161291</v>
      </c>
      <c r="K74" s="140"/>
      <c r="L74" s="140"/>
      <c r="M74" s="140">
        <f>J74</f>
        <v>161291</v>
      </c>
      <c r="N74" s="140">
        <f>J74+17000</f>
        <v>178291</v>
      </c>
      <c r="O74" s="140"/>
      <c r="P74" s="140"/>
      <c r="Q74" s="140">
        <f>N74</f>
        <v>178291</v>
      </c>
      <c r="R74" s="140">
        <f>N74+29275</f>
        <v>207566</v>
      </c>
      <c r="S74" s="140"/>
      <c r="T74" s="140"/>
      <c r="U74" s="140">
        <f>R74</f>
        <v>207566</v>
      </c>
      <c r="V74" s="140">
        <f>R74+37181</f>
        <v>244747</v>
      </c>
      <c r="W74" s="140"/>
      <c r="X74" s="140"/>
      <c r="Y74" s="140">
        <f>V74</f>
        <v>244747</v>
      </c>
      <c r="Z74" s="140">
        <f>V74+31174</f>
        <v>275921</v>
      </c>
      <c r="AA74" s="140"/>
      <c r="AB74" s="140"/>
      <c r="AC74" s="140">
        <f>Z74</f>
        <v>275921</v>
      </c>
      <c r="AD74" s="140">
        <f>Z74+32055</f>
        <v>307976</v>
      </c>
      <c r="AE74" s="140"/>
      <c r="AF74" s="140"/>
      <c r="AG74" s="140">
        <f>AD74</f>
        <v>307976</v>
      </c>
      <c r="AH74" s="140">
        <f>AD74+25820</f>
        <v>333796</v>
      </c>
      <c r="AI74" s="140"/>
      <c r="AJ74" s="140"/>
      <c r="AK74" s="140">
        <f>AH74</f>
        <v>333796</v>
      </c>
      <c r="AL74" s="140">
        <f>AH74+13539</f>
        <v>347335</v>
      </c>
      <c r="AM74" s="140">
        <v>0</v>
      </c>
      <c r="AN74" s="140">
        <v>0</v>
      </c>
      <c r="AO74" s="140">
        <f>AL74</f>
        <v>347335</v>
      </c>
      <c r="AP74" s="140">
        <f>AL74+11339</f>
        <v>358674</v>
      </c>
      <c r="AQ74" s="140"/>
      <c r="AR74" s="140"/>
      <c r="AS74" s="140">
        <f>AP74</f>
        <v>358674</v>
      </c>
      <c r="AT74" s="140">
        <f>AP74+14945</f>
        <v>373619</v>
      </c>
      <c r="AU74" s="140"/>
      <c r="AV74" s="140"/>
      <c r="AW74" s="140">
        <f>AT74</f>
        <v>373619</v>
      </c>
      <c r="AX74" s="140">
        <f>AT74+15329</f>
        <v>388948</v>
      </c>
      <c r="AY74" s="140">
        <v>0</v>
      </c>
      <c r="AZ74" s="140">
        <v>0</v>
      </c>
      <c r="BA74" s="140">
        <v>388947.88</v>
      </c>
      <c r="BB74" s="91">
        <f>363793-56407</f>
        <v>307386</v>
      </c>
      <c r="BC74" s="91"/>
      <c r="BD74" s="91"/>
      <c r="BE74" s="91">
        <f>BB74</f>
        <v>307386</v>
      </c>
      <c r="BF74" s="91">
        <f>376087-85000</f>
        <v>291087</v>
      </c>
      <c r="BG74" s="91"/>
      <c r="BH74" s="91"/>
      <c r="BI74" s="91">
        <f>BF74</f>
        <v>291087</v>
      </c>
      <c r="BJ74" s="91">
        <f>(76797+39870)/2-10000</f>
        <v>48333.5</v>
      </c>
      <c r="BK74" s="91">
        <v>0</v>
      </c>
      <c r="BL74" s="91">
        <v>0</v>
      </c>
      <c r="BM74" s="91">
        <f>BJ74</f>
        <v>48333.5</v>
      </c>
      <c r="BN74" s="91" t="e">
        <f>#REF!+AX74+BB74+BF74+BJ74</f>
        <v>#REF!</v>
      </c>
      <c r="BO74" s="91">
        <f t="shared" si="107"/>
        <v>0</v>
      </c>
      <c r="BP74" s="91">
        <f t="shared" si="107"/>
        <v>0</v>
      </c>
      <c r="BQ74" s="91">
        <f t="shared" si="87"/>
        <v>0</v>
      </c>
      <c r="BR74" s="92"/>
      <c r="BS74" s="80"/>
    </row>
    <row r="75" spans="1:71" s="13" customFormat="1" ht="58.5" customHeight="1">
      <c r="A75" s="138" t="s">
        <v>44</v>
      </c>
      <c r="B75" s="138" t="s">
        <v>301</v>
      </c>
      <c r="C75" s="140">
        <v>2090842</v>
      </c>
      <c r="D75" s="140"/>
      <c r="E75" s="140">
        <v>626870</v>
      </c>
      <c r="F75" s="140">
        <v>23079</v>
      </c>
      <c r="G75" s="140"/>
      <c r="H75" s="140"/>
      <c r="I75" s="140">
        <f>F75</f>
        <v>23079</v>
      </c>
      <c r="J75" s="140">
        <f>F75+32548</f>
        <v>55627</v>
      </c>
      <c r="K75" s="140"/>
      <c r="L75" s="140"/>
      <c r="M75" s="140">
        <f>J75</f>
        <v>55627</v>
      </c>
      <c r="N75" s="140">
        <f>J75+11458+9616</f>
        <v>76701</v>
      </c>
      <c r="O75" s="140"/>
      <c r="P75" s="140"/>
      <c r="Q75" s="140">
        <f>N75</f>
        <v>76701</v>
      </c>
      <c r="R75" s="140">
        <f>N75+57129</f>
        <v>133830</v>
      </c>
      <c r="S75" s="140"/>
      <c r="T75" s="140"/>
      <c r="U75" s="140">
        <f>R75</f>
        <v>133830</v>
      </c>
      <c r="V75" s="140">
        <f>R75+134017</f>
        <v>267847</v>
      </c>
      <c r="W75" s="140"/>
      <c r="X75" s="140"/>
      <c r="Y75" s="140">
        <f>V75</f>
        <v>267847</v>
      </c>
      <c r="Z75" s="140">
        <f>V75+54307</f>
        <v>322154</v>
      </c>
      <c r="AA75" s="140"/>
      <c r="AB75" s="140"/>
      <c r="AC75" s="140">
        <f>Z75</f>
        <v>322154</v>
      </c>
      <c r="AD75" s="140">
        <f>Z75+25135</f>
        <v>347289</v>
      </c>
      <c r="AE75" s="140"/>
      <c r="AF75" s="140"/>
      <c r="AG75" s="140">
        <f>AD75</f>
        <v>347289</v>
      </c>
      <c r="AH75" s="140">
        <f>AD75+139881</f>
        <v>487170</v>
      </c>
      <c r="AI75" s="140"/>
      <c r="AJ75" s="140"/>
      <c r="AK75" s="140">
        <f>AH75</f>
        <v>487170</v>
      </c>
      <c r="AL75" s="140">
        <f>AH75+19398+90000</f>
        <v>596568</v>
      </c>
      <c r="AM75" s="140"/>
      <c r="AN75" s="140">
        <v>0</v>
      </c>
      <c r="AO75" s="140">
        <f>AL75</f>
        <v>596568</v>
      </c>
      <c r="AP75" s="140">
        <f>AL75+27191+40000</f>
        <v>663759</v>
      </c>
      <c r="AQ75" s="140">
        <v>27273</v>
      </c>
      <c r="AR75" s="140"/>
      <c r="AS75" s="140">
        <f>AO75+39918</f>
        <v>636486</v>
      </c>
      <c r="AT75" s="140">
        <f>AP75+73392</f>
        <v>737151</v>
      </c>
      <c r="AU75" s="140">
        <v>110281</v>
      </c>
      <c r="AV75" s="140"/>
      <c r="AW75" s="140">
        <v>626870</v>
      </c>
      <c r="AX75" s="140">
        <f>AT75+19719</f>
        <v>756870</v>
      </c>
      <c r="AY75" s="140">
        <f>AU75+19719</f>
        <v>130000</v>
      </c>
      <c r="AZ75" s="140">
        <v>0</v>
      </c>
      <c r="BA75" s="140">
        <f>AW75</f>
        <v>626870</v>
      </c>
      <c r="BB75" s="91">
        <v>450000</v>
      </c>
      <c r="BC75" s="91">
        <v>450000</v>
      </c>
      <c r="BD75" s="91"/>
      <c r="BE75" s="91">
        <v>0</v>
      </c>
      <c r="BF75" s="91">
        <v>144177</v>
      </c>
      <c r="BG75" s="91">
        <v>144177</v>
      </c>
      <c r="BH75" s="91"/>
      <c r="BI75" s="91">
        <v>0</v>
      </c>
      <c r="BJ75" s="91"/>
      <c r="BK75" s="91"/>
      <c r="BL75" s="91"/>
      <c r="BM75" s="91"/>
      <c r="BN75" s="91" t="e">
        <f>#REF!+AX75+BB75+BF75+BJ75</f>
        <v>#REF!</v>
      </c>
      <c r="BO75" s="91">
        <f t="shared" si="107"/>
        <v>724177</v>
      </c>
      <c r="BP75" s="91">
        <f t="shared" si="107"/>
        <v>0</v>
      </c>
      <c r="BQ75" s="91">
        <f t="shared" si="87"/>
        <v>724177</v>
      </c>
      <c r="BR75" s="92"/>
      <c r="BS75" s="80"/>
    </row>
    <row r="76" spans="1:71" s="13" customFormat="1" ht="111" customHeight="1">
      <c r="A76" s="138" t="s">
        <v>45</v>
      </c>
      <c r="B76" s="138" t="s">
        <v>450</v>
      </c>
      <c r="C76" s="140">
        <v>1672674</v>
      </c>
      <c r="D76" s="140"/>
      <c r="E76" s="140">
        <f>351895+61095</f>
        <v>412990</v>
      </c>
      <c r="F76" s="140">
        <v>11225</v>
      </c>
      <c r="G76" s="140"/>
      <c r="H76" s="140"/>
      <c r="I76" s="140">
        <f>F76</f>
        <v>11225</v>
      </c>
      <c r="J76" s="140">
        <f>F76+73934+11287</f>
        <v>96446</v>
      </c>
      <c r="K76" s="140"/>
      <c r="L76" s="140"/>
      <c r="M76" s="140">
        <f>J76</f>
        <v>96446</v>
      </c>
      <c r="N76" s="140">
        <f>J76+70231</f>
        <v>166677</v>
      </c>
      <c r="O76" s="140"/>
      <c r="P76" s="140"/>
      <c r="Q76" s="140">
        <f>N76</f>
        <v>166677</v>
      </c>
      <c r="R76" s="140">
        <f>N76+66755+50000+25174</f>
        <v>308606</v>
      </c>
      <c r="S76" s="140">
        <v>90000</v>
      </c>
      <c r="T76" s="140"/>
      <c r="U76" s="140">
        <f>R76-90000</f>
        <v>218606</v>
      </c>
      <c r="V76" s="140">
        <f>R76+81973+90000</f>
        <v>480579</v>
      </c>
      <c r="W76" s="140">
        <f>50000+S76</f>
        <v>140000</v>
      </c>
      <c r="X76" s="140"/>
      <c r="Y76" s="140">
        <f>V76-50000-90000</f>
        <v>340579</v>
      </c>
      <c r="Z76" s="140">
        <f>V76+29969+16386</f>
        <v>526934</v>
      </c>
      <c r="AA76" s="140">
        <f>W76</f>
        <v>140000</v>
      </c>
      <c r="AB76" s="140"/>
      <c r="AC76" s="140">
        <f>Y76+29969+16386</f>
        <v>386934</v>
      </c>
      <c r="AD76" s="140">
        <f>Z76+39877</f>
        <v>566811</v>
      </c>
      <c r="AE76" s="140">
        <f>AA76+15873-2052</f>
        <v>153821</v>
      </c>
      <c r="AF76" s="140"/>
      <c r="AG76" s="140">
        <f>AC76+39877-15873+2052</f>
        <v>412990</v>
      </c>
      <c r="AH76" s="140">
        <f>AD76+39371</f>
        <v>606182</v>
      </c>
      <c r="AI76" s="140">
        <f>39371+AE76</f>
        <v>193192</v>
      </c>
      <c r="AJ76" s="140"/>
      <c r="AK76" s="140">
        <f>AG76</f>
        <v>412990</v>
      </c>
      <c r="AL76" s="140">
        <f>AH76+36993+2466</f>
        <v>645641</v>
      </c>
      <c r="AM76" s="140">
        <f>36993+AI76+2466</f>
        <v>232651</v>
      </c>
      <c r="AN76" s="140">
        <v>0</v>
      </c>
      <c r="AO76" s="140">
        <f>AK76</f>
        <v>412990</v>
      </c>
      <c r="AP76" s="140">
        <f>AL76+31790+4350+50000</f>
        <v>731781</v>
      </c>
      <c r="AQ76" s="140">
        <f>31790+AM76+4350+50000</f>
        <v>318791</v>
      </c>
      <c r="AR76" s="140"/>
      <c r="AS76" s="140">
        <f>AO76</f>
        <v>412990</v>
      </c>
      <c r="AT76" s="140">
        <f>AP76+30740</f>
        <v>762521</v>
      </c>
      <c r="AU76" s="140">
        <f>30740+AQ76</f>
        <v>349531</v>
      </c>
      <c r="AV76" s="140"/>
      <c r="AW76" s="140">
        <f>AS76</f>
        <v>412990</v>
      </c>
      <c r="AX76" s="140">
        <f>AT76+28417</f>
        <v>790938</v>
      </c>
      <c r="AY76" s="140">
        <f>28417+AU76</f>
        <v>377948</v>
      </c>
      <c r="AZ76" s="140">
        <v>0</v>
      </c>
      <c r="BA76" s="140">
        <f>AW76</f>
        <v>412990</v>
      </c>
      <c r="BB76" s="91">
        <f>440000+12052</f>
        <v>452052</v>
      </c>
      <c r="BC76" s="91">
        <f>BB76</f>
        <v>452052</v>
      </c>
      <c r="BD76" s="91">
        <v>0</v>
      </c>
      <c r="BE76" s="91">
        <v>0</v>
      </c>
      <c r="BF76" s="91">
        <v>60786</v>
      </c>
      <c r="BG76" s="91">
        <v>60786</v>
      </c>
      <c r="BH76" s="91">
        <v>0</v>
      </c>
      <c r="BI76" s="91">
        <v>0</v>
      </c>
      <c r="BJ76" s="91">
        <v>0</v>
      </c>
      <c r="BK76" s="91">
        <v>0</v>
      </c>
      <c r="BL76" s="91">
        <v>0</v>
      </c>
      <c r="BM76" s="91"/>
      <c r="BN76" s="91" t="e">
        <f>#REF!+AX76+BB76+BF76+BJ76</f>
        <v>#REF!</v>
      </c>
      <c r="BO76" s="91">
        <f t="shared" si="107"/>
        <v>890786</v>
      </c>
      <c r="BP76" s="91">
        <f t="shared" si="107"/>
        <v>0</v>
      </c>
      <c r="BQ76" s="91">
        <f t="shared" si="87"/>
        <v>890786</v>
      </c>
      <c r="BR76" s="92"/>
      <c r="BS76" s="80"/>
    </row>
    <row r="77" spans="1:71" s="8" customFormat="1">
      <c r="A77" s="141"/>
      <c r="B77" s="142" t="s">
        <v>302</v>
      </c>
      <c r="C77" s="143">
        <f>SUM(C78:C80)</f>
        <v>8720346</v>
      </c>
      <c r="D77" s="143"/>
      <c r="E77" s="143">
        <f t="shared" ref="E77:BM77" si="110">SUM(E78:E80)</f>
        <v>1900000</v>
      </c>
      <c r="F77" s="143">
        <f t="shared" si="110"/>
        <v>397643.05</v>
      </c>
      <c r="G77" s="143">
        <f t="shared" si="110"/>
        <v>81806.952495979262</v>
      </c>
      <c r="H77" s="143">
        <f t="shared" si="110"/>
        <v>11393.047504020731</v>
      </c>
      <c r="I77" s="143">
        <f t="shared" si="110"/>
        <v>93200</v>
      </c>
      <c r="J77" s="143">
        <f t="shared" si="110"/>
        <v>397643.05</v>
      </c>
      <c r="K77" s="143">
        <f t="shared" si="110"/>
        <v>91629.053337502948</v>
      </c>
      <c r="L77" s="143">
        <f t="shared" si="110"/>
        <v>12760.946662497039</v>
      </c>
      <c r="M77" s="143">
        <f t="shared" si="110"/>
        <v>104389.99999999999</v>
      </c>
      <c r="N77" s="143">
        <f t="shared" si="110"/>
        <v>629557.37</v>
      </c>
      <c r="O77" s="143">
        <f t="shared" si="110"/>
        <v>305638.49878658762</v>
      </c>
      <c r="P77" s="143">
        <f t="shared" si="110"/>
        <v>42565.50121341239</v>
      </c>
      <c r="Q77" s="143">
        <f t="shared" si="110"/>
        <v>348204</v>
      </c>
      <c r="R77" s="143">
        <f t="shared" si="110"/>
        <v>629557.37</v>
      </c>
      <c r="S77" s="143">
        <f t="shared" si="110"/>
        <v>479843.41975297197</v>
      </c>
      <c r="T77" s="143">
        <f t="shared" si="110"/>
        <v>66826.580247028032</v>
      </c>
      <c r="U77" s="143">
        <f t="shared" si="110"/>
        <v>546670</v>
      </c>
      <c r="V77" s="143">
        <f t="shared" si="110"/>
        <v>629557.37</v>
      </c>
      <c r="W77" s="143">
        <f t="shared" si="110"/>
        <v>571907.84056298574</v>
      </c>
      <c r="X77" s="143">
        <f t="shared" si="110"/>
        <v>79648.159437014285</v>
      </c>
      <c r="Y77" s="143">
        <f t="shared" si="110"/>
        <v>651556</v>
      </c>
      <c r="Z77" s="143">
        <f t="shared" si="110"/>
        <v>874080.15</v>
      </c>
      <c r="AA77" s="143">
        <f t="shared" si="110"/>
        <v>801875.78604779358</v>
      </c>
      <c r="AB77" s="143">
        <f t="shared" si="110"/>
        <v>111675.21395220647</v>
      </c>
      <c r="AC77" s="143">
        <f t="shared" si="110"/>
        <v>913551</v>
      </c>
      <c r="AD77" s="143">
        <f t="shared" si="110"/>
        <v>874080.15</v>
      </c>
      <c r="AE77" s="143">
        <f t="shared" si="110"/>
        <v>868122.74018651724</v>
      </c>
      <c r="AF77" s="143">
        <f t="shared" si="110"/>
        <v>120901.25981348283</v>
      </c>
      <c r="AG77" s="143">
        <f t="shared" si="110"/>
        <v>989024.00000000012</v>
      </c>
      <c r="AH77" s="143">
        <f t="shared" si="110"/>
        <v>874080.15</v>
      </c>
      <c r="AI77" s="143">
        <f t="shared" si="110"/>
        <v>931768.90033118951</v>
      </c>
      <c r="AJ77" s="143">
        <f t="shared" si="110"/>
        <v>129765.09966881055</v>
      </c>
      <c r="AK77" s="143">
        <f t="shared" si="110"/>
        <v>1061534</v>
      </c>
      <c r="AL77" s="143">
        <f t="shared" si="110"/>
        <v>1246276.3500000001</v>
      </c>
      <c r="AM77" s="143">
        <f t="shared" si="110"/>
        <v>1253761.7675609647</v>
      </c>
      <c r="AN77" s="143">
        <f t="shared" si="110"/>
        <v>174608.23243903532</v>
      </c>
      <c r="AO77" s="143">
        <f t="shared" si="110"/>
        <v>1428370</v>
      </c>
      <c r="AP77" s="143">
        <f t="shared" si="110"/>
        <v>1246276.3500000001</v>
      </c>
      <c r="AQ77" s="143">
        <f t="shared" si="110"/>
        <v>1325083.0349226417</v>
      </c>
      <c r="AR77" s="143">
        <f t="shared" si="110"/>
        <v>184540.9650773583</v>
      </c>
      <c r="AS77" s="143">
        <f t="shared" si="110"/>
        <v>1509624</v>
      </c>
      <c r="AT77" s="143">
        <f t="shared" si="110"/>
        <v>1246276.3500000001</v>
      </c>
      <c r="AU77" s="143">
        <f t="shared" si="110"/>
        <v>1395735.4514495339</v>
      </c>
      <c r="AV77" s="143">
        <f t="shared" si="110"/>
        <v>148198.92412911804</v>
      </c>
      <c r="AW77" s="143">
        <f t="shared" si="110"/>
        <v>1543934.3755786519</v>
      </c>
      <c r="AX77" s="143">
        <f t="shared" si="110"/>
        <v>1562612.03</v>
      </c>
      <c r="AY77" s="143">
        <f t="shared" si="110"/>
        <v>1667738.3019566587</v>
      </c>
      <c r="AZ77" s="143">
        <f t="shared" si="110"/>
        <v>232261.69804334111</v>
      </c>
      <c r="BA77" s="143">
        <f t="shared" si="110"/>
        <v>1899999.9999999998</v>
      </c>
      <c r="BB77" s="93">
        <f t="shared" si="110"/>
        <v>1936866.49</v>
      </c>
      <c r="BC77" s="93">
        <f t="shared" si="110"/>
        <v>1144053.18461531</v>
      </c>
      <c r="BD77" s="93">
        <f t="shared" si="110"/>
        <v>159329.39538468994</v>
      </c>
      <c r="BE77" s="93">
        <f t="shared" si="110"/>
        <v>1303382.58</v>
      </c>
      <c r="BF77" s="93">
        <f t="shared" si="110"/>
        <v>0</v>
      </c>
      <c r="BG77" s="93">
        <f t="shared" si="110"/>
        <v>0</v>
      </c>
      <c r="BH77" s="93">
        <f t="shared" si="110"/>
        <v>0</v>
      </c>
      <c r="BI77" s="93">
        <f t="shared" si="110"/>
        <v>0</v>
      </c>
      <c r="BJ77" s="93">
        <f t="shared" si="110"/>
        <v>0</v>
      </c>
      <c r="BK77" s="93">
        <f t="shared" si="110"/>
        <v>0</v>
      </c>
      <c r="BL77" s="93">
        <f t="shared" si="110"/>
        <v>0</v>
      </c>
      <c r="BM77" s="93">
        <f t="shared" si="110"/>
        <v>0</v>
      </c>
      <c r="BN77" s="93" t="e">
        <f>#REF!+AX77+BB77+BF77+BJ77</f>
        <v>#REF!</v>
      </c>
      <c r="BO77" s="93">
        <f t="shared" si="107"/>
        <v>2811791.4865719685</v>
      </c>
      <c r="BP77" s="93">
        <f t="shared" si="107"/>
        <v>391591.09342803108</v>
      </c>
      <c r="BQ77" s="93">
        <f t="shared" si="87"/>
        <v>3203382.5799999996</v>
      </c>
      <c r="BR77" s="89"/>
      <c r="BS77" s="80"/>
    </row>
    <row r="78" spans="1:71" s="13" customFormat="1" ht="75" customHeight="1">
      <c r="A78" s="138" t="s">
        <v>67</v>
      </c>
      <c r="B78" s="138" t="s">
        <v>303</v>
      </c>
      <c r="C78" s="140">
        <v>0</v>
      </c>
      <c r="D78" s="140"/>
      <c r="E78" s="140">
        <v>0</v>
      </c>
      <c r="F78" s="140"/>
      <c r="G78" s="140"/>
      <c r="H78" s="140"/>
      <c r="I78" s="140"/>
      <c r="J78" s="140"/>
      <c r="K78" s="140"/>
      <c r="L78" s="140"/>
      <c r="M78" s="140"/>
      <c r="N78" s="140">
        <v>0</v>
      </c>
      <c r="O78" s="140">
        <v>0</v>
      </c>
      <c r="P78" s="140">
        <v>0</v>
      </c>
      <c r="Q78" s="140">
        <v>0</v>
      </c>
      <c r="R78" s="140"/>
      <c r="S78" s="140"/>
      <c r="T78" s="140"/>
      <c r="U78" s="140"/>
      <c r="V78" s="140"/>
      <c r="W78" s="140"/>
      <c r="X78" s="140"/>
      <c r="Y78" s="140"/>
      <c r="Z78" s="140">
        <v>0</v>
      </c>
      <c r="AA78" s="140">
        <v>0</v>
      </c>
      <c r="AB78" s="140">
        <v>0</v>
      </c>
      <c r="AC78" s="140">
        <v>0</v>
      </c>
      <c r="AD78" s="140"/>
      <c r="AE78" s="140"/>
      <c r="AF78" s="140"/>
      <c r="AG78" s="140"/>
      <c r="AH78" s="140"/>
      <c r="AI78" s="140"/>
      <c r="AJ78" s="140"/>
      <c r="AK78" s="140"/>
      <c r="AL78" s="140">
        <v>0</v>
      </c>
      <c r="AM78" s="140">
        <v>0</v>
      </c>
      <c r="AN78" s="140">
        <v>0</v>
      </c>
      <c r="AO78" s="140">
        <v>0</v>
      </c>
      <c r="AP78" s="140"/>
      <c r="AQ78" s="140"/>
      <c r="AR78" s="140"/>
      <c r="AS78" s="140"/>
      <c r="AT78" s="140"/>
      <c r="AU78" s="140"/>
      <c r="AV78" s="140"/>
      <c r="AW78" s="140"/>
      <c r="AX78" s="140">
        <v>0</v>
      </c>
      <c r="AY78" s="140">
        <v>0</v>
      </c>
      <c r="AZ78" s="140">
        <v>0</v>
      </c>
      <c r="BA78" s="140">
        <v>0</v>
      </c>
      <c r="BB78" s="91">
        <v>0</v>
      </c>
      <c r="BC78" s="91">
        <v>0</v>
      </c>
      <c r="BD78" s="91">
        <v>0</v>
      </c>
      <c r="BE78" s="91">
        <v>0</v>
      </c>
      <c r="BF78" s="91">
        <v>0</v>
      </c>
      <c r="BG78" s="91">
        <v>0</v>
      </c>
      <c r="BH78" s="91">
        <v>0</v>
      </c>
      <c r="BI78" s="91">
        <v>0</v>
      </c>
      <c r="BJ78" s="91">
        <v>0</v>
      </c>
      <c r="BK78" s="91">
        <v>0</v>
      </c>
      <c r="BL78" s="91">
        <v>0</v>
      </c>
      <c r="BM78" s="91">
        <v>0</v>
      </c>
      <c r="BN78" s="91" t="e">
        <f>#REF!+AX78+BB78+BF78+BJ78</f>
        <v>#REF!</v>
      </c>
      <c r="BO78" s="91">
        <f t="shared" si="107"/>
        <v>0</v>
      </c>
      <c r="BP78" s="91">
        <f t="shared" si="107"/>
        <v>0</v>
      </c>
      <c r="BQ78" s="91">
        <f t="shared" si="87"/>
        <v>0</v>
      </c>
      <c r="BR78" s="92"/>
      <c r="BS78" s="80"/>
    </row>
    <row r="79" spans="1:71" s="13" customFormat="1" ht="49.5" customHeight="1">
      <c r="A79" s="138" t="s">
        <v>68</v>
      </c>
      <c r="B79" s="138" t="s">
        <v>304</v>
      </c>
      <c r="C79" s="140">
        <v>0</v>
      </c>
      <c r="D79" s="140"/>
      <c r="E79" s="140">
        <v>0</v>
      </c>
      <c r="F79" s="140"/>
      <c r="G79" s="140"/>
      <c r="H79" s="140"/>
      <c r="I79" s="140"/>
      <c r="J79" s="140"/>
      <c r="K79" s="140"/>
      <c r="L79" s="140"/>
      <c r="M79" s="140"/>
      <c r="N79" s="140">
        <v>0</v>
      </c>
      <c r="O79" s="140">
        <v>0</v>
      </c>
      <c r="P79" s="140">
        <v>0</v>
      </c>
      <c r="Q79" s="140">
        <v>0</v>
      </c>
      <c r="R79" s="140"/>
      <c r="S79" s="140"/>
      <c r="T79" s="140"/>
      <c r="U79" s="140"/>
      <c r="V79" s="140"/>
      <c r="W79" s="140"/>
      <c r="X79" s="140"/>
      <c r="Y79" s="140"/>
      <c r="Z79" s="140">
        <v>0</v>
      </c>
      <c r="AA79" s="140">
        <v>0</v>
      </c>
      <c r="AB79" s="140">
        <v>0</v>
      </c>
      <c r="AC79" s="140">
        <v>0</v>
      </c>
      <c r="AD79" s="140"/>
      <c r="AE79" s="140"/>
      <c r="AF79" s="140"/>
      <c r="AG79" s="140"/>
      <c r="AH79" s="140"/>
      <c r="AI79" s="140"/>
      <c r="AJ79" s="140"/>
      <c r="AK79" s="140"/>
      <c r="AL79" s="140">
        <v>0</v>
      </c>
      <c r="AM79" s="140">
        <v>0</v>
      </c>
      <c r="AN79" s="140">
        <v>0</v>
      </c>
      <c r="AO79" s="140">
        <v>0</v>
      </c>
      <c r="AP79" s="140"/>
      <c r="AQ79" s="140"/>
      <c r="AR79" s="140"/>
      <c r="AS79" s="140"/>
      <c r="AT79" s="140"/>
      <c r="AU79" s="140"/>
      <c r="AV79" s="140"/>
      <c r="AW79" s="140"/>
      <c r="AX79" s="140">
        <v>0</v>
      </c>
      <c r="AY79" s="140">
        <v>0</v>
      </c>
      <c r="AZ79" s="140">
        <v>0</v>
      </c>
      <c r="BA79" s="140">
        <v>0</v>
      </c>
      <c r="BB79" s="91">
        <v>0</v>
      </c>
      <c r="BC79" s="91">
        <v>0</v>
      </c>
      <c r="BD79" s="91">
        <v>0</v>
      </c>
      <c r="BE79" s="91">
        <v>0</v>
      </c>
      <c r="BF79" s="91">
        <v>0</v>
      </c>
      <c r="BG79" s="91">
        <v>0</v>
      </c>
      <c r="BH79" s="91">
        <v>0</v>
      </c>
      <c r="BI79" s="91">
        <v>0</v>
      </c>
      <c r="BJ79" s="91">
        <v>0</v>
      </c>
      <c r="BK79" s="91">
        <v>0</v>
      </c>
      <c r="BL79" s="91">
        <v>0</v>
      </c>
      <c r="BM79" s="91">
        <v>0</v>
      </c>
      <c r="BN79" s="91" t="e">
        <f>#REF!+AX79+BB79+BF79+BJ79</f>
        <v>#REF!</v>
      </c>
      <c r="BO79" s="91">
        <f t="shared" si="107"/>
        <v>0</v>
      </c>
      <c r="BP79" s="91">
        <f t="shared" si="107"/>
        <v>0</v>
      </c>
      <c r="BQ79" s="91">
        <f t="shared" si="87"/>
        <v>0</v>
      </c>
      <c r="BR79" s="92"/>
      <c r="BS79" s="80"/>
    </row>
    <row r="80" spans="1:71" s="13" customFormat="1" ht="117.75" customHeight="1">
      <c r="A80" s="138" t="s">
        <v>69</v>
      </c>
      <c r="B80" s="138" t="s">
        <v>305</v>
      </c>
      <c r="C80" s="145">
        <v>8720346</v>
      </c>
      <c r="D80" s="140"/>
      <c r="E80" s="140">
        <v>1900000</v>
      </c>
      <c r="F80" s="140">
        <v>397643.05</v>
      </c>
      <c r="G80" s="140">
        <v>81806.952495979262</v>
      </c>
      <c r="H80" s="140">
        <v>11393.047504020731</v>
      </c>
      <c r="I80" s="140">
        <f>G80+H80</f>
        <v>93200</v>
      </c>
      <c r="J80" s="140">
        <v>397643.05</v>
      </c>
      <c r="K80" s="140">
        <v>91629.053337502948</v>
      </c>
      <c r="L80" s="140">
        <v>12760.946662497039</v>
      </c>
      <c r="M80" s="140">
        <f>K80+L80</f>
        <v>104389.99999999999</v>
      </c>
      <c r="N80" s="140">
        <v>629557.37</v>
      </c>
      <c r="O80" s="140">
        <v>305638.49878658762</v>
      </c>
      <c r="P80" s="140">
        <v>42565.50121341239</v>
      </c>
      <c r="Q80" s="140">
        <f>O80+P80</f>
        <v>348204</v>
      </c>
      <c r="R80" s="140">
        <v>629557.37</v>
      </c>
      <c r="S80" s="140">
        <v>479843.41975297197</v>
      </c>
      <c r="T80" s="140">
        <v>66826.580247028032</v>
      </c>
      <c r="U80" s="140">
        <f>S80+T80</f>
        <v>546670</v>
      </c>
      <c r="V80" s="140">
        <v>629557.37</v>
      </c>
      <c r="W80" s="140">
        <v>571907.84056298574</v>
      </c>
      <c r="X80" s="140">
        <v>79648.159437014285</v>
      </c>
      <c r="Y80" s="140">
        <f>W80+X80</f>
        <v>651556</v>
      </c>
      <c r="Z80" s="140">
        <v>874080.15</v>
      </c>
      <c r="AA80" s="140">
        <v>801875.78604779358</v>
      </c>
      <c r="AB80" s="140">
        <v>111675.21395220647</v>
      </c>
      <c r="AC80" s="140">
        <f>AA80+AB80</f>
        <v>913551</v>
      </c>
      <c r="AD80" s="140">
        <v>874080.15</v>
      </c>
      <c r="AE80" s="140">
        <v>868122.74018651724</v>
      </c>
      <c r="AF80" s="140">
        <v>120901.25981348283</v>
      </c>
      <c r="AG80" s="140">
        <f>AE80+AF80</f>
        <v>989024.00000000012</v>
      </c>
      <c r="AH80" s="140">
        <v>874080.15</v>
      </c>
      <c r="AI80" s="140">
        <v>931768.90033118951</v>
      </c>
      <c r="AJ80" s="140">
        <v>129765.09966881055</v>
      </c>
      <c r="AK80" s="140">
        <f>AI80+AJ80</f>
        <v>1061534</v>
      </c>
      <c r="AL80" s="140">
        <v>1246276.3500000001</v>
      </c>
      <c r="AM80" s="140">
        <v>1253761.7675609647</v>
      </c>
      <c r="AN80" s="140">
        <v>174608.23243903532</v>
      </c>
      <c r="AO80" s="140">
        <f>AM80+AN80</f>
        <v>1428370</v>
      </c>
      <c r="AP80" s="140">
        <v>1246276.3500000001</v>
      </c>
      <c r="AQ80" s="140">
        <v>1325083.0349226417</v>
      </c>
      <c r="AR80" s="140">
        <v>184540.9650773583</v>
      </c>
      <c r="AS80" s="140">
        <f>AQ80+AR80</f>
        <v>1509624</v>
      </c>
      <c r="AT80" s="140">
        <v>1246276.3500000001</v>
      </c>
      <c r="AU80" s="140">
        <v>1395735.4514495339</v>
      </c>
      <c r="AV80" s="140">
        <v>148198.92412911804</v>
      </c>
      <c r="AW80" s="140">
        <f>AU80+AV80</f>
        <v>1543934.3755786519</v>
      </c>
      <c r="AX80" s="140">
        <v>1562612.03</v>
      </c>
      <c r="AY80" s="140">
        <v>1667738.3019566587</v>
      </c>
      <c r="AZ80" s="140">
        <v>232261.69804334111</v>
      </c>
      <c r="BA80" s="140">
        <f>AY80+AZ80</f>
        <v>1899999.9999999998</v>
      </c>
      <c r="BB80" s="91">
        <v>1936866.49</v>
      </c>
      <c r="BC80" s="91">
        <v>1144053.18461531</v>
      </c>
      <c r="BD80" s="91">
        <v>159329.39538468994</v>
      </c>
      <c r="BE80" s="91">
        <f>BC80+BD80</f>
        <v>1303382.58</v>
      </c>
      <c r="BF80" s="91">
        <v>0</v>
      </c>
      <c r="BG80" s="91">
        <v>0</v>
      </c>
      <c r="BH80" s="91">
        <v>0</v>
      </c>
      <c r="BI80" s="91">
        <v>0</v>
      </c>
      <c r="BJ80" s="91">
        <v>0</v>
      </c>
      <c r="BK80" s="91">
        <v>0</v>
      </c>
      <c r="BL80" s="91">
        <v>0</v>
      </c>
      <c r="BM80" s="91">
        <v>0</v>
      </c>
      <c r="BN80" s="91" t="e">
        <f>#REF!+AX80+BB80+BF80+BJ80</f>
        <v>#REF!</v>
      </c>
      <c r="BO80" s="91">
        <f>AY80+BC80+BG80+BK80</f>
        <v>2811791.4865719685</v>
      </c>
      <c r="BP80" s="91">
        <f t="shared" si="107"/>
        <v>391591.09342803108</v>
      </c>
      <c r="BQ80" s="91">
        <f>BO80+BP80</f>
        <v>3203382.5799999996</v>
      </c>
      <c r="BR80" s="97"/>
      <c r="BS80" s="80"/>
    </row>
    <row r="81" spans="1:72" s="8" customFormat="1">
      <c r="A81" s="141"/>
      <c r="B81" s="142" t="s">
        <v>306</v>
      </c>
      <c r="C81" s="143">
        <f>SUM(C82:C83)</f>
        <v>15629235.037524</v>
      </c>
      <c r="D81" s="143"/>
      <c r="E81" s="143">
        <f t="shared" ref="E81:BM81" si="111">SUM(E82:E83)</f>
        <v>2973395</v>
      </c>
      <c r="F81" s="143">
        <f t="shared" ref="F81:M81" si="112">SUM(F82:F83)</f>
        <v>0</v>
      </c>
      <c r="G81" s="143">
        <f t="shared" si="112"/>
        <v>264397.76</v>
      </c>
      <c r="H81" s="143">
        <f t="shared" si="112"/>
        <v>0</v>
      </c>
      <c r="I81" s="143">
        <f t="shared" si="112"/>
        <v>0</v>
      </c>
      <c r="J81" s="143">
        <f t="shared" si="112"/>
        <v>752761.73</v>
      </c>
      <c r="K81" s="143">
        <f t="shared" si="112"/>
        <v>482199.27</v>
      </c>
      <c r="L81" s="143">
        <f t="shared" si="112"/>
        <v>0</v>
      </c>
      <c r="M81" s="143">
        <f t="shared" si="112"/>
        <v>0</v>
      </c>
      <c r="N81" s="143">
        <f t="shared" si="111"/>
        <v>919156.59</v>
      </c>
      <c r="O81" s="143">
        <f t="shared" si="111"/>
        <v>782036.08000000007</v>
      </c>
      <c r="P81" s="143">
        <f t="shared" si="111"/>
        <v>0</v>
      </c>
      <c r="Q81" s="143">
        <f t="shared" si="111"/>
        <v>0</v>
      </c>
      <c r="R81" s="143">
        <f t="shared" si="111"/>
        <v>941148.74</v>
      </c>
      <c r="S81" s="143">
        <f t="shared" si="111"/>
        <v>1047057.63</v>
      </c>
      <c r="T81" s="143">
        <f t="shared" si="111"/>
        <v>0</v>
      </c>
      <c r="U81" s="143">
        <f t="shared" si="111"/>
        <v>0</v>
      </c>
      <c r="V81" s="143">
        <f t="shared" si="111"/>
        <v>1411812.85</v>
      </c>
      <c r="W81" s="143">
        <f t="shared" si="111"/>
        <v>1310426.17</v>
      </c>
      <c r="X81" s="143">
        <f t="shared" si="111"/>
        <v>0</v>
      </c>
      <c r="Y81" s="143">
        <f t="shared" si="111"/>
        <v>0</v>
      </c>
      <c r="Z81" s="143">
        <f t="shared" si="111"/>
        <v>1684969.51</v>
      </c>
      <c r="AA81" s="143">
        <f t="shared" si="111"/>
        <v>1537596.77</v>
      </c>
      <c r="AB81" s="143">
        <f t="shared" si="111"/>
        <v>0</v>
      </c>
      <c r="AC81" s="143">
        <f t="shared" si="111"/>
        <v>0</v>
      </c>
      <c r="AD81" s="143">
        <f t="shared" si="111"/>
        <v>1687297.15</v>
      </c>
      <c r="AE81" s="143">
        <f t="shared" si="111"/>
        <v>1736850.6600000001</v>
      </c>
      <c r="AF81" s="143">
        <f t="shared" si="111"/>
        <v>0</v>
      </c>
      <c r="AG81" s="143">
        <f t="shared" si="111"/>
        <v>0</v>
      </c>
      <c r="AH81" s="143">
        <f t="shared" si="111"/>
        <v>2255316.7999999998</v>
      </c>
      <c r="AI81" s="143">
        <f t="shared" si="111"/>
        <v>2016118.52</v>
      </c>
      <c r="AJ81" s="143">
        <f t="shared" si="111"/>
        <v>0</v>
      </c>
      <c r="AK81" s="143">
        <f t="shared" si="111"/>
        <v>0</v>
      </c>
      <c r="AL81" s="143">
        <f t="shared" si="111"/>
        <v>2391541.54</v>
      </c>
      <c r="AM81" s="143">
        <f t="shared" si="111"/>
        <v>2336463.4500000002</v>
      </c>
      <c r="AN81" s="143">
        <f t="shared" si="111"/>
        <v>0</v>
      </c>
      <c r="AO81" s="143">
        <f t="shared" si="111"/>
        <v>0</v>
      </c>
      <c r="AP81" s="143">
        <f t="shared" si="111"/>
        <v>2419781.5999999996</v>
      </c>
      <c r="AQ81" s="143">
        <f t="shared" si="111"/>
        <v>2608752.9299999997</v>
      </c>
      <c r="AR81" s="143">
        <f t="shared" si="111"/>
        <v>0</v>
      </c>
      <c r="AS81" s="143">
        <f t="shared" si="111"/>
        <v>0</v>
      </c>
      <c r="AT81" s="143">
        <f t="shared" si="111"/>
        <v>3076806.03</v>
      </c>
      <c r="AU81" s="143">
        <f t="shared" si="111"/>
        <v>2911428.99</v>
      </c>
      <c r="AV81" s="143">
        <f t="shared" si="111"/>
        <v>0</v>
      </c>
      <c r="AW81" s="143">
        <f t="shared" si="111"/>
        <v>0</v>
      </c>
      <c r="AX81" s="143">
        <f t="shared" si="111"/>
        <v>3253159.79</v>
      </c>
      <c r="AY81" s="143">
        <f t="shared" si="111"/>
        <v>3267166.94</v>
      </c>
      <c r="AZ81" s="143">
        <f t="shared" si="111"/>
        <v>0</v>
      </c>
      <c r="BA81" s="143">
        <f t="shared" si="111"/>
        <v>2113664</v>
      </c>
      <c r="BB81" s="93">
        <f t="shared" si="111"/>
        <v>2644944.31</v>
      </c>
      <c r="BC81" s="93">
        <f t="shared" si="111"/>
        <v>2800641.94</v>
      </c>
      <c r="BD81" s="93">
        <f t="shared" si="111"/>
        <v>0</v>
      </c>
      <c r="BE81" s="93">
        <f t="shared" si="111"/>
        <v>1931164</v>
      </c>
      <c r="BF81" s="93">
        <f t="shared" si="111"/>
        <v>1869322.4500000002</v>
      </c>
      <c r="BG81" s="93">
        <f t="shared" si="111"/>
        <v>1118151.4099999999</v>
      </c>
      <c r="BH81" s="93">
        <f t="shared" si="111"/>
        <v>0</v>
      </c>
      <c r="BI81" s="93">
        <f t="shared" si="111"/>
        <v>1102598</v>
      </c>
      <c r="BJ81" s="93">
        <f t="shared" si="111"/>
        <v>1015313.66</v>
      </c>
      <c r="BK81" s="93">
        <f t="shared" si="111"/>
        <v>663674.64</v>
      </c>
      <c r="BL81" s="93">
        <f t="shared" si="111"/>
        <v>0</v>
      </c>
      <c r="BM81" s="93">
        <f t="shared" si="111"/>
        <v>678972</v>
      </c>
      <c r="BN81" s="93" t="e">
        <f>#REF!+AX81+BB81+BF81+BJ81</f>
        <v>#REF!</v>
      </c>
      <c r="BO81" s="93">
        <f t="shared" si="107"/>
        <v>7849634.9299999997</v>
      </c>
      <c r="BP81" s="93">
        <f t="shared" si="107"/>
        <v>0</v>
      </c>
      <c r="BQ81" s="93">
        <f t="shared" si="87"/>
        <v>7849634.9299999997</v>
      </c>
      <c r="BR81" s="89"/>
      <c r="BS81" s="80"/>
    </row>
    <row r="82" spans="1:72" s="13" customFormat="1" ht="78.75" customHeight="1">
      <c r="A82" s="138" t="s">
        <v>37</v>
      </c>
      <c r="B82" s="138" t="s">
        <v>307</v>
      </c>
      <c r="C82" s="140">
        <v>2781474.0375239998</v>
      </c>
      <c r="D82" s="140">
        <v>859731</v>
      </c>
      <c r="E82" s="140">
        <v>859731</v>
      </c>
      <c r="F82" s="140">
        <v>0</v>
      </c>
      <c r="G82" s="140">
        <v>138871</v>
      </c>
      <c r="H82" s="140"/>
      <c r="I82" s="140"/>
      <c r="J82" s="140">
        <v>45894.14</v>
      </c>
      <c r="K82" s="140">
        <v>192896</v>
      </c>
      <c r="L82" s="140"/>
      <c r="M82" s="140"/>
      <c r="N82" s="140">
        <v>45894.14</v>
      </c>
      <c r="O82" s="140">
        <v>311724</v>
      </c>
      <c r="P82" s="140"/>
      <c r="Q82" s="140"/>
      <c r="R82" s="140">
        <v>45894.14</v>
      </c>
      <c r="S82" s="140">
        <v>413844</v>
      </c>
      <c r="T82" s="140"/>
      <c r="U82" s="140"/>
      <c r="V82" s="140">
        <v>353875.3</v>
      </c>
      <c r="W82" s="140">
        <v>476167</v>
      </c>
      <c r="X82" s="140"/>
      <c r="Y82" s="140"/>
      <c r="Z82" s="140">
        <v>353875.3</v>
      </c>
      <c r="AA82" s="140">
        <v>514642</v>
      </c>
      <c r="AB82" s="140"/>
      <c r="AC82" s="140"/>
      <c r="AD82" s="140">
        <v>353875.3</v>
      </c>
      <c r="AE82" s="140">
        <v>554277</v>
      </c>
      <c r="AF82" s="140"/>
      <c r="AG82" s="140"/>
      <c r="AH82" s="140">
        <v>556038.5</v>
      </c>
      <c r="AI82" s="140">
        <v>659761</v>
      </c>
      <c r="AJ82" s="140"/>
      <c r="AK82" s="140"/>
      <c r="AL82" s="140">
        <v>556038.5</v>
      </c>
      <c r="AM82" s="140">
        <v>800166</v>
      </c>
      <c r="AN82" s="140"/>
      <c r="AO82" s="140"/>
      <c r="AP82" s="140">
        <v>556038.5</v>
      </c>
      <c r="AQ82" s="140">
        <v>868927</v>
      </c>
      <c r="AR82" s="140"/>
      <c r="AS82" s="140"/>
      <c r="AT82" s="140">
        <v>901846.5</v>
      </c>
      <c r="AU82" s="140">
        <v>980398</v>
      </c>
      <c r="AV82" s="140"/>
      <c r="AW82" s="140"/>
      <c r="AX82" s="140">
        <v>901846.5</v>
      </c>
      <c r="AY82" s="140">
        <v>1121309</v>
      </c>
      <c r="AZ82" s="140"/>
      <c r="BA82" s="140"/>
      <c r="BB82" s="91">
        <v>584339.44999999995</v>
      </c>
      <c r="BC82" s="91">
        <v>788497</v>
      </c>
      <c r="BD82" s="91">
        <v>0</v>
      </c>
      <c r="BE82" s="91"/>
      <c r="BF82" s="91">
        <v>482428.36</v>
      </c>
      <c r="BG82" s="91">
        <v>0</v>
      </c>
      <c r="BH82" s="91">
        <v>0</v>
      </c>
      <c r="BI82" s="91"/>
      <c r="BJ82" s="91">
        <v>0</v>
      </c>
      <c r="BK82" s="91">
        <v>0</v>
      </c>
      <c r="BL82" s="91">
        <v>0</v>
      </c>
      <c r="BM82" s="91"/>
      <c r="BN82" s="91">
        <v>2781473.9999999995</v>
      </c>
      <c r="BO82" s="91">
        <v>1909806</v>
      </c>
      <c r="BP82" s="91">
        <v>0</v>
      </c>
      <c r="BQ82" s="91">
        <v>1909806</v>
      </c>
      <c r="BR82" s="92" t="s">
        <v>163</v>
      </c>
      <c r="BS82" s="80"/>
    </row>
    <row r="83" spans="1:72" s="13" customFormat="1" ht="68.25" customHeight="1">
      <c r="A83" s="138" t="s">
        <v>72</v>
      </c>
      <c r="B83" s="138" t="s">
        <v>308</v>
      </c>
      <c r="C83" s="140">
        <v>12847761</v>
      </c>
      <c r="D83" s="140"/>
      <c r="E83" s="140">
        <v>2113664</v>
      </c>
      <c r="F83" s="139">
        <v>0</v>
      </c>
      <c r="G83" s="139">
        <v>125526.76</v>
      </c>
      <c r="H83" s="139">
        <v>0</v>
      </c>
      <c r="I83" s="139">
        <v>0</v>
      </c>
      <c r="J83" s="139">
        <v>706867.59</v>
      </c>
      <c r="K83" s="139">
        <f>G83+163776.51</f>
        <v>289303.27</v>
      </c>
      <c r="L83" s="139">
        <v>0</v>
      </c>
      <c r="M83" s="139">
        <v>0</v>
      </c>
      <c r="N83" s="139">
        <f>166394.86+J83</f>
        <v>873262.45</v>
      </c>
      <c r="O83" s="139">
        <f>K83+181008.81</f>
        <v>470312.08</v>
      </c>
      <c r="P83" s="139">
        <v>0</v>
      </c>
      <c r="Q83" s="139">
        <v>0</v>
      </c>
      <c r="R83" s="139">
        <f>21992.15+N83</f>
        <v>895254.6</v>
      </c>
      <c r="S83" s="139">
        <f>O83+162901.55</f>
        <v>633213.63</v>
      </c>
      <c r="T83" s="139">
        <v>0</v>
      </c>
      <c r="U83" s="139">
        <v>0</v>
      </c>
      <c r="V83" s="139">
        <f>R83+162682.95</f>
        <v>1057937.55</v>
      </c>
      <c r="W83" s="139">
        <f>S83+201045.54</f>
        <v>834259.17</v>
      </c>
      <c r="X83" s="139">
        <v>0</v>
      </c>
      <c r="Y83" s="139">
        <v>0</v>
      </c>
      <c r="Z83" s="139">
        <f>V83+273156.66</f>
        <v>1331094.21</v>
      </c>
      <c r="AA83" s="139">
        <f>W83+188695.6</f>
        <v>1022954.77</v>
      </c>
      <c r="AB83" s="139">
        <v>0</v>
      </c>
      <c r="AC83" s="139">
        <v>0</v>
      </c>
      <c r="AD83" s="139">
        <f>Z83+2327.64</f>
        <v>1333421.8499999999</v>
      </c>
      <c r="AE83" s="139">
        <f>AA83+159618.89</f>
        <v>1182573.6600000001</v>
      </c>
      <c r="AF83" s="139">
        <v>0</v>
      </c>
      <c r="AG83" s="139">
        <v>0</v>
      </c>
      <c r="AH83" s="139">
        <f>AD83+365856.45</f>
        <v>1699278.2999999998</v>
      </c>
      <c r="AI83" s="139">
        <f>AE83+173783.86</f>
        <v>1356357.52</v>
      </c>
      <c r="AJ83" s="139">
        <v>0</v>
      </c>
      <c r="AK83" s="139">
        <v>0</v>
      </c>
      <c r="AL83" s="139">
        <f>AH83+136224.74</f>
        <v>1835503.0399999998</v>
      </c>
      <c r="AM83" s="139">
        <f>AI83+179939.93</f>
        <v>1536297.45</v>
      </c>
      <c r="AN83" s="139">
        <v>0</v>
      </c>
      <c r="AO83" s="139">
        <v>0</v>
      </c>
      <c r="AP83" s="139">
        <f>AL83+28240.06</f>
        <v>1863743.0999999999</v>
      </c>
      <c r="AQ83" s="139">
        <f>AM83+203528.48</f>
        <v>1739825.93</v>
      </c>
      <c r="AR83" s="139">
        <v>0</v>
      </c>
      <c r="AS83" s="139">
        <v>0</v>
      </c>
      <c r="AT83" s="139">
        <f>AP83+311216.43</f>
        <v>2174959.5299999998</v>
      </c>
      <c r="AU83" s="139">
        <f>AQ83+191205.06</f>
        <v>1931030.99</v>
      </c>
      <c r="AV83" s="139">
        <v>0</v>
      </c>
      <c r="AW83" s="139">
        <v>0</v>
      </c>
      <c r="AX83" s="139">
        <f>AT83+176353.76</f>
        <v>2351313.29</v>
      </c>
      <c r="AY83" s="139">
        <f>AU83+214826.95</f>
        <v>2145857.94</v>
      </c>
      <c r="AZ83" s="139">
        <v>0</v>
      </c>
      <c r="BA83" s="139">
        <v>2113664</v>
      </c>
      <c r="BB83" s="90">
        <v>2060604.86</v>
      </c>
      <c r="BC83" s="90">
        <v>2012144.94</v>
      </c>
      <c r="BD83" s="90">
        <v>0</v>
      </c>
      <c r="BE83" s="90">
        <v>1931164</v>
      </c>
      <c r="BF83" s="90">
        <v>1386894.09</v>
      </c>
      <c r="BG83" s="90">
        <v>1118151.4099999999</v>
      </c>
      <c r="BH83" s="90">
        <v>0</v>
      </c>
      <c r="BI83" s="90">
        <v>1102598</v>
      </c>
      <c r="BJ83" s="90">
        <f>822670.66+192643</f>
        <v>1015313.66</v>
      </c>
      <c r="BK83" s="90">
        <v>663674.64</v>
      </c>
      <c r="BL83" s="90">
        <v>0</v>
      </c>
      <c r="BM83" s="90">
        <v>678972</v>
      </c>
      <c r="BN83" s="91" t="e">
        <f>#REF!+AX83+BB83+BF83+BJ83</f>
        <v>#REF!</v>
      </c>
      <c r="BO83" s="91">
        <f>AY83+BC83+BG83+BK83</f>
        <v>5939828.9299999997</v>
      </c>
      <c r="BP83" s="91">
        <f t="shared" ref="BP83" si="113">AZ83+BD83+BH83+BL83</f>
        <v>0</v>
      </c>
      <c r="BQ83" s="91">
        <f>BO83+BP83</f>
        <v>5939828.9299999997</v>
      </c>
      <c r="BR83" s="92" t="s">
        <v>427</v>
      </c>
      <c r="BS83" s="80"/>
    </row>
    <row r="84" spans="1:72" s="8" customFormat="1" ht="47.25">
      <c r="A84" s="141"/>
      <c r="B84" s="136" t="s">
        <v>309</v>
      </c>
      <c r="C84" s="143">
        <f>SUM(C85:C86)</f>
        <v>5026716</v>
      </c>
      <c r="D84" s="143"/>
      <c r="E84" s="143">
        <f t="shared" ref="E84:BM84" si="114">SUM(E85:E86)</f>
        <v>1266149</v>
      </c>
      <c r="F84" s="143">
        <f t="shared" si="114"/>
        <v>108546.79000000001</v>
      </c>
      <c r="G84" s="143">
        <f t="shared" si="114"/>
        <v>108546.79000000001</v>
      </c>
      <c r="H84" s="143">
        <f t="shared" si="114"/>
        <v>0</v>
      </c>
      <c r="I84" s="143">
        <f t="shared" si="114"/>
        <v>115100</v>
      </c>
      <c r="J84" s="143">
        <f t="shared" si="114"/>
        <v>348322.69</v>
      </c>
      <c r="K84" s="143">
        <f t="shared" si="114"/>
        <v>348322.69</v>
      </c>
      <c r="L84" s="143">
        <f t="shared" si="114"/>
        <v>0</v>
      </c>
      <c r="M84" s="143">
        <f t="shared" si="114"/>
        <v>380692</v>
      </c>
      <c r="N84" s="143">
        <f t="shared" si="114"/>
        <v>403037.54</v>
      </c>
      <c r="O84" s="143">
        <f t="shared" si="114"/>
        <v>403037.54</v>
      </c>
      <c r="P84" s="143">
        <f t="shared" si="114"/>
        <v>0</v>
      </c>
      <c r="Q84" s="143">
        <f t="shared" si="114"/>
        <v>426342</v>
      </c>
      <c r="R84" s="143">
        <f t="shared" si="114"/>
        <v>487677.81999999995</v>
      </c>
      <c r="S84" s="143">
        <f t="shared" si="114"/>
        <v>487677.81999999995</v>
      </c>
      <c r="T84" s="143">
        <f t="shared" si="114"/>
        <v>0</v>
      </c>
      <c r="U84" s="143">
        <f t="shared" si="114"/>
        <v>509470</v>
      </c>
      <c r="V84" s="143">
        <f t="shared" si="114"/>
        <v>617358.12</v>
      </c>
      <c r="W84" s="143">
        <f t="shared" si="114"/>
        <v>617358.12</v>
      </c>
      <c r="X84" s="143">
        <f t="shared" si="114"/>
        <v>0</v>
      </c>
      <c r="Y84" s="143">
        <f t="shared" si="114"/>
        <v>634270</v>
      </c>
      <c r="Z84" s="143">
        <f t="shared" si="114"/>
        <v>654296.28</v>
      </c>
      <c r="AA84" s="143">
        <f t="shared" si="114"/>
        <v>654296.28</v>
      </c>
      <c r="AB84" s="143">
        <f t="shared" si="114"/>
        <v>0</v>
      </c>
      <c r="AC84" s="143">
        <f t="shared" si="114"/>
        <v>666078</v>
      </c>
      <c r="AD84" s="143">
        <f t="shared" si="114"/>
        <v>729419.74</v>
      </c>
      <c r="AE84" s="143">
        <f t="shared" si="114"/>
        <v>729419.74</v>
      </c>
      <c r="AF84" s="143">
        <f t="shared" si="114"/>
        <v>0</v>
      </c>
      <c r="AG84" s="143">
        <f t="shared" si="114"/>
        <v>730959</v>
      </c>
      <c r="AH84" s="143">
        <f t="shared" si="114"/>
        <v>834878.60000000009</v>
      </c>
      <c r="AI84" s="143">
        <f t="shared" si="114"/>
        <v>834878.60000000009</v>
      </c>
      <c r="AJ84" s="143">
        <f t="shared" si="114"/>
        <v>0</v>
      </c>
      <c r="AK84" s="143">
        <f t="shared" si="114"/>
        <v>822512</v>
      </c>
      <c r="AL84" s="143">
        <f t="shared" si="114"/>
        <v>912072.48</v>
      </c>
      <c r="AM84" s="143">
        <f t="shared" si="114"/>
        <v>912072.48</v>
      </c>
      <c r="AN84" s="143">
        <f t="shared" si="114"/>
        <v>0</v>
      </c>
      <c r="AO84" s="143">
        <f t="shared" si="114"/>
        <v>898873</v>
      </c>
      <c r="AP84" s="143">
        <f t="shared" si="114"/>
        <v>999337.65</v>
      </c>
      <c r="AQ84" s="143">
        <f t="shared" si="114"/>
        <v>999337.65</v>
      </c>
      <c r="AR84" s="143">
        <f t="shared" si="114"/>
        <v>0</v>
      </c>
      <c r="AS84" s="143">
        <f t="shared" si="114"/>
        <v>1005370</v>
      </c>
      <c r="AT84" s="143">
        <f t="shared" si="114"/>
        <v>1161869.8599999999</v>
      </c>
      <c r="AU84" s="143">
        <f t="shared" si="114"/>
        <v>1161869.8599999999</v>
      </c>
      <c r="AV84" s="143">
        <f t="shared" si="114"/>
        <v>0</v>
      </c>
      <c r="AW84" s="143">
        <f t="shared" si="114"/>
        <v>1176745</v>
      </c>
      <c r="AX84" s="143">
        <f t="shared" si="114"/>
        <v>1264623.77</v>
      </c>
      <c r="AY84" s="143">
        <f t="shared" si="114"/>
        <v>1264623.77</v>
      </c>
      <c r="AZ84" s="143">
        <f t="shared" si="114"/>
        <v>0</v>
      </c>
      <c r="BA84" s="143">
        <f t="shared" si="114"/>
        <v>1266149</v>
      </c>
      <c r="BB84" s="93">
        <f t="shared" si="114"/>
        <v>467320.38999999996</v>
      </c>
      <c r="BC84" s="93">
        <f t="shared" si="114"/>
        <v>467320.38999999996</v>
      </c>
      <c r="BD84" s="93">
        <f t="shared" si="114"/>
        <v>0</v>
      </c>
      <c r="BE84" s="93">
        <f t="shared" si="114"/>
        <v>410196</v>
      </c>
      <c r="BF84" s="93">
        <f t="shared" si="114"/>
        <v>239164.59</v>
      </c>
      <c r="BG84" s="93">
        <f t="shared" si="114"/>
        <v>47848.59</v>
      </c>
      <c r="BH84" s="93">
        <f t="shared" si="114"/>
        <v>0</v>
      </c>
      <c r="BI84" s="93">
        <f t="shared" si="114"/>
        <v>54774</v>
      </c>
      <c r="BJ84" s="93">
        <f t="shared" si="114"/>
        <v>0</v>
      </c>
      <c r="BK84" s="93">
        <f t="shared" si="114"/>
        <v>0</v>
      </c>
      <c r="BL84" s="93">
        <f t="shared" si="114"/>
        <v>0</v>
      </c>
      <c r="BM84" s="93">
        <f t="shared" si="114"/>
        <v>0</v>
      </c>
      <c r="BN84" s="93" t="e">
        <f>#REF!+AX84+BB84+BF84+BJ84</f>
        <v>#REF!</v>
      </c>
      <c r="BO84" s="93">
        <f t="shared" si="107"/>
        <v>1779792.75</v>
      </c>
      <c r="BP84" s="93">
        <f t="shared" si="107"/>
        <v>0</v>
      </c>
      <c r="BQ84" s="93">
        <f t="shared" si="87"/>
        <v>1779792.75</v>
      </c>
      <c r="BR84" s="89"/>
      <c r="BS84" s="80"/>
    </row>
    <row r="85" spans="1:72" s="13" customFormat="1" ht="67.5" customHeight="1">
      <c r="A85" s="138" t="s">
        <v>70</v>
      </c>
      <c r="B85" s="138" t="s">
        <v>310</v>
      </c>
      <c r="C85" s="140">
        <v>2543142</v>
      </c>
      <c r="D85" s="140"/>
      <c r="E85" s="139">
        <v>522201</v>
      </c>
      <c r="F85" s="139">
        <f>G85</f>
        <v>50184</v>
      </c>
      <c r="G85" s="139">
        <v>50184</v>
      </c>
      <c r="H85" s="139">
        <v>0</v>
      </c>
      <c r="I85" s="139">
        <v>50184</v>
      </c>
      <c r="J85" s="139">
        <f>K85</f>
        <v>167608.49</v>
      </c>
      <c r="K85" s="139">
        <f>G85+112832.56+4591.93</f>
        <v>167608.49</v>
      </c>
      <c r="L85" s="139">
        <v>0</v>
      </c>
      <c r="M85" s="139">
        <f>I85+118181</f>
        <v>168365</v>
      </c>
      <c r="N85" s="139">
        <f>O85</f>
        <v>196146.40999999997</v>
      </c>
      <c r="O85" s="139">
        <f>K85+28537.92</f>
        <v>196146.40999999997</v>
      </c>
      <c r="P85" s="139">
        <v>0</v>
      </c>
      <c r="Q85" s="139">
        <f>M85+26688</f>
        <v>195053</v>
      </c>
      <c r="R85" s="139">
        <f>S85</f>
        <v>228554.14999999997</v>
      </c>
      <c r="S85" s="139">
        <f>O85+32407.74</f>
        <v>228554.14999999997</v>
      </c>
      <c r="T85" s="139"/>
      <c r="U85" s="139">
        <f>Q85+27063</f>
        <v>222116</v>
      </c>
      <c r="V85" s="139">
        <f>W85</f>
        <v>286144.59999999998</v>
      </c>
      <c r="W85" s="139">
        <f>S85+57590.45</f>
        <v>286144.59999999998</v>
      </c>
      <c r="X85" s="139">
        <v>0</v>
      </c>
      <c r="Y85" s="139">
        <f>U85+59210</f>
        <v>281326</v>
      </c>
      <c r="Z85" s="139">
        <f>AA85</f>
        <v>292940.28999999998</v>
      </c>
      <c r="AA85" s="139">
        <f>W85+6795.69</f>
        <v>292940.28999999998</v>
      </c>
      <c r="AB85" s="139">
        <v>0</v>
      </c>
      <c r="AC85" s="139">
        <f>Y85+6796</f>
        <v>288122</v>
      </c>
      <c r="AD85" s="139">
        <f>AE85</f>
        <v>322361.49</v>
      </c>
      <c r="AE85" s="139">
        <f>AA85+29421.2</f>
        <v>322361.49</v>
      </c>
      <c r="AF85" s="139">
        <v>0</v>
      </c>
      <c r="AG85" s="139">
        <f>AC85+29421</f>
        <v>317543</v>
      </c>
      <c r="AH85" s="139">
        <f>AI85</f>
        <v>369346.45</v>
      </c>
      <c r="AI85" s="139">
        <f>AE85+46984.96</f>
        <v>369346.45</v>
      </c>
      <c r="AJ85" s="139">
        <v>0</v>
      </c>
      <c r="AK85" s="139">
        <f>AG85+44233</f>
        <v>361776</v>
      </c>
      <c r="AL85" s="139">
        <f>AM85</f>
        <v>388483.31</v>
      </c>
      <c r="AM85" s="139">
        <f>AI85+19136.86</f>
        <v>388483.31</v>
      </c>
      <c r="AN85" s="139">
        <v>0</v>
      </c>
      <c r="AO85" s="139">
        <f>AK85+22337</f>
        <v>384113</v>
      </c>
      <c r="AP85" s="139">
        <f>AQ85</f>
        <v>417523.1</v>
      </c>
      <c r="AQ85" s="139">
        <f>AM85+29039.79</f>
        <v>417523.1</v>
      </c>
      <c r="AR85" s="139">
        <v>0</v>
      </c>
      <c r="AS85" s="139">
        <f>AO85+29040</f>
        <v>413153</v>
      </c>
      <c r="AT85" s="139">
        <f>AU85</f>
        <v>456302.45999999996</v>
      </c>
      <c r="AU85" s="139">
        <f>AQ85+38779.36</f>
        <v>456302.45999999996</v>
      </c>
      <c r="AV85" s="139">
        <v>0</v>
      </c>
      <c r="AW85" s="139">
        <f>AS85+46157</f>
        <v>459310</v>
      </c>
      <c r="AX85" s="139">
        <f>AY85</f>
        <v>505703.88999999996</v>
      </c>
      <c r="AY85" s="139">
        <f>AU85+40377.43+9024</f>
        <v>505703.88999999996</v>
      </c>
      <c r="AZ85" s="139">
        <v>0</v>
      </c>
      <c r="BA85" s="139">
        <f>AW85+62891</f>
        <v>522201</v>
      </c>
      <c r="BB85" s="90">
        <f>BC85</f>
        <v>181632.43</v>
      </c>
      <c r="BC85" s="90">
        <v>181632.43</v>
      </c>
      <c r="BD85" s="90">
        <v>0</v>
      </c>
      <c r="BE85" s="90">
        <v>159095</v>
      </c>
      <c r="BF85" s="90">
        <f>BG85+191316</f>
        <v>195776</v>
      </c>
      <c r="BG85" s="90">
        <v>4460</v>
      </c>
      <c r="BH85" s="90"/>
      <c r="BI85" s="90">
        <v>4460</v>
      </c>
      <c r="BJ85" s="90">
        <v>0</v>
      </c>
      <c r="BK85" s="90">
        <v>0</v>
      </c>
      <c r="BL85" s="90">
        <v>0</v>
      </c>
      <c r="BM85" s="90">
        <v>0</v>
      </c>
      <c r="BN85" s="90" t="e">
        <f>#REF!+AX85+BB85+BF85+BJ85</f>
        <v>#REF!</v>
      </c>
      <c r="BO85" s="90">
        <f t="shared" si="107"/>
        <v>691796.32</v>
      </c>
      <c r="BP85" s="90">
        <f t="shared" si="107"/>
        <v>0</v>
      </c>
      <c r="BQ85" s="90">
        <f t="shared" ref="BQ85:BQ148" si="115">BO85+BP85</f>
        <v>691796.32</v>
      </c>
      <c r="BR85" s="95" t="s">
        <v>199</v>
      </c>
      <c r="BS85" s="80"/>
    </row>
    <row r="86" spans="1:72" s="13" customFormat="1" ht="103.5" customHeight="1">
      <c r="A86" s="138" t="s">
        <v>71</v>
      </c>
      <c r="B86" s="138" t="s">
        <v>311</v>
      </c>
      <c r="C86" s="140">
        <v>2483574</v>
      </c>
      <c r="D86" s="140"/>
      <c r="E86" s="139">
        <v>743948</v>
      </c>
      <c r="F86" s="139">
        <f>G86</f>
        <v>58362.79</v>
      </c>
      <c r="G86" s="139">
        <v>58362.79</v>
      </c>
      <c r="H86" s="139">
        <v>0</v>
      </c>
      <c r="I86" s="139">
        <v>64916</v>
      </c>
      <c r="J86" s="139">
        <f>K86</f>
        <v>180714.2</v>
      </c>
      <c r="K86" s="139">
        <f>G86+122351.41</f>
        <v>180714.2</v>
      </c>
      <c r="L86" s="139">
        <v>0</v>
      </c>
      <c r="M86" s="139">
        <f>I86+147411</f>
        <v>212327</v>
      </c>
      <c r="N86" s="139">
        <f>O86</f>
        <v>206891.13</v>
      </c>
      <c r="O86" s="139">
        <f>K86+26176.93</f>
        <v>206891.13</v>
      </c>
      <c r="P86" s="139">
        <v>0</v>
      </c>
      <c r="Q86" s="139">
        <f>M86+18962</f>
        <v>231289</v>
      </c>
      <c r="R86" s="139">
        <f>S86</f>
        <v>259123.67</v>
      </c>
      <c r="S86" s="139">
        <f>O86+52232.54</f>
        <v>259123.67</v>
      </c>
      <c r="T86" s="139">
        <v>0</v>
      </c>
      <c r="U86" s="139">
        <f>Q86+56065</f>
        <v>287354</v>
      </c>
      <c r="V86" s="139">
        <f>W86</f>
        <v>331213.52</v>
      </c>
      <c r="W86" s="139">
        <f>S86+72089.85</f>
        <v>331213.52</v>
      </c>
      <c r="X86" s="139">
        <v>0</v>
      </c>
      <c r="Y86" s="139">
        <f>U86+65590</f>
        <v>352944</v>
      </c>
      <c r="Z86" s="139">
        <f>AA86</f>
        <v>361355.99</v>
      </c>
      <c r="AA86" s="139">
        <f>W86+30142.47</f>
        <v>361355.99</v>
      </c>
      <c r="AB86" s="139">
        <v>0</v>
      </c>
      <c r="AC86" s="139">
        <f>Y86+25012</f>
        <v>377956</v>
      </c>
      <c r="AD86" s="139">
        <f>AE86</f>
        <v>407058.25</v>
      </c>
      <c r="AE86" s="139">
        <f>AA86+45702.26</f>
        <v>407058.25</v>
      </c>
      <c r="AF86" s="139">
        <v>0</v>
      </c>
      <c r="AG86" s="139">
        <f>AC86+35460</f>
        <v>413416</v>
      </c>
      <c r="AH86" s="139">
        <f>AI86</f>
        <v>465532.15</v>
      </c>
      <c r="AI86" s="139">
        <f>AE86+58473.9</f>
        <v>465532.15</v>
      </c>
      <c r="AJ86" s="139">
        <v>0</v>
      </c>
      <c r="AK86" s="139">
        <f>AG86+47320</f>
        <v>460736</v>
      </c>
      <c r="AL86" s="139">
        <f>AM86</f>
        <v>523589.17000000004</v>
      </c>
      <c r="AM86" s="139">
        <f>AI86+58057.02</f>
        <v>523589.17000000004</v>
      </c>
      <c r="AN86" s="139">
        <v>0</v>
      </c>
      <c r="AO86" s="139">
        <f>AK86+54024</f>
        <v>514760</v>
      </c>
      <c r="AP86" s="139">
        <f>AQ86</f>
        <v>581814.55000000005</v>
      </c>
      <c r="AQ86" s="139">
        <f>AM86+58225.38</f>
        <v>581814.55000000005</v>
      </c>
      <c r="AR86" s="139">
        <v>0</v>
      </c>
      <c r="AS86" s="139">
        <f>AO86+77457</f>
        <v>592217</v>
      </c>
      <c r="AT86" s="139">
        <f>AU86</f>
        <v>705567.4</v>
      </c>
      <c r="AU86" s="139">
        <f>AQ86+123752.85</f>
        <v>705567.4</v>
      </c>
      <c r="AV86" s="139">
        <v>0</v>
      </c>
      <c r="AW86" s="139">
        <f>AS86+125218</f>
        <v>717435</v>
      </c>
      <c r="AX86" s="139">
        <f>AY86</f>
        <v>758919.88</v>
      </c>
      <c r="AY86" s="139">
        <f>AT86+53352.48</f>
        <v>758919.88</v>
      </c>
      <c r="AZ86" s="139"/>
      <c r="BA86" s="139">
        <f>AW86+26513</f>
        <v>743948</v>
      </c>
      <c r="BB86" s="90">
        <f>BC86</f>
        <v>285687.95999999996</v>
      </c>
      <c r="BC86" s="90">
        <f>246329.96+39358</f>
        <v>285687.95999999996</v>
      </c>
      <c r="BD86" s="90"/>
      <c r="BE86" s="90">
        <v>251101</v>
      </c>
      <c r="BF86" s="90">
        <f>BG86</f>
        <v>43388.59</v>
      </c>
      <c r="BG86" s="90">
        <v>43388.59</v>
      </c>
      <c r="BH86" s="90"/>
      <c r="BI86" s="90">
        <v>50314</v>
      </c>
      <c r="BJ86" s="90">
        <f>BK86</f>
        <v>0</v>
      </c>
      <c r="BK86" s="90">
        <v>0</v>
      </c>
      <c r="BL86" s="90">
        <v>0</v>
      </c>
      <c r="BM86" s="90">
        <v>0</v>
      </c>
      <c r="BN86" s="90" t="e">
        <f>#REF!+AX86+BB86+BF86+BJ86</f>
        <v>#REF!</v>
      </c>
      <c r="BO86" s="90">
        <f t="shared" si="107"/>
        <v>1087996.43</v>
      </c>
      <c r="BP86" s="90">
        <f t="shared" si="107"/>
        <v>0</v>
      </c>
      <c r="BQ86" s="90">
        <f t="shared" si="115"/>
        <v>1087996.43</v>
      </c>
      <c r="BR86" s="98"/>
      <c r="BS86" s="80"/>
    </row>
    <row r="87" spans="1:72" s="7" customFormat="1">
      <c r="A87" s="146"/>
      <c r="B87" s="133" t="s">
        <v>312</v>
      </c>
      <c r="C87" s="134">
        <f>C88+C118+C134+C139+C149+C163+C169+C173</f>
        <v>1692047971.5042481</v>
      </c>
      <c r="D87" s="134"/>
      <c r="E87" s="134">
        <f>E88+E118+E134+E139+E149+E163+E169+E173</f>
        <v>297754597</v>
      </c>
      <c r="F87" s="134">
        <f t="shared" ref="F87:BM87" si="116">F88+F118+F134+F139+F149+F163+F169+F173</f>
        <v>13153217.530000001</v>
      </c>
      <c r="G87" s="134">
        <f t="shared" si="116"/>
        <v>15483893.057483008</v>
      </c>
      <c r="H87" s="134">
        <f t="shared" si="116"/>
        <v>510314.35251699178</v>
      </c>
      <c r="I87" s="134">
        <f t="shared" si="116"/>
        <v>16096353.859999999</v>
      </c>
      <c r="J87" s="134">
        <f t="shared" si="116"/>
        <v>30581685.460999999</v>
      </c>
      <c r="K87" s="134">
        <f t="shared" si="116"/>
        <v>29607964.55624231</v>
      </c>
      <c r="L87" s="134">
        <f t="shared" si="116"/>
        <v>1093812.4137576879</v>
      </c>
      <c r="M87" s="134">
        <f t="shared" si="116"/>
        <v>30019112.09</v>
      </c>
      <c r="N87" s="134">
        <f t="shared" si="116"/>
        <v>51591777.475074999</v>
      </c>
      <c r="O87" s="134">
        <f t="shared" si="116"/>
        <v>47835267.41948352</v>
      </c>
      <c r="P87" s="134">
        <f t="shared" si="116"/>
        <v>1818866.0823914772</v>
      </c>
      <c r="Q87" s="134">
        <f t="shared" si="116"/>
        <v>48737925.589999996</v>
      </c>
      <c r="R87" s="134">
        <f t="shared" si="116"/>
        <v>66092797.723199993</v>
      </c>
      <c r="S87" s="134">
        <f t="shared" si="116"/>
        <v>66458919.093607597</v>
      </c>
      <c r="T87" s="134">
        <f t="shared" si="116"/>
        <v>2793281.0463924082</v>
      </c>
      <c r="U87" s="134">
        <f t="shared" si="116"/>
        <v>67623236.75</v>
      </c>
      <c r="V87" s="134">
        <f t="shared" si="116"/>
        <v>87575420.343199998</v>
      </c>
      <c r="W87" s="134">
        <f t="shared" si="116"/>
        <v>88554020.699606672</v>
      </c>
      <c r="X87" s="134">
        <f t="shared" si="116"/>
        <v>4249571.7603933401</v>
      </c>
      <c r="Y87" s="134">
        <f t="shared" si="116"/>
        <v>89999225.899999991</v>
      </c>
      <c r="Z87" s="134">
        <f t="shared" si="116"/>
        <v>103586365.15655001</v>
      </c>
      <c r="AA87" s="134">
        <f t="shared" si="116"/>
        <v>107788334.77284883</v>
      </c>
      <c r="AB87" s="134">
        <f t="shared" si="116"/>
        <v>5417468.4019011809</v>
      </c>
      <c r="AC87" s="134">
        <f t="shared" si="116"/>
        <v>107613174.67</v>
      </c>
      <c r="AD87" s="134">
        <f t="shared" si="116"/>
        <v>146793028.18279999</v>
      </c>
      <c r="AE87" s="134">
        <f t="shared" si="116"/>
        <v>156126938.16992426</v>
      </c>
      <c r="AF87" s="134">
        <f t="shared" si="116"/>
        <v>7846348.1850757664</v>
      </c>
      <c r="AG87" s="134">
        <f t="shared" si="116"/>
        <v>145437058.87</v>
      </c>
      <c r="AH87" s="134">
        <f t="shared" si="116"/>
        <v>183005928.17279997</v>
      </c>
      <c r="AI87" s="134">
        <f t="shared" si="116"/>
        <v>195554031.92474967</v>
      </c>
      <c r="AJ87" s="134">
        <f t="shared" si="116"/>
        <v>10262812.110250354</v>
      </c>
      <c r="AK87" s="134">
        <f t="shared" si="116"/>
        <v>180731289.64000002</v>
      </c>
      <c r="AL87" s="134">
        <f t="shared" si="116"/>
        <v>204199444.58518201</v>
      </c>
      <c r="AM87" s="134">
        <f t="shared" si="116"/>
        <v>225407476.80218586</v>
      </c>
      <c r="AN87" s="134">
        <f t="shared" si="116"/>
        <v>12439927.215596169</v>
      </c>
      <c r="AO87" s="134">
        <f t="shared" si="116"/>
        <v>208215070.68000001</v>
      </c>
      <c r="AP87" s="134">
        <f t="shared" si="116"/>
        <v>232313338.699714</v>
      </c>
      <c r="AQ87" s="134">
        <f t="shared" si="116"/>
        <v>256078218.63512558</v>
      </c>
      <c r="AR87" s="134">
        <f t="shared" si="116"/>
        <v>14610083.937188415</v>
      </c>
      <c r="AS87" s="134">
        <f t="shared" si="116"/>
        <v>237706815.62</v>
      </c>
      <c r="AT87" s="134">
        <f t="shared" si="116"/>
        <v>257025737.99187097</v>
      </c>
      <c r="AU87" s="134">
        <f t="shared" si="116"/>
        <v>287398113.42521906</v>
      </c>
      <c r="AV87" s="134">
        <f t="shared" si="116"/>
        <v>16201188.847251965</v>
      </c>
      <c r="AW87" s="134">
        <f t="shared" si="116"/>
        <v>260995720.99000001</v>
      </c>
      <c r="AX87" s="134">
        <f t="shared" si="116"/>
        <v>288768760.50912803</v>
      </c>
      <c r="AY87" s="134">
        <f t="shared" si="116"/>
        <v>316810684.3868373</v>
      </c>
      <c r="AZ87" s="134">
        <f t="shared" si="116"/>
        <v>17523897.62629069</v>
      </c>
      <c r="BA87" s="134">
        <f t="shared" si="116"/>
        <v>296844945</v>
      </c>
      <c r="BB87" s="87">
        <f t="shared" si="116"/>
        <v>325294648.41642201</v>
      </c>
      <c r="BC87" s="87">
        <f t="shared" si="116"/>
        <v>316918074.70116067</v>
      </c>
      <c r="BD87" s="87">
        <f t="shared" si="116"/>
        <v>15491400.715167314</v>
      </c>
      <c r="BE87" s="87">
        <f t="shared" si="116"/>
        <v>182919114.68000001</v>
      </c>
      <c r="BF87" s="87">
        <f t="shared" si="116"/>
        <v>250527765.02324602</v>
      </c>
      <c r="BG87" s="87">
        <f t="shared" si="116"/>
        <v>200145401.12118199</v>
      </c>
      <c r="BH87" s="87">
        <f t="shared" si="116"/>
        <v>8293908.4485142864</v>
      </c>
      <c r="BI87" s="87">
        <f t="shared" si="116"/>
        <v>77752176.5</v>
      </c>
      <c r="BJ87" s="87">
        <f t="shared" si="116"/>
        <v>115945699.505744</v>
      </c>
      <c r="BK87" s="87">
        <f t="shared" si="116"/>
        <v>85157544.735743999</v>
      </c>
      <c r="BL87" s="87">
        <f t="shared" si="116"/>
        <v>2482806.63</v>
      </c>
      <c r="BM87" s="87">
        <f t="shared" si="116"/>
        <v>10091270</v>
      </c>
      <c r="BN87" s="87" t="e">
        <f>#REF!+AX87+BB87+BF87+BJ87</f>
        <v>#REF!</v>
      </c>
      <c r="BO87" s="87">
        <f t="shared" ref="BO87:BP150" si="117">AY87+BC87+BG87+BK87</f>
        <v>919031704.94492388</v>
      </c>
      <c r="BP87" s="87">
        <f t="shared" si="117"/>
        <v>43792013.419972293</v>
      </c>
      <c r="BQ87" s="87">
        <f t="shared" si="115"/>
        <v>962823718.36489618</v>
      </c>
      <c r="BR87" s="82"/>
      <c r="BS87" s="80"/>
    </row>
    <row r="88" spans="1:72" s="8" customFormat="1" ht="31.5">
      <c r="A88" s="141"/>
      <c r="B88" s="136" t="s">
        <v>313</v>
      </c>
      <c r="C88" s="137">
        <f t="shared" ref="C88" si="118">C89+C111</f>
        <v>412371612.06639606</v>
      </c>
      <c r="D88" s="137"/>
      <c r="E88" s="137">
        <f>E89+E111</f>
        <v>50555115</v>
      </c>
      <c r="F88" s="137">
        <f t="shared" ref="F88:BM88" si="119">F89+F111</f>
        <v>1334976.2</v>
      </c>
      <c r="G88" s="137">
        <f t="shared" si="119"/>
        <v>1334976.2</v>
      </c>
      <c r="H88" s="137">
        <f t="shared" si="119"/>
        <v>118414.8</v>
      </c>
      <c r="I88" s="137">
        <f t="shared" si="119"/>
        <v>1453391</v>
      </c>
      <c r="J88" s="137">
        <f t="shared" si="119"/>
        <v>3545786.6</v>
      </c>
      <c r="K88" s="137">
        <f t="shared" si="119"/>
        <v>3545786.6</v>
      </c>
      <c r="L88" s="137">
        <f t="shared" si="119"/>
        <v>206145.40000000002</v>
      </c>
      <c r="M88" s="137">
        <f t="shared" si="119"/>
        <v>3751932</v>
      </c>
      <c r="N88" s="137">
        <f t="shared" si="119"/>
        <v>5991664.9418749996</v>
      </c>
      <c r="O88" s="137">
        <f t="shared" si="119"/>
        <v>5991664.9418749996</v>
      </c>
      <c r="P88" s="137">
        <f t="shared" si="119"/>
        <v>353198.10999999993</v>
      </c>
      <c r="Q88" s="137">
        <f t="shared" si="119"/>
        <v>6031908</v>
      </c>
      <c r="R88" s="137">
        <f t="shared" si="119"/>
        <v>9827849.6999999993</v>
      </c>
      <c r="S88" s="137">
        <f t="shared" si="119"/>
        <v>9827849.6999999993</v>
      </c>
      <c r="T88" s="137">
        <f t="shared" si="119"/>
        <v>513615.81000000006</v>
      </c>
      <c r="U88" s="137">
        <f t="shared" si="119"/>
        <v>10341466</v>
      </c>
      <c r="V88" s="137">
        <f t="shared" si="119"/>
        <v>13648912.85</v>
      </c>
      <c r="W88" s="137">
        <f t="shared" si="119"/>
        <v>13648912.85</v>
      </c>
      <c r="X88" s="137">
        <f t="shared" si="119"/>
        <v>623600.66</v>
      </c>
      <c r="Y88" s="137">
        <f t="shared" si="119"/>
        <v>14168597</v>
      </c>
      <c r="Z88" s="137">
        <f t="shared" si="119"/>
        <v>17745777.684750002</v>
      </c>
      <c r="AA88" s="137">
        <f t="shared" si="119"/>
        <v>17745777.684750002</v>
      </c>
      <c r="AB88" s="137">
        <f t="shared" si="119"/>
        <v>746411.56</v>
      </c>
      <c r="AC88" s="137">
        <f t="shared" si="119"/>
        <v>17090950</v>
      </c>
      <c r="AD88" s="137">
        <f t="shared" si="119"/>
        <v>23072387.050999999</v>
      </c>
      <c r="AE88" s="137">
        <f t="shared" si="119"/>
        <v>23072387.050999999</v>
      </c>
      <c r="AF88" s="137">
        <f t="shared" si="119"/>
        <v>911730.99000000011</v>
      </c>
      <c r="AG88" s="137">
        <f t="shared" si="119"/>
        <v>23104873</v>
      </c>
      <c r="AH88" s="137">
        <f t="shared" si="119"/>
        <v>28680255.951000001</v>
      </c>
      <c r="AI88" s="137">
        <f t="shared" si="119"/>
        <v>28680255.951000001</v>
      </c>
      <c r="AJ88" s="137">
        <f t="shared" si="119"/>
        <v>1010775.09</v>
      </c>
      <c r="AK88" s="137">
        <f t="shared" si="119"/>
        <v>28707868</v>
      </c>
      <c r="AL88" s="137">
        <f t="shared" si="119"/>
        <v>35497124.803782001</v>
      </c>
      <c r="AM88" s="137">
        <f t="shared" si="119"/>
        <v>35797124.803782001</v>
      </c>
      <c r="AN88" s="137">
        <f t="shared" si="119"/>
        <v>1143919.94</v>
      </c>
      <c r="AO88" s="137">
        <f t="shared" si="119"/>
        <v>32749271</v>
      </c>
      <c r="AP88" s="137">
        <f t="shared" si="119"/>
        <v>42898602.624313995</v>
      </c>
      <c r="AQ88" s="137">
        <f t="shared" si="119"/>
        <v>42898602.624313995</v>
      </c>
      <c r="AR88" s="137">
        <f t="shared" si="119"/>
        <v>1278749.79</v>
      </c>
      <c r="AS88" s="137">
        <f t="shared" si="119"/>
        <v>39222194</v>
      </c>
      <c r="AT88" s="137">
        <f t="shared" si="119"/>
        <v>49203668.520470999</v>
      </c>
      <c r="AU88" s="137">
        <f t="shared" si="119"/>
        <v>49203668.520470999</v>
      </c>
      <c r="AV88" s="137">
        <f t="shared" si="119"/>
        <v>1366415.19</v>
      </c>
      <c r="AW88" s="137">
        <f t="shared" si="119"/>
        <v>44744009</v>
      </c>
      <c r="AX88" s="137">
        <f t="shared" si="119"/>
        <v>57660561.505127996</v>
      </c>
      <c r="AY88" s="137">
        <f t="shared" si="119"/>
        <v>57660561.505127996</v>
      </c>
      <c r="AZ88" s="137">
        <f t="shared" si="119"/>
        <v>1485635.63</v>
      </c>
      <c r="BA88" s="137">
        <f t="shared" si="119"/>
        <v>49798555</v>
      </c>
      <c r="BB88" s="88">
        <f t="shared" si="119"/>
        <v>80667317.822070003</v>
      </c>
      <c r="BC88" s="88">
        <f t="shared" si="119"/>
        <v>80667317.822070003</v>
      </c>
      <c r="BD88" s="88">
        <f t="shared" si="119"/>
        <v>790794.1</v>
      </c>
      <c r="BE88" s="88">
        <f t="shared" si="119"/>
        <v>41716901</v>
      </c>
      <c r="BF88" s="88">
        <f t="shared" si="119"/>
        <v>43086508.473246001</v>
      </c>
      <c r="BG88" s="88">
        <f t="shared" si="119"/>
        <v>43086508.231181994</v>
      </c>
      <c r="BH88" s="88">
        <f t="shared" si="119"/>
        <v>583722</v>
      </c>
      <c r="BI88" s="88">
        <f t="shared" si="119"/>
        <v>8700018</v>
      </c>
      <c r="BJ88" s="88">
        <f t="shared" si="119"/>
        <v>24237927.555744</v>
      </c>
      <c r="BK88" s="88">
        <f t="shared" si="119"/>
        <v>24237927.555744</v>
      </c>
      <c r="BL88" s="88">
        <f t="shared" si="119"/>
        <v>0</v>
      </c>
      <c r="BM88" s="88">
        <f t="shared" si="119"/>
        <v>3623672</v>
      </c>
      <c r="BN88" s="88" t="e">
        <f>#REF!+AX88+BB88+BF88+BJ88</f>
        <v>#REF!</v>
      </c>
      <c r="BO88" s="88">
        <f t="shared" si="117"/>
        <v>205652315.114124</v>
      </c>
      <c r="BP88" s="88">
        <f t="shared" si="117"/>
        <v>2860151.73</v>
      </c>
      <c r="BQ88" s="88">
        <f t="shared" si="115"/>
        <v>208512466.84412399</v>
      </c>
      <c r="BR88" s="89"/>
      <c r="BS88" s="80"/>
    </row>
    <row r="89" spans="1:72" s="11" customFormat="1">
      <c r="A89" s="147"/>
      <c r="B89" s="148" t="s">
        <v>314</v>
      </c>
      <c r="C89" s="149">
        <f t="shared" ref="C89" si="120">SUM(C90:C110)</f>
        <v>347650237.08951604</v>
      </c>
      <c r="D89" s="149"/>
      <c r="E89" s="149">
        <f>SUM(E90:E110)</f>
        <v>34068634</v>
      </c>
      <c r="F89" s="149">
        <f t="shared" ref="F89:BM89" si="121">SUM(F90:F110)</f>
        <v>1074592.2</v>
      </c>
      <c r="G89" s="149">
        <f t="shared" si="121"/>
        <v>1074592.2</v>
      </c>
      <c r="H89" s="149">
        <f t="shared" si="121"/>
        <v>117312.8</v>
      </c>
      <c r="I89" s="149">
        <f t="shared" si="121"/>
        <v>1191905</v>
      </c>
      <c r="J89" s="149">
        <f t="shared" si="121"/>
        <v>2699733.6</v>
      </c>
      <c r="K89" s="149">
        <f t="shared" si="121"/>
        <v>2699733.6</v>
      </c>
      <c r="L89" s="149">
        <f t="shared" si="121"/>
        <v>180694.40000000002</v>
      </c>
      <c r="M89" s="149">
        <f t="shared" si="121"/>
        <v>2880428</v>
      </c>
      <c r="N89" s="149">
        <f t="shared" si="121"/>
        <v>4887944.0918749999</v>
      </c>
      <c r="O89" s="149">
        <f t="shared" si="121"/>
        <v>4887944.0918749999</v>
      </c>
      <c r="P89" s="149">
        <f t="shared" si="121"/>
        <v>324692.44999999995</v>
      </c>
      <c r="Q89" s="149">
        <f t="shared" si="121"/>
        <v>4899681</v>
      </c>
      <c r="R89" s="149">
        <f t="shared" si="121"/>
        <v>6825975.8499999996</v>
      </c>
      <c r="S89" s="149">
        <f t="shared" si="121"/>
        <v>6825975.8499999996</v>
      </c>
      <c r="T89" s="149">
        <f t="shared" si="121"/>
        <v>452663.15</v>
      </c>
      <c r="U89" s="149">
        <f t="shared" si="121"/>
        <v>7278639</v>
      </c>
      <c r="V89" s="149">
        <f t="shared" si="121"/>
        <v>9058018</v>
      </c>
      <c r="W89" s="149">
        <f t="shared" si="121"/>
        <v>9058018</v>
      </c>
      <c r="X89" s="149">
        <f t="shared" si="121"/>
        <v>545685</v>
      </c>
      <c r="Y89" s="149">
        <f t="shared" si="121"/>
        <v>9499786</v>
      </c>
      <c r="Z89" s="149">
        <f t="shared" si="121"/>
        <v>11819401.934750002</v>
      </c>
      <c r="AA89" s="149">
        <f t="shared" si="121"/>
        <v>11819401.934750002</v>
      </c>
      <c r="AB89" s="149">
        <f t="shared" si="121"/>
        <v>659958.80000000005</v>
      </c>
      <c r="AC89" s="149">
        <f t="shared" si="121"/>
        <v>11078121</v>
      </c>
      <c r="AD89" s="149">
        <f t="shared" si="121"/>
        <v>14741144.301000001</v>
      </c>
      <c r="AE89" s="149">
        <f t="shared" si="121"/>
        <v>14741144.301000001</v>
      </c>
      <c r="AF89" s="149">
        <f t="shared" si="121"/>
        <v>775232.35000000009</v>
      </c>
      <c r="AG89" s="149">
        <f t="shared" si="121"/>
        <v>14637131</v>
      </c>
      <c r="AH89" s="149">
        <f t="shared" si="121"/>
        <v>18395328.201000001</v>
      </c>
      <c r="AI89" s="149">
        <f t="shared" si="121"/>
        <v>18395328.201000001</v>
      </c>
      <c r="AJ89" s="149">
        <f t="shared" si="121"/>
        <v>849267.45</v>
      </c>
      <c r="AK89" s="149">
        <f t="shared" si="121"/>
        <v>18261433</v>
      </c>
      <c r="AL89" s="149">
        <f t="shared" si="121"/>
        <v>21846430.757625002</v>
      </c>
      <c r="AM89" s="149">
        <f t="shared" si="121"/>
        <v>22146430.757625002</v>
      </c>
      <c r="AN89" s="149">
        <f t="shared" si="121"/>
        <v>964541.3</v>
      </c>
      <c r="AO89" s="149">
        <f t="shared" si="121"/>
        <v>20517532</v>
      </c>
      <c r="AP89" s="149">
        <f t="shared" si="121"/>
        <v>26051033.281999998</v>
      </c>
      <c r="AQ89" s="149">
        <f t="shared" si="121"/>
        <v>26051033.281999998</v>
      </c>
      <c r="AR89" s="149">
        <f t="shared" si="121"/>
        <v>1080412.1500000001</v>
      </c>
      <c r="AS89" s="149">
        <f t="shared" si="121"/>
        <v>25372955</v>
      </c>
      <c r="AT89" s="149">
        <f t="shared" si="121"/>
        <v>29286503.881999999</v>
      </c>
      <c r="AU89" s="149">
        <f t="shared" si="121"/>
        <v>29286503.881999999</v>
      </c>
      <c r="AV89" s="149">
        <f t="shared" si="121"/>
        <v>1155044.55</v>
      </c>
      <c r="AW89" s="149">
        <f t="shared" si="121"/>
        <v>29410476</v>
      </c>
      <c r="AX89" s="149">
        <f t="shared" si="121"/>
        <v>34995461.930499993</v>
      </c>
      <c r="AY89" s="149">
        <f t="shared" si="121"/>
        <v>34995461.930499993</v>
      </c>
      <c r="AZ89" s="149">
        <f t="shared" si="121"/>
        <v>1270916.95</v>
      </c>
      <c r="BA89" s="149">
        <f t="shared" si="121"/>
        <v>33312074</v>
      </c>
      <c r="BB89" s="99">
        <f t="shared" si="121"/>
        <v>59463804.000500001</v>
      </c>
      <c r="BC89" s="99">
        <f t="shared" si="121"/>
        <v>59463804.000500001</v>
      </c>
      <c r="BD89" s="99">
        <f t="shared" si="121"/>
        <v>704484</v>
      </c>
      <c r="BE89" s="99">
        <f t="shared" si="121"/>
        <v>36410420</v>
      </c>
      <c r="BF89" s="99">
        <f t="shared" si="121"/>
        <v>30622431.6505</v>
      </c>
      <c r="BG89" s="99">
        <f t="shared" si="121"/>
        <v>30622431.6505</v>
      </c>
      <c r="BH89" s="99">
        <f t="shared" si="121"/>
        <v>583722</v>
      </c>
      <c r="BI89" s="99">
        <f t="shared" si="121"/>
        <v>8700018</v>
      </c>
      <c r="BJ89" s="99">
        <f t="shared" si="121"/>
        <v>24237927.555744</v>
      </c>
      <c r="BK89" s="99">
        <f t="shared" si="121"/>
        <v>24237927.555744</v>
      </c>
      <c r="BL89" s="99">
        <f t="shared" si="121"/>
        <v>0</v>
      </c>
      <c r="BM89" s="99">
        <f t="shared" si="121"/>
        <v>3623672</v>
      </c>
      <c r="BN89" s="99" t="e">
        <f>#REF!+AX89+BB89+BF89+BJ89</f>
        <v>#REF!</v>
      </c>
      <c r="BO89" s="99">
        <f t="shared" si="117"/>
        <v>149319625.13724399</v>
      </c>
      <c r="BP89" s="99">
        <f t="shared" si="117"/>
        <v>2559122.9500000002</v>
      </c>
      <c r="BQ89" s="99">
        <f t="shared" si="115"/>
        <v>151878748.08724397</v>
      </c>
      <c r="BR89" s="99"/>
      <c r="BS89" s="80"/>
      <c r="BT89" s="126"/>
    </row>
    <row r="90" spans="1:72" s="17" customFormat="1" ht="54.75" customHeight="1">
      <c r="A90" s="150" t="s">
        <v>4</v>
      </c>
      <c r="B90" s="150" t="s">
        <v>315</v>
      </c>
      <c r="C90" s="151">
        <v>37373845</v>
      </c>
      <c r="D90" s="151"/>
      <c r="E90" s="151">
        <v>10068184</v>
      </c>
      <c r="F90" s="151"/>
      <c r="G90" s="151"/>
      <c r="H90" s="151"/>
      <c r="I90" s="151"/>
      <c r="J90" s="151"/>
      <c r="K90" s="151"/>
      <c r="L90" s="151"/>
      <c r="M90" s="151"/>
      <c r="N90" s="151">
        <f>O90</f>
        <v>0</v>
      </c>
      <c r="O90" s="151">
        <v>0</v>
      </c>
      <c r="P90" s="151">
        <v>0</v>
      </c>
      <c r="Q90" s="151">
        <v>0</v>
      </c>
      <c r="R90" s="151">
        <f>J90+543936</f>
        <v>543936</v>
      </c>
      <c r="S90" s="151">
        <f>K90+543936</f>
        <v>543936</v>
      </c>
      <c r="T90" s="151">
        <v>0</v>
      </c>
      <c r="U90" s="151">
        <f>M90+543936</f>
        <v>543936</v>
      </c>
      <c r="V90" s="151">
        <f>R90+921834</f>
        <v>1465770</v>
      </c>
      <c r="W90" s="151">
        <f>S90+921834</f>
        <v>1465770</v>
      </c>
      <c r="X90" s="151">
        <v>0</v>
      </c>
      <c r="Y90" s="151">
        <f>U90+921834</f>
        <v>1465770</v>
      </c>
      <c r="Z90" s="151">
        <f>V90+436914</f>
        <v>1902684</v>
      </c>
      <c r="AA90" s="151">
        <f>V90+436914</f>
        <v>1902684</v>
      </c>
      <c r="AB90" s="151">
        <v>0</v>
      </c>
      <c r="AC90" s="151">
        <f>Y90+436914</f>
        <v>1902684</v>
      </c>
      <c r="AD90" s="151">
        <f>Z90+1102834</f>
        <v>3005518</v>
      </c>
      <c r="AE90" s="151">
        <f>AA90+1102834</f>
        <v>3005518</v>
      </c>
      <c r="AF90" s="151">
        <v>0</v>
      </c>
      <c r="AG90" s="151">
        <f>AC90+1102834</f>
        <v>3005518</v>
      </c>
      <c r="AH90" s="151">
        <f>AD90+1707996</f>
        <v>4713514</v>
      </c>
      <c r="AI90" s="151">
        <f>AE90+1707996</f>
        <v>4713514</v>
      </c>
      <c r="AJ90" s="151">
        <v>0</v>
      </c>
      <c r="AK90" s="151">
        <f>AG90+1707996</f>
        <v>4713514</v>
      </c>
      <c r="AL90" s="151">
        <f>AH90+747946</f>
        <v>5461460</v>
      </c>
      <c r="AM90" s="151">
        <f>AI90+747946</f>
        <v>5461460</v>
      </c>
      <c r="AN90" s="151">
        <v>0</v>
      </c>
      <c r="AO90" s="151">
        <f>AK90+747946</f>
        <v>5461460</v>
      </c>
      <c r="AP90" s="151">
        <f>AL90+1757172</f>
        <v>7218632</v>
      </c>
      <c r="AQ90" s="151">
        <f>AM90+1757172</f>
        <v>7218632</v>
      </c>
      <c r="AR90" s="151">
        <v>0</v>
      </c>
      <c r="AS90" s="151">
        <f>AO90+1757172</f>
        <v>7218632</v>
      </c>
      <c r="AT90" s="151">
        <f>AP90+1322704</f>
        <v>8541336</v>
      </c>
      <c r="AU90" s="151">
        <f>AQ90+1322704</f>
        <v>8541336</v>
      </c>
      <c r="AV90" s="151">
        <v>0</v>
      </c>
      <c r="AW90" s="151">
        <f>AS90+1322704</f>
        <v>8541336</v>
      </c>
      <c r="AX90" s="151">
        <f>AT90+1526848</f>
        <v>10068184</v>
      </c>
      <c r="AY90" s="151">
        <f>AU90+1526848</f>
        <v>10068184</v>
      </c>
      <c r="AZ90" s="151">
        <v>0</v>
      </c>
      <c r="BA90" s="151">
        <f>AW90+1526848</f>
        <v>10068184</v>
      </c>
      <c r="BB90" s="100">
        <f>BC90</f>
        <v>8024256</v>
      </c>
      <c r="BC90" s="100">
        <v>8024256</v>
      </c>
      <c r="BD90" s="100">
        <v>0</v>
      </c>
      <c r="BE90" s="100">
        <v>8024256</v>
      </c>
      <c r="BF90" s="100">
        <f>BG90</f>
        <v>4679043</v>
      </c>
      <c r="BG90" s="100">
        <v>4679043</v>
      </c>
      <c r="BH90" s="100">
        <v>0</v>
      </c>
      <c r="BI90" s="100">
        <v>4679043</v>
      </c>
      <c r="BJ90" s="100">
        <f>3623672-55509</f>
        <v>3568163</v>
      </c>
      <c r="BK90" s="100">
        <f>3623672-55509</f>
        <v>3568163</v>
      </c>
      <c r="BL90" s="100">
        <v>0</v>
      </c>
      <c r="BM90" s="100">
        <v>3623672</v>
      </c>
      <c r="BN90" s="100" t="e">
        <f>#REF!+AX90+BB90+BF90+BJ90</f>
        <v>#REF!</v>
      </c>
      <c r="BO90" s="100">
        <f t="shared" si="117"/>
        <v>26339646</v>
      </c>
      <c r="BP90" s="100">
        <f t="shared" si="117"/>
        <v>0</v>
      </c>
      <c r="BQ90" s="100">
        <f t="shared" si="115"/>
        <v>26339646</v>
      </c>
      <c r="BR90" s="101"/>
      <c r="BS90" s="80"/>
    </row>
    <row r="91" spans="1:72" s="17" customFormat="1" ht="46.5" customHeight="1">
      <c r="A91" s="150" t="s">
        <v>5</v>
      </c>
      <c r="B91" s="150" t="s">
        <v>316</v>
      </c>
      <c r="C91" s="151">
        <v>1906323</v>
      </c>
      <c r="D91" s="151"/>
      <c r="E91" s="151">
        <v>406662</v>
      </c>
      <c r="F91" s="151">
        <v>31595</v>
      </c>
      <c r="G91" s="151">
        <v>31595</v>
      </c>
      <c r="H91" s="151">
        <v>0</v>
      </c>
      <c r="I91" s="151">
        <v>31595</v>
      </c>
      <c r="J91" s="151">
        <f>F91+34476</f>
        <v>66071</v>
      </c>
      <c r="K91" s="151">
        <f>G91+34476</f>
        <v>66071</v>
      </c>
      <c r="L91" s="151">
        <v>0</v>
      </c>
      <c r="M91" s="151">
        <f>I91+34476</f>
        <v>66071</v>
      </c>
      <c r="N91" s="151">
        <f>J91+49229</f>
        <v>115300</v>
      </c>
      <c r="O91" s="151">
        <f>K91+49229</f>
        <v>115300</v>
      </c>
      <c r="P91" s="151">
        <v>0</v>
      </c>
      <c r="Q91" s="151">
        <f>M91+49229</f>
        <v>115300</v>
      </c>
      <c r="R91" s="151">
        <f>N91+44601</f>
        <v>159901</v>
      </c>
      <c r="S91" s="151">
        <f>O91+44601</f>
        <v>159901</v>
      </c>
      <c r="T91" s="151">
        <v>0</v>
      </c>
      <c r="U91" s="151">
        <f>Q91+44601</f>
        <v>159901</v>
      </c>
      <c r="V91" s="151">
        <f>R91+23212</f>
        <v>183113</v>
      </c>
      <c r="W91" s="151">
        <f>S91+23212</f>
        <v>183113</v>
      </c>
      <c r="X91" s="151">
        <v>0</v>
      </c>
      <c r="Y91" s="151">
        <f>U91+23212</f>
        <v>183113</v>
      </c>
      <c r="Z91" s="151">
        <f>V91+53519</f>
        <v>236632</v>
      </c>
      <c r="AA91" s="151">
        <f>W91+53519</f>
        <v>236632</v>
      </c>
      <c r="AB91" s="151">
        <v>0</v>
      </c>
      <c r="AC91" s="151">
        <f>Y91+53519</f>
        <v>236632</v>
      </c>
      <c r="AD91" s="151">
        <f>Z91+24997</f>
        <v>261629</v>
      </c>
      <c r="AE91" s="151">
        <f>AA91+24997</f>
        <v>261629</v>
      </c>
      <c r="AF91" s="151">
        <v>0</v>
      </c>
      <c r="AG91" s="151">
        <f>AC91+24997</f>
        <v>261629</v>
      </c>
      <c r="AH91" s="151">
        <f>AD91+24506</f>
        <v>286135</v>
      </c>
      <c r="AI91" s="151">
        <f>AE91+24506</f>
        <v>286135</v>
      </c>
      <c r="AJ91" s="151">
        <v>0</v>
      </c>
      <c r="AK91" s="151">
        <f>AG91+24506</f>
        <v>286135</v>
      </c>
      <c r="AL91" s="151">
        <f>AH91+23015</f>
        <v>309150</v>
      </c>
      <c r="AM91" s="151">
        <f>AI91+23015</f>
        <v>309150</v>
      </c>
      <c r="AN91" s="151">
        <v>0</v>
      </c>
      <c r="AO91" s="151">
        <f>AK91+23015</f>
        <v>309150</v>
      </c>
      <c r="AP91" s="151">
        <f>AL91+12500</f>
        <v>321650</v>
      </c>
      <c r="AQ91" s="151">
        <f>AM91+12500</f>
        <v>321650</v>
      </c>
      <c r="AR91" s="151">
        <v>0</v>
      </c>
      <c r="AS91" s="151">
        <f>AO91+12500</f>
        <v>321650</v>
      </c>
      <c r="AT91" s="151">
        <f>AP91+11748</f>
        <v>333398</v>
      </c>
      <c r="AU91" s="151">
        <f>AQ91+11748</f>
        <v>333398</v>
      </c>
      <c r="AV91" s="151">
        <v>0</v>
      </c>
      <c r="AW91" s="151">
        <f>AS91+11748</f>
        <v>333398</v>
      </c>
      <c r="AX91" s="151">
        <f>AT91+16704</f>
        <v>350102</v>
      </c>
      <c r="AY91" s="151">
        <f>AU91+16704</f>
        <v>350102</v>
      </c>
      <c r="AZ91" s="151">
        <v>0</v>
      </c>
      <c r="BA91" s="151">
        <f>AW91+16704</f>
        <v>350102</v>
      </c>
      <c r="BB91" s="100">
        <v>348569</v>
      </c>
      <c r="BC91" s="100">
        <v>348569</v>
      </c>
      <c r="BD91" s="100">
        <v>0</v>
      </c>
      <c r="BE91" s="100">
        <v>348569</v>
      </c>
      <c r="BF91" s="100">
        <f>BG91</f>
        <v>413628</v>
      </c>
      <c r="BG91" s="100">
        <f>221845+191783</f>
        <v>413628</v>
      </c>
      <c r="BH91" s="100">
        <v>0</v>
      </c>
      <c r="BI91" s="100">
        <v>221845</v>
      </c>
      <c r="BJ91" s="100">
        <f>BK91</f>
        <v>0</v>
      </c>
      <c r="BK91" s="100">
        <v>0</v>
      </c>
      <c r="BL91" s="100">
        <v>0</v>
      </c>
      <c r="BM91" s="100">
        <v>0</v>
      </c>
      <c r="BN91" s="100" t="e">
        <f>#REF!+AX91+BB91+BF91+BJ91</f>
        <v>#REF!</v>
      </c>
      <c r="BO91" s="100">
        <f t="shared" si="117"/>
        <v>1112299</v>
      </c>
      <c r="BP91" s="100">
        <f t="shared" si="117"/>
        <v>0</v>
      </c>
      <c r="BQ91" s="100">
        <f t="shared" si="115"/>
        <v>1112299</v>
      </c>
      <c r="BR91" s="101"/>
      <c r="BS91" s="80"/>
    </row>
    <row r="92" spans="1:72" s="17" customFormat="1" ht="51" customHeight="1">
      <c r="A92" s="150" t="s">
        <v>6</v>
      </c>
      <c r="B92" s="150" t="s">
        <v>317</v>
      </c>
      <c r="C92" s="151">
        <v>0</v>
      </c>
      <c r="D92" s="151"/>
      <c r="E92" s="151">
        <v>0</v>
      </c>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00"/>
      <c r="BC92" s="100"/>
      <c r="BD92" s="100"/>
      <c r="BE92" s="100"/>
      <c r="BF92" s="100"/>
      <c r="BG92" s="100"/>
      <c r="BH92" s="100"/>
      <c r="BI92" s="100"/>
      <c r="BJ92" s="100"/>
      <c r="BK92" s="100"/>
      <c r="BL92" s="100"/>
      <c r="BM92" s="100"/>
      <c r="BN92" s="100" t="e">
        <f>#REF!+AX92+BB92+BF92+BJ92</f>
        <v>#REF!</v>
      </c>
      <c r="BO92" s="100">
        <f t="shared" si="117"/>
        <v>0</v>
      </c>
      <c r="BP92" s="100">
        <f t="shared" si="117"/>
        <v>0</v>
      </c>
      <c r="BQ92" s="100">
        <f t="shared" si="115"/>
        <v>0</v>
      </c>
      <c r="BR92" s="101"/>
      <c r="BS92" s="80"/>
    </row>
    <row r="93" spans="1:72" s="17" customFormat="1" ht="60.75" customHeight="1">
      <c r="A93" s="150" t="s">
        <v>7</v>
      </c>
      <c r="B93" s="150" t="s">
        <v>318</v>
      </c>
      <c r="C93" s="151">
        <v>7295504</v>
      </c>
      <c r="D93" s="151"/>
      <c r="E93" s="151">
        <v>844637</v>
      </c>
      <c r="F93" s="151">
        <v>281422</v>
      </c>
      <c r="G93" s="151">
        <v>281422</v>
      </c>
      <c r="H93" s="151">
        <v>0</v>
      </c>
      <c r="I93" s="151">
        <v>281422</v>
      </c>
      <c r="J93" s="151">
        <f>F93+52704</f>
        <v>334126</v>
      </c>
      <c r="K93" s="151">
        <f>G93+52704</f>
        <v>334126</v>
      </c>
      <c r="L93" s="151">
        <v>0</v>
      </c>
      <c r="M93" s="151">
        <f>I93+52704</f>
        <v>334126</v>
      </c>
      <c r="N93" s="151">
        <f>J93+75643</f>
        <v>409769</v>
      </c>
      <c r="O93" s="151">
        <f>K93+75643</f>
        <v>409769</v>
      </c>
      <c r="P93" s="151">
        <v>0</v>
      </c>
      <c r="Q93" s="151">
        <f>M93+75643</f>
        <v>409769</v>
      </c>
      <c r="R93" s="151">
        <f>N93+2652</f>
        <v>412421</v>
      </c>
      <c r="S93" s="151">
        <f>O93+2652</f>
        <v>412421</v>
      </c>
      <c r="T93" s="151">
        <v>0</v>
      </c>
      <c r="U93" s="151">
        <f>Q93+2652</f>
        <v>412421</v>
      </c>
      <c r="V93" s="151">
        <f>R93+99284</f>
        <v>511705</v>
      </c>
      <c r="W93" s="151">
        <f>S93+99284</f>
        <v>511705</v>
      </c>
      <c r="X93" s="151">
        <v>0</v>
      </c>
      <c r="Y93" s="151">
        <f>U93+99284</f>
        <v>511705</v>
      </c>
      <c r="Z93" s="151">
        <f>V93+42513</f>
        <v>554218</v>
      </c>
      <c r="AA93" s="151">
        <f>W93+42513</f>
        <v>554218</v>
      </c>
      <c r="AB93" s="151">
        <v>0</v>
      </c>
      <c r="AC93" s="151">
        <f>Y93+42513</f>
        <v>554218</v>
      </c>
      <c r="AD93" s="151">
        <f>Z93+290419</f>
        <v>844637</v>
      </c>
      <c r="AE93" s="151">
        <f>AA93+290419</f>
        <v>844637</v>
      </c>
      <c r="AF93" s="151">
        <v>0</v>
      </c>
      <c r="AG93" s="151">
        <f>AC93+290419</f>
        <v>844637</v>
      </c>
      <c r="AH93" s="151">
        <f>AD93</f>
        <v>844637</v>
      </c>
      <c r="AI93" s="151">
        <f>AE93</f>
        <v>844637</v>
      </c>
      <c r="AJ93" s="151">
        <v>0</v>
      </c>
      <c r="AK93" s="151">
        <f>AG93</f>
        <v>844637</v>
      </c>
      <c r="AL93" s="151">
        <f>AH93</f>
        <v>844637</v>
      </c>
      <c r="AM93" s="151">
        <f>AI93</f>
        <v>844637</v>
      </c>
      <c r="AN93" s="151">
        <v>0</v>
      </c>
      <c r="AO93" s="151">
        <f>AK93</f>
        <v>844637</v>
      </c>
      <c r="AP93" s="151">
        <f>AL93</f>
        <v>844637</v>
      </c>
      <c r="AQ93" s="151">
        <f>AM93</f>
        <v>844637</v>
      </c>
      <c r="AR93" s="151">
        <v>0</v>
      </c>
      <c r="AS93" s="151">
        <f>AO93</f>
        <v>844637</v>
      </c>
      <c r="AT93" s="151">
        <f>AP93</f>
        <v>844637</v>
      </c>
      <c r="AU93" s="151">
        <f>AQ93</f>
        <v>844637</v>
      </c>
      <c r="AV93" s="151">
        <v>0</v>
      </c>
      <c r="AW93" s="151">
        <f>AS93</f>
        <v>844637</v>
      </c>
      <c r="AX93" s="151">
        <f>AT93</f>
        <v>844637</v>
      </c>
      <c r="AY93" s="151">
        <f>AU93</f>
        <v>844637</v>
      </c>
      <c r="AZ93" s="151">
        <v>0</v>
      </c>
      <c r="BA93" s="151">
        <f>AO93</f>
        <v>844637</v>
      </c>
      <c r="BB93" s="100">
        <f>BC93</f>
        <v>1949847</v>
      </c>
      <c r="BC93" s="100">
        <v>1949847</v>
      </c>
      <c r="BD93" s="100">
        <v>0</v>
      </c>
      <c r="BE93" s="100">
        <v>0</v>
      </c>
      <c r="BF93" s="100">
        <f>BG93</f>
        <v>0</v>
      </c>
      <c r="BG93" s="100">
        <v>0</v>
      </c>
      <c r="BH93" s="100">
        <v>0</v>
      </c>
      <c r="BI93" s="100">
        <v>0</v>
      </c>
      <c r="BJ93" s="100">
        <f>BK93</f>
        <v>0</v>
      </c>
      <c r="BK93" s="100">
        <v>0</v>
      </c>
      <c r="BL93" s="100">
        <v>0</v>
      </c>
      <c r="BM93" s="100">
        <v>0</v>
      </c>
      <c r="BN93" s="100" t="e">
        <f>#REF!+AX93+BB93+BF93+BJ93</f>
        <v>#REF!</v>
      </c>
      <c r="BO93" s="100">
        <f t="shared" si="117"/>
        <v>2794484</v>
      </c>
      <c r="BP93" s="100">
        <f t="shared" si="117"/>
        <v>0</v>
      </c>
      <c r="BQ93" s="100">
        <f t="shared" si="115"/>
        <v>2794484</v>
      </c>
      <c r="BR93" s="101"/>
      <c r="BS93" s="80"/>
    </row>
    <row r="94" spans="1:72" s="17" customFormat="1" ht="96" customHeight="1">
      <c r="A94" s="150" t="s">
        <v>8</v>
      </c>
      <c r="B94" s="150" t="s">
        <v>319</v>
      </c>
      <c r="C94" s="151">
        <v>44687749</v>
      </c>
      <c r="D94" s="151"/>
      <c r="E94" s="151">
        <v>6731796</v>
      </c>
      <c r="F94" s="151">
        <v>139207</v>
      </c>
      <c r="G94" s="151">
        <v>139207</v>
      </c>
      <c r="H94" s="151">
        <v>0</v>
      </c>
      <c r="I94" s="151">
        <v>139207</v>
      </c>
      <c r="J94" s="151">
        <f>F94+349979</f>
        <v>489186</v>
      </c>
      <c r="K94" s="151">
        <f>G94+349979</f>
        <v>489186</v>
      </c>
      <c r="L94" s="151">
        <v>0</v>
      </c>
      <c r="M94" s="151">
        <f>I94+349979</f>
        <v>489186</v>
      </c>
      <c r="N94" s="151">
        <f>J94+9620</f>
        <v>498806</v>
      </c>
      <c r="O94" s="151">
        <f>K94+9620</f>
        <v>498806</v>
      </c>
      <c r="P94" s="151">
        <v>0</v>
      </c>
      <c r="Q94" s="151">
        <f>M94+9620</f>
        <v>498806</v>
      </c>
      <c r="R94" s="151">
        <f>N94+261405</f>
        <v>760211</v>
      </c>
      <c r="S94" s="151">
        <f>O94+261405</f>
        <v>760211</v>
      </c>
      <c r="T94" s="151">
        <v>0</v>
      </c>
      <c r="U94" s="151">
        <f>Q94+261405</f>
        <v>760211</v>
      </c>
      <c r="V94" s="151">
        <f>R94+79698</f>
        <v>839909</v>
      </c>
      <c r="W94" s="151">
        <f>S94+79698</f>
        <v>839909</v>
      </c>
      <c r="X94" s="151">
        <v>0</v>
      </c>
      <c r="Y94" s="151">
        <f>U94+79698</f>
        <v>839909</v>
      </c>
      <c r="Z94" s="151">
        <f>V94+205000</f>
        <v>1044909</v>
      </c>
      <c r="AA94" s="151">
        <f>W94+205000</f>
        <v>1044909</v>
      </c>
      <c r="AB94" s="151">
        <v>0</v>
      </c>
      <c r="AC94" s="151">
        <f>Y94+205000</f>
        <v>1044909</v>
      </c>
      <c r="AD94" s="151">
        <f>Z94+640146</f>
        <v>1685055</v>
      </c>
      <c r="AE94" s="151">
        <f>AA94+640146</f>
        <v>1685055</v>
      </c>
      <c r="AF94" s="151">
        <v>0</v>
      </c>
      <c r="AG94" s="151">
        <f>AC94+640146</f>
        <v>1685055</v>
      </c>
      <c r="AH94" s="151">
        <f>AD94+519372</f>
        <v>2204427</v>
      </c>
      <c r="AI94" s="151">
        <f>AE94+519372</f>
        <v>2204427</v>
      </c>
      <c r="AJ94" s="151">
        <v>0</v>
      </c>
      <c r="AK94" s="151">
        <f>AG94+519372</f>
        <v>2204427</v>
      </c>
      <c r="AL94" s="151">
        <f>AH94+521499</f>
        <v>2725926</v>
      </c>
      <c r="AM94" s="151">
        <f>AI94+521499</f>
        <v>2725926</v>
      </c>
      <c r="AN94" s="151">
        <v>0</v>
      </c>
      <c r="AO94" s="151">
        <f>AK94+521499</f>
        <v>2725926</v>
      </c>
      <c r="AP94" s="151">
        <f>AL94+1414933</f>
        <v>4140859</v>
      </c>
      <c r="AQ94" s="151">
        <f>AM94+1414933</f>
        <v>4140859</v>
      </c>
      <c r="AR94" s="151">
        <v>0</v>
      </c>
      <c r="AS94" s="151">
        <f>AO94+1414933</f>
        <v>4140859</v>
      </c>
      <c r="AT94" s="151">
        <f>AP94+1529932</f>
        <v>5670791</v>
      </c>
      <c r="AU94" s="151">
        <f>AQ94+1529932</f>
        <v>5670791</v>
      </c>
      <c r="AV94" s="151">
        <v>0</v>
      </c>
      <c r="AW94" s="151">
        <f>AS94+1529932</f>
        <v>5670791</v>
      </c>
      <c r="AX94" s="151">
        <f>AT94+1061005</f>
        <v>6731796</v>
      </c>
      <c r="AY94" s="151">
        <f>AU94+1061005</f>
        <v>6731796</v>
      </c>
      <c r="AZ94" s="151">
        <v>0</v>
      </c>
      <c r="BA94" s="151">
        <f>AW94+1061005</f>
        <v>6731796</v>
      </c>
      <c r="BB94" s="100">
        <f>BC94</f>
        <v>21063318.5</v>
      </c>
      <c r="BC94" s="100">
        <f>10752240+20622157/2</f>
        <v>21063318.5</v>
      </c>
      <c r="BD94" s="100">
        <v>0</v>
      </c>
      <c r="BE94" s="100">
        <v>10752240</v>
      </c>
      <c r="BF94" s="100">
        <f>BG94</f>
        <v>10311078.5</v>
      </c>
      <c r="BG94" s="100">
        <f>20622157/2</f>
        <v>10311078.5</v>
      </c>
      <c r="BH94" s="100">
        <v>0</v>
      </c>
      <c r="BI94" s="100">
        <v>0</v>
      </c>
      <c r="BJ94" s="100">
        <f>BK94</f>
        <v>0</v>
      </c>
      <c r="BK94" s="100">
        <v>0</v>
      </c>
      <c r="BL94" s="100">
        <v>0</v>
      </c>
      <c r="BM94" s="100">
        <v>0</v>
      </c>
      <c r="BN94" s="100" t="e">
        <f>#REF!+AX94+BB94+BF94+BJ94</f>
        <v>#REF!</v>
      </c>
      <c r="BO94" s="100">
        <f t="shared" si="117"/>
        <v>38106193</v>
      </c>
      <c r="BP94" s="100">
        <f t="shared" si="117"/>
        <v>0</v>
      </c>
      <c r="BQ94" s="100">
        <f t="shared" si="115"/>
        <v>38106193</v>
      </c>
      <c r="BR94" s="101"/>
      <c r="BS94" s="80"/>
    </row>
    <row r="95" spans="1:72" s="17" customFormat="1" ht="96" customHeight="1">
      <c r="A95" s="150" t="s">
        <v>9</v>
      </c>
      <c r="B95" s="150" t="s">
        <v>320</v>
      </c>
      <c r="C95" s="151">
        <v>174764</v>
      </c>
      <c r="D95" s="151"/>
      <c r="E95" s="151">
        <v>34201</v>
      </c>
      <c r="F95" s="151">
        <v>0</v>
      </c>
      <c r="G95" s="151">
        <v>0</v>
      </c>
      <c r="H95" s="151">
        <v>0</v>
      </c>
      <c r="I95" s="151">
        <v>0</v>
      </c>
      <c r="J95" s="151">
        <v>0</v>
      </c>
      <c r="K95" s="151">
        <v>0</v>
      </c>
      <c r="L95" s="151">
        <v>0</v>
      </c>
      <c r="M95" s="151">
        <v>0</v>
      </c>
      <c r="N95" s="151">
        <f>O95</f>
        <v>0</v>
      </c>
      <c r="O95" s="151">
        <v>0</v>
      </c>
      <c r="P95" s="151">
        <v>0</v>
      </c>
      <c r="Q95" s="151">
        <v>0</v>
      </c>
      <c r="R95" s="151">
        <v>10368</v>
      </c>
      <c r="S95" s="151">
        <v>10368</v>
      </c>
      <c r="T95" s="151">
        <v>0</v>
      </c>
      <c r="U95" s="151">
        <v>10368</v>
      </c>
      <c r="V95" s="151">
        <f>R95+0</f>
        <v>10368</v>
      </c>
      <c r="W95" s="151">
        <f>S95+0</f>
        <v>10368</v>
      </c>
      <c r="X95" s="151">
        <v>0</v>
      </c>
      <c r="Y95" s="151">
        <f>U95+0</f>
        <v>10368</v>
      </c>
      <c r="Z95" s="151">
        <f>AA95</f>
        <v>10368.370000000001</v>
      </c>
      <c r="AA95" s="151">
        <v>10368.370000000001</v>
      </c>
      <c r="AB95" s="151">
        <v>0</v>
      </c>
      <c r="AC95" s="151">
        <v>10368</v>
      </c>
      <c r="AD95" s="151">
        <f>Z95</f>
        <v>10368.370000000001</v>
      </c>
      <c r="AE95" s="151">
        <f>AA95</f>
        <v>10368.370000000001</v>
      </c>
      <c r="AF95" s="151">
        <v>0</v>
      </c>
      <c r="AG95" s="151">
        <f>AC95</f>
        <v>10368</v>
      </c>
      <c r="AH95" s="151">
        <f>AD95+5413</f>
        <v>15781.37</v>
      </c>
      <c r="AI95" s="151">
        <f>AE95+5413</f>
        <v>15781.37</v>
      </c>
      <c r="AJ95" s="151">
        <v>0</v>
      </c>
      <c r="AK95" s="151">
        <f>AG95+5413</f>
        <v>15781</v>
      </c>
      <c r="AL95" s="151">
        <f>AH95</f>
        <v>15781.37</v>
      </c>
      <c r="AM95" s="151">
        <f>AI95</f>
        <v>15781.37</v>
      </c>
      <c r="AN95" s="151">
        <v>0</v>
      </c>
      <c r="AO95" s="151">
        <f>AK95</f>
        <v>15781</v>
      </c>
      <c r="AP95" s="151">
        <f>AL95</f>
        <v>15781.37</v>
      </c>
      <c r="AQ95" s="151">
        <f>AM95</f>
        <v>15781.37</v>
      </c>
      <c r="AR95" s="151">
        <v>0</v>
      </c>
      <c r="AS95" s="151">
        <f>AO95</f>
        <v>15781</v>
      </c>
      <c r="AT95" s="151">
        <f>AP95</f>
        <v>15781.37</v>
      </c>
      <c r="AU95" s="151">
        <f>AQ95</f>
        <v>15781.37</v>
      </c>
      <c r="AV95" s="151">
        <v>0</v>
      </c>
      <c r="AW95" s="151">
        <f>AS95</f>
        <v>15781</v>
      </c>
      <c r="AX95" s="151">
        <f>AT95+18420</f>
        <v>34201.370000000003</v>
      </c>
      <c r="AY95" s="151">
        <f>AU95+18420</f>
        <v>34201.370000000003</v>
      </c>
      <c r="AZ95" s="151">
        <v>0</v>
      </c>
      <c r="BA95" s="151">
        <f>AW95+18420</f>
        <v>34201</v>
      </c>
      <c r="BB95" s="100">
        <f>BC95</f>
        <v>35831.99</v>
      </c>
      <c r="BC95" s="100">
        <v>35831.99</v>
      </c>
      <c r="BD95" s="100">
        <v>0</v>
      </c>
      <c r="BE95" s="100">
        <v>35832</v>
      </c>
      <c r="BF95" s="100">
        <f>BG95</f>
        <v>94092.64</v>
      </c>
      <c r="BG95" s="100">
        <v>94092.64</v>
      </c>
      <c r="BH95" s="100">
        <v>0</v>
      </c>
      <c r="BI95" s="100">
        <v>0</v>
      </c>
      <c r="BJ95" s="100">
        <f>BK95</f>
        <v>0</v>
      </c>
      <c r="BK95" s="100">
        <v>0</v>
      </c>
      <c r="BL95" s="100">
        <v>0</v>
      </c>
      <c r="BM95" s="100">
        <v>0</v>
      </c>
      <c r="BN95" s="100" t="e">
        <f>#REF!+AX95+BB95+BF95+BJ95</f>
        <v>#REF!</v>
      </c>
      <c r="BO95" s="100">
        <f t="shared" si="117"/>
        <v>164126</v>
      </c>
      <c r="BP95" s="100">
        <f t="shared" si="117"/>
        <v>0</v>
      </c>
      <c r="BQ95" s="100">
        <f t="shared" si="115"/>
        <v>164126</v>
      </c>
      <c r="BR95" s="101"/>
      <c r="BS95" s="80"/>
    </row>
    <row r="96" spans="1:72" s="17" customFormat="1" ht="61.5" customHeight="1">
      <c r="A96" s="150" t="s">
        <v>144</v>
      </c>
      <c r="B96" s="150" t="s">
        <v>145</v>
      </c>
      <c r="C96" s="151">
        <v>2000000</v>
      </c>
      <c r="D96" s="151"/>
      <c r="E96" s="151">
        <v>0</v>
      </c>
      <c r="F96" s="151"/>
      <c r="G96" s="151"/>
      <c r="H96" s="151"/>
      <c r="I96" s="151"/>
      <c r="J96" s="151"/>
      <c r="K96" s="151"/>
      <c r="L96" s="151"/>
      <c r="M96" s="151"/>
      <c r="N96" s="151">
        <f>O96</f>
        <v>100000</v>
      </c>
      <c r="O96" s="151">
        <f>2000000*0.2/4</f>
        <v>100000</v>
      </c>
      <c r="P96" s="151"/>
      <c r="Q96" s="151"/>
      <c r="R96" s="151"/>
      <c r="S96" s="151"/>
      <c r="T96" s="151"/>
      <c r="U96" s="151"/>
      <c r="V96" s="151"/>
      <c r="W96" s="151"/>
      <c r="X96" s="151"/>
      <c r="Y96" s="151"/>
      <c r="Z96" s="151">
        <f>AA96</f>
        <v>200000</v>
      </c>
      <c r="AA96" s="151">
        <f>O96+2000000*0.2/4</f>
        <v>200000</v>
      </c>
      <c r="AB96" s="151"/>
      <c r="AC96" s="151"/>
      <c r="AD96" s="151"/>
      <c r="AE96" s="151"/>
      <c r="AF96" s="151"/>
      <c r="AG96" s="151"/>
      <c r="AH96" s="151"/>
      <c r="AI96" s="151"/>
      <c r="AJ96" s="151"/>
      <c r="AK96" s="151"/>
      <c r="AL96" s="151"/>
      <c r="AM96" s="151">
        <f>AA96+2000000*0.2/4</f>
        <v>300000</v>
      </c>
      <c r="AN96" s="151"/>
      <c r="AO96" s="151"/>
      <c r="AP96" s="151"/>
      <c r="AQ96" s="151"/>
      <c r="AR96" s="151"/>
      <c r="AS96" s="151"/>
      <c r="AT96" s="151"/>
      <c r="AU96" s="151"/>
      <c r="AV96" s="151"/>
      <c r="AW96" s="151"/>
      <c r="AX96" s="151">
        <f>AY96</f>
        <v>400000</v>
      </c>
      <c r="AY96" s="151">
        <f>AM96+2000000*0.2/4</f>
        <v>400000</v>
      </c>
      <c r="AZ96" s="151"/>
      <c r="BA96" s="151"/>
      <c r="BB96" s="100">
        <f>BC96</f>
        <v>800000</v>
      </c>
      <c r="BC96" s="100">
        <f>2000000*0.4</f>
        <v>800000</v>
      </c>
      <c r="BD96" s="100"/>
      <c r="BE96" s="100"/>
      <c r="BF96" s="100">
        <f>BG96</f>
        <v>800000</v>
      </c>
      <c r="BG96" s="100">
        <f>2000000*0.4</f>
        <v>800000</v>
      </c>
      <c r="BH96" s="100"/>
      <c r="BI96" s="100"/>
      <c r="BJ96" s="100"/>
      <c r="BK96" s="100"/>
      <c r="BL96" s="100"/>
      <c r="BM96" s="100"/>
      <c r="BN96" s="100" t="e">
        <f>#REF!+AX96+BB96+BF96+BJ96</f>
        <v>#REF!</v>
      </c>
      <c r="BO96" s="100">
        <f t="shared" si="117"/>
        <v>2000000</v>
      </c>
      <c r="BP96" s="100">
        <f t="shared" si="117"/>
        <v>0</v>
      </c>
      <c r="BQ96" s="100">
        <f t="shared" si="115"/>
        <v>2000000</v>
      </c>
      <c r="BR96" s="101"/>
      <c r="BS96" s="80"/>
    </row>
    <row r="97" spans="1:72" s="17" customFormat="1" ht="63.75" customHeight="1">
      <c r="A97" s="150" t="s">
        <v>146</v>
      </c>
      <c r="B97" s="150" t="s">
        <v>321</v>
      </c>
      <c r="C97" s="151">
        <v>0</v>
      </c>
      <c r="D97" s="151"/>
      <c r="E97" s="151">
        <v>0</v>
      </c>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AZ97" s="151"/>
      <c r="BA97" s="151"/>
      <c r="BB97" s="100"/>
      <c r="BC97" s="100"/>
      <c r="BD97" s="100"/>
      <c r="BE97" s="100"/>
      <c r="BF97" s="100"/>
      <c r="BG97" s="100"/>
      <c r="BH97" s="100"/>
      <c r="BI97" s="100"/>
      <c r="BJ97" s="100"/>
      <c r="BK97" s="100"/>
      <c r="BL97" s="100"/>
      <c r="BM97" s="100"/>
      <c r="BN97" s="100" t="e">
        <f>#REF!+AX97+BB97+BF97+BJ97</f>
        <v>#REF!</v>
      </c>
      <c r="BO97" s="100">
        <f t="shared" si="117"/>
        <v>0</v>
      </c>
      <c r="BP97" s="100">
        <f t="shared" si="117"/>
        <v>0</v>
      </c>
      <c r="BQ97" s="100">
        <f t="shared" si="115"/>
        <v>0</v>
      </c>
      <c r="BR97" s="101"/>
      <c r="BS97" s="80"/>
    </row>
    <row r="98" spans="1:72" s="17" customFormat="1" ht="63.75" customHeight="1">
      <c r="A98" s="150" t="s">
        <v>10</v>
      </c>
      <c r="B98" s="150" t="s">
        <v>322</v>
      </c>
      <c r="C98" s="151">
        <v>70593868</v>
      </c>
      <c r="D98" s="151"/>
      <c r="E98" s="151">
        <v>8396261</v>
      </c>
      <c r="F98" s="151">
        <v>0</v>
      </c>
      <c r="G98" s="151">
        <v>0</v>
      </c>
      <c r="H98" s="151">
        <v>0</v>
      </c>
      <c r="I98" s="151">
        <v>0</v>
      </c>
      <c r="J98" s="151">
        <f>F98+739908</f>
        <v>739908</v>
      </c>
      <c r="K98" s="151">
        <f>G98+739908</f>
        <v>739908</v>
      </c>
      <c r="L98" s="151">
        <v>0</v>
      </c>
      <c r="M98" s="151">
        <f>I98+739908</f>
        <v>739908</v>
      </c>
      <c r="N98" s="151">
        <f>J98+927047</f>
        <v>1666955</v>
      </c>
      <c r="O98" s="151">
        <f>K98+927047</f>
        <v>1666955</v>
      </c>
      <c r="P98" s="151">
        <v>0</v>
      </c>
      <c r="Q98" s="151">
        <f>M98+927047</f>
        <v>1666955</v>
      </c>
      <c r="R98" s="151">
        <f>N98+543907</f>
        <v>2210862</v>
      </c>
      <c r="S98" s="151">
        <f>O98+543907</f>
        <v>2210862</v>
      </c>
      <c r="T98" s="151">
        <v>0</v>
      </c>
      <c r="U98" s="151">
        <f>Q98+543907</f>
        <v>2210862</v>
      </c>
      <c r="V98" s="151">
        <f>R98+522876</f>
        <v>2733738</v>
      </c>
      <c r="W98" s="151">
        <f>S98+522876</f>
        <v>2733738</v>
      </c>
      <c r="X98" s="151">
        <v>0</v>
      </c>
      <c r="Y98" s="151">
        <f>U98+522876</f>
        <v>2733738</v>
      </c>
      <c r="Z98" s="151">
        <f>V98+138586</f>
        <v>2872324</v>
      </c>
      <c r="AA98" s="151">
        <f>W98+138586</f>
        <v>2872324</v>
      </c>
      <c r="AB98" s="151">
        <v>0</v>
      </c>
      <c r="AC98" s="151">
        <f>Y98+138586</f>
        <v>2872324</v>
      </c>
      <c r="AD98" s="151">
        <f>Z98+936288</f>
        <v>3808612</v>
      </c>
      <c r="AE98" s="151">
        <f>AA98+936288</f>
        <v>3808612</v>
      </c>
      <c r="AF98" s="151">
        <v>0</v>
      </c>
      <c r="AG98" s="151">
        <f>AC98+936288</f>
        <v>3808612</v>
      </c>
      <c r="AH98" s="151">
        <f>AD98+1044531</f>
        <v>4853143</v>
      </c>
      <c r="AI98" s="151">
        <f>AE98+1044531</f>
        <v>4853143</v>
      </c>
      <c r="AJ98" s="151">
        <v>0</v>
      </c>
      <c r="AK98" s="151">
        <f>AG98+1044531</f>
        <v>4853143</v>
      </c>
      <c r="AL98" s="151">
        <f>AH98+512914</f>
        <v>5366057</v>
      </c>
      <c r="AM98" s="151">
        <f>AI98+512914</f>
        <v>5366057</v>
      </c>
      <c r="AN98" s="151">
        <v>0</v>
      </c>
      <c r="AO98" s="151">
        <f>AK98+512914</f>
        <v>5366057</v>
      </c>
      <c r="AP98" s="151">
        <f>AL98+1189628</f>
        <v>6555685</v>
      </c>
      <c r="AQ98" s="151">
        <f>AM98+1189628</f>
        <v>6555685</v>
      </c>
      <c r="AR98" s="151">
        <v>0</v>
      </c>
      <c r="AS98" s="151">
        <f>AO98+1189628</f>
        <v>6555685</v>
      </c>
      <c r="AT98" s="151">
        <f>AP98+173675</f>
        <v>6729360</v>
      </c>
      <c r="AU98" s="151">
        <f>AQ98+173675</f>
        <v>6729360</v>
      </c>
      <c r="AV98" s="151">
        <v>0</v>
      </c>
      <c r="AW98" s="151">
        <f>AS98+1005010</f>
        <v>7560695</v>
      </c>
      <c r="AX98" s="151">
        <f>AT98+835566</f>
        <v>7564926</v>
      </c>
      <c r="AY98" s="151">
        <f>AU98+835566</f>
        <v>7564926</v>
      </c>
      <c r="AZ98" s="151">
        <v>0</v>
      </c>
      <c r="BA98" s="151">
        <f>AW98+835566</f>
        <v>8396261</v>
      </c>
      <c r="BB98" s="100">
        <f>BC98</f>
        <v>18562113.666666668</v>
      </c>
      <c r="BC98" s="100">
        <f>12736250+17477591/3</f>
        <v>18562113.666666668</v>
      </c>
      <c r="BD98" s="100">
        <v>0</v>
      </c>
      <c r="BE98" s="100">
        <v>12736250</v>
      </c>
      <c r="BF98" s="100">
        <f>BG98</f>
        <v>5825863.666666667</v>
      </c>
      <c r="BG98" s="100">
        <f>17477591/3</f>
        <v>5825863.666666667</v>
      </c>
      <c r="BH98" s="100">
        <v>0</v>
      </c>
      <c r="BI98" s="100">
        <v>0</v>
      </c>
      <c r="BJ98" s="100">
        <f>BK98</f>
        <v>5825863.666666667</v>
      </c>
      <c r="BK98" s="100">
        <f>17477591/3</f>
        <v>5825863.666666667</v>
      </c>
      <c r="BL98" s="100">
        <v>0</v>
      </c>
      <c r="BM98" s="100">
        <v>0</v>
      </c>
      <c r="BN98" s="100" t="e">
        <f>#REF!+AX98+BB98+BF98+BJ98</f>
        <v>#REF!</v>
      </c>
      <c r="BO98" s="100">
        <f t="shared" si="117"/>
        <v>37778767</v>
      </c>
      <c r="BP98" s="100">
        <f t="shared" si="117"/>
        <v>0</v>
      </c>
      <c r="BQ98" s="100">
        <f t="shared" si="115"/>
        <v>37778767</v>
      </c>
      <c r="BR98" s="101"/>
      <c r="BS98" s="80"/>
    </row>
    <row r="99" spans="1:72" s="17" customFormat="1" ht="120.75" hidden="1" customHeight="1">
      <c r="A99" s="150" t="s">
        <v>11</v>
      </c>
      <c r="B99" s="150" t="s">
        <v>323</v>
      </c>
      <c r="C99" s="151">
        <v>58529801.052815996</v>
      </c>
      <c r="D99" s="151"/>
      <c r="E99" s="151">
        <v>0</v>
      </c>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c r="BA99" s="151"/>
      <c r="BB99" s="100"/>
      <c r="BC99" s="100"/>
      <c r="BD99" s="100"/>
      <c r="BE99" s="100"/>
      <c r="BF99" s="100"/>
      <c r="BG99" s="100"/>
      <c r="BH99" s="100"/>
      <c r="BI99" s="100"/>
      <c r="BJ99" s="100"/>
      <c r="BK99" s="100"/>
      <c r="BL99" s="100"/>
      <c r="BM99" s="100"/>
      <c r="BN99" s="100" t="e">
        <f>#REF!+AX99+BB99+BF99+BJ99</f>
        <v>#REF!</v>
      </c>
      <c r="BO99" s="100">
        <f t="shared" si="117"/>
        <v>0</v>
      </c>
      <c r="BP99" s="100">
        <f t="shared" si="117"/>
        <v>0</v>
      </c>
      <c r="BQ99" s="100">
        <f t="shared" si="115"/>
        <v>0</v>
      </c>
      <c r="BR99" s="101"/>
      <c r="BS99" s="80"/>
    </row>
    <row r="100" spans="1:72" s="17" customFormat="1" ht="35.25" hidden="1" customHeight="1">
      <c r="A100" s="150" t="s">
        <v>12</v>
      </c>
      <c r="B100" s="150" t="s">
        <v>324</v>
      </c>
      <c r="C100" s="151">
        <v>0</v>
      </c>
      <c r="D100" s="151"/>
      <c r="E100" s="151">
        <v>0</v>
      </c>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00"/>
      <c r="BC100" s="100"/>
      <c r="BD100" s="100"/>
      <c r="BE100" s="100"/>
      <c r="BF100" s="100"/>
      <c r="BG100" s="100"/>
      <c r="BH100" s="100"/>
      <c r="BI100" s="100"/>
      <c r="BJ100" s="100"/>
      <c r="BK100" s="100"/>
      <c r="BL100" s="100"/>
      <c r="BM100" s="100"/>
      <c r="BN100" s="100" t="e">
        <f>#REF!+AX100+BB100+BF100+BJ100</f>
        <v>#REF!</v>
      </c>
      <c r="BO100" s="100">
        <f t="shared" si="117"/>
        <v>0</v>
      </c>
      <c r="BP100" s="100">
        <f t="shared" si="117"/>
        <v>0</v>
      </c>
      <c r="BQ100" s="100">
        <f t="shared" si="115"/>
        <v>0</v>
      </c>
      <c r="BR100" s="101"/>
      <c r="BS100" s="80"/>
    </row>
    <row r="101" spans="1:72" s="17" customFormat="1" ht="47.25" hidden="1" customHeight="1">
      <c r="A101" s="150" t="s">
        <v>13</v>
      </c>
      <c r="B101" s="150" t="s">
        <v>325</v>
      </c>
      <c r="C101" s="151">
        <v>0</v>
      </c>
      <c r="D101" s="151"/>
      <c r="E101" s="151">
        <v>0</v>
      </c>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00"/>
      <c r="BC101" s="100"/>
      <c r="BD101" s="100"/>
      <c r="BE101" s="100"/>
      <c r="BF101" s="100"/>
      <c r="BG101" s="100"/>
      <c r="BH101" s="100"/>
      <c r="BI101" s="100"/>
      <c r="BJ101" s="100"/>
      <c r="BK101" s="100"/>
      <c r="BL101" s="100"/>
      <c r="BM101" s="100"/>
      <c r="BN101" s="100" t="e">
        <f>#REF!+AX101+BB101+BF101+BJ101</f>
        <v>#REF!</v>
      </c>
      <c r="BO101" s="100">
        <f t="shared" si="117"/>
        <v>0</v>
      </c>
      <c r="BP101" s="100">
        <f t="shared" si="117"/>
        <v>0</v>
      </c>
      <c r="BQ101" s="100">
        <f t="shared" si="115"/>
        <v>0</v>
      </c>
      <c r="BR101" s="101"/>
      <c r="BS101" s="80"/>
    </row>
    <row r="102" spans="1:72" s="17" customFormat="1" ht="69" hidden="1" customHeight="1">
      <c r="A102" s="150" t="s">
        <v>14</v>
      </c>
      <c r="B102" s="150" t="s">
        <v>226</v>
      </c>
      <c r="C102" s="151">
        <v>20000000</v>
      </c>
      <c r="D102" s="151"/>
      <c r="E102" s="151">
        <v>0</v>
      </c>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00"/>
      <c r="BC102" s="100"/>
      <c r="BD102" s="100"/>
      <c r="BE102" s="100"/>
      <c r="BF102" s="100"/>
      <c r="BG102" s="100"/>
      <c r="BH102" s="100"/>
      <c r="BI102" s="100"/>
      <c r="BJ102" s="100"/>
      <c r="BK102" s="100"/>
      <c r="BL102" s="100"/>
      <c r="BM102" s="100"/>
      <c r="BN102" s="100" t="e">
        <f>#REF!+AX102+BB102+BF102+BJ102</f>
        <v>#REF!</v>
      </c>
      <c r="BO102" s="100">
        <f t="shared" si="117"/>
        <v>0</v>
      </c>
      <c r="BP102" s="100">
        <f t="shared" si="117"/>
        <v>0</v>
      </c>
      <c r="BQ102" s="100">
        <f t="shared" si="115"/>
        <v>0</v>
      </c>
      <c r="BR102" s="101"/>
      <c r="BS102" s="80"/>
    </row>
    <row r="103" spans="1:72" s="17" customFormat="1" ht="80.25" hidden="1" customHeight="1">
      <c r="A103" s="150" t="s">
        <v>147</v>
      </c>
      <c r="B103" s="150" t="s">
        <v>223</v>
      </c>
      <c r="C103" s="151">
        <v>40314639.429455996</v>
      </c>
      <c r="D103" s="151"/>
      <c r="E103" s="151">
        <v>0</v>
      </c>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00"/>
      <c r="BC103" s="100"/>
      <c r="BD103" s="100"/>
      <c r="BE103" s="100"/>
      <c r="BF103" s="100"/>
      <c r="BG103" s="100"/>
      <c r="BH103" s="100"/>
      <c r="BI103" s="100"/>
      <c r="BJ103" s="100"/>
      <c r="BK103" s="100"/>
      <c r="BL103" s="100"/>
      <c r="BM103" s="100"/>
      <c r="BN103" s="100" t="e">
        <f>#REF!+AX103+BB103+BF103+BJ103</f>
        <v>#REF!</v>
      </c>
      <c r="BO103" s="100">
        <f t="shared" si="117"/>
        <v>0</v>
      </c>
      <c r="BP103" s="100">
        <f t="shared" si="117"/>
        <v>0</v>
      </c>
      <c r="BQ103" s="100">
        <f t="shared" si="115"/>
        <v>0</v>
      </c>
      <c r="BR103" s="101"/>
      <c r="BS103" s="80"/>
    </row>
    <row r="104" spans="1:72" s="17" customFormat="1" ht="57.75" hidden="1" customHeight="1">
      <c r="A104" s="150" t="s">
        <v>148</v>
      </c>
      <c r="B104" s="150" t="s">
        <v>229</v>
      </c>
      <c r="C104" s="151">
        <v>10671891</v>
      </c>
      <c r="D104" s="151"/>
      <c r="E104" s="151">
        <v>0</v>
      </c>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00"/>
      <c r="BC104" s="100"/>
      <c r="BD104" s="100"/>
      <c r="BE104" s="100"/>
      <c r="BF104" s="100"/>
      <c r="BG104" s="100"/>
      <c r="BH104" s="100"/>
      <c r="BI104" s="100"/>
      <c r="BJ104" s="100"/>
      <c r="BK104" s="100"/>
      <c r="BL104" s="100"/>
      <c r="BM104" s="100"/>
      <c r="BN104" s="100" t="e">
        <f>#REF!+AX104+BB104+BF104+BJ104</f>
        <v>#REF!</v>
      </c>
      <c r="BO104" s="100">
        <f t="shared" si="117"/>
        <v>0</v>
      </c>
      <c r="BP104" s="100">
        <f t="shared" si="117"/>
        <v>0</v>
      </c>
      <c r="BQ104" s="100">
        <f t="shared" si="115"/>
        <v>0</v>
      </c>
      <c r="BR104" s="101"/>
      <c r="BS104" s="80"/>
    </row>
    <row r="105" spans="1:72" s="17" customFormat="1" ht="36.75" customHeight="1">
      <c r="A105" s="150" t="s">
        <v>15</v>
      </c>
      <c r="B105" s="150" t="s">
        <v>326</v>
      </c>
      <c r="C105" s="151">
        <v>14696804.619999999</v>
      </c>
      <c r="D105" s="151"/>
      <c r="E105" s="151">
        <v>1044644</v>
      </c>
      <c r="F105" s="151">
        <f>98846</f>
        <v>98846</v>
      </c>
      <c r="G105" s="151">
        <f>98846</f>
        <v>98846</v>
      </c>
      <c r="H105" s="151">
        <v>0</v>
      </c>
      <c r="I105" s="151">
        <f>98846</f>
        <v>98846</v>
      </c>
      <c r="J105" s="151">
        <f>F105+148630</f>
        <v>247476</v>
      </c>
      <c r="K105" s="151">
        <f>G105+148630</f>
        <v>247476</v>
      </c>
      <c r="L105" s="151">
        <v>0</v>
      </c>
      <c r="M105" s="151">
        <f>I105+148630</f>
        <v>247476</v>
      </c>
      <c r="N105" s="151">
        <f>J105+151547</f>
        <v>399023</v>
      </c>
      <c r="O105" s="151">
        <f>K105+151547</f>
        <v>399023</v>
      </c>
      <c r="P105" s="151">
        <v>0</v>
      </c>
      <c r="Q105" s="151">
        <f>M105+151547</f>
        <v>399023</v>
      </c>
      <c r="R105" s="151">
        <f>N105+159218</f>
        <v>558241</v>
      </c>
      <c r="S105" s="151">
        <f>O105+159218</f>
        <v>558241</v>
      </c>
      <c r="T105" s="151">
        <v>0</v>
      </c>
      <c r="U105" s="151">
        <f>Q105+159218</f>
        <v>558241</v>
      </c>
      <c r="V105" s="151">
        <f>R105+130942</f>
        <v>689183</v>
      </c>
      <c r="W105" s="151">
        <f>S105+130942</f>
        <v>689183</v>
      </c>
      <c r="X105" s="151">
        <v>0</v>
      </c>
      <c r="Y105" s="151">
        <f>U105+130942</f>
        <v>689183</v>
      </c>
      <c r="Z105" s="151">
        <f>V105+122550+11349885.62*0.05</f>
        <v>1379227.281</v>
      </c>
      <c r="AA105" s="151">
        <f>W105+122550+11349885.62*0.05</f>
        <v>1379227.281</v>
      </c>
      <c r="AB105" s="151">
        <v>0</v>
      </c>
      <c r="AC105" s="151">
        <f>Y105+122550</f>
        <v>811733</v>
      </c>
      <c r="AD105" s="151">
        <f>Z105+24777</f>
        <v>1404004.281</v>
      </c>
      <c r="AE105" s="151">
        <f>AA105+24777</f>
        <v>1404004.281</v>
      </c>
      <c r="AF105" s="151">
        <v>0</v>
      </c>
      <c r="AG105" s="151">
        <f>AC105+24777</f>
        <v>836510</v>
      </c>
      <c r="AH105" s="151">
        <f>AD105+158339</f>
        <v>1562343.281</v>
      </c>
      <c r="AI105" s="151">
        <f>AE105+158339</f>
        <v>1562343.281</v>
      </c>
      <c r="AJ105" s="151">
        <v>0</v>
      </c>
      <c r="AK105" s="151">
        <f>AG105+158339</f>
        <v>994849</v>
      </c>
      <c r="AL105" s="151">
        <f>AH105+11655+11349885.62*0.05</f>
        <v>2141492.5619999999</v>
      </c>
      <c r="AM105" s="151">
        <f>AI105+11655+11349885.62*0.05</f>
        <v>2141492.5619999999</v>
      </c>
      <c r="AN105" s="151">
        <v>0</v>
      </c>
      <c r="AO105" s="151">
        <f>AK105+11655</f>
        <v>1006504</v>
      </c>
      <c r="AP105" s="151">
        <f>AL105+38140</f>
        <v>2179632.5619999999</v>
      </c>
      <c r="AQ105" s="151">
        <f>AM105+38140</f>
        <v>2179632.5619999999</v>
      </c>
      <c r="AR105" s="151">
        <v>0</v>
      </c>
      <c r="AS105" s="151">
        <f>AO105+38140</f>
        <v>1044644</v>
      </c>
      <c r="AT105" s="151">
        <f>AP105</f>
        <v>2179632.5619999999</v>
      </c>
      <c r="AU105" s="151">
        <f>AQ105</f>
        <v>2179632.5619999999</v>
      </c>
      <c r="AV105" s="151">
        <v>0</v>
      </c>
      <c r="AW105" s="151">
        <f>AS105</f>
        <v>1044644</v>
      </c>
      <c r="AX105" s="151">
        <f>AT105+11349885.62*0.05</f>
        <v>2747126.8429999999</v>
      </c>
      <c r="AY105" s="151">
        <f>AU105+11349885.62*0.05</f>
        <v>2747126.8429999999</v>
      </c>
      <c r="AZ105" s="151">
        <v>0</v>
      </c>
      <c r="BA105" s="151">
        <f>AW105</f>
        <v>1044644</v>
      </c>
      <c r="BB105" s="100">
        <f>11349885.62*0.15</f>
        <v>1702482.8429999999</v>
      </c>
      <c r="BC105" s="100">
        <f>11349885.62*0.15</f>
        <v>1702482.8429999999</v>
      </c>
      <c r="BD105" s="100">
        <v>0</v>
      </c>
      <c r="BE105" s="100">
        <v>0</v>
      </c>
      <c r="BF105" s="100">
        <f>11349885.62*0.15</f>
        <v>1702482.8429999999</v>
      </c>
      <c r="BG105" s="100">
        <f>11349885.62*0.15</f>
        <v>1702482.8429999999</v>
      </c>
      <c r="BH105" s="100">
        <v>0</v>
      </c>
      <c r="BI105" s="100">
        <v>0</v>
      </c>
      <c r="BJ105" s="100">
        <f>11349885.62*0.55</f>
        <v>6242437.091</v>
      </c>
      <c r="BK105" s="100">
        <f>11349885.62*0.55</f>
        <v>6242437.091</v>
      </c>
      <c r="BL105" s="100">
        <v>0</v>
      </c>
      <c r="BM105" s="100">
        <v>0</v>
      </c>
      <c r="BN105" s="100" t="e">
        <f>#REF!+AX105+BB105+BF105+BJ105</f>
        <v>#REF!</v>
      </c>
      <c r="BO105" s="100">
        <f t="shared" si="117"/>
        <v>12394529.619999999</v>
      </c>
      <c r="BP105" s="100">
        <f t="shared" si="117"/>
        <v>0</v>
      </c>
      <c r="BQ105" s="100">
        <f t="shared" si="115"/>
        <v>12394529.619999999</v>
      </c>
      <c r="BR105" s="101"/>
      <c r="BS105" s="80"/>
    </row>
    <row r="106" spans="1:72" s="17" customFormat="1" ht="85.5" customHeight="1">
      <c r="A106" s="150" t="s">
        <v>16</v>
      </c>
      <c r="B106" s="150" t="s">
        <v>327</v>
      </c>
      <c r="C106" s="151">
        <v>3000000</v>
      </c>
      <c r="D106" s="151"/>
      <c r="E106" s="151">
        <v>1587127</v>
      </c>
      <c r="F106" s="151">
        <f>G106</f>
        <v>78082.2</v>
      </c>
      <c r="G106" s="151">
        <f>I106*60%</f>
        <v>78082.2</v>
      </c>
      <c r="H106" s="151">
        <f>I106*40%</f>
        <v>52054.8</v>
      </c>
      <c r="I106" s="151">
        <v>130137</v>
      </c>
      <c r="J106" s="151">
        <f>K106</f>
        <v>146367.6</v>
      </c>
      <c r="K106" s="151">
        <f>M106*60%</f>
        <v>146367.6</v>
      </c>
      <c r="L106" s="151">
        <f>M106*40%</f>
        <v>97578.400000000009</v>
      </c>
      <c r="M106" s="151">
        <f>I106+113809</f>
        <v>243946</v>
      </c>
      <c r="N106" s="151">
        <f>O106</f>
        <v>274845</v>
      </c>
      <c r="O106" s="151">
        <f>Q106*60%</f>
        <v>274845</v>
      </c>
      <c r="P106" s="151">
        <f>Q106*40%</f>
        <v>183230</v>
      </c>
      <c r="Q106" s="151">
        <f>M106+214129</f>
        <v>458075</v>
      </c>
      <c r="R106" s="151">
        <f>S106</f>
        <v>373802.39999999997</v>
      </c>
      <c r="S106" s="151">
        <f>U106*60%</f>
        <v>373802.39999999997</v>
      </c>
      <c r="T106" s="151">
        <f>U106*40%</f>
        <v>249201.6</v>
      </c>
      <c r="U106" s="151">
        <f>Q106+164929</f>
        <v>623004</v>
      </c>
      <c r="V106" s="151">
        <f>W106</f>
        <v>482194.2</v>
      </c>
      <c r="W106" s="151">
        <f>Y106*60%+103917*60%</f>
        <v>482194.2</v>
      </c>
      <c r="X106" s="151">
        <f>Y106*40%+103917*40%</f>
        <v>321462.8</v>
      </c>
      <c r="Y106" s="151">
        <f>U106+76736</f>
        <v>699740</v>
      </c>
      <c r="Z106" s="151">
        <f>AA106</f>
        <v>560605.79999999993</v>
      </c>
      <c r="AA106" s="151">
        <f>AC106*60%+103917*60%*2</f>
        <v>560605.79999999993</v>
      </c>
      <c r="AB106" s="151">
        <f>AC106*40%+103917*40%*2</f>
        <v>373737.20000000007</v>
      </c>
      <c r="AC106" s="151">
        <f>Y106+26769</f>
        <v>726509</v>
      </c>
      <c r="AD106" s="151">
        <f>AE106</f>
        <v>639017.39999999991</v>
      </c>
      <c r="AE106" s="151">
        <f>AG106*60%+103917*60%*3</f>
        <v>639017.39999999991</v>
      </c>
      <c r="AF106" s="151">
        <f>AG106*40%+103917*40%*3</f>
        <v>426011.60000000003</v>
      </c>
      <c r="AG106" s="151">
        <f>AC106+26769</f>
        <v>753278</v>
      </c>
      <c r="AH106" s="151">
        <f>AI106</f>
        <v>717429</v>
      </c>
      <c r="AI106" s="151">
        <f>AK106*60%+103917*60%*4</f>
        <v>717429</v>
      </c>
      <c r="AJ106" s="151">
        <f>AK106*40%+103917*40%*4</f>
        <v>478286</v>
      </c>
      <c r="AK106" s="151">
        <f>AG106+26769</f>
        <v>780047</v>
      </c>
      <c r="AL106" s="151">
        <f>AM106</f>
        <v>795840.6</v>
      </c>
      <c r="AM106" s="151">
        <f>AO106*60%+103917*60%*5</f>
        <v>795840.6</v>
      </c>
      <c r="AN106" s="151">
        <f>AO106*40%+103917*40%*5</f>
        <v>530560.4</v>
      </c>
      <c r="AO106" s="151">
        <f>AK106+26769</f>
        <v>806816</v>
      </c>
      <c r="AP106" s="151">
        <f>AQ106</f>
        <v>874252.2</v>
      </c>
      <c r="AQ106" s="151">
        <f>AS106*60%+103917*60%*6</f>
        <v>874252.2</v>
      </c>
      <c r="AR106" s="151">
        <f>AS106*40%+103917*40%*6</f>
        <v>582834.80000000005</v>
      </c>
      <c r="AS106" s="151">
        <f>AO106+26769</f>
        <v>833585</v>
      </c>
      <c r="AT106" s="151">
        <f>AU106</f>
        <v>952663.79999999993</v>
      </c>
      <c r="AU106" s="151">
        <f>AW106*60%+103917*60%*7</f>
        <v>952663.79999999993</v>
      </c>
      <c r="AV106" s="151">
        <f>AW106*40%+103917*40%*7</f>
        <v>635109.20000000007</v>
      </c>
      <c r="AW106" s="151">
        <f>AS106+26769</f>
        <v>860354</v>
      </c>
      <c r="AX106" s="151">
        <f>AY106</f>
        <v>1031077</v>
      </c>
      <c r="AY106" s="151">
        <v>1031077</v>
      </c>
      <c r="AZ106" s="151">
        <v>687385</v>
      </c>
      <c r="BA106" s="151">
        <f>AW106+26773</f>
        <v>887127</v>
      </c>
      <c r="BB106" s="100">
        <f>BC106</f>
        <v>181142</v>
      </c>
      <c r="BC106" s="100">
        <v>181142</v>
      </c>
      <c r="BD106" s="100">
        <v>120762</v>
      </c>
      <c r="BE106" s="100">
        <v>714143</v>
      </c>
      <c r="BF106" s="100">
        <f>BG106+BH106</f>
        <v>0</v>
      </c>
      <c r="BG106" s="100">
        <v>0</v>
      </c>
      <c r="BH106" s="100">
        <v>0</v>
      </c>
      <c r="BI106" s="100">
        <v>0</v>
      </c>
      <c r="BJ106" s="100">
        <f>BK106+BL106</f>
        <v>1475511.91</v>
      </c>
      <c r="BK106" s="100">
        <f>509092+640508+325911.91</f>
        <v>1475511.91</v>
      </c>
      <c r="BL106" s="100">
        <v>0</v>
      </c>
      <c r="BM106" s="100">
        <v>0</v>
      </c>
      <c r="BN106" s="100" t="e">
        <f>#REF!+AX106+BB106+BF106+BJ106</f>
        <v>#REF!</v>
      </c>
      <c r="BO106" s="100">
        <f t="shared" si="117"/>
        <v>2687730.91</v>
      </c>
      <c r="BP106" s="100">
        <f t="shared" si="117"/>
        <v>808147</v>
      </c>
      <c r="BQ106" s="100">
        <f t="shared" si="115"/>
        <v>3495877.91</v>
      </c>
      <c r="BR106" s="101"/>
      <c r="BS106" s="80"/>
    </row>
    <row r="107" spans="1:72" s="17" customFormat="1" ht="81.75" customHeight="1">
      <c r="A107" s="150" t="s">
        <v>17</v>
      </c>
      <c r="B107" s="150" t="s">
        <v>328</v>
      </c>
      <c r="C107" s="151">
        <v>1714402</v>
      </c>
      <c r="D107" s="151"/>
      <c r="E107" s="151">
        <v>362407</v>
      </c>
      <c r="F107" s="151">
        <f>G107</f>
        <v>12750</v>
      </c>
      <c r="G107" s="151">
        <f>15000*85%</f>
        <v>12750</v>
      </c>
      <c r="H107" s="151">
        <f>I107-G107</f>
        <v>3608</v>
      </c>
      <c r="I107" s="151">
        <v>16358</v>
      </c>
      <c r="J107" s="151">
        <f>K107</f>
        <v>21250</v>
      </c>
      <c r="K107" s="151">
        <f>G107+10000*85%</f>
        <v>21250</v>
      </c>
      <c r="L107" s="151">
        <f>M107-K107</f>
        <v>6466</v>
      </c>
      <c r="M107" s="151">
        <f>I107+11358</f>
        <v>27716</v>
      </c>
      <c r="N107" s="151">
        <f>O107</f>
        <v>25500</v>
      </c>
      <c r="O107" s="151">
        <f>K107+5000*85%</f>
        <v>25500</v>
      </c>
      <c r="P107" s="151">
        <f>Q107-O107</f>
        <v>8574</v>
      </c>
      <c r="Q107" s="151">
        <f>M107+6358</f>
        <v>34074</v>
      </c>
      <c r="R107" s="151">
        <f>S107</f>
        <v>50448.35</v>
      </c>
      <c r="S107" s="151">
        <f>O107+29351*85%</f>
        <v>50448.35</v>
      </c>
      <c r="T107" s="151">
        <f>U107-S107</f>
        <v>14334.650000000001</v>
      </c>
      <c r="U107" s="151">
        <f>Q107+30709</f>
        <v>64783</v>
      </c>
      <c r="V107" s="151">
        <f>W107</f>
        <v>75396.7</v>
      </c>
      <c r="W107" s="151">
        <f>S107+29351*85%</f>
        <v>75396.7</v>
      </c>
      <c r="X107" s="151">
        <f>Y107-W107</f>
        <v>20095.300000000003</v>
      </c>
      <c r="Y107" s="151">
        <f>U107+30709</f>
        <v>95492</v>
      </c>
      <c r="Z107" s="151">
        <f>AA107</f>
        <v>100346.75</v>
      </c>
      <c r="AA107" s="151">
        <f>W107+29353*85%</f>
        <v>100346.75</v>
      </c>
      <c r="AB107" s="151">
        <f>AC107-AA107</f>
        <v>25856.25</v>
      </c>
      <c r="AC107" s="151">
        <f>Y107+30711</f>
        <v>126203</v>
      </c>
      <c r="AD107" s="151">
        <f>AE107</f>
        <v>130962.05</v>
      </c>
      <c r="AE107" s="151">
        <f>AA107+36018*85%</f>
        <v>130962.05</v>
      </c>
      <c r="AF107" s="151">
        <f>AG107-AE107</f>
        <v>32616.949999999997</v>
      </c>
      <c r="AG107" s="151">
        <f>AC107+37376</f>
        <v>163579</v>
      </c>
      <c r="AH107" s="151">
        <f>AI107</f>
        <v>161577.35</v>
      </c>
      <c r="AI107" s="151">
        <f>AE107+36018*85%</f>
        <v>161577.35</v>
      </c>
      <c r="AJ107" s="151">
        <f>AK107-AI107</f>
        <v>39377.649999999994</v>
      </c>
      <c r="AK107" s="151">
        <f>AG107+37376</f>
        <v>200955</v>
      </c>
      <c r="AL107" s="151">
        <f>AM107</f>
        <v>192194.35</v>
      </c>
      <c r="AM107" s="151">
        <f>AI107+36020*85%</f>
        <v>192194.35</v>
      </c>
      <c r="AN107" s="151">
        <f>AO107-AM107</f>
        <v>46138.649999999994</v>
      </c>
      <c r="AO107" s="151">
        <f>AK107+37378</f>
        <v>238333</v>
      </c>
      <c r="AP107" s="151">
        <f>AQ107</f>
        <v>226194.35</v>
      </c>
      <c r="AQ107" s="151">
        <f>AM107+40000*85%</f>
        <v>226194.35</v>
      </c>
      <c r="AR107" s="151">
        <f>AS107-AQ107</f>
        <v>53496.649999999994</v>
      </c>
      <c r="AS107" s="151">
        <f>AO107+41358</f>
        <v>279691</v>
      </c>
      <c r="AT107" s="151">
        <f>AU107</f>
        <v>260194.35</v>
      </c>
      <c r="AU107" s="151">
        <f>AQ107+40000*85%</f>
        <v>260194.35</v>
      </c>
      <c r="AV107" s="151">
        <f>AW107-AU107</f>
        <v>60854.649999999994</v>
      </c>
      <c r="AW107" s="151">
        <f>AS107+41358</f>
        <v>321049</v>
      </c>
      <c r="AX107" s="151">
        <f>AY107</f>
        <v>294194.34999999998</v>
      </c>
      <c r="AY107" s="151">
        <f>AU107+40000*85%</f>
        <v>294194.34999999998</v>
      </c>
      <c r="AZ107" s="151">
        <f>BA107-AY107</f>
        <v>68212.650000000023</v>
      </c>
      <c r="BA107" s="151">
        <f>AW107+41358</f>
        <v>362407</v>
      </c>
      <c r="BB107" s="100">
        <f>BC107</f>
        <v>295266</v>
      </c>
      <c r="BC107" s="100">
        <v>295266</v>
      </c>
      <c r="BD107" s="100">
        <v>68402</v>
      </c>
      <c r="BE107" s="100">
        <v>363668</v>
      </c>
      <c r="BF107" s="100">
        <f>BG107</f>
        <v>295266</v>
      </c>
      <c r="BG107" s="100">
        <v>295266</v>
      </c>
      <c r="BH107" s="100">
        <v>68402</v>
      </c>
      <c r="BI107" s="100">
        <v>363668</v>
      </c>
      <c r="BJ107" s="100">
        <f>BK107+BL107</f>
        <v>427892.45</v>
      </c>
      <c r="BK107" s="100">
        <f>102256.07+205016-64211+184831.38</f>
        <v>427892.45</v>
      </c>
      <c r="BL107" s="100">
        <v>0</v>
      </c>
      <c r="BM107" s="100">
        <v>0</v>
      </c>
      <c r="BN107" s="100" t="e">
        <f>#REF!+AX107+BB107+BF107+BJ107</f>
        <v>#REF!</v>
      </c>
      <c r="BO107" s="100">
        <f t="shared" si="117"/>
        <v>1312618.8</v>
      </c>
      <c r="BP107" s="100">
        <f t="shared" si="117"/>
        <v>205016.65000000002</v>
      </c>
      <c r="BQ107" s="100">
        <f t="shared" si="115"/>
        <v>1517635.4500000002</v>
      </c>
      <c r="BR107" s="101"/>
      <c r="BS107" s="80"/>
    </row>
    <row r="108" spans="1:72" s="17" customFormat="1" ht="41.25" customHeight="1">
      <c r="A108" s="150" t="s">
        <v>18</v>
      </c>
      <c r="B108" s="150" t="s">
        <v>329</v>
      </c>
      <c r="C108" s="151">
        <v>17179418.987243999</v>
      </c>
      <c r="D108" s="151"/>
      <c r="E108" s="151">
        <v>3435462</v>
      </c>
      <c r="F108" s="151">
        <f>G108</f>
        <v>349350</v>
      </c>
      <c r="G108" s="151">
        <f>I108*85%</f>
        <v>349350</v>
      </c>
      <c r="H108" s="151">
        <f>I108*15%</f>
        <v>61650</v>
      </c>
      <c r="I108" s="151">
        <v>411000</v>
      </c>
      <c r="J108" s="151">
        <f>K108</f>
        <v>434350</v>
      </c>
      <c r="K108" s="151">
        <f>M108*85%</f>
        <v>434350</v>
      </c>
      <c r="L108" s="151">
        <f>M108*15%</f>
        <v>76650</v>
      </c>
      <c r="M108" s="151">
        <f>I108+100000</f>
        <v>511000</v>
      </c>
      <c r="N108" s="151">
        <f>O108</f>
        <v>753034.54999999993</v>
      </c>
      <c r="O108" s="151">
        <f>Q108*85%</f>
        <v>753034.54999999993</v>
      </c>
      <c r="P108" s="151">
        <f>Q108*15%</f>
        <v>132888.44999999998</v>
      </c>
      <c r="Q108" s="151">
        <f>M108+374923</f>
        <v>885923</v>
      </c>
      <c r="R108" s="151">
        <f>S108</f>
        <v>1071719.0999999999</v>
      </c>
      <c r="S108" s="151">
        <f>U108*85%</f>
        <v>1071719.0999999999</v>
      </c>
      <c r="T108" s="151">
        <f>U108*15%</f>
        <v>189126.9</v>
      </c>
      <c r="U108" s="151">
        <f>Q108+374923</f>
        <v>1260846</v>
      </c>
      <c r="V108" s="151">
        <f>W108</f>
        <v>1156719.0999999999</v>
      </c>
      <c r="W108" s="151">
        <f>Y108*85%</f>
        <v>1156719.0999999999</v>
      </c>
      <c r="X108" s="151">
        <f>Y108*15%</f>
        <v>204126.9</v>
      </c>
      <c r="Y108" s="151">
        <f>U108+100000</f>
        <v>1360846</v>
      </c>
      <c r="Z108" s="151">
        <f>AA108</f>
        <v>1475403.65</v>
      </c>
      <c r="AA108" s="151">
        <f>AC108*85%</f>
        <v>1475403.65</v>
      </c>
      <c r="AB108" s="151">
        <f>AC108*15%</f>
        <v>260365.34999999998</v>
      </c>
      <c r="AC108" s="151">
        <f>Y108+374923</f>
        <v>1735769</v>
      </c>
      <c r="AD108" s="151">
        <f>AE108</f>
        <v>1794088.2</v>
      </c>
      <c r="AE108" s="151">
        <f>AG108*85%</f>
        <v>1794088.2</v>
      </c>
      <c r="AF108" s="151">
        <f>AG108*15%</f>
        <v>316603.8</v>
      </c>
      <c r="AG108" s="151">
        <f>AC108+374923</f>
        <v>2110692</v>
      </c>
      <c r="AH108" s="151">
        <f>AI108</f>
        <v>1879088.2</v>
      </c>
      <c r="AI108" s="151">
        <f>AK108*85%</f>
        <v>1879088.2</v>
      </c>
      <c r="AJ108" s="151">
        <f>AK108*15%</f>
        <v>331603.8</v>
      </c>
      <c r="AK108" s="151">
        <f>AG108+100000</f>
        <v>2210692</v>
      </c>
      <c r="AL108" s="151">
        <f>AM108</f>
        <v>2197772.75</v>
      </c>
      <c r="AM108" s="151">
        <f>AO108*85%</f>
        <v>2197772.75</v>
      </c>
      <c r="AN108" s="151">
        <f>AO108*15%</f>
        <v>387842.25</v>
      </c>
      <c r="AO108" s="151">
        <f>AK108+374923</f>
        <v>2585615</v>
      </c>
      <c r="AP108" s="151">
        <f>AQ108</f>
        <v>2516457.2999999998</v>
      </c>
      <c r="AQ108" s="151">
        <f>AS108*85%</f>
        <v>2516457.2999999998</v>
      </c>
      <c r="AR108" s="151">
        <f>AS108*15%</f>
        <v>444080.7</v>
      </c>
      <c r="AS108" s="151">
        <f>AO108+374923</f>
        <v>2960538</v>
      </c>
      <c r="AT108" s="151">
        <f>AU108</f>
        <v>2601457.2999999998</v>
      </c>
      <c r="AU108" s="151">
        <f>AW108*85%</f>
        <v>2601457.2999999998</v>
      </c>
      <c r="AV108" s="151">
        <f>AW108*15%</f>
        <v>459080.7</v>
      </c>
      <c r="AW108" s="151">
        <f>AS108+100000</f>
        <v>3060538</v>
      </c>
      <c r="AX108" s="151">
        <f>AY108</f>
        <v>2920142.6999999997</v>
      </c>
      <c r="AY108" s="151">
        <f>BA108*85%</f>
        <v>2920142.6999999997</v>
      </c>
      <c r="AZ108" s="151">
        <f>BA108*15%</f>
        <v>515319.3</v>
      </c>
      <c r="BA108" s="151">
        <f>AW108+374924</f>
        <v>3435462</v>
      </c>
      <c r="BB108" s="100">
        <f>BC108</f>
        <v>2920142</v>
      </c>
      <c r="BC108" s="100">
        <v>2920142</v>
      </c>
      <c r="BD108" s="100">
        <v>515320</v>
      </c>
      <c r="BE108" s="100">
        <v>3435462</v>
      </c>
      <c r="BF108" s="100">
        <f>BG108</f>
        <v>2920142</v>
      </c>
      <c r="BG108" s="100">
        <v>2920142</v>
      </c>
      <c r="BH108" s="100">
        <v>515320</v>
      </c>
      <c r="BI108" s="100">
        <v>3435462</v>
      </c>
      <c r="BJ108" s="100">
        <f>BK108+BL108</f>
        <v>3117224.4372439999</v>
      </c>
      <c r="BK108" s="100">
        <f>1148322.017244+1545960-534970+957912.42</f>
        <v>3117224.4372439999</v>
      </c>
      <c r="BL108" s="100">
        <v>0</v>
      </c>
      <c r="BM108" s="100">
        <v>0</v>
      </c>
      <c r="BN108" s="100" t="e">
        <f>#REF!+AX108+BB108+BF108+BJ108</f>
        <v>#REF!</v>
      </c>
      <c r="BO108" s="100">
        <f t="shared" si="117"/>
        <v>11877651.137243999</v>
      </c>
      <c r="BP108" s="100">
        <f t="shared" si="117"/>
        <v>1545959.3</v>
      </c>
      <c r="BQ108" s="100">
        <f t="shared" si="115"/>
        <v>13423610.437244</v>
      </c>
      <c r="BR108" s="101"/>
      <c r="BS108" s="80"/>
    </row>
    <row r="109" spans="1:72" s="17" customFormat="1" ht="100.5" customHeight="1">
      <c r="A109" s="150" t="s">
        <v>19</v>
      </c>
      <c r="B109" s="150" t="s">
        <v>330</v>
      </c>
      <c r="C109" s="151">
        <v>14103938</v>
      </c>
      <c r="D109" s="151"/>
      <c r="E109" s="151">
        <v>1157253</v>
      </c>
      <c r="F109" s="151">
        <v>83340</v>
      </c>
      <c r="G109" s="151">
        <v>83340</v>
      </c>
      <c r="H109" s="151">
        <v>0</v>
      </c>
      <c r="I109" s="151">
        <v>83340</v>
      </c>
      <c r="J109" s="151">
        <f>F109+137659</f>
        <v>220999</v>
      </c>
      <c r="K109" s="151">
        <f>G109+137659</f>
        <v>220999</v>
      </c>
      <c r="L109" s="151">
        <v>0</v>
      </c>
      <c r="M109" s="151">
        <f>I109+137659</f>
        <v>220999</v>
      </c>
      <c r="N109" s="151">
        <f>J109+210757</f>
        <v>431756</v>
      </c>
      <c r="O109" s="151">
        <f>K109+210757</f>
        <v>431756</v>
      </c>
      <c r="P109" s="151">
        <v>0</v>
      </c>
      <c r="Q109" s="151">
        <f>M109+210757</f>
        <v>431756</v>
      </c>
      <c r="R109" s="151">
        <f>N109+242310</f>
        <v>674066</v>
      </c>
      <c r="S109" s="151">
        <f>O109+242310</f>
        <v>674066</v>
      </c>
      <c r="T109" s="151">
        <v>0</v>
      </c>
      <c r="U109" s="151">
        <f>Q109+242310</f>
        <v>674066</v>
      </c>
      <c r="V109" s="151">
        <f>R109+235856</f>
        <v>909922</v>
      </c>
      <c r="W109" s="151">
        <f>S109+235856</f>
        <v>909922</v>
      </c>
      <c r="X109" s="151">
        <v>0</v>
      </c>
      <c r="Y109" s="151">
        <f>U109+235856</f>
        <v>909922</v>
      </c>
      <c r="Z109" s="151">
        <f>V109+146850</f>
        <v>1056772</v>
      </c>
      <c r="AA109" s="151">
        <f>W109+146850</f>
        <v>1056772</v>
      </c>
      <c r="AB109" s="151">
        <v>0</v>
      </c>
      <c r="AC109" s="151">
        <f>Y109+146850</f>
        <v>1056772</v>
      </c>
      <c r="AD109" s="151">
        <f>Z109+100481</f>
        <v>1157253</v>
      </c>
      <c r="AE109" s="151">
        <f>AA109+100481</f>
        <v>1157253</v>
      </c>
      <c r="AF109" s="151">
        <v>0</v>
      </c>
      <c r="AG109" s="151">
        <f>AC109+100481</f>
        <v>1157253</v>
      </c>
      <c r="AH109" s="151">
        <f>AD109</f>
        <v>1157253</v>
      </c>
      <c r="AI109" s="151">
        <f>AE109</f>
        <v>1157253</v>
      </c>
      <c r="AJ109" s="151">
        <v>0</v>
      </c>
      <c r="AK109" s="151">
        <f>AG109</f>
        <v>1157253</v>
      </c>
      <c r="AL109" s="151">
        <f>AM109</f>
        <v>1157252.5</v>
      </c>
      <c r="AM109" s="151">
        <f>AA109+100480.5</f>
        <v>1157252.5</v>
      </c>
      <c r="AN109" s="151">
        <v>0</v>
      </c>
      <c r="AO109" s="151">
        <f>AC109+100481</f>
        <v>1157253</v>
      </c>
      <c r="AP109" s="151">
        <f>AL109</f>
        <v>1157252.5</v>
      </c>
      <c r="AQ109" s="151">
        <f>AM109</f>
        <v>1157252.5</v>
      </c>
      <c r="AR109" s="151">
        <v>0</v>
      </c>
      <c r="AS109" s="151">
        <f>AO109</f>
        <v>1157253</v>
      </c>
      <c r="AT109" s="151">
        <f>AP109</f>
        <v>1157252.5</v>
      </c>
      <c r="AU109" s="151">
        <f>AQ109</f>
        <v>1157252.5</v>
      </c>
      <c r="AV109" s="151">
        <v>0</v>
      </c>
      <c r="AW109" s="151">
        <f>AS109</f>
        <v>1157253</v>
      </c>
      <c r="AX109" s="151">
        <f>AY109</f>
        <v>1157252.5</v>
      </c>
      <c r="AY109" s="151">
        <f>AM109+0</f>
        <v>1157252.5</v>
      </c>
      <c r="AZ109" s="151">
        <v>0</v>
      </c>
      <c r="BA109" s="151">
        <f>AO109</f>
        <v>1157253</v>
      </c>
      <c r="BB109" s="100">
        <f>8187038.5/3</f>
        <v>2729012.8333333335</v>
      </c>
      <c r="BC109" s="100">
        <f>8187038.5/3</f>
        <v>2729012.8333333335</v>
      </c>
      <c r="BD109" s="100">
        <v>0</v>
      </c>
      <c r="BE109" s="100">
        <v>0</v>
      </c>
      <c r="BF109" s="100">
        <f t="shared" ref="BF109:BG109" si="122">8187038.5/3</f>
        <v>2729012.8333333335</v>
      </c>
      <c r="BG109" s="100">
        <f t="shared" si="122"/>
        <v>2729012.8333333335</v>
      </c>
      <c r="BH109" s="100">
        <v>0</v>
      </c>
      <c r="BI109" s="100">
        <v>0</v>
      </c>
      <c r="BJ109" s="100">
        <f t="shared" ref="BJ109:BK109" si="123">8187038.5/3</f>
        <v>2729012.8333333335</v>
      </c>
      <c r="BK109" s="100">
        <f t="shared" si="123"/>
        <v>2729012.8333333335</v>
      </c>
      <c r="BL109" s="100">
        <v>0</v>
      </c>
      <c r="BM109" s="100">
        <v>0</v>
      </c>
      <c r="BN109" s="100" t="e">
        <f>#REF!+AX109+BB109+BF109+BJ109</f>
        <v>#REF!</v>
      </c>
      <c r="BO109" s="100">
        <f t="shared" si="117"/>
        <v>9344291</v>
      </c>
      <c r="BP109" s="100">
        <f t="shared" si="117"/>
        <v>0</v>
      </c>
      <c r="BQ109" s="100">
        <f t="shared" si="115"/>
        <v>9344291</v>
      </c>
      <c r="BR109" s="101"/>
      <c r="BS109" s="80"/>
    </row>
    <row r="110" spans="1:72" s="17" customFormat="1" ht="48" customHeight="1">
      <c r="A110" s="150" t="s">
        <v>142</v>
      </c>
      <c r="B110" s="150" t="s">
        <v>331</v>
      </c>
      <c r="C110" s="151">
        <v>3407289</v>
      </c>
      <c r="D110" s="151"/>
      <c r="E110" s="151">
        <v>0</v>
      </c>
      <c r="F110" s="151"/>
      <c r="G110" s="151"/>
      <c r="H110" s="151"/>
      <c r="I110" s="151"/>
      <c r="J110" s="151"/>
      <c r="K110" s="151"/>
      <c r="L110" s="151"/>
      <c r="M110" s="151"/>
      <c r="N110" s="151">
        <f t="shared" ref="N110" si="124">O110</f>
        <v>212955.541875</v>
      </c>
      <c r="O110" s="151">
        <f>3407288.67/4/4</f>
        <v>212955.541875</v>
      </c>
      <c r="P110" s="151"/>
      <c r="Q110" s="151"/>
      <c r="R110" s="151"/>
      <c r="S110" s="151"/>
      <c r="T110" s="151"/>
      <c r="U110" s="151"/>
      <c r="V110" s="151"/>
      <c r="W110" s="151"/>
      <c r="X110" s="151"/>
      <c r="Y110" s="151"/>
      <c r="Z110" s="151">
        <f t="shared" ref="Z110" si="125">AA110</f>
        <v>425911.08374999999</v>
      </c>
      <c r="AA110" s="151">
        <f>O110+3407288.67/4/4</f>
        <v>425911.08374999999</v>
      </c>
      <c r="AB110" s="151"/>
      <c r="AC110" s="151"/>
      <c r="AD110" s="151"/>
      <c r="AE110" s="151"/>
      <c r="AF110" s="151"/>
      <c r="AG110" s="151"/>
      <c r="AH110" s="151"/>
      <c r="AI110" s="151"/>
      <c r="AJ110" s="151"/>
      <c r="AK110" s="151"/>
      <c r="AL110" s="151">
        <f t="shared" ref="AL110" si="126">AM110</f>
        <v>638866.62562499999</v>
      </c>
      <c r="AM110" s="151">
        <f>AA110+3407288.67/4/4</f>
        <v>638866.62562499999</v>
      </c>
      <c r="AN110" s="151"/>
      <c r="AO110" s="151"/>
      <c r="AP110" s="151"/>
      <c r="AQ110" s="151"/>
      <c r="AR110" s="151"/>
      <c r="AS110" s="151"/>
      <c r="AT110" s="151"/>
      <c r="AU110" s="151"/>
      <c r="AV110" s="151"/>
      <c r="AW110" s="151"/>
      <c r="AX110" s="151">
        <f t="shared" ref="AX110" si="127">AY110</f>
        <v>851822.16749999998</v>
      </c>
      <c r="AY110" s="151">
        <f>AM110+3407288.67/4/4</f>
        <v>851822.16749999998</v>
      </c>
      <c r="AZ110" s="151"/>
      <c r="BA110" s="151"/>
      <c r="BB110" s="100">
        <f t="shared" ref="BB110" si="128">BC110</f>
        <v>851822.16749999998</v>
      </c>
      <c r="BC110" s="100">
        <f>3407288.67/4</f>
        <v>851822.16749999998</v>
      </c>
      <c r="BD110" s="100"/>
      <c r="BE110" s="100"/>
      <c r="BF110" s="100">
        <f>BG110</f>
        <v>851822.16749999998</v>
      </c>
      <c r="BG110" s="100">
        <f>3407288.67/4</f>
        <v>851822.16749999998</v>
      </c>
      <c r="BH110" s="100"/>
      <c r="BI110" s="100"/>
      <c r="BJ110" s="100">
        <f>BK110</f>
        <v>851822.16749999998</v>
      </c>
      <c r="BK110" s="100">
        <f>3407288.67/4</f>
        <v>851822.16749999998</v>
      </c>
      <c r="BL110" s="100"/>
      <c r="BM110" s="100"/>
      <c r="BN110" s="100" t="e">
        <f>#REF!+AX110+BB110+BF110+BJ110</f>
        <v>#REF!</v>
      </c>
      <c r="BO110" s="100">
        <f t="shared" si="117"/>
        <v>3407288.67</v>
      </c>
      <c r="BP110" s="100">
        <f t="shared" si="117"/>
        <v>0</v>
      </c>
      <c r="BQ110" s="100">
        <f t="shared" si="115"/>
        <v>3407288.67</v>
      </c>
      <c r="BR110" s="101"/>
      <c r="BS110" s="80"/>
    </row>
    <row r="111" spans="1:72" s="12" customFormat="1">
      <c r="A111" s="147"/>
      <c r="B111" s="148" t="s">
        <v>396</v>
      </c>
      <c r="C111" s="149">
        <f t="shared" ref="C111:BM111" si="129">SUM(C112:C117)</f>
        <v>64721374.976879992</v>
      </c>
      <c r="D111" s="149"/>
      <c r="E111" s="149">
        <f>SUM(E112:E117)</f>
        <v>16486481</v>
      </c>
      <c r="F111" s="149">
        <f t="shared" ref="F111:BA111" si="130">SUM(F112:F117)</f>
        <v>260384</v>
      </c>
      <c r="G111" s="149">
        <f t="shared" si="130"/>
        <v>260384</v>
      </c>
      <c r="H111" s="149">
        <f t="shared" si="130"/>
        <v>1102</v>
      </c>
      <c r="I111" s="149">
        <f t="shared" si="130"/>
        <v>261486</v>
      </c>
      <c r="J111" s="149">
        <f t="shared" si="130"/>
        <v>846053</v>
      </c>
      <c r="K111" s="149">
        <f t="shared" si="130"/>
        <v>846053</v>
      </c>
      <c r="L111" s="149">
        <f t="shared" si="130"/>
        <v>25451</v>
      </c>
      <c r="M111" s="149">
        <f t="shared" si="130"/>
        <v>871504</v>
      </c>
      <c r="N111" s="149">
        <f t="shared" si="130"/>
        <v>1103720.8500000001</v>
      </c>
      <c r="O111" s="149">
        <f t="shared" si="130"/>
        <v>1103720.8500000001</v>
      </c>
      <c r="P111" s="149">
        <f t="shared" si="130"/>
        <v>28505.66</v>
      </c>
      <c r="Q111" s="149">
        <f t="shared" si="130"/>
        <v>1132227</v>
      </c>
      <c r="R111" s="149">
        <f t="shared" si="130"/>
        <v>3001873.85</v>
      </c>
      <c r="S111" s="149">
        <f t="shared" si="130"/>
        <v>3001873.85</v>
      </c>
      <c r="T111" s="149">
        <f t="shared" si="130"/>
        <v>60952.66</v>
      </c>
      <c r="U111" s="149">
        <f t="shared" si="130"/>
        <v>3062827</v>
      </c>
      <c r="V111" s="149">
        <f t="shared" si="130"/>
        <v>4590894.8499999996</v>
      </c>
      <c r="W111" s="149">
        <f t="shared" si="130"/>
        <v>4590894.8499999996</v>
      </c>
      <c r="X111" s="149">
        <f t="shared" si="130"/>
        <v>77915.66</v>
      </c>
      <c r="Y111" s="149">
        <f t="shared" si="130"/>
        <v>4668811</v>
      </c>
      <c r="Z111" s="149">
        <f t="shared" si="130"/>
        <v>5926375.75</v>
      </c>
      <c r="AA111" s="149">
        <f t="shared" si="130"/>
        <v>5926375.75</v>
      </c>
      <c r="AB111" s="149">
        <f t="shared" si="130"/>
        <v>86452.76</v>
      </c>
      <c r="AC111" s="149">
        <f t="shared" si="130"/>
        <v>6012829</v>
      </c>
      <c r="AD111" s="149">
        <f t="shared" si="130"/>
        <v>8331242.75</v>
      </c>
      <c r="AE111" s="149">
        <f t="shared" si="130"/>
        <v>8331242.75</v>
      </c>
      <c r="AF111" s="149">
        <f t="shared" si="130"/>
        <v>136498.64000000001</v>
      </c>
      <c r="AG111" s="149">
        <f t="shared" si="130"/>
        <v>8467742</v>
      </c>
      <c r="AH111" s="149">
        <f t="shared" si="130"/>
        <v>10284927.75</v>
      </c>
      <c r="AI111" s="149">
        <f t="shared" si="130"/>
        <v>10284927.75</v>
      </c>
      <c r="AJ111" s="149">
        <f t="shared" si="130"/>
        <v>161507.64000000001</v>
      </c>
      <c r="AK111" s="149">
        <f t="shared" si="130"/>
        <v>10446435</v>
      </c>
      <c r="AL111" s="149">
        <f t="shared" si="130"/>
        <v>13650694.046157001</v>
      </c>
      <c r="AM111" s="149">
        <f t="shared" si="130"/>
        <v>13650694.046157001</v>
      </c>
      <c r="AN111" s="149">
        <f t="shared" si="130"/>
        <v>179378.64</v>
      </c>
      <c r="AO111" s="149">
        <f t="shared" si="130"/>
        <v>12231739</v>
      </c>
      <c r="AP111" s="149">
        <f t="shared" si="130"/>
        <v>16847569.342314001</v>
      </c>
      <c r="AQ111" s="149">
        <f t="shared" si="130"/>
        <v>16847569.342314001</v>
      </c>
      <c r="AR111" s="149">
        <f t="shared" si="130"/>
        <v>198337.64</v>
      </c>
      <c r="AS111" s="149">
        <f t="shared" si="130"/>
        <v>13849239</v>
      </c>
      <c r="AT111" s="149">
        <f t="shared" si="130"/>
        <v>19917164.638471</v>
      </c>
      <c r="AU111" s="149">
        <f t="shared" si="130"/>
        <v>19917164.638471</v>
      </c>
      <c r="AV111" s="149">
        <f t="shared" si="130"/>
        <v>211370.64</v>
      </c>
      <c r="AW111" s="149">
        <f t="shared" si="130"/>
        <v>15333533</v>
      </c>
      <c r="AX111" s="149">
        <f t="shared" si="130"/>
        <v>22665099.574628003</v>
      </c>
      <c r="AY111" s="149">
        <f t="shared" si="130"/>
        <v>22665099.574628003</v>
      </c>
      <c r="AZ111" s="149">
        <f t="shared" si="130"/>
        <v>214718.68</v>
      </c>
      <c r="BA111" s="149">
        <f t="shared" si="130"/>
        <v>16486481</v>
      </c>
      <c r="BB111" s="99">
        <f t="shared" si="129"/>
        <v>21203513.821570002</v>
      </c>
      <c r="BC111" s="99">
        <f t="shared" si="129"/>
        <v>21203513.821570002</v>
      </c>
      <c r="BD111" s="99">
        <f t="shared" si="129"/>
        <v>86310.1</v>
      </c>
      <c r="BE111" s="99">
        <f t="shared" si="129"/>
        <v>5306481</v>
      </c>
      <c r="BF111" s="99">
        <f t="shared" si="129"/>
        <v>12464076.822745999</v>
      </c>
      <c r="BG111" s="99">
        <f t="shared" si="129"/>
        <v>12464076.580681998</v>
      </c>
      <c r="BH111" s="99">
        <f t="shared" si="129"/>
        <v>0</v>
      </c>
      <c r="BI111" s="99">
        <f t="shared" si="129"/>
        <v>0</v>
      </c>
      <c r="BJ111" s="99">
        <f t="shared" si="129"/>
        <v>0</v>
      </c>
      <c r="BK111" s="99">
        <f t="shared" si="129"/>
        <v>0</v>
      </c>
      <c r="BL111" s="99">
        <f t="shared" si="129"/>
        <v>0</v>
      </c>
      <c r="BM111" s="99">
        <f t="shared" si="129"/>
        <v>0</v>
      </c>
      <c r="BN111" s="99" t="e">
        <f>#REF!+AX111+BB111+BF111+BJ111</f>
        <v>#REF!</v>
      </c>
      <c r="BO111" s="99">
        <f t="shared" si="117"/>
        <v>56332689.976879999</v>
      </c>
      <c r="BP111" s="99">
        <f t="shared" si="117"/>
        <v>301028.78000000003</v>
      </c>
      <c r="BQ111" s="99">
        <f t="shared" si="115"/>
        <v>56633718.75688</v>
      </c>
      <c r="BR111" s="102"/>
      <c r="BS111" s="80"/>
      <c r="BT111" s="8"/>
    </row>
    <row r="112" spans="1:72" s="13" customFormat="1" ht="120" customHeight="1">
      <c r="A112" s="138" t="s">
        <v>74</v>
      </c>
      <c r="B112" s="138" t="s">
        <v>397</v>
      </c>
      <c r="C112" s="139">
        <v>7765913.9195999997</v>
      </c>
      <c r="D112" s="139"/>
      <c r="E112" s="139">
        <v>3133662</v>
      </c>
      <c r="F112" s="139">
        <v>31225</v>
      </c>
      <c r="G112" s="139">
        <v>31225</v>
      </c>
      <c r="H112" s="139">
        <v>1102</v>
      </c>
      <c r="I112" s="139">
        <v>32327</v>
      </c>
      <c r="J112" s="139">
        <f>F112+89923</f>
        <v>121148</v>
      </c>
      <c r="K112" s="139">
        <f>G112+89923</f>
        <v>121148</v>
      </c>
      <c r="L112" s="139">
        <f>H112+4267</f>
        <v>5369</v>
      </c>
      <c r="M112" s="139">
        <f>I112+94190</f>
        <v>126517</v>
      </c>
      <c r="N112" s="139">
        <f>J112+66188</f>
        <v>187336</v>
      </c>
      <c r="O112" s="139">
        <f>K112+66188</f>
        <v>187336</v>
      </c>
      <c r="P112" s="139">
        <f>L112+3055</f>
        <v>8424</v>
      </c>
      <c r="Q112" s="139">
        <f>M112+69243</f>
        <v>195760</v>
      </c>
      <c r="R112" s="139">
        <f>N112+176343</f>
        <v>363679</v>
      </c>
      <c r="S112" s="139">
        <f>O112+176343</f>
        <v>363679</v>
      </c>
      <c r="T112" s="139">
        <f>P112+6314</f>
        <v>14738</v>
      </c>
      <c r="U112" s="139">
        <f>Q112+182657</f>
        <v>378417</v>
      </c>
      <c r="V112" s="139">
        <f>R112+437635</f>
        <v>801314</v>
      </c>
      <c r="W112" s="139">
        <f>S112+437635</f>
        <v>801314</v>
      </c>
      <c r="X112" s="139">
        <f>T112+16963</f>
        <v>31701</v>
      </c>
      <c r="Y112" s="139">
        <f>U112+454598</f>
        <v>833015</v>
      </c>
      <c r="Z112" s="139">
        <f>V112+289843</f>
        <v>1091157</v>
      </c>
      <c r="AA112" s="139">
        <f>W112+289843</f>
        <v>1091157</v>
      </c>
      <c r="AB112" s="139">
        <f>X112+8537</f>
        <v>40238</v>
      </c>
      <c r="AC112" s="139">
        <f>Y112+298380</f>
        <v>1131395</v>
      </c>
      <c r="AD112" s="139">
        <f>Z112+562315</f>
        <v>1653472</v>
      </c>
      <c r="AE112" s="139">
        <f>AA112+562315</f>
        <v>1653472</v>
      </c>
      <c r="AF112" s="139">
        <f>AB112+23732</f>
        <v>63970</v>
      </c>
      <c r="AG112" s="139">
        <f>AC112+586047</f>
        <v>1717442</v>
      </c>
      <c r="AH112" s="139">
        <f>AD112+338778</f>
        <v>1992250</v>
      </c>
      <c r="AI112" s="139">
        <f>AE112+338778</f>
        <v>1992250</v>
      </c>
      <c r="AJ112" s="139">
        <f>AF112+10654</f>
        <v>74624</v>
      </c>
      <c r="AK112" s="139">
        <f>AG112+349432</f>
        <v>2066874</v>
      </c>
      <c r="AL112" s="139">
        <f>AH112+409330</f>
        <v>2401580</v>
      </c>
      <c r="AM112" s="139">
        <f>AI112+409330</f>
        <v>2401580</v>
      </c>
      <c r="AN112" s="139">
        <f>AJ112+14166</f>
        <v>88790</v>
      </c>
      <c r="AO112" s="139">
        <f>AK112+423496</f>
        <v>2490370</v>
      </c>
      <c r="AP112" s="139">
        <f>AL112+237733</f>
        <v>2639313</v>
      </c>
      <c r="AQ112" s="139">
        <f>AM112+237733</f>
        <v>2639313</v>
      </c>
      <c r="AR112" s="139">
        <f>AN112+7909</f>
        <v>96699</v>
      </c>
      <c r="AS112" s="139">
        <f>AO112+245642</f>
        <v>2736012</v>
      </c>
      <c r="AT112" s="139">
        <f>AP112+286410</f>
        <v>2925723</v>
      </c>
      <c r="AU112" s="139">
        <f>AQ112+286410</f>
        <v>2925723</v>
      </c>
      <c r="AV112" s="139">
        <f>AR112+13033</f>
        <v>109732</v>
      </c>
      <c r="AW112" s="139">
        <f>AS112+299443</f>
        <v>3035455</v>
      </c>
      <c r="AX112" s="139">
        <f>AT112+94859</f>
        <v>3020582</v>
      </c>
      <c r="AY112" s="139">
        <f>AU112+94859</f>
        <v>3020582</v>
      </c>
      <c r="AZ112" s="139">
        <f>AV112+3348</f>
        <v>113080</v>
      </c>
      <c r="BA112" s="139">
        <f>AW112+98207</f>
        <v>3133662</v>
      </c>
      <c r="BB112" s="90">
        <v>808679</v>
      </c>
      <c r="BC112" s="90">
        <v>808679</v>
      </c>
      <c r="BD112" s="90">
        <v>28030</v>
      </c>
      <c r="BE112" s="90">
        <v>836709</v>
      </c>
      <c r="BF112" s="90">
        <v>855213.91960000002</v>
      </c>
      <c r="BG112" s="90">
        <v>855213.91960000002</v>
      </c>
      <c r="BH112" s="90">
        <v>0</v>
      </c>
      <c r="BI112" s="90">
        <v>0</v>
      </c>
      <c r="BJ112" s="90">
        <v>0</v>
      </c>
      <c r="BK112" s="90">
        <v>0</v>
      </c>
      <c r="BL112" s="90">
        <v>0</v>
      </c>
      <c r="BM112" s="90">
        <v>0</v>
      </c>
      <c r="BN112" s="90" t="e">
        <f>#REF!+AX112+BB112+BF112+BJ112</f>
        <v>#REF!</v>
      </c>
      <c r="BO112" s="90">
        <f t="shared" si="117"/>
        <v>4684474.9195999997</v>
      </c>
      <c r="BP112" s="90">
        <f t="shared" si="117"/>
        <v>141110</v>
      </c>
      <c r="BQ112" s="90">
        <f t="shared" si="115"/>
        <v>4825584.9195999997</v>
      </c>
      <c r="BR112" s="92"/>
      <c r="BS112" s="80"/>
    </row>
    <row r="113" spans="1:72" s="13" customFormat="1" ht="63" customHeight="1">
      <c r="A113" s="138" t="s">
        <v>75</v>
      </c>
      <c r="B113" s="138" t="s">
        <v>398</v>
      </c>
      <c r="C113" s="139">
        <v>4343809.4379359996</v>
      </c>
      <c r="D113" s="139"/>
      <c r="E113" s="139">
        <v>1995635</v>
      </c>
      <c r="F113" s="139">
        <f>0</f>
        <v>0</v>
      </c>
      <c r="G113" s="139">
        <v>0</v>
      </c>
      <c r="H113" s="139">
        <v>0</v>
      </c>
      <c r="I113" s="139">
        <v>0</v>
      </c>
      <c r="J113" s="139">
        <f>243873</f>
        <v>243873</v>
      </c>
      <c r="K113" s="139">
        <f>243873</f>
        <v>243873</v>
      </c>
      <c r="L113" s="139">
        <v>20082</v>
      </c>
      <c r="M113" s="139">
        <f>I113+263955</f>
        <v>263955</v>
      </c>
      <c r="N113" s="139">
        <v>243872.85</v>
      </c>
      <c r="O113" s="139">
        <v>243872.85</v>
      </c>
      <c r="P113" s="139">
        <v>20081.66</v>
      </c>
      <c r="Q113" s="139">
        <v>263955</v>
      </c>
      <c r="R113" s="139">
        <f>N113+566177</f>
        <v>810049.85</v>
      </c>
      <c r="S113" s="139">
        <f>O113+566177</f>
        <v>810049.85</v>
      </c>
      <c r="T113" s="139">
        <f>P113+26133</f>
        <v>46214.66</v>
      </c>
      <c r="U113" s="139">
        <f>Q113+592310</f>
        <v>856265</v>
      </c>
      <c r="V113" s="139">
        <f>R113</f>
        <v>810049.85</v>
      </c>
      <c r="W113" s="139">
        <f>S113</f>
        <v>810049.85</v>
      </c>
      <c r="X113" s="139">
        <f>T113</f>
        <v>46214.66</v>
      </c>
      <c r="Y113" s="139">
        <f>U113+0</f>
        <v>856265</v>
      </c>
      <c r="Z113" s="139">
        <v>810049.75</v>
      </c>
      <c r="AA113" s="139">
        <v>810049.75</v>
      </c>
      <c r="AB113" s="139">
        <v>46214.759999999995</v>
      </c>
      <c r="AC113" s="139">
        <f>Y113+0</f>
        <v>856265</v>
      </c>
      <c r="AD113" s="139">
        <f>Z113+496981</f>
        <v>1307030.75</v>
      </c>
      <c r="AE113" s="139">
        <f>AA113+496981</f>
        <v>1307030.75</v>
      </c>
      <c r="AF113" s="139">
        <f>AB113+26313.88</f>
        <v>72528.639999999999</v>
      </c>
      <c r="AG113" s="139">
        <f>AC113+523295</f>
        <v>1379560</v>
      </c>
      <c r="AH113" s="139">
        <f>AD113+382785</f>
        <v>1689815.75</v>
      </c>
      <c r="AI113" s="139">
        <f>AE113+382785</f>
        <v>1689815.75</v>
      </c>
      <c r="AJ113" s="139">
        <f>AF113+14355</f>
        <v>86883.64</v>
      </c>
      <c r="AK113" s="139">
        <f>AG113+397139</f>
        <v>1776699</v>
      </c>
      <c r="AL113" s="139">
        <f>AH113+69992</f>
        <v>1759807.75</v>
      </c>
      <c r="AM113" s="139">
        <f>AI113+69992</f>
        <v>1759807.75</v>
      </c>
      <c r="AN113" s="139">
        <f>AJ113+3705</f>
        <v>90588.64</v>
      </c>
      <c r="AO113" s="139">
        <f>AK113+73698</f>
        <v>1850397</v>
      </c>
      <c r="AP113" s="139">
        <f>AL113+134188</f>
        <v>1893995.75</v>
      </c>
      <c r="AQ113" s="139">
        <f>AM113+134188</f>
        <v>1893995.75</v>
      </c>
      <c r="AR113" s="139">
        <f>AN113+11050</f>
        <v>101638.64</v>
      </c>
      <c r="AS113" s="139">
        <f>AO113+145238</f>
        <v>1995635</v>
      </c>
      <c r="AT113" s="139">
        <f>AP113</f>
        <v>1893995.75</v>
      </c>
      <c r="AU113" s="139">
        <f>AQ113</f>
        <v>1893995.75</v>
      </c>
      <c r="AV113" s="139">
        <f>AR113</f>
        <v>101638.64</v>
      </c>
      <c r="AW113" s="139">
        <f>AS113</f>
        <v>1995635</v>
      </c>
      <c r="AX113" s="139">
        <v>1893996.39</v>
      </c>
      <c r="AY113" s="139">
        <v>1893996.39</v>
      </c>
      <c r="AZ113" s="139">
        <v>101638.68</v>
      </c>
      <c r="BA113" s="139">
        <f>AW113</f>
        <v>1995635</v>
      </c>
      <c r="BB113" s="90">
        <v>836708.86</v>
      </c>
      <c r="BC113" s="90">
        <v>836708.86</v>
      </c>
      <c r="BD113" s="90">
        <v>58280.1</v>
      </c>
      <c r="BE113" s="90">
        <v>894989</v>
      </c>
      <c r="BF113" s="90">
        <v>303449.43</v>
      </c>
      <c r="BG113" s="90">
        <v>303449.187936</v>
      </c>
      <c r="BH113" s="90">
        <v>0</v>
      </c>
      <c r="BI113" s="90">
        <v>0</v>
      </c>
      <c r="BJ113" s="90">
        <v>0</v>
      </c>
      <c r="BK113" s="90">
        <v>0</v>
      </c>
      <c r="BL113" s="90">
        <v>0</v>
      </c>
      <c r="BM113" s="90">
        <v>0</v>
      </c>
      <c r="BN113" s="90" t="e">
        <f>#REF!+AX113+BB113+BF113+BJ113</f>
        <v>#REF!</v>
      </c>
      <c r="BO113" s="90">
        <f t="shared" si="117"/>
        <v>3034154.4379360001</v>
      </c>
      <c r="BP113" s="90">
        <f t="shared" si="117"/>
        <v>159918.78</v>
      </c>
      <c r="BQ113" s="90">
        <f t="shared" si="115"/>
        <v>3194073.2179359999</v>
      </c>
      <c r="BR113" s="92"/>
      <c r="BS113" s="80"/>
    </row>
    <row r="114" spans="1:72" s="13" customFormat="1" ht="81.75" customHeight="1">
      <c r="A114" s="138" t="s">
        <v>76</v>
      </c>
      <c r="B114" s="138" t="s">
        <v>399</v>
      </c>
      <c r="C114" s="139">
        <v>0</v>
      </c>
      <c r="D114" s="139"/>
      <c r="E114" s="139">
        <v>0</v>
      </c>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39"/>
      <c r="AZ114" s="139"/>
      <c r="BA114" s="139"/>
      <c r="BB114" s="90"/>
      <c r="BC114" s="90"/>
      <c r="BD114" s="90"/>
      <c r="BE114" s="90"/>
      <c r="BF114" s="90"/>
      <c r="BG114" s="90"/>
      <c r="BH114" s="90"/>
      <c r="BI114" s="90"/>
      <c r="BJ114" s="90"/>
      <c r="BK114" s="90"/>
      <c r="BL114" s="90"/>
      <c r="BM114" s="90"/>
      <c r="BN114" s="90" t="e">
        <f>#REF!+AX114+BB114+BF114+BJ114</f>
        <v>#REF!</v>
      </c>
      <c r="BO114" s="90">
        <f t="shared" si="117"/>
        <v>0</v>
      </c>
      <c r="BP114" s="90">
        <f t="shared" si="117"/>
        <v>0</v>
      </c>
      <c r="BQ114" s="90">
        <f t="shared" si="115"/>
        <v>0</v>
      </c>
      <c r="BR114" s="92"/>
      <c r="BS114" s="80"/>
    </row>
    <row r="115" spans="1:72" s="13" customFormat="1" ht="65.25" customHeight="1">
      <c r="A115" s="138" t="s">
        <v>77</v>
      </c>
      <c r="B115" s="138" t="s">
        <v>400</v>
      </c>
      <c r="C115" s="139">
        <v>0</v>
      </c>
      <c r="D115" s="139"/>
      <c r="E115" s="139">
        <v>0</v>
      </c>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90"/>
      <c r="BC115" s="90"/>
      <c r="BD115" s="90"/>
      <c r="BE115" s="90"/>
      <c r="BF115" s="90"/>
      <c r="BG115" s="90"/>
      <c r="BH115" s="90"/>
      <c r="BI115" s="90"/>
      <c r="BJ115" s="90"/>
      <c r="BK115" s="90"/>
      <c r="BL115" s="90"/>
      <c r="BM115" s="90"/>
      <c r="BN115" s="90" t="e">
        <f>#REF!+AX115+BB115+BF115+BJ115</f>
        <v>#REF!</v>
      </c>
      <c r="BO115" s="90">
        <f t="shared" si="117"/>
        <v>0</v>
      </c>
      <c r="BP115" s="90">
        <f t="shared" si="117"/>
        <v>0</v>
      </c>
      <c r="BQ115" s="90">
        <f t="shared" si="115"/>
        <v>0</v>
      </c>
      <c r="BR115" s="92"/>
      <c r="BS115" s="80"/>
    </row>
    <row r="116" spans="1:72" s="13" customFormat="1" ht="66" customHeight="1">
      <c r="A116" s="138" t="s">
        <v>78</v>
      </c>
      <c r="B116" s="138" t="s">
        <v>401</v>
      </c>
      <c r="C116" s="139">
        <v>47759948.923139997</v>
      </c>
      <c r="D116" s="139"/>
      <c r="E116" s="139">
        <v>9710296</v>
      </c>
      <c r="F116" s="139">
        <v>142050</v>
      </c>
      <c r="G116" s="139">
        <v>142050</v>
      </c>
      <c r="H116" s="139">
        <v>0</v>
      </c>
      <c r="I116" s="139">
        <v>142050</v>
      </c>
      <c r="J116" s="139">
        <f>F116+186724</f>
        <v>328774</v>
      </c>
      <c r="K116" s="139">
        <f>G116+186724</f>
        <v>328774</v>
      </c>
      <c r="L116" s="139">
        <v>0</v>
      </c>
      <c r="M116" s="139">
        <f>I116+186724</f>
        <v>328774</v>
      </c>
      <c r="N116" s="139">
        <f>J116+191480</f>
        <v>520254</v>
      </c>
      <c r="O116" s="139">
        <f>K116+191480</f>
        <v>520254</v>
      </c>
      <c r="P116" s="139">
        <v>0</v>
      </c>
      <c r="Q116" s="139">
        <f>M116+191480</f>
        <v>520254</v>
      </c>
      <c r="R116" s="139">
        <f>N116+997275</f>
        <v>1517529</v>
      </c>
      <c r="S116" s="139">
        <f>O116+997275</f>
        <v>1517529</v>
      </c>
      <c r="T116" s="139">
        <v>0</v>
      </c>
      <c r="U116" s="139">
        <f>Q116+997275</f>
        <v>1517529</v>
      </c>
      <c r="V116" s="139">
        <f>R116+1033298</f>
        <v>2550827</v>
      </c>
      <c r="W116" s="139">
        <f>S116+1033298</f>
        <v>2550827</v>
      </c>
      <c r="X116" s="139">
        <v>0</v>
      </c>
      <c r="Y116" s="139">
        <f>U116+1033298</f>
        <v>2550827</v>
      </c>
      <c r="Z116" s="139">
        <f>V116+923025</f>
        <v>3473852</v>
      </c>
      <c r="AA116" s="139">
        <f>W116+923025</f>
        <v>3473852</v>
      </c>
      <c r="AB116" s="139">
        <v>0</v>
      </c>
      <c r="AC116" s="139">
        <f>Y116+923025</f>
        <v>3473852</v>
      </c>
      <c r="AD116" s="139">
        <f>Z116+1153238</f>
        <v>4627090</v>
      </c>
      <c r="AE116" s="139">
        <f>AA116+1153238</f>
        <v>4627090</v>
      </c>
      <c r="AF116" s="139">
        <v>0</v>
      </c>
      <c r="AG116" s="139">
        <f>AC116+1153238</f>
        <v>4627090</v>
      </c>
      <c r="AH116" s="139">
        <f>AD116+1041427</f>
        <v>5668517</v>
      </c>
      <c r="AI116" s="139">
        <f>AE116+1041427</f>
        <v>5668517</v>
      </c>
      <c r="AJ116" s="139">
        <v>0</v>
      </c>
      <c r="AK116" s="139">
        <f>AG116+1041427</f>
        <v>5668517</v>
      </c>
      <c r="AL116" s="139">
        <f>AH116+1072025+31966685.92314*0.05</f>
        <v>8338876.2961570006</v>
      </c>
      <c r="AM116" s="139">
        <f>AI116+1072025+31966685.92314*0.05</f>
        <v>8338876.2961570006</v>
      </c>
      <c r="AN116" s="139">
        <v>0</v>
      </c>
      <c r="AO116" s="139">
        <f>AK116+1072025</f>
        <v>6740542</v>
      </c>
      <c r="AP116" s="139">
        <f>AL116+980921+31966685.92314*0.05</f>
        <v>10918131.592314001</v>
      </c>
      <c r="AQ116" s="139">
        <f>AM116+980921+31966685.92314*0.05</f>
        <v>10918131.592314001</v>
      </c>
      <c r="AR116" s="139">
        <v>0</v>
      </c>
      <c r="AS116" s="139">
        <f>AO116+980921</f>
        <v>7721463</v>
      </c>
      <c r="AT116" s="139">
        <f>AP116+997767+31966685.92314*0.05</f>
        <v>13514232.888471002</v>
      </c>
      <c r="AU116" s="139">
        <f>AQ116+997767+31966685.92314*0.05</f>
        <v>13514232.888471002</v>
      </c>
      <c r="AV116" s="139">
        <v>0</v>
      </c>
      <c r="AW116" s="139">
        <f>AS116+997767</f>
        <v>8719230</v>
      </c>
      <c r="AX116" s="139">
        <f>AT116+991066+31966685.92314*0.05</f>
        <v>16103633.184628002</v>
      </c>
      <c r="AY116" s="139">
        <f>AU116+991066+31966685.92314*0.05</f>
        <v>16103633.184628002</v>
      </c>
      <c r="AZ116" s="139">
        <v>0</v>
      </c>
      <c r="BA116" s="139">
        <f>AW116+991066</f>
        <v>9710296</v>
      </c>
      <c r="BB116" s="90">
        <f>3207241+31966685.92314*0.5</f>
        <v>19190583.961570002</v>
      </c>
      <c r="BC116" s="90">
        <f>3207241+31966685.92314*0.5</f>
        <v>19190583.961570002</v>
      </c>
      <c r="BD116" s="90">
        <v>0</v>
      </c>
      <c r="BE116" s="90">
        <v>3207241</v>
      </c>
      <c r="BF116" s="90">
        <f>31966685.92314*0.3</f>
        <v>9590005.7769419998</v>
      </c>
      <c r="BG116" s="90">
        <f>31966685.92314*0.3</f>
        <v>9590005.7769419998</v>
      </c>
      <c r="BH116" s="90">
        <v>0</v>
      </c>
      <c r="BI116" s="90">
        <v>0</v>
      </c>
      <c r="BJ116" s="90">
        <v>0</v>
      </c>
      <c r="BK116" s="90">
        <v>0</v>
      </c>
      <c r="BL116" s="90">
        <v>0</v>
      </c>
      <c r="BM116" s="90">
        <v>0</v>
      </c>
      <c r="BN116" s="90" t="e">
        <f>#REF!+AX116+BB116+BF116+BJ116</f>
        <v>#REF!</v>
      </c>
      <c r="BO116" s="90">
        <f t="shared" si="117"/>
        <v>44884222.923140004</v>
      </c>
      <c r="BP116" s="90">
        <f t="shared" si="117"/>
        <v>0</v>
      </c>
      <c r="BQ116" s="90">
        <f t="shared" si="115"/>
        <v>44884222.923140004</v>
      </c>
      <c r="BR116" s="92"/>
      <c r="BS116" s="80"/>
    </row>
    <row r="117" spans="1:72" s="13" customFormat="1" ht="84.75" customHeight="1">
      <c r="A117" s="138" t="s">
        <v>79</v>
      </c>
      <c r="B117" s="138" t="s">
        <v>402</v>
      </c>
      <c r="C117" s="139">
        <v>4851702.6962040002</v>
      </c>
      <c r="D117" s="139"/>
      <c r="E117" s="139">
        <v>1646888</v>
      </c>
      <c r="F117" s="139">
        <v>87109</v>
      </c>
      <c r="G117" s="139">
        <v>87109</v>
      </c>
      <c r="H117" s="139">
        <v>0</v>
      </c>
      <c r="I117" s="139">
        <v>87109</v>
      </c>
      <c r="J117" s="139">
        <f>F117+65149</f>
        <v>152258</v>
      </c>
      <c r="K117" s="139">
        <f>G117+65149</f>
        <v>152258</v>
      </c>
      <c r="L117" s="139">
        <v>0</v>
      </c>
      <c r="M117" s="139">
        <f>I117+65149</f>
        <v>152258</v>
      </c>
      <c r="N117" s="139">
        <f>J117</f>
        <v>152258</v>
      </c>
      <c r="O117" s="139">
        <f>K117</f>
        <v>152258</v>
      </c>
      <c r="P117" s="139">
        <v>0</v>
      </c>
      <c r="Q117" s="139">
        <f>M117</f>
        <v>152258</v>
      </c>
      <c r="R117" s="139">
        <f>N117+158358</f>
        <v>310616</v>
      </c>
      <c r="S117" s="139">
        <f>O117+158358</f>
        <v>310616</v>
      </c>
      <c r="T117" s="139">
        <v>0</v>
      </c>
      <c r="U117" s="139">
        <f>Q117+158358</f>
        <v>310616</v>
      </c>
      <c r="V117" s="139">
        <f>R117+118088</f>
        <v>428704</v>
      </c>
      <c r="W117" s="139">
        <f>S117+118088</f>
        <v>428704</v>
      </c>
      <c r="X117" s="139">
        <v>0</v>
      </c>
      <c r="Y117" s="139">
        <f>U117+118088</f>
        <v>428704</v>
      </c>
      <c r="Z117" s="139">
        <f>V117+122613</f>
        <v>551317</v>
      </c>
      <c r="AA117" s="139">
        <f>W117+122613</f>
        <v>551317</v>
      </c>
      <c r="AB117" s="139">
        <v>0</v>
      </c>
      <c r="AC117" s="139">
        <f>Y117+122613</f>
        <v>551317</v>
      </c>
      <c r="AD117" s="139">
        <f>Z117+192333</f>
        <v>743650</v>
      </c>
      <c r="AE117" s="139">
        <f>AA117+192333</f>
        <v>743650</v>
      </c>
      <c r="AF117" s="139">
        <v>0</v>
      </c>
      <c r="AG117" s="139">
        <f>AC117+192333</f>
        <v>743650</v>
      </c>
      <c r="AH117" s="139">
        <f>AD117+190695</f>
        <v>934345</v>
      </c>
      <c r="AI117" s="139">
        <f>AE117+190695</f>
        <v>934345</v>
      </c>
      <c r="AJ117" s="139">
        <v>0</v>
      </c>
      <c r="AK117" s="139">
        <f>AG117+190695</f>
        <v>934345</v>
      </c>
      <c r="AL117" s="139">
        <f>AH117+216085</f>
        <v>1150430</v>
      </c>
      <c r="AM117" s="139">
        <f>AI117+216085</f>
        <v>1150430</v>
      </c>
      <c r="AN117" s="139">
        <v>0</v>
      </c>
      <c r="AO117" s="139">
        <f>AK117+216085</f>
        <v>1150430</v>
      </c>
      <c r="AP117" s="139">
        <f>AL117+245699</f>
        <v>1396129</v>
      </c>
      <c r="AQ117" s="139">
        <f>AM117+245699</f>
        <v>1396129</v>
      </c>
      <c r="AR117" s="139">
        <v>0</v>
      </c>
      <c r="AS117" s="139">
        <f>AO117+245699</f>
        <v>1396129</v>
      </c>
      <c r="AT117" s="139">
        <f>AP117+187084</f>
        <v>1583213</v>
      </c>
      <c r="AU117" s="139">
        <f>AQ117+187084</f>
        <v>1583213</v>
      </c>
      <c r="AV117" s="139">
        <v>0</v>
      </c>
      <c r="AW117" s="139">
        <f>AS117+187084</f>
        <v>1583213</v>
      </c>
      <c r="AX117" s="139">
        <f>AT117+63675</f>
        <v>1646888</v>
      </c>
      <c r="AY117" s="139">
        <f>AU117+63675</f>
        <v>1646888</v>
      </c>
      <c r="AZ117" s="139">
        <v>0</v>
      </c>
      <c r="BA117" s="139">
        <f>AW117+63675</f>
        <v>1646888</v>
      </c>
      <c r="BB117" s="90">
        <v>367542</v>
      </c>
      <c r="BC117" s="90">
        <v>367542</v>
      </c>
      <c r="BD117" s="90">
        <v>0</v>
      </c>
      <c r="BE117" s="90">
        <v>367542</v>
      </c>
      <c r="BF117" s="90">
        <v>1715407.6962039999</v>
      </c>
      <c r="BG117" s="90">
        <v>1715407.6962039999</v>
      </c>
      <c r="BH117" s="90">
        <v>0</v>
      </c>
      <c r="BI117" s="90">
        <v>0</v>
      </c>
      <c r="BJ117" s="90">
        <v>0</v>
      </c>
      <c r="BK117" s="90">
        <v>0</v>
      </c>
      <c r="BL117" s="90">
        <v>0</v>
      </c>
      <c r="BM117" s="90">
        <v>0</v>
      </c>
      <c r="BN117" s="90" t="e">
        <f>#REF!+AX117+BB117+BF117+BJ117</f>
        <v>#REF!</v>
      </c>
      <c r="BO117" s="90">
        <f t="shared" si="117"/>
        <v>3729837.6962040002</v>
      </c>
      <c r="BP117" s="90">
        <f t="shared" si="117"/>
        <v>0</v>
      </c>
      <c r="BQ117" s="90">
        <f t="shared" si="115"/>
        <v>3729837.6962040002</v>
      </c>
      <c r="BR117" s="92"/>
      <c r="BS117" s="80"/>
    </row>
    <row r="118" spans="1:72" s="2" customFormat="1" ht="31.5">
      <c r="A118" s="141"/>
      <c r="B118" s="136" t="s">
        <v>403</v>
      </c>
      <c r="C118" s="137">
        <f t="shared" ref="C118:BL118" si="131">C119+C124</f>
        <v>342191749.36317599</v>
      </c>
      <c r="D118" s="137"/>
      <c r="E118" s="137">
        <f>E119+E124</f>
        <v>62204566</v>
      </c>
      <c r="F118" s="137">
        <f t="shared" si="131"/>
        <v>4230534</v>
      </c>
      <c r="G118" s="137">
        <f t="shared" si="131"/>
        <v>4266640</v>
      </c>
      <c r="H118" s="137">
        <f t="shared" si="131"/>
        <v>10454</v>
      </c>
      <c r="I118" s="137">
        <f t="shared" si="131"/>
        <v>4277094</v>
      </c>
      <c r="J118" s="137">
        <f t="shared" si="131"/>
        <v>6026622</v>
      </c>
      <c r="K118" s="137">
        <f t="shared" si="131"/>
        <v>7391720</v>
      </c>
      <c r="L118" s="137">
        <f t="shared" si="131"/>
        <v>57235</v>
      </c>
      <c r="M118" s="137">
        <f t="shared" si="131"/>
        <v>7448955</v>
      </c>
      <c r="N118" s="137">
        <f t="shared" si="131"/>
        <v>9441406</v>
      </c>
      <c r="O118" s="137">
        <f t="shared" si="131"/>
        <v>10965203</v>
      </c>
      <c r="P118" s="137">
        <f t="shared" si="131"/>
        <v>259951</v>
      </c>
      <c r="Q118" s="137">
        <f t="shared" si="131"/>
        <v>11162409</v>
      </c>
      <c r="R118" s="137">
        <f t="shared" si="131"/>
        <v>12108203</v>
      </c>
      <c r="S118" s="137">
        <f t="shared" si="131"/>
        <v>13184816</v>
      </c>
      <c r="T118" s="137">
        <f t="shared" si="131"/>
        <v>385441</v>
      </c>
      <c r="U118" s="137">
        <f t="shared" si="131"/>
        <v>13507512</v>
      </c>
      <c r="V118" s="137">
        <f t="shared" si="131"/>
        <v>16049758</v>
      </c>
      <c r="W118" s="137">
        <f t="shared" si="131"/>
        <v>15651229</v>
      </c>
      <c r="X118" s="137">
        <f t="shared" si="131"/>
        <v>465495</v>
      </c>
      <c r="Y118" s="137">
        <f t="shared" si="131"/>
        <v>16053979</v>
      </c>
      <c r="Z118" s="137">
        <f t="shared" si="131"/>
        <v>17607231</v>
      </c>
      <c r="AA118" s="137">
        <f t="shared" si="131"/>
        <v>16932391</v>
      </c>
      <c r="AB118" s="137">
        <f t="shared" si="131"/>
        <v>523961</v>
      </c>
      <c r="AC118" s="137">
        <f t="shared" si="131"/>
        <v>17393607</v>
      </c>
      <c r="AD118" s="137">
        <f t="shared" si="131"/>
        <v>40548159</v>
      </c>
      <c r="AE118" s="137">
        <f t="shared" si="131"/>
        <v>39752820</v>
      </c>
      <c r="AF118" s="137">
        <f t="shared" si="131"/>
        <v>1263483</v>
      </c>
      <c r="AG118" s="137">
        <f t="shared" si="131"/>
        <v>29088466</v>
      </c>
      <c r="AH118" s="137">
        <f t="shared" si="131"/>
        <v>49271662</v>
      </c>
      <c r="AI118" s="137">
        <f t="shared" si="131"/>
        <v>49967688</v>
      </c>
      <c r="AJ118" s="137">
        <f t="shared" si="131"/>
        <v>1826008</v>
      </c>
      <c r="AK118" s="137">
        <f t="shared" si="131"/>
        <v>35730951</v>
      </c>
      <c r="AL118" s="137">
        <f t="shared" si="131"/>
        <v>52773338</v>
      </c>
      <c r="AM118" s="137">
        <f t="shared" si="131"/>
        <v>55850919</v>
      </c>
      <c r="AN118" s="137">
        <f t="shared" si="131"/>
        <v>2469476</v>
      </c>
      <c r="AO118" s="137">
        <f t="shared" si="131"/>
        <v>42257650</v>
      </c>
      <c r="AP118" s="137">
        <f t="shared" si="131"/>
        <v>57137834</v>
      </c>
      <c r="AQ118" s="137">
        <f t="shared" si="131"/>
        <v>61931267</v>
      </c>
      <c r="AR118" s="137">
        <f t="shared" si="131"/>
        <v>2992370</v>
      </c>
      <c r="AS118" s="137">
        <f t="shared" si="131"/>
        <v>48923637</v>
      </c>
      <c r="AT118" s="137">
        <f t="shared" si="131"/>
        <v>61835676</v>
      </c>
      <c r="AU118" s="137">
        <f t="shared" si="131"/>
        <v>68252388</v>
      </c>
      <c r="AV118" s="137">
        <f t="shared" si="131"/>
        <v>3441832</v>
      </c>
      <c r="AW118" s="137">
        <f t="shared" si="131"/>
        <v>55631472</v>
      </c>
      <c r="AX118" s="137">
        <f t="shared" si="131"/>
        <v>69247282</v>
      </c>
      <c r="AY118" s="137">
        <f t="shared" si="131"/>
        <v>74323495</v>
      </c>
      <c r="AZ118" s="137">
        <f t="shared" si="131"/>
        <v>3943819</v>
      </c>
      <c r="BA118" s="137">
        <f t="shared" si="131"/>
        <v>62204566</v>
      </c>
      <c r="BB118" s="88">
        <f t="shared" si="131"/>
        <v>66613550</v>
      </c>
      <c r="BC118" s="88">
        <f t="shared" si="131"/>
        <v>77903190</v>
      </c>
      <c r="BD118" s="88">
        <f t="shared" si="131"/>
        <v>5097437</v>
      </c>
      <c r="BE118" s="88">
        <f t="shared" si="131"/>
        <v>28655702</v>
      </c>
      <c r="BF118" s="88">
        <f t="shared" si="131"/>
        <v>73940679</v>
      </c>
      <c r="BG118" s="88">
        <f t="shared" si="131"/>
        <v>40793629</v>
      </c>
      <c r="BH118" s="88">
        <f t="shared" si="131"/>
        <v>664325</v>
      </c>
      <c r="BI118" s="88">
        <f t="shared" si="131"/>
        <v>8398372</v>
      </c>
      <c r="BJ118" s="88">
        <f t="shared" si="131"/>
        <v>21723033</v>
      </c>
      <c r="BK118" s="88">
        <f t="shared" si="131"/>
        <v>21209739</v>
      </c>
      <c r="BL118" s="88">
        <f t="shared" si="131"/>
        <v>0</v>
      </c>
      <c r="BM118" s="88">
        <f t="shared" ref="BM118" si="132">BM119+BM124</f>
        <v>0</v>
      </c>
      <c r="BN118" s="88" t="e">
        <f>#REF!+AX118+BB118+BF118+BJ118</f>
        <v>#REF!</v>
      </c>
      <c r="BO118" s="88">
        <f t="shared" si="117"/>
        <v>214230053</v>
      </c>
      <c r="BP118" s="88">
        <f t="shared" si="117"/>
        <v>9705581</v>
      </c>
      <c r="BQ118" s="88">
        <f t="shared" si="115"/>
        <v>223935634</v>
      </c>
      <c r="BR118" s="89"/>
      <c r="BS118" s="80"/>
      <c r="BT118" s="8"/>
    </row>
    <row r="119" spans="1:72" s="12" customFormat="1" ht="31.5">
      <c r="A119" s="147"/>
      <c r="B119" s="152" t="s">
        <v>404</v>
      </c>
      <c r="C119" s="153">
        <f t="shared" ref="C119:BA119" si="133">SUM(C120:C123)</f>
        <v>153973230.30987599</v>
      </c>
      <c r="D119" s="153"/>
      <c r="E119" s="153">
        <f t="shared" ref="E119" si="134">SUM(E120:E123)</f>
        <v>22752973</v>
      </c>
      <c r="F119" s="153">
        <f t="shared" ref="F119:M119" si="135">SUM(F120:F123)</f>
        <v>4230534</v>
      </c>
      <c r="G119" s="153">
        <f t="shared" si="135"/>
        <v>4230534</v>
      </c>
      <c r="H119" s="153">
        <f t="shared" si="135"/>
        <v>1841</v>
      </c>
      <c r="I119" s="153">
        <f t="shared" si="135"/>
        <v>4232375</v>
      </c>
      <c r="J119" s="153">
        <f t="shared" si="135"/>
        <v>5481658</v>
      </c>
      <c r="K119" s="153">
        <f t="shared" si="135"/>
        <v>6678603</v>
      </c>
      <c r="L119" s="153">
        <f t="shared" si="135"/>
        <v>3682</v>
      </c>
      <c r="M119" s="153">
        <f t="shared" si="135"/>
        <v>6682285</v>
      </c>
      <c r="N119" s="153">
        <f t="shared" si="133"/>
        <v>6228371</v>
      </c>
      <c r="O119" s="153">
        <f t="shared" si="133"/>
        <v>7474024</v>
      </c>
      <c r="P119" s="153">
        <f t="shared" si="133"/>
        <v>5523</v>
      </c>
      <c r="Q119" s="153">
        <f t="shared" si="133"/>
        <v>7479547</v>
      </c>
      <c r="R119" s="153">
        <f t="shared" si="133"/>
        <v>7080577</v>
      </c>
      <c r="S119" s="153">
        <f t="shared" si="133"/>
        <v>8330805</v>
      </c>
      <c r="T119" s="153">
        <f t="shared" si="133"/>
        <v>7364</v>
      </c>
      <c r="U119" s="153">
        <f t="shared" si="133"/>
        <v>8338169</v>
      </c>
      <c r="V119" s="153">
        <f t="shared" ref="V119:Y119" si="136">SUM(V120:V123)</f>
        <v>8255238</v>
      </c>
      <c r="W119" s="153">
        <f t="shared" si="136"/>
        <v>9553566</v>
      </c>
      <c r="X119" s="153">
        <f t="shared" si="136"/>
        <v>9205</v>
      </c>
      <c r="Y119" s="153">
        <f t="shared" si="136"/>
        <v>9562771</v>
      </c>
      <c r="Z119" s="153">
        <f t="shared" si="133"/>
        <v>8981911</v>
      </c>
      <c r="AA119" s="153">
        <f t="shared" si="133"/>
        <v>10281764</v>
      </c>
      <c r="AB119" s="153">
        <f t="shared" si="133"/>
        <v>11046</v>
      </c>
      <c r="AC119" s="153">
        <f t="shared" si="133"/>
        <v>10292810</v>
      </c>
      <c r="AD119" s="153">
        <f t="shared" si="133"/>
        <v>28732944</v>
      </c>
      <c r="AE119" s="153">
        <f t="shared" si="133"/>
        <v>27587013</v>
      </c>
      <c r="AF119" s="153">
        <f t="shared" si="133"/>
        <v>12887</v>
      </c>
      <c r="AG119" s="153">
        <f t="shared" si="133"/>
        <v>15734808</v>
      </c>
      <c r="AH119" s="153">
        <f t="shared" ref="AH119:AK119" si="137">SUM(AH120:AH123)</f>
        <v>34118334</v>
      </c>
      <c r="AI119" s="153">
        <f t="shared" si="137"/>
        <v>32973928</v>
      </c>
      <c r="AJ119" s="153">
        <f t="shared" si="137"/>
        <v>14728</v>
      </c>
      <c r="AK119" s="153">
        <f t="shared" si="137"/>
        <v>16988656</v>
      </c>
      <c r="AL119" s="153">
        <f t="shared" si="133"/>
        <v>36122796</v>
      </c>
      <c r="AM119" s="153">
        <f t="shared" si="133"/>
        <v>34508265</v>
      </c>
      <c r="AN119" s="153">
        <f t="shared" si="133"/>
        <v>16569</v>
      </c>
      <c r="AO119" s="153">
        <f t="shared" si="133"/>
        <v>18524834</v>
      </c>
      <c r="AP119" s="153">
        <f t="shared" si="133"/>
        <v>37365165</v>
      </c>
      <c r="AQ119" s="153">
        <f t="shared" si="133"/>
        <v>36205826</v>
      </c>
      <c r="AR119" s="153">
        <f t="shared" si="133"/>
        <v>19219</v>
      </c>
      <c r="AS119" s="153">
        <f t="shared" si="133"/>
        <v>20225045</v>
      </c>
      <c r="AT119" s="153">
        <f t="shared" ref="AT119:AW119" si="138">SUM(AT120:AT123)</f>
        <v>37780755</v>
      </c>
      <c r="AU119" s="153">
        <f t="shared" si="138"/>
        <v>37766210</v>
      </c>
      <c r="AV119" s="153">
        <f t="shared" si="138"/>
        <v>21867</v>
      </c>
      <c r="AW119" s="153">
        <f t="shared" si="138"/>
        <v>21788077</v>
      </c>
      <c r="AX119" s="153">
        <f t="shared" si="133"/>
        <v>40455375</v>
      </c>
      <c r="AY119" s="153">
        <f t="shared" si="133"/>
        <v>38728473</v>
      </c>
      <c r="AZ119" s="153">
        <f t="shared" si="133"/>
        <v>24500</v>
      </c>
      <c r="BA119" s="153">
        <f t="shared" si="133"/>
        <v>22752973</v>
      </c>
      <c r="BB119" s="103">
        <f t="shared" ref="BB119:BM119" si="139">SUM(BB120:BB123)</f>
        <v>30308150</v>
      </c>
      <c r="BC119" s="103">
        <f t="shared" si="139"/>
        <v>30528924</v>
      </c>
      <c r="BD119" s="103">
        <f t="shared" si="139"/>
        <v>25330</v>
      </c>
      <c r="BE119" s="103">
        <f t="shared" si="139"/>
        <v>8930193</v>
      </c>
      <c r="BF119" s="103">
        <f t="shared" si="139"/>
        <v>30979862</v>
      </c>
      <c r="BG119" s="103">
        <f t="shared" si="139"/>
        <v>31054187</v>
      </c>
      <c r="BH119" s="103">
        <f t="shared" si="139"/>
        <v>26970</v>
      </c>
      <c r="BI119" s="103">
        <f t="shared" si="139"/>
        <v>3850705</v>
      </c>
      <c r="BJ119" s="103">
        <f t="shared" si="139"/>
        <v>21723033</v>
      </c>
      <c r="BK119" s="103">
        <f t="shared" si="139"/>
        <v>21209739</v>
      </c>
      <c r="BL119" s="103">
        <f t="shared" si="139"/>
        <v>0</v>
      </c>
      <c r="BM119" s="103">
        <f t="shared" si="139"/>
        <v>0</v>
      </c>
      <c r="BN119" s="103" t="e">
        <f>#REF!+AX119+BB119+BF119+BJ119</f>
        <v>#REF!</v>
      </c>
      <c r="BO119" s="103">
        <f t="shared" si="117"/>
        <v>121521323</v>
      </c>
      <c r="BP119" s="103">
        <f t="shared" si="117"/>
        <v>76800</v>
      </c>
      <c r="BQ119" s="103">
        <f t="shared" si="115"/>
        <v>121598123</v>
      </c>
      <c r="BR119" s="102"/>
      <c r="BS119" s="80"/>
      <c r="BT119" s="8"/>
    </row>
    <row r="120" spans="1:72" s="16" customFormat="1" ht="66" customHeight="1">
      <c r="A120" s="150" t="s">
        <v>0</v>
      </c>
      <c r="B120" s="150" t="s">
        <v>405</v>
      </c>
      <c r="C120" s="151">
        <v>36396072</v>
      </c>
      <c r="D120" s="151"/>
      <c r="E120" s="151">
        <v>10731223</v>
      </c>
      <c r="F120" s="151">
        <v>763123</v>
      </c>
      <c r="G120" s="151">
        <v>763123</v>
      </c>
      <c r="H120" s="151">
        <v>0</v>
      </c>
      <c r="I120" s="140">
        <f>G120+H120</f>
        <v>763123</v>
      </c>
      <c r="J120" s="151">
        <f>F120+1122995</f>
        <v>1886118</v>
      </c>
      <c r="K120" s="151">
        <f>G120+1122995</f>
        <v>1886118</v>
      </c>
      <c r="L120" s="151">
        <v>0</v>
      </c>
      <c r="M120" s="151">
        <f>K120+L120</f>
        <v>1886118</v>
      </c>
      <c r="N120" s="151">
        <f>J120+549347</f>
        <v>2435465</v>
      </c>
      <c r="O120" s="151">
        <f>K120+549347</f>
        <v>2435465</v>
      </c>
      <c r="P120" s="151">
        <v>0</v>
      </c>
      <c r="Q120" s="151">
        <f>O120+P120</f>
        <v>2435465</v>
      </c>
      <c r="R120" s="151">
        <f>N120+639754</f>
        <v>3075219</v>
      </c>
      <c r="S120" s="151">
        <f>O120+639754</f>
        <v>3075219</v>
      </c>
      <c r="T120" s="151">
        <v>0</v>
      </c>
      <c r="U120" s="151">
        <f>S120+T120</f>
        <v>3075219</v>
      </c>
      <c r="V120" s="151">
        <f>R120+1157065</f>
        <v>4232284</v>
      </c>
      <c r="W120" s="151">
        <f>S120+1157065</f>
        <v>4232284</v>
      </c>
      <c r="X120" s="151">
        <v>0</v>
      </c>
      <c r="Y120" s="151">
        <f>W120+X120</f>
        <v>4232284</v>
      </c>
      <c r="Z120" s="151">
        <f>V120+685832</f>
        <v>4918116</v>
      </c>
      <c r="AA120" s="151">
        <f>W120+685832</f>
        <v>4918116</v>
      </c>
      <c r="AB120" s="151">
        <v>0</v>
      </c>
      <c r="AC120" s="151">
        <f>AA120+AB120</f>
        <v>4918116</v>
      </c>
      <c r="AD120" s="151">
        <f>Z120+968893</f>
        <v>5887009</v>
      </c>
      <c r="AE120" s="151">
        <f>AA120+968893</f>
        <v>5887009</v>
      </c>
      <c r="AF120" s="151">
        <v>0</v>
      </c>
      <c r="AG120" s="151">
        <f>AE120+AF120</f>
        <v>5887009</v>
      </c>
      <c r="AH120" s="151">
        <f>AD120+1223866</f>
        <v>7110875</v>
      </c>
      <c r="AI120" s="151">
        <f>AE120+1223866</f>
        <v>7110875</v>
      </c>
      <c r="AJ120" s="151">
        <v>0</v>
      </c>
      <c r="AK120" s="151">
        <f>AI120+AJ120</f>
        <v>7110875</v>
      </c>
      <c r="AL120" s="151">
        <f>AH120+1362081</f>
        <v>8472956</v>
      </c>
      <c r="AM120" s="151">
        <f>AI120+1362081</f>
        <v>8472956</v>
      </c>
      <c r="AN120" s="151">
        <v>0</v>
      </c>
      <c r="AO120" s="151">
        <f>AM120+AN120</f>
        <v>8472956</v>
      </c>
      <c r="AP120" s="151">
        <f>AL120+1152862</f>
        <v>9625818</v>
      </c>
      <c r="AQ120" s="151">
        <f>AM120+1152862</f>
        <v>9625818</v>
      </c>
      <c r="AR120" s="151">
        <v>0</v>
      </c>
      <c r="AS120" s="151">
        <f>AQ120+AR120</f>
        <v>9625818</v>
      </c>
      <c r="AT120" s="151">
        <f>AP120+359566</f>
        <v>9985384</v>
      </c>
      <c r="AU120" s="151">
        <f>AQ120+359566</f>
        <v>9985384</v>
      </c>
      <c r="AV120" s="151">
        <v>0</v>
      </c>
      <c r="AW120" s="151">
        <f>AU120+AV120</f>
        <v>9985384</v>
      </c>
      <c r="AX120" s="151">
        <f>AT120+745839</f>
        <v>10731223</v>
      </c>
      <c r="AY120" s="151">
        <f>AU120+745839</f>
        <v>10731223</v>
      </c>
      <c r="AZ120" s="151">
        <v>0</v>
      </c>
      <c r="BA120" s="151">
        <f>AY120+AZ120</f>
        <v>10731223</v>
      </c>
      <c r="BB120" s="100">
        <v>6455851</v>
      </c>
      <c r="BC120" s="100">
        <v>6455851</v>
      </c>
      <c r="BD120" s="100">
        <v>0</v>
      </c>
      <c r="BE120" s="100">
        <f>BC120+BD120</f>
        <v>6455851</v>
      </c>
      <c r="BF120" s="100">
        <v>5269994</v>
      </c>
      <c r="BG120" s="100">
        <v>5269994</v>
      </c>
      <c r="BH120" s="100">
        <v>0</v>
      </c>
      <c r="BI120" s="100">
        <v>1700000</v>
      </c>
      <c r="BJ120" s="100">
        <v>0</v>
      </c>
      <c r="BK120" s="100">
        <v>0</v>
      </c>
      <c r="BL120" s="100">
        <v>0</v>
      </c>
      <c r="BM120" s="100">
        <v>0</v>
      </c>
      <c r="BN120" s="100" t="e">
        <f>#REF!+AX120+BB120+BF120+BJ120</f>
        <v>#REF!</v>
      </c>
      <c r="BO120" s="100">
        <f t="shared" si="117"/>
        <v>22457068</v>
      </c>
      <c r="BP120" s="100">
        <f t="shared" si="117"/>
        <v>0</v>
      </c>
      <c r="BQ120" s="100">
        <f t="shared" si="115"/>
        <v>22457068</v>
      </c>
      <c r="BR120" s="104"/>
      <c r="BS120" s="80"/>
      <c r="BT120" s="17"/>
    </row>
    <row r="121" spans="1:72" s="16" customFormat="1" ht="86.25" customHeight="1">
      <c r="A121" s="150" t="s">
        <v>1</v>
      </c>
      <c r="B121" s="150" t="s">
        <v>406</v>
      </c>
      <c r="C121" s="151">
        <v>4366560</v>
      </c>
      <c r="D121" s="151"/>
      <c r="E121" s="151">
        <v>1135141</v>
      </c>
      <c r="F121" s="151">
        <v>58010</v>
      </c>
      <c r="G121" s="151">
        <v>58010</v>
      </c>
      <c r="H121" s="151">
        <v>0</v>
      </c>
      <c r="I121" s="140">
        <f>G121+H121</f>
        <v>58010</v>
      </c>
      <c r="J121" s="151">
        <f>F121+128129</f>
        <v>186139</v>
      </c>
      <c r="K121" s="151">
        <f>G121+128129</f>
        <v>186139</v>
      </c>
      <c r="L121" s="151">
        <v>0</v>
      </c>
      <c r="M121" s="151">
        <f>K121+L121</f>
        <v>186139</v>
      </c>
      <c r="N121" s="151">
        <f>J121+134520</f>
        <v>320659</v>
      </c>
      <c r="O121" s="151">
        <f>K121+134520</f>
        <v>320659</v>
      </c>
      <c r="P121" s="151">
        <v>0</v>
      </c>
      <c r="Q121" s="151">
        <f>O121+P121</f>
        <v>320659</v>
      </c>
      <c r="R121" s="151">
        <f>N121+212452</f>
        <v>533111</v>
      </c>
      <c r="S121" s="151">
        <f>O121+212452</f>
        <v>533111</v>
      </c>
      <c r="T121" s="151">
        <v>0</v>
      </c>
      <c r="U121" s="151">
        <f>S121+T121</f>
        <v>533111</v>
      </c>
      <c r="V121" s="151">
        <f>R121+17596</f>
        <v>550707</v>
      </c>
      <c r="W121" s="151">
        <f>S121+17596</f>
        <v>550707</v>
      </c>
      <c r="X121" s="151">
        <v>0</v>
      </c>
      <c r="Y121" s="151">
        <f>W121+X121</f>
        <v>550707</v>
      </c>
      <c r="Z121" s="151">
        <f>V121+40841</f>
        <v>591548</v>
      </c>
      <c r="AA121" s="151">
        <f>W121+40841</f>
        <v>591548</v>
      </c>
      <c r="AB121" s="151">
        <v>0</v>
      </c>
      <c r="AC121" s="151">
        <f>AA121+AB121</f>
        <v>591548</v>
      </c>
      <c r="AD121" s="151">
        <f>Z121+265831</f>
        <v>857379</v>
      </c>
      <c r="AE121" s="151">
        <f>AA121+265831</f>
        <v>857379</v>
      </c>
      <c r="AF121" s="151">
        <v>0</v>
      </c>
      <c r="AG121" s="151">
        <f>AE121+AF121</f>
        <v>857379</v>
      </c>
      <c r="AH121" s="151">
        <f>AD121+26616</f>
        <v>883995</v>
      </c>
      <c r="AI121" s="151">
        <f>AE121+26616</f>
        <v>883995</v>
      </c>
      <c r="AJ121" s="151">
        <v>0</v>
      </c>
      <c r="AK121" s="151">
        <f>AI121+AJ121</f>
        <v>883995</v>
      </c>
      <c r="AL121" s="151">
        <f>AH121+6231</f>
        <v>890226</v>
      </c>
      <c r="AM121" s="151">
        <f>AI121+6231</f>
        <v>890226</v>
      </c>
      <c r="AN121" s="151">
        <v>0</v>
      </c>
      <c r="AO121" s="151">
        <f>AM121+AN121</f>
        <v>890226</v>
      </c>
      <c r="AP121" s="151">
        <f>AL121+89507</f>
        <v>979733</v>
      </c>
      <c r="AQ121" s="151">
        <f>AM121+89507</f>
        <v>979733</v>
      </c>
      <c r="AR121" s="151">
        <v>0</v>
      </c>
      <c r="AS121" s="151">
        <f>AQ121+AR121</f>
        <v>979733</v>
      </c>
      <c r="AT121" s="151">
        <f>AP121+56024</f>
        <v>1035757</v>
      </c>
      <c r="AU121" s="151">
        <f>AQ121+56024</f>
        <v>1035757</v>
      </c>
      <c r="AV121" s="151">
        <v>0</v>
      </c>
      <c r="AW121" s="151">
        <f>AU121+AV121</f>
        <v>1035757</v>
      </c>
      <c r="AX121" s="151">
        <f>AT121+99384</f>
        <v>1135141</v>
      </c>
      <c r="AY121" s="151">
        <f>AU121+99384</f>
        <v>1135141</v>
      </c>
      <c r="AZ121" s="151">
        <v>0</v>
      </c>
      <c r="BA121" s="151">
        <f>AY121+AZ121</f>
        <v>1135141</v>
      </c>
      <c r="BB121" s="100">
        <v>655082</v>
      </c>
      <c r="BC121" s="100">
        <v>655082</v>
      </c>
      <c r="BD121" s="100">
        <v>0</v>
      </c>
      <c r="BE121" s="100">
        <f>BC121+BD121</f>
        <v>655082</v>
      </c>
      <c r="BF121" s="100">
        <v>779848</v>
      </c>
      <c r="BG121" s="100">
        <v>779848</v>
      </c>
      <c r="BH121" s="100">
        <v>0</v>
      </c>
      <c r="BI121" s="100">
        <v>26630</v>
      </c>
      <c r="BJ121" s="100">
        <v>0</v>
      </c>
      <c r="BK121" s="100">
        <v>0</v>
      </c>
      <c r="BL121" s="100">
        <v>0</v>
      </c>
      <c r="BM121" s="100">
        <v>0</v>
      </c>
      <c r="BN121" s="100" t="e">
        <f>#REF!+AX121+BB121+BF121+BJ121</f>
        <v>#REF!</v>
      </c>
      <c r="BO121" s="100">
        <f t="shared" si="117"/>
        <v>2570071</v>
      </c>
      <c r="BP121" s="100">
        <f t="shared" si="117"/>
        <v>0</v>
      </c>
      <c r="BQ121" s="100">
        <f t="shared" si="115"/>
        <v>2570071</v>
      </c>
      <c r="BR121" s="104"/>
      <c r="BS121" s="80"/>
      <c r="BT121" s="17"/>
    </row>
    <row r="122" spans="1:72" s="18" customFormat="1" ht="58.5" customHeight="1">
      <c r="A122" s="154" t="s">
        <v>2</v>
      </c>
      <c r="B122" s="154" t="s">
        <v>407</v>
      </c>
      <c r="C122" s="151">
        <v>102696235.112712</v>
      </c>
      <c r="D122" s="151"/>
      <c r="E122" s="151">
        <v>7544309</v>
      </c>
      <c r="F122" s="151">
        <v>3409401</v>
      </c>
      <c r="G122" s="151">
        <v>3409401</v>
      </c>
      <c r="H122" s="151">
        <v>0</v>
      </c>
      <c r="I122" s="140">
        <f>G122+H122</f>
        <v>3409401</v>
      </c>
      <c r="J122" s="151">
        <f>F122</f>
        <v>3409401</v>
      </c>
      <c r="K122" s="151">
        <f>G122</f>
        <v>3409401</v>
      </c>
      <c r="L122" s="151">
        <v>0</v>
      </c>
      <c r="M122" s="151">
        <f>K122+L122</f>
        <v>3409401</v>
      </c>
      <c r="N122" s="151">
        <f>J122</f>
        <v>3409401</v>
      </c>
      <c r="O122" s="151">
        <f>K122</f>
        <v>3409401</v>
      </c>
      <c r="P122" s="151">
        <v>0</v>
      </c>
      <c r="Q122" s="151">
        <f>O122+P122</f>
        <v>3409401</v>
      </c>
      <c r="R122" s="151">
        <f>N122</f>
        <v>3409401</v>
      </c>
      <c r="S122" s="151">
        <f>O122</f>
        <v>3409401</v>
      </c>
      <c r="T122" s="151">
        <v>0</v>
      </c>
      <c r="U122" s="151">
        <f>S122+T122</f>
        <v>3409401</v>
      </c>
      <c r="V122" s="151">
        <f>R122</f>
        <v>3409401</v>
      </c>
      <c r="W122" s="151">
        <f>S122</f>
        <v>3409401</v>
      </c>
      <c r="X122" s="151">
        <v>0</v>
      </c>
      <c r="Y122" s="151">
        <f>W122+X122</f>
        <v>3409401</v>
      </c>
      <c r="Z122" s="151">
        <f>V122</f>
        <v>3409401</v>
      </c>
      <c r="AA122" s="151">
        <f>W122</f>
        <v>3409401</v>
      </c>
      <c r="AB122" s="151">
        <v>0</v>
      </c>
      <c r="AC122" s="151">
        <f>AA122+AB122</f>
        <v>3409401</v>
      </c>
      <c r="AD122" s="151">
        <f>Z122+16000000</f>
        <v>19409401</v>
      </c>
      <c r="AE122" s="151">
        <f>AA122+16000000</f>
        <v>19409401</v>
      </c>
      <c r="AF122" s="151">
        <v>0</v>
      </c>
      <c r="AG122" s="151">
        <v>7544309</v>
      </c>
      <c r="AH122" s="151">
        <f>AD122+4134908</f>
        <v>23544309</v>
      </c>
      <c r="AI122" s="151">
        <f>AE122+4134908</f>
        <v>23544309</v>
      </c>
      <c r="AJ122" s="151">
        <v>0</v>
      </c>
      <c r="AK122" s="151">
        <v>7544309</v>
      </c>
      <c r="AL122" s="151">
        <f>AH122</f>
        <v>23544309</v>
      </c>
      <c r="AM122" s="151">
        <f>AI122</f>
        <v>23544309</v>
      </c>
      <c r="AN122" s="151">
        <v>0</v>
      </c>
      <c r="AO122" s="151">
        <v>7544309</v>
      </c>
      <c r="AP122" s="151">
        <f>AL122</f>
        <v>23544309</v>
      </c>
      <c r="AQ122" s="151">
        <f>AM122</f>
        <v>23544309</v>
      </c>
      <c r="AR122" s="151">
        <v>0</v>
      </c>
      <c r="AS122" s="151">
        <v>7544309</v>
      </c>
      <c r="AT122" s="151">
        <f>AP122</f>
        <v>23544309</v>
      </c>
      <c r="AU122" s="151">
        <f>AQ122</f>
        <v>23544309</v>
      </c>
      <c r="AV122" s="151">
        <v>0</v>
      </c>
      <c r="AW122" s="151">
        <v>7544309</v>
      </c>
      <c r="AX122" s="151">
        <f>AT122</f>
        <v>23544309</v>
      </c>
      <c r="AY122" s="151">
        <f>AU122</f>
        <v>23544309</v>
      </c>
      <c r="AZ122" s="151">
        <v>0</v>
      </c>
      <c r="BA122" s="151">
        <v>7544309</v>
      </c>
      <c r="BB122" s="100">
        <v>20458900</v>
      </c>
      <c r="BC122" s="100">
        <v>20458900</v>
      </c>
      <c r="BD122" s="100">
        <v>0</v>
      </c>
      <c r="BE122" s="100">
        <v>0</v>
      </c>
      <c r="BF122" s="100">
        <v>22901770</v>
      </c>
      <c r="BG122" s="100">
        <v>22901770</v>
      </c>
      <c r="BH122" s="100">
        <v>0</v>
      </c>
      <c r="BI122" s="100">
        <v>0</v>
      </c>
      <c r="BJ122" s="100">
        <f>25344647-4134908</f>
        <v>21209739</v>
      </c>
      <c r="BK122" s="100">
        <f>25344647-4134908</f>
        <v>21209739</v>
      </c>
      <c r="BL122" s="100">
        <v>0</v>
      </c>
      <c r="BM122" s="100">
        <v>0</v>
      </c>
      <c r="BN122" s="105" t="e">
        <f>#REF!+AX122+BB122+BF122+BJ122</f>
        <v>#REF!</v>
      </c>
      <c r="BO122" s="105">
        <f t="shared" si="117"/>
        <v>88114718</v>
      </c>
      <c r="BP122" s="105">
        <f t="shared" si="117"/>
        <v>0</v>
      </c>
      <c r="BQ122" s="105">
        <f t="shared" si="115"/>
        <v>88114718</v>
      </c>
      <c r="BR122" s="106"/>
      <c r="BS122" s="80"/>
      <c r="BT122" s="17"/>
    </row>
    <row r="123" spans="1:72" s="16" customFormat="1" ht="91.5" customHeight="1">
      <c r="A123" s="150" t="s">
        <v>3</v>
      </c>
      <c r="B123" s="150" t="s">
        <v>408</v>
      </c>
      <c r="C123" s="151">
        <v>10514363.197163999</v>
      </c>
      <c r="D123" s="151"/>
      <c r="E123" s="151">
        <v>3342300</v>
      </c>
      <c r="F123" s="151">
        <v>0</v>
      </c>
      <c r="G123" s="151">
        <v>0</v>
      </c>
      <c r="H123" s="151">
        <v>1841</v>
      </c>
      <c r="I123" s="151">
        <f>G123+H123</f>
        <v>1841</v>
      </c>
      <c r="J123" s="151">
        <v>0</v>
      </c>
      <c r="K123" s="151">
        <v>1196945</v>
      </c>
      <c r="L123" s="151">
        <f>H123+1841</f>
        <v>3682</v>
      </c>
      <c r="M123" s="151">
        <f>K123+L123</f>
        <v>1200627</v>
      </c>
      <c r="N123" s="151">
        <v>62846</v>
      </c>
      <c r="O123" s="151">
        <f>K123+111554</f>
        <v>1308499</v>
      </c>
      <c r="P123" s="151">
        <f>L123+1841</f>
        <v>5523</v>
      </c>
      <c r="Q123" s="151">
        <f>O123+P123</f>
        <v>1314022</v>
      </c>
      <c r="R123" s="151">
        <f>N123</f>
        <v>62846</v>
      </c>
      <c r="S123" s="151">
        <f>O123+4575</f>
        <v>1313074</v>
      </c>
      <c r="T123" s="151">
        <f>P123+1841</f>
        <v>7364</v>
      </c>
      <c r="U123" s="151">
        <f>S123+T123</f>
        <v>1320438</v>
      </c>
      <c r="V123" s="151">
        <f>R123</f>
        <v>62846</v>
      </c>
      <c r="W123" s="151">
        <f>S123+48100</f>
        <v>1361174</v>
      </c>
      <c r="X123" s="151">
        <f>T123+1841</f>
        <v>9205</v>
      </c>
      <c r="Y123" s="151">
        <f>W123+X123</f>
        <v>1370379</v>
      </c>
      <c r="Z123" s="151">
        <f>V123</f>
        <v>62846</v>
      </c>
      <c r="AA123" s="151">
        <f>W123+1525</f>
        <v>1362699</v>
      </c>
      <c r="AB123" s="151">
        <f>X123+1841</f>
        <v>11046</v>
      </c>
      <c r="AC123" s="151">
        <f>AA123+AB123</f>
        <v>1373745</v>
      </c>
      <c r="AD123" s="151">
        <f>Z123+2516309</f>
        <v>2579155</v>
      </c>
      <c r="AE123" s="151">
        <f>AA123+70525</f>
        <v>1433224</v>
      </c>
      <c r="AF123" s="151">
        <f>AB123+1841</f>
        <v>12887</v>
      </c>
      <c r="AG123" s="151">
        <f>AE123+AF123</f>
        <v>1446111</v>
      </c>
      <c r="AH123" s="151">
        <f>AD123</f>
        <v>2579155</v>
      </c>
      <c r="AI123" s="151">
        <f>AE123+1525</f>
        <v>1434749</v>
      </c>
      <c r="AJ123" s="151">
        <f>AF123+1841</f>
        <v>14728</v>
      </c>
      <c r="AK123" s="151">
        <f>AI123+AJ123</f>
        <v>1449477</v>
      </c>
      <c r="AL123" s="151">
        <f>AH123+636150</f>
        <v>3215305</v>
      </c>
      <c r="AM123" s="151">
        <f>AI123+166025</f>
        <v>1600774</v>
      </c>
      <c r="AN123" s="151">
        <f>AJ123+1841</f>
        <v>16569</v>
      </c>
      <c r="AO123" s="151">
        <f>AM123+AN123</f>
        <v>1617343</v>
      </c>
      <c r="AP123" s="151">
        <f>AL123</f>
        <v>3215305</v>
      </c>
      <c r="AQ123" s="151">
        <f>AM123+455192</f>
        <v>2055966</v>
      </c>
      <c r="AR123" s="151">
        <f>AN123+2650</f>
        <v>19219</v>
      </c>
      <c r="AS123" s="151">
        <f>AQ123+AR123</f>
        <v>2075185</v>
      </c>
      <c r="AT123" s="151">
        <f>AP123</f>
        <v>3215305</v>
      </c>
      <c r="AU123" s="151">
        <f>AQ123+1144794</f>
        <v>3200760</v>
      </c>
      <c r="AV123" s="151">
        <f>AR123+2648</f>
        <v>21867</v>
      </c>
      <c r="AW123" s="151">
        <f>AU123+AV123</f>
        <v>3222627</v>
      </c>
      <c r="AX123" s="151">
        <f>AT123+1829397</f>
        <v>5044702</v>
      </c>
      <c r="AY123" s="151">
        <f>AU123+117040</f>
        <v>3317800</v>
      </c>
      <c r="AZ123" s="151">
        <f>AV123+2633</f>
        <v>24500</v>
      </c>
      <c r="BA123" s="151">
        <f>AY123+AZ123</f>
        <v>3342300</v>
      </c>
      <c r="BB123" s="105">
        <v>2738317</v>
      </c>
      <c r="BC123" s="105">
        <f>1797760+1161331</f>
        <v>2959091</v>
      </c>
      <c r="BD123" s="105">
        <v>25330</v>
      </c>
      <c r="BE123" s="105">
        <v>1819260</v>
      </c>
      <c r="BF123" s="105">
        <v>2028250</v>
      </c>
      <c r="BG123" s="105">
        <v>2102575</v>
      </c>
      <c r="BH123" s="105">
        <v>26970</v>
      </c>
      <c r="BI123" s="105">
        <v>2124075</v>
      </c>
      <c r="BJ123" s="105">
        <v>513294</v>
      </c>
      <c r="BK123" s="105">
        <v>0</v>
      </c>
      <c r="BL123" s="105">
        <v>0</v>
      </c>
      <c r="BM123" s="100">
        <v>0</v>
      </c>
      <c r="BN123" s="100" t="e">
        <f>#REF!+AX123+BB123+BF123+BJ123</f>
        <v>#REF!</v>
      </c>
      <c r="BO123" s="100">
        <f t="shared" si="117"/>
        <v>8379466</v>
      </c>
      <c r="BP123" s="100">
        <f t="shared" si="117"/>
        <v>76800</v>
      </c>
      <c r="BQ123" s="100">
        <f t="shared" si="115"/>
        <v>8456266</v>
      </c>
      <c r="BR123" s="104"/>
      <c r="BS123" s="80"/>
      <c r="BT123" s="17"/>
    </row>
    <row r="124" spans="1:72" s="12" customFormat="1" ht="42" customHeight="1">
      <c r="A124" s="147"/>
      <c r="B124" s="152" t="s">
        <v>409</v>
      </c>
      <c r="C124" s="153">
        <f t="shared" ref="C124:BM124" si="140">SUM(C125:C133)</f>
        <v>188218519.05329999</v>
      </c>
      <c r="D124" s="153"/>
      <c r="E124" s="153">
        <f>SUM(E125:E133)</f>
        <v>39451593</v>
      </c>
      <c r="F124" s="153">
        <f t="shared" si="140"/>
        <v>0</v>
      </c>
      <c r="G124" s="153">
        <f t="shared" si="140"/>
        <v>36106</v>
      </c>
      <c r="H124" s="153">
        <f t="shared" si="140"/>
        <v>8613</v>
      </c>
      <c r="I124" s="153">
        <f t="shared" si="140"/>
        <v>44719</v>
      </c>
      <c r="J124" s="153">
        <f t="shared" ref="J124:BA124" si="141">SUM(J125:J133)</f>
        <v>544964</v>
      </c>
      <c r="K124" s="153">
        <f t="shared" si="141"/>
        <v>713117</v>
      </c>
      <c r="L124" s="153">
        <f t="shared" si="141"/>
        <v>53553</v>
      </c>
      <c r="M124" s="153">
        <f t="shared" si="141"/>
        <v>766670</v>
      </c>
      <c r="N124" s="153">
        <f t="shared" si="141"/>
        <v>3213035</v>
      </c>
      <c r="O124" s="153">
        <f t="shared" si="141"/>
        <v>3491179</v>
      </c>
      <c r="P124" s="153">
        <f t="shared" si="141"/>
        <v>254428</v>
      </c>
      <c r="Q124" s="153">
        <f t="shared" si="141"/>
        <v>3682862</v>
      </c>
      <c r="R124" s="153">
        <f t="shared" si="141"/>
        <v>5027626</v>
      </c>
      <c r="S124" s="153">
        <f t="shared" si="141"/>
        <v>4854011</v>
      </c>
      <c r="T124" s="153">
        <f t="shared" si="141"/>
        <v>378077</v>
      </c>
      <c r="U124" s="153">
        <f t="shared" si="141"/>
        <v>5169343</v>
      </c>
      <c r="V124" s="153">
        <f t="shared" si="141"/>
        <v>7794520</v>
      </c>
      <c r="W124" s="153">
        <f t="shared" si="141"/>
        <v>6097663</v>
      </c>
      <c r="X124" s="153">
        <f t="shared" si="141"/>
        <v>456290</v>
      </c>
      <c r="Y124" s="153">
        <f t="shared" si="141"/>
        <v>6491208</v>
      </c>
      <c r="Z124" s="153">
        <f t="shared" si="141"/>
        <v>8625320</v>
      </c>
      <c r="AA124" s="153">
        <f t="shared" si="141"/>
        <v>6650627</v>
      </c>
      <c r="AB124" s="153">
        <f t="shared" si="141"/>
        <v>512915</v>
      </c>
      <c r="AC124" s="153">
        <f t="shared" si="141"/>
        <v>7100797</v>
      </c>
      <c r="AD124" s="153">
        <f t="shared" si="141"/>
        <v>11815215</v>
      </c>
      <c r="AE124" s="153">
        <f t="shared" si="141"/>
        <v>12165807</v>
      </c>
      <c r="AF124" s="153">
        <f t="shared" si="141"/>
        <v>1250596</v>
      </c>
      <c r="AG124" s="153">
        <f t="shared" si="141"/>
        <v>13353658</v>
      </c>
      <c r="AH124" s="153">
        <f t="shared" si="141"/>
        <v>15153328</v>
      </c>
      <c r="AI124" s="153">
        <f t="shared" si="141"/>
        <v>16993760</v>
      </c>
      <c r="AJ124" s="153">
        <f t="shared" si="141"/>
        <v>1811280</v>
      </c>
      <c r="AK124" s="153">
        <f t="shared" si="141"/>
        <v>18742295</v>
      </c>
      <c r="AL124" s="153">
        <f t="shared" si="141"/>
        <v>16650542</v>
      </c>
      <c r="AM124" s="153">
        <f t="shared" si="141"/>
        <v>21342654</v>
      </c>
      <c r="AN124" s="153">
        <f t="shared" si="141"/>
        <v>2452907</v>
      </c>
      <c r="AO124" s="153">
        <f t="shared" si="141"/>
        <v>23732816</v>
      </c>
      <c r="AP124" s="153">
        <f t="shared" si="141"/>
        <v>19772669</v>
      </c>
      <c r="AQ124" s="153">
        <f t="shared" si="141"/>
        <v>25725441</v>
      </c>
      <c r="AR124" s="153">
        <f t="shared" si="141"/>
        <v>2973151</v>
      </c>
      <c r="AS124" s="153">
        <f t="shared" si="141"/>
        <v>28698592</v>
      </c>
      <c r="AT124" s="153">
        <f t="shared" si="141"/>
        <v>24054921</v>
      </c>
      <c r="AU124" s="153">
        <f t="shared" si="141"/>
        <v>30486178</v>
      </c>
      <c r="AV124" s="153">
        <f t="shared" si="141"/>
        <v>3419965</v>
      </c>
      <c r="AW124" s="153">
        <f t="shared" si="141"/>
        <v>33843395</v>
      </c>
      <c r="AX124" s="153">
        <f t="shared" si="141"/>
        <v>28791907</v>
      </c>
      <c r="AY124" s="153">
        <f t="shared" si="141"/>
        <v>35595022</v>
      </c>
      <c r="AZ124" s="153">
        <f t="shared" si="141"/>
        <v>3919319</v>
      </c>
      <c r="BA124" s="153">
        <f t="shared" si="141"/>
        <v>39451593</v>
      </c>
      <c r="BB124" s="103">
        <f t="shared" si="140"/>
        <v>36305400</v>
      </c>
      <c r="BC124" s="103">
        <f t="shared" si="140"/>
        <v>47374266</v>
      </c>
      <c r="BD124" s="103">
        <f t="shared" si="140"/>
        <v>5072107</v>
      </c>
      <c r="BE124" s="103">
        <f t="shared" si="140"/>
        <v>19725509</v>
      </c>
      <c r="BF124" s="103">
        <f t="shared" si="140"/>
        <v>42960817</v>
      </c>
      <c r="BG124" s="103">
        <f t="shared" si="140"/>
        <v>9739442</v>
      </c>
      <c r="BH124" s="103">
        <f t="shared" si="140"/>
        <v>637355</v>
      </c>
      <c r="BI124" s="103">
        <f t="shared" si="140"/>
        <v>4547667</v>
      </c>
      <c r="BJ124" s="103">
        <f t="shared" si="140"/>
        <v>0</v>
      </c>
      <c r="BK124" s="103">
        <f t="shared" si="140"/>
        <v>0</v>
      </c>
      <c r="BL124" s="103">
        <f t="shared" si="140"/>
        <v>0</v>
      </c>
      <c r="BM124" s="103">
        <f t="shared" si="140"/>
        <v>0</v>
      </c>
      <c r="BN124" s="103" t="e">
        <f>#REF!+AX124+BB124+BF124+BJ124</f>
        <v>#REF!</v>
      </c>
      <c r="BO124" s="103">
        <f t="shared" si="117"/>
        <v>92708730</v>
      </c>
      <c r="BP124" s="103">
        <f t="shared" si="117"/>
        <v>9628781</v>
      </c>
      <c r="BQ124" s="103">
        <f t="shared" si="115"/>
        <v>102337511</v>
      </c>
      <c r="BR124" s="102"/>
      <c r="BS124" s="80"/>
      <c r="BT124" s="8"/>
    </row>
    <row r="125" spans="1:72" s="13" customFormat="1" ht="105.75" customHeight="1">
      <c r="A125" s="138" t="s">
        <v>80</v>
      </c>
      <c r="B125" s="138" t="s">
        <v>410</v>
      </c>
      <c r="C125" s="139">
        <v>59486368.601507999</v>
      </c>
      <c r="D125" s="139"/>
      <c r="E125" s="139">
        <f>1783333+1268127+13609860</f>
        <v>16661320</v>
      </c>
      <c r="F125" s="139">
        <v>0</v>
      </c>
      <c r="G125" s="139">
        <v>0</v>
      </c>
      <c r="H125" s="139">
        <v>0</v>
      </c>
      <c r="I125" s="140">
        <f t="shared" ref="I125:I132" si="142">G125+H125</f>
        <v>0</v>
      </c>
      <c r="J125" s="139">
        <v>0</v>
      </c>
      <c r="K125" s="139">
        <v>0</v>
      </c>
      <c r="L125" s="139">
        <v>0</v>
      </c>
      <c r="M125" s="139">
        <v>0</v>
      </c>
      <c r="N125" s="139">
        <v>728618</v>
      </c>
      <c r="O125" s="139">
        <v>728618</v>
      </c>
      <c r="P125" s="139">
        <v>4142</v>
      </c>
      <c r="Q125" s="139">
        <f>O125+P125</f>
        <v>732760</v>
      </c>
      <c r="R125" s="139">
        <f>N125+264520</f>
        <v>993138</v>
      </c>
      <c r="S125" s="139">
        <f>O125</f>
        <v>728618</v>
      </c>
      <c r="T125" s="139">
        <f>P125</f>
        <v>4142</v>
      </c>
      <c r="U125" s="139">
        <f>S125+T125</f>
        <v>732760</v>
      </c>
      <c r="V125" s="139">
        <f>R125+156800</f>
        <v>1149938</v>
      </c>
      <c r="W125" s="139">
        <f>S125</f>
        <v>728618</v>
      </c>
      <c r="X125" s="139">
        <f>T125</f>
        <v>4142</v>
      </c>
      <c r="Y125" s="139">
        <f>W125+X125</f>
        <v>732760</v>
      </c>
      <c r="Z125" s="139">
        <f>V125+246500</f>
        <v>1396438</v>
      </c>
      <c r="AA125" s="139">
        <f>W125</f>
        <v>728618</v>
      </c>
      <c r="AB125" s="139">
        <f>X125</f>
        <v>4142</v>
      </c>
      <c r="AC125" s="139">
        <f>AA125+AB125</f>
        <v>732760</v>
      </c>
      <c r="AD125" s="139">
        <f>Z125+311775+260000</f>
        <v>1968213</v>
      </c>
      <c r="AE125" s="139">
        <f>AA125+311775+2559014</f>
        <v>3599407</v>
      </c>
      <c r="AF125" s="139">
        <f>AB125+416584</f>
        <v>420726</v>
      </c>
      <c r="AG125" s="139">
        <f>AE125+AF125</f>
        <v>4020133</v>
      </c>
      <c r="AH125" s="139">
        <f>AD125+460800</f>
        <v>2429013</v>
      </c>
      <c r="AI125" s="139">
        <f>AE125+1919260</f>
        <v>5518667</v>
      </c>
      <c r="AJ125" s="139">
        <f>AF125+312438</f>
        <v>733164</v>
      </c>
      <c r="AK125" s="139">
        <f>AI125+AJ125</f>
        <v>6251831</v>
      </c>
      <c r="AL125" s="139">
        <f>AH125+311777+474743</f>
        <v>3215533</v>
      </c>
      <c r="AM125" s="139">
        <f>AI125+311777+3838521</f>
        <v>9668965</v>
      </c>
      <c r="AN125" s="139">
        <f>AJ125+624875</f>
        <v>1358039</v>
      </c>
      <c r="AO125" s="139">
        <f>AM125+AN125</f>
        <v>11027004</v>
      </c>
      <c r="AP125" s="139">
        <f>AL125+658600</f>
        <v>3874133</v>
      </c>
      <c r="AQ125" s="139">
        <f>AM125+1919260</f>
        <v>11588225</v>
      </c>
      <c r="AR125" s="139">
        <f>AN125+312438</f>
        <v>1670477</v>
      </c>
      <c r="AS125" s="139">
        <f>AQ125+AR125</f>
        <v>13258702</v>
      </c>
      <c r="AT125" s="139">
        <f>AP125+792142</f>
        <v>4666275</v>
      </c>
      <c r="AU125" s="139">
        <f>AQ125+1279507</f>
        <v>12867732</v>
      </c>
      <c r="AV125" s="139">
        <f>AR125+208292</f>
        <v>1878769</v>
      </c>
      <c r="AW125" s="139">
        <f>AU125+AV125</f>
        <v>14746501</v>
      </c>
      <c r="AX125" s="139">
        <f>AT125+423270+792141</f>
        <v>5881686</v>
      </c>
      <c r="AY125" s="139">
        <f>AU125+423270+1279507</f>
        <v>14570509</v>
      </c>
      <c r="AZ125" s="139">
        <f>AV125+3751+208291</f>
        <v>2090811</v>
      </c>
      <c r="BA125" s="139">
        <f>AY125+AZ125</f>
        <v>16661320</v>
      </c>
      <c r="BB125" s="90">
        <f>823467+12093837+700000</f>
        <v>13617304</v>
      </c>
      <c r="BC125" s="90">
        <f>823467+23887675</f>
        <v>24711142</v>
      </c>
      <c r="BD125" s="90">
        <v>3400320</v>
      </c>
      <c r="BE125" s="90">
        <v>1645291</v>
      </c>
      <c r="BF125" s="90">
        <v>33221375</v>
      </c>
      <c r="BG125" s="90">
        <v>0</v>
      </c>
      <c r="BH125" s="90">
        <v>0</v>
      </c>
      <c r="BI125" s="90">
        <v>0</v>
      </c>
      <c r="BJ125" s="90">
        <v>0</v>
      </c>
      <c r="BK125" s="90">
        <v>0</v>
      </c>
      <c r="BL125" s="90">
        <v>0</v>
      </c>
      <c r="BM125" s="90">
        <v>0</v>
      </c>
      <c r="BN125" s="90" t="e">
        <f>#REF!+AX125+BB125+BF125+BJ125</f>
        <v>#REF!</v>
      </c>
      <c r="BO125" s="90">
        <f t="shared" si="117"/>
        <v>39281651</v>
      </c>
      <c r="BP125" s="90">
        <f t="shared" si="117"/>
        <v>5491131</v>
      </c>
      <c r="BQ125" s="90">
        <f t="shared" si="115"/>
        <v>44772782</v>
      </c>
      <c r="BR125" s="107" t="s">
        <v>156</v>
      </c>
      <c r="BS125" s="80"/>
    </row>
    <row r="126" spans="1:72" s="13" customFormat="1" ht="105" customHeight="1">
      <c r="A126" s="138" t="s">
        <v>81</v>
      </c>
      <c r="B126" s="138" t="s">
        <v>411</v>
      </c>
      <c r="C126" s="139">
        <v>1968030.41502</v>
      </c>
      <c r="D126" s="139"/>
      <c r="E126" s="139">
        <v>738359</v>
      </c>
      <c r="F126" s="139">
        <v>0</v>
      </c>
      <c r="G126" s="139">
        <v>31380</v>
      </c>
      <c r="H126" s="139">
        <v>5538</v>
      </c>
      <c r="I126" s="140">
        <f>G126+H126</f>
        <v>36918</v>
      </c>
      <c r="J126" s="139">
        <v>0</v>
      </c>
      <c r="K126" s="139">
        <f>G126+62761</f>
        <v>94141</v>
      </c>
      <c r="L126" s="139">
        <f>H126+11075</f>
        <v>16613</v>
      </c>
      <c r="M126" s="139">
        <f>K126+L126</f>
        <v>110754</v>
      </c>
      <c r="N126" s="139">
        <v>8522</v>
      </c>
      <c r="O126" s="139">
        <f>K126+251042</f>
        <v>345183</v>
      </c>
      <c r="P126" s="139">
        <f>L126+44302</f>
        <v>60915</v>
      </c>
      <c r="Q126" s="139">
        <f>O126+P126</f>
        <v>406098</v>
      </c>
      <c r="R126" s="139">
        <f>N126</f>
        <v>8522</v>
      </c>
      <c r="S126" s="139">
        <f>O126+62761</f>
        <v>407944</v>
      </c>
      <c r="T126" s="139">
        <f>P126+11075</f>
        <v>71990</v>
      </c>
      <c r="U126" s="139">
        <f>S126+T126</f>
        <v>479934</v>
      </c>
      <c r="V126" s="139">
        <f>R126+1302703</f>
        <v>1311225</v>
      </c>
      <c r="W126" s="139">
        <f>S126+62761</f>
        <v>470705</v>
      </c>
      <c r="X126" s="139">
        <f>T126+11075</f>
        <v>83065</v>
      </c>
      <c r="Y126" s="139">
        <f>W126+X126</f>
        <v>553770</v>
      </c>
      <c r="Z126" s="139">
        <f>V126</f>
        <v>1311225</v>
      </c>
      <c r="AA126" s="139">
        <f>W126+31380+62761</f>
        <v>564846</v>
      </c>
      <c r="AB126" s="139">
        <f>X126+5538+11075</f>
        <v>99678</v>
      </c>
      <c r="AC126" s="139">
        <f>AA126+AB126</f>
        <v>664524</v>
      </c>
      <c r="AD126" s="139">
        <f>Z126</f>
        <v>1311225</v>
      </c>
      <c r="AE126" s="139">
        <f>AA126+31380</f>
        <v>596226</v>
      </c>
      <c r="AF126" s="139">
        <f>AB126+5538</f>
        <v>105216</v>
      </c>
      <c r="AG126" s="139">
        <f>AE126+AF126</f>
        <v>701442</v>
      </c>
      <c r="AH126" s="139">
        <f>AD126</f>
        <v>1311225</v>
      </c>
      <c r="AI126" s="139">
        <f>AE126+31380</f>
        <v>627606</v>
      </c>
      <c r="AJ126" s="139">
        <f>AF126+5537</f>
        <v>110753</v>
      </c>
      <c r="AK126" s="139">
        <f>AI126+AJ126</f>
        <v>738359</v>
      </c>
      <c r="AL126" s="139">
        <f>AH126+512098</f>
        <v>1823323</v>
      </c>
      <c r="AM126" s="139">
        <f>AI126</f>
        <v>627606</v>
      </c>
      <c r="AN126" s="139">
        <f>AJ126</f>
        <v>110753</v>
      </c>
      <c r="AO126" s="139">
        <f>AM126+AN126</f>
        <v>738359</v>
      </c>
      <c r="AP126" s="139">
        <f>AL126</f>
        <v>1823323</v>
      </c>
      <c r="AQ126" s="139">
        <f>AM126</f>
        <v>627606</v>
      </c>
      <c r="AR126" s="139">
        <f>AN126</f>
        <v>110753</v>
      </c>
      <c r="AS126" s="139">
        <f>AQ126+AR126</f>
        <v>738359</v>
      </c>
      <c r="AT126" s="139">
        <f>AP126</f>
        <v>1823323</v>
      </c>
      <c r="AU126" s="139">
        <f>AQ126</f>
        <v>627606</v>
      </c>
      <c r="AV126" s="139">
        <f>AR126</f>
        <v>110753</v>
      </c>
      <c r="AW126" s="139">
        <f>AU126+AV126</f>
        <v>738359</v>
      </c>
      <c r="AX126" s="139">
        <f>AT126+115508</f>
        <v>1938831</v>
      </c>
      <c r="AY126" s="139">
        <f>AU126</f>
        <v>627606</v>
      </c>
      <c r="AZ126" s="139">
        <f>AV126</f>
        <v>110753</v>
      </c>
      <c r="BA126" s="139">
        <f>AY126+AZ126</f>
        <v>738359</v>
      </c>
      <c r="BB126" s="90">
        <v>0</v>
      </c>
      <c r="BC126" s="90">
        <v>0</v>
      </c>
      <c r="BD126" s="90">
        <v>0</v>
      </c>
      <c r="BE126" s="90">
        <v>0</v>
      </c>
      <c r="BF126" s="90">
        <v>0</v>
      </c>
      <c r="BG126" s="90">
        <v>0</v>
      </c>
      <c r="BH126" s="90">
        <v>0</v>
      </c>
      <c r="BI126" s="90">
        <v>0</v>
      </c>
      <c r="BJ126" s="90">
        <v>0</v>
      </c>
      <c r="BK126" s="90">
        <v>0</v>
      </c>
      <c r="BL126" s="90">
        <v>0</v>
      </c>
      <c r="BM126" s="90">
        <v>0</v>
      </c>
      <c r="BN126" s="90" t="e">
        <f>#REF!+AX126+BB126+BF126+BJ126</f>
        <v>#REF!</v>
      </c>
      <c r="BO126" s="90">
        <f t="shared" si="117"/>
        <v>627606</v>
      </c>
      <c r="BP126" s="90">
        <f t="shared" si="117"/>
        <v>110753</v>
      </c>
      <c r="BQ126" s="90">
        <f t="shared" si="115"/>
        <v>738359</v>
      </c>
      <c r="BR126" s="107" t="s">
        <v>155</v>
      </c>
      <c r="BS126" s="80"/>
    </row>
    <row r="127" spans="1:72" s="13" customFormat="1" ht="167.25" customHeight="1">
      <c r="A127" s="138" t="s">
        <v>82</v>
      </c>
      <c r="B127" s="138" t="s">
        <v>412</v>
      </c>
      <c r="C127" s="139">
        <v>85374366.188316002</v>
      </c>
      <c r="D127" s="139"/>
      <c r="E127" s="139">
        <f>19332940+11668</f>
        <v>19344608</v>
      </c>
      <c r="F127" s="139">
        <v>0</v>
      </c>
      <c r="G127" s="139">
        <v>4726</v>
      </c>
      <c r="H127" s="139">
        <v>834</v>
      </c>
      <c r="I127" s="140">
        <f t="shared" si="142"/>
        <v>5560</v>
      </c>
      <c r="J127" s="139">
        <v>384772</v>
      </c>
      <c r="K127" s="139">
        <f>G127+384772</f>
        <v>389498</v>
      </c>
      <c r="L127" s="139">
        <f>H127+29462</f>
        <v>30296</v>
      </c>
      <c r="M127" s="139">
        <f>K127+L127</f>
        <v>419794</v>
      </c>
      <c r="N127" s="139">
        <f>J127+1594497+200000</f>
        <v>2179269</v>
      </c>
      <c r="O127" s="139">
        <f>K127+1594497+4726</f>
        <v>1988721</v>
      </c>
      <c r="P127" s="139">
        <f>L127+130751+834</f>
        <v>161881</v>
      </c>
      <c r="Q127" s="139">
        <f>O127+P127</f>
        <v>2150602</v>
      </c>
      <c r="R127" s="139">
        <f>N127+397061+890146+250000</f>
        <v>3716476</v>
      </c>
      <c r="S127" s="139">
        <f>O127+397061+890146</f>
        <v>3275928</v>
      </c>
      <c r="T127" s="139">
        <f>P127+33493+75086</f>
        <v>270460</v>
      </c>
      <c r="U127" s="139">
        <f>S127+T127</f>
        <v>3546388</v>
      </c>
      <c r="V127" s="139">
        <f>769355+R127+126500</f>
        <v>4612331</v>
      </c>
      <c r="W127" s="139">
        <f>S127+769355</f>
        <v>4045283</v>
      </c>
      <c r="X127" s="139">
        <f>T127+64897</f>
        <v>335357</v>
      </c>
      <c r="Y127" s="139">
        <f>W127+X127</f>
        <v>4380640</v>
      </c>
      <c r="Z127" s="139">
        <f>V127+458358+125942</f>
        <v>5196631</v>
      </c>
      <c r="AA127" s="139">
        <f>W127+458358+465</f>
        <v>4504106</v>
      </c>
      <c r="AB127" s="139">
        <f>X127+38663+83</f>
        <v>374103</v>
      </c>
      <c r="AC127" s="139">
        <f>AA127+AB127</f>
        <v>4878209</v>
      </c>
      <c r="AD127" s="139">
        <f>Z127+1568834+5109</f>
        <v>6770574</v>
      </c>
      <c r="AE127" s="139">
        <f>AA127+1568834</f>
        <v>6072940</v>
      </c>
      <c r="AF127" s="139">
        <f>AB127+131292</f>
        <v>505395</v>
      </c>
      <c r="AG127" s="139">
        <f>AE127+AF127</f>
        <v>6578335</v>
      </c>
      <c r="AH127" s="139">
        <f>AD127+2877313</f>
        <v>9647887</v>
      </c>
      <c r="AI127" s="139">
        <f>AE127+2877313</f>
        <v>8950253</v>
      </c>
      <c r="AJ127" s="139">
        <f>AF127+242709</f>
        <v>748104</v>
      </c>
      <c r="AK127" s="139">
        <f>AI127+AJ127</f>
        <v>9698357</v>
      </c>
      <c r="AL127" s="139">
        <f>AH127+198596</f>
        <v>9846483</v>
      </c>
      <c r="AM127" s="139">
        <f>AI127+198596</f>
        <v>9148849</v>
      </c>
      <c r="AN127" s="139">
        <f>AJ127+16752</f>
        <v>764856</v>
      </c>
      <c r="AO127" s="139">
        <f>AM127+AN127</f>
        <v>9913705</v>
      </c>
      <c r="AP127" s="139">
        <f>AL127+2463527</f>
        <v>12310010</v>
      </c>
      <c r="AQ127" s="139">
        <f>AM127+2463527</f>
        <v>11612376</v>
      </c>
      <c r="AR127" s="139">
        <f>AN127+207806</f>
        <v>972662</v>
      </c>
      <c r="AS127" s="139">
        <f>AQ127+AR127</f>
        <v>12585038</v>
      </c>
      <c r="AT127" s="139">
        <f>AP127+2827669+8883</f>
        <v>15146562</v>
      </c>
      <c r="AU127" s="139">
        <f>AQ127+2827669</f>
        <v>14440045</v>
      </c>
      <c r="AV127" s="139">
        <f>AR127+238522</f>
        <v>1211184</v>
      </c>
      <c r="AW127" s="139">
        <f>AU127+AV127</f>
        <v>15651229</v>
      </c>
      <c r="AX127" s="139">
        <f>AT127+3406067</f>
        <v>18552629</v>
      </c>
      <c r="AY127" s="139">
        <f>AU127+3406067</f>
        <v>17846112</v>
      </c>
      <c r="AZ127" s="139">
        <f>AV127+287312</f>
        <v>1498496</v>
      </c>
      <c r="BA127" s="139">
        <f>AY127+AZ127</f>
        <v>19344608</v>
      </c>
      <c r="BB127" s="90">
        <f>17308797+24972</f>
        <v>17333769</v>
      </c>
      <c r="BC127" s="90">
        <v>17308797</v>
      </c>
      <c r="BD127" s="90">
        <v>1459040</v>
      </c>
      <c r="BE127" s="90">
        <v>17121745</v>
      </c>
      <c r="BF127" s="90">
        <f>9981093-741406</f>
        <v>9239687</v>
      </c>
      <c r="BG127" s="90">
        <f>9981093-741406</f>
        <v>9239687</v>
      </c>
      <c r="BH127" s="90">
        <f>768544-131189</f>
        <v>637355</v>
      </c>
      <c r="BI127" s="90">
        <v>4483968</v>
      </c>
      <c r="BJ127" s="90">
        <v>0</v>
      </c>
      <c r="BK127" s="90">
        <v>0</v>
      </c>
      <c r="BL127" s="90">
        <v>0</v>
      </c>
      <c r="BM127" s="90">
        <v>0</v>
      </c>
      <c r="BN127" s="90" t="e">
        <f>#REF!+AX127+BB127+BF127+BJ127</f>
        <v>#REF!</v>
      </c>
      <c r="BO127" s="90">
        <f t="shared" si="117"/>
        <v>44394596</v>
      </c>
      <c r="BP127" s="90">
        <f t="shared" si="117"/>
        <v>3594891</v>
      </c>
      <c r="BQ127" s="90">
        <f t="shared" si="115"/>
        <v>47989487</v>
      </c>
      <c r="BR127" s="107" t="s">
        <v>155</v>
      </c>
      <c r="BS127" s="80"/>
    </row>
    <row r="128" spans="1:72" s="13" customFormat="1" ht="78" customHeight="1">
      <c r="A128" s="138" t="s">
        <v>83</v>
      </c>
      <c r="B128" s="138" t="s">
        <v>423</v>
      </c>
      <c r="C128" s="139">
        <v>0</v>
      </c>
      <c r="D128" s="139"/>
      <c r="E128" s="139">
        <v>0</v>
      </c>
      <c r="F128" s="139"/>
      <c r="G128" s="139"/>
      <c r="H128" s="139"/>
      <c r="I128" s="140">
        <f t="shared" si="142"/>
        <v>0</v>
      </c>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c r="BB128" s="90"/>
      <c r="BC128" s="90"/>
      <c r="BD128" s="90"/>
      <c r="BE128" s="90"/>
      <c r="BF128" s="90"/>
      <c r="BG128" s="90"/>
      <c r="BH128" s="90"/>
      <c r="BI128" s="90"/>
      <c r="BJ128" s="90"/>
      <c r="BK128" s="90"/>
      <c r="BL128" s="90"/>
      <c r="BM128" s="90"/>
      <c r="BN128" s="90" t="e">
        <f>#REF!+AX128+BB128+BF128+BJ128</f>
        <v>#REF!</v>
      </c>
      <c r="BO128" s="90">
        <f t="shared" si="117"/>
        <v>0</v>
      </c>
      <c r="BP128" s="90">
        <f t="shared" si="117"/>
        <v>0</v>
      </c>
      <c r="BQ128" s="90">
        <f t="shared" si="115"/>
        <v>0</v>
      </c>
      <c r="BR128" s="107"/>
      <c r="BS128" s="80"/>
    </row>
    <row r="129" spans="1:72" s="13" customFormat="1" ht="76.5" customHeight="1">
      <c r="A129" s="138" t="s">
        <v>84</v>
      </c>
      <c r="B129" s="138" t="s">
        <v>413</v>
      </c>
      <c r="C129" s="139">
        <v>18365985.470171999</v>
      </c>
      <c r="D129" s="139"/>
      <c r="E129" s="139">
        <v>1242857</v>
      </c>
      <c r="F129" s="139">
        <v>0</v>
      </c>
      <c r="G129" s="139">
        <v>0</v>
      </c>
      <c r="H129" s="139">
        <v>0</v>
      </c>
      <c r="I129" s="140">
        <f t="shared" si="142"/>
        <v>0</v>
      </c>
      <c r="J129" s="139">
        <v>12251</v>
      </c>
      <c r="K129" s="139">
        <v>12251</v>
      </c>
      <c r="L129" s="139">
        <v>2162</v>
      </c>
      <c r="M129" s="139">
        <f>K129+L129</f>
        <v>14413</v>
      </c>
      <c r="N129" s="139">
        <f>J129:J129</f>
        <v>12251</v>
      </c>
      <c r="O129" s="139">
        <f>K129</f>
        <v>12251</v>
      </c>
      <c r="P129" s="139">
        <f>L129</f>
        <v>2162</v>
      </c>
      <c r="Q129" s="139">
        <f>O129+P129</f>
        <v>14413</v>
      </c>
      <c r="R129" s="139">
        <f>N129</f>
        <v>12251</v>
      </c>
      <c r="S129" s="139">
        <f>O129</f>
        <v>12251</v>
      </c>
      <c r="T129" s="139">
        <f>P129</f>
        <v>2162</v>
      </c>
      <c r="U129" s="139">
        <f>S129+T129</f>
        <v>14413</v>
      </c>
      <c r="V129" s="139">
        <f>R129</f>
        <v>12251</v>
      </c>
      <c r="W129" s="139">
        <f>S129</f>
        <v>12251</v>
      </c>
      <c r="X129" s="139">
        <f>T129</f>
        <v>2162</v>
      </c>
      <c r="Y129" s="139">
        <f>W129+X129</f>
        <v>14413</v>
      </c>
      <c r="Z129" s="139">
        <f>V129</f>
        <v>12251</v>
      </c>
      <c r="AA129" s="139">
        <f>W129</f>
        <v>12251</v>
      </c>
      <c r="AB129" s="139">
        <f>X129</f>
        <v>2162</v>
      </c>
      <c r="AC129" s="139">
        <f>AA129+AB129</f>
        <v>14413</v>
      </c>
      <c r="AD129" s="139">
        <f>Z129+1044177</f>
        <v>1056428</v>
      </c>
      <c r="AE129" s="139">
        <f>AA129+1044177</f>
        <v>1056428</v>
      </c>
      <c r="AF129" s="139">
        <f>AB129+184267</f>
        <v>186429</v>
      </c>
      <c r="AG129" s="139">
        <f>AE129+AF129</f>
        <v>1242857</v>
      </c>
      <c r="AH129" s="139">
        <f>AD129</f>
        <v>1056428</v>
      </c>
      <c r="AI129" s="139">
        <f>AE129</f>
        <v>1056428</v>
      </c>
      <c r="AJ129" s="139">
        <f>AF129</f>
        <v>186429</v>
      </c>
      <c r="AK129" s="139">
        <f>AI129+AJ129</f>
        <v>1242857</v>
      </c>
      <c r="AL129" s="139">
        <f>AH129</f>
        <v>1056428</v>
      </c>
      <c r="AM129" s="139">
        <f>AI129</f>
        <v>1056428</v>
      </c>
      <c r="AN129" s="139">
        <f>AJ129</f>
        <v>186429</v>
      </c>
      <c r="AO129" s="139">
        <f>AM129+AN129</f>
        <v>1242857</v>
      </c>
      <c r="AP129" s="139">
        <f>AL129</f>
        <v>1056428</v>
      </c>
      <c r="AQ129" s="139">
        <f>AM129</f>
        <v>1056428</v>
      </c>
      <c r="AR129" s="139">
        <f>AN129</f>
        <v>186429</v>
      </c>
      <c r="AS129" s="139">
        <f>AQ129+AR129</f>
        <v>1242857</v>
      </c>
      <c r="AT129" s="139">
        <f>AP129</f>
        <v>1056428</v>
      </c>
      <c r="AU129" s="139">
        <f>AP129</f>
        <v>1056428</v>
      </c>
      <c r="AV129" s="139">
        <f>AR129</f>
        <v>186429</v>
      </c>
      <c r="AW129" s="139">
        <f>AU129+AV129</f>
        <v>1242857</v>
      </c>
      <c r="AX129" s="139">
        <f>AT129</f>
        <v>1056428</v>
      </c>
      <c r="AY129" s="139">
        <f>AU129</f>
        <v>1056428</v>
      </c>
      <c r="AZ129" s="139">
        <f>AV129</f>
        <v>186429</v>
      </c>
      <c r="BA129" s="139">
        <f>AY129+AZ129</f>
        <v>1242857</v>
      </c>
      <c r="BB129" s="90">
        <v>1051906</v>
      </c>
      <c r="BC129" s="90">
        <v>1051906</v>
      </c>
      <c r="BD129" s="90">
        <v>185630</v>
      </c>
      <c r="BE129" s="90">
        <v>0</v>
      </c>
      <c r="BF129" s="90">
        <v>0</v>
      </c>
      <c r="BG129" s="90">
        <v>0</v>
      </c>
      <c r="BH129" s="90">
        <v>0</v>
      </c>
      <c r="BI129" s="90">
        <v>0</v>
      </c>
      <c r="BJ129" s="90">
        <v>0</v>
      </c>
      <c r="BK129" s="90">
        <v>0</v>
      </c>
      <c r="BL129" s="90">
        <v>0</v>
      </c>
      <c r="BM129" s="90">
        <v>0</v>
      </c>
      <c r="BN129" s="90" t="e">
        <f>#REF!+AX129+BB129+BF129+BJ129</f>
        <v>#REF!</v>
      </c>
      <c r="BO129" s="90">
        <f t="shared" si="117"/>
        <v>2108334</v>
      </c>
      <c r="BP129" s="90">
        <f t="shared" si="117"/>
        <v>372059</v>
      </c>
      <c r="BQ129" s="90">
        <f t="shared" si="115"/>
        <v>2480393</v>
      </c>
      <c r="BR129" s="107" t="s">
        <v>157</v>
      </c>
      <c r="BS129" s="80"/>
    </row>
    <row r="130" spans="1:72" s="13" customFormat="1" ht="56.25" customHeight="1">
      <c r="A130" s="138" t="s">
        <v>85</v>
      </c>
      <c r="B130" s="138" t="s">
        <v>415</v>
      </c>
      <c r="C130" s="139">
        <v>2226541.4047320001</v>
      </c>
      <c r="D130" s="139"/>
      <c r="E130" s="139">
        <v>411536</v>
      </c>
      <c r="F130" s="139">
        <v>0</v>
      </c>
      <c r="G130" s="139">
        <v>0</v>
      </c>
      <c r="H130" s="139">
        <v>0</v>
      </c>
      <c r="I130" s="140">
        <v>0</v>
      </c>
      <c r="J130" s="139">
        <v>0</v>
      </c>
      <c r="K130" s="139">
        <v>0</v>
      </c>
      <c r="L130" s="139">
        <v>0</v>
      </c>
      <c r="M130" s="139">
        <v>0</v>
      </c>
      <c r="N130" s="139">
        <v>0</v>
      </c>
      <c r="O130" s="139">
        <v>0</v>
      </c>
      <c r="P130" s="139">
        <v>0</v>
      </c>
      <c r="Q130" s="139">
        <v>0</v>
      </c>
      <c r="R130" s="139">
        <v>0</v>
      </c>
      <c r="S130" s="139">
        <v>0</v>
      </c>
      <c r="T130" s="139">
        <v>0</v>
      </c>
      <c r="U130" s="139">
        <v>0</v>
      </c>
      <c r="V130" s="139">
        <v>411536</v>
      </c>
      <c r="W130" s="139">
        <v>411536</v>
      </c>
      <c r="X130" s="139">
        <v>0</v>
      </c>
      <c r="Y130" s="139">
        <f>W130+X130</f>
        <v>411536</v>
      </c>
      <c r="Z130" s="139">
        <f t="shared" ref="Z130:AA132" si="143">V130</f>
        <v>411536</v>
      </c>
      <c r="AA130" s="139">
        <f t="shared" si="143"/>
        <v>411536</v>
      </c>
      <c r="AB130" s="139">
        <v>0</v>
      </c>
      <c r="AC130" s="139">
        <f>AA130+AB130</f>
        <v>411536</v>
      </c>
      <c r="AD130" s="139">
        <f t="shared" ref="AD130:AE132" si="144">Z130</f>
        <v>411536</v>
      </c>
      <c r="AE130" s="139">
        <f t="shared" si="144"/>
        <v>411536</v>
      </c>
      <c r="AF130" s="139">
        <v>0</v>
      </c>
      <c r="AG130" s="139">
        <f>AE130+AF130</f>
        <v>411536</v>
      </c>
      <c r="AH130" s="139">
        <f t="shared" ref="AH130:AI132" si="145">AD130</f>
        <v>411536</v>
      </c>
      <c r="AI130" s="139">
        <f t="shared" si="145"/>
        <v>411536</v>
      </c>
      <c r="AJ130" s="139">
        <v>0</v>
      </c>
      <c r="AK130" s="139">
        <f>AI130+AJ130</f>
        <v>411536</v>
      </c>
      <c r="AL130" s="139">
        <f t="shared" ref="AL130:AM132" si="146">AH130</f>
        <v>411536</v>
      </c>
      <c r="AM130" s="139">
        <f t="shared" si="146"/>
        <v>411536</v>
      </c>
      <c r="AN130" s="139">
        <v>0</v>
      </c>
      <c r="AO130" s="139">
        <f>AM130+AN130</f>
        <v>411536</v>
      </c>
      <c r="AP130" s="139">
        <f t="shared" ref="AP130:AQ132" si="147">AL130</f>
        <v>411536</v>
      </c>
      <c r="AQ130" s="139">
        <f t="shared" si="147"/>
        <v>411536</v>
      </c>
      <c r="AR130" s="139">
        <v>0</v>
      </c>
      <c r="AS130" s="139">
        <f>AQ130+AR130</f>
        <v>411536</v>
      </c>
      <c r="AT130" s="139">
        <f>AP130</f>
        <v>411536</v>
      </c>
      <c r="AU130" s="139">
        <f>AQ130</f>
        <v>411536</v>
      </c>
      <c r="AV130" s="139">
        <v>0</v>
      </c>
      <c r="AW130" s="139">
        <f>AU130+AV130</f>
        <v>411536</v>
      </c>
      <c r="AX130" s="139">
        <f t="shared" ref="AX130:AY133" si="148">AT130</f>
        <v>411536</v>
      </c>
      <c r="AY130" s="139">
        <f t="shared" si="148"/>
        <v>411536</v>
      </c>
      <c r="AZ130" s="139">
        <v>0</v>
      </c>
      <c r="BA130" s="139">
        <f>AY130+AZ130</f>
        <v>411536</v>
      </c>
      <c r="BB130" s="90">
        <v>732492</v>
      </c>
      <c r="BC130" s="90">
        <v>732492</v>
      </c>
      <c r="BD130" s="90">
        <v>0</v>
      </c>
      <c r="BE130" s="90">
        <f>BC130+BD130</f>
        <v>732492</v>
      </c>
      <c r="BF130" s="90">
        <v>499755</v>
      </c>
      <c r="BG130" s="90">
        <v>499755</v>
      </c>
      <c r="BH130" s="90"/>
      <c r="BI130" s="90">
        <v>63699</v>
      </c>
      <c r="BJ130" s="90">
        <v>0</v>
      </c>
      <c r="BK130" s="90">
        <v>0</v>
      </c>
      <c r="BL130" s="90">
        <v>0</v>
      </c>
      <c r="BM130" s="90">
        <v>0</v>
      </c>
      <c r="BN130" s="90" t="e">
        <f>#REF!+AX130+BB130+BF130+BJ130</f>
        <v>#REF!</v>
      </c>
      <c r="BO130" s="90">
        <f t="shared" si="117"/>
        <v>1643783</v>
      </c>
      <c r="BP130" s="90">
        <f t="shared" si="117"/>
        <v>0</v>
      </c>
      <c r="BQ130" s="90">
        <f t="shared" si="115"/>
        <v>1643783</v>
      </c>
      <c r="BR130" s="107"/>
      <c r="BS130" s="80"/>
    </row>
    <row r="131" spans="1:72" s="13" customFormat="1" ht="87" customHeight="1">
      <c r="A131" s="155" t="s">
        <v>86</v>
      </c>
      <c r="B131" s="138" t="s">
        <v>414</v>
      </c>
      <c r="C131" s="139">
        <v>5779330.8845879994</v>
      </c>
      <c r="D131" s="139"/>
      <c r="E131" s="139">
        <v>147941</v>
      </c>
      <c r="F131" s="139">
        <v>0</v>
      </c>
      <c r="G131" s="139">
        <v>0</v>
      </c>
      <c r="H131" s="139">
        <v>0</v>
      </c>
      <c r="I131" s="140">
        <f t="shared" si="142"/>
        <v>0</v>
      </c>
      <c r="J131" s="139">
        <v>147941</v>
      </c>
      <c r="K131" s="139">
        <v>147941</v>
      </c>
      <c r="L131" s="139">
        <v>0</v>
      </c>
      <c r="M131" s="139">
        <f>K131+L131</f>
        <v>147941</v>
      </c>
      <c r="N131" s="139">
        <f>J131</f>
        <v>147941</v>
      </c>
      <c r="O131" s="139">
        <f>K131</f>
        <v>147941</v>
      </c>
      <c r="P131" s="139">
        <v>0</v>
      </c>
      <c r="Q131" s="139">
        <f>O131+P131</f>
        <v>147941</v>
      </c>
      <c r="R131" s="139">
        <f>N131</f>
        <v>147941</v>
      </c>
      <c r="S131" s="139">
        <f>O131</f>
        <v>147941</v>
      </c>
      <c r="T131" s="139">
        <v>0</v>
      </c>
      <c r="U131" s="139">
        <f>S131+T131</f>
        <v>147941</v>
      </c>
      <c r="V131" s="139">
        <f>R131</f>
        <v>147941</v>
      </c>
      <c r="W131" s="139">
        <f>S131</f>
        <v>147941</v>
      </c>
      <c r="X131" s="139">
        <v>0</v>
      </c>
      <c r="Y131" s="139">
        <f>W131+X131</f>
        <v>147941</v>
      </c>
      <c r="Z131" s="139">
        <f t="shared" si="143"/>
        <v>147941</v>
      </c>
      <c r="AA131" s="139">
        <f t="shared" si="143"/>
        <v>147941</v>
      </c>
      <c r="AB131" s="139">
        <v>0</v>
      </c>
      <c r="AC131" s="139">
        <f>AA131+AB131</f>
        <v>147941</v>
      </c>
      <c r="AD131" s="139">
        <f t="shared" si="144"/>
        <v>147941</v>
      </c>
      <c r="AE131" s="139">
        <f t="shared" si="144"/>
        <v>147941</v>
      </c>
      <c r="AF131" s="139">
        <v>0</v>
      </c>
      <c r="AG131" s="139">
        <f>AE131+AF131</f>
        <v>147941</v>
      </c>
      <c r="AH131" s="139">
        <f t="shared" si="145"/>
        <v>147941</v>
      </c>
      <c r="AI131" s="139">
        <f t="shared" si="145"/>
        <v>147941</v>
      </c>
      <c r="AJ131" s="139">
        <v>0</v>
      </c>
      <c r="AK131" s="139">
        <f>AI131+AJ131</f>
        <v>147941</v>
      </c>
      <c r="AL131" s="139">
        <f t="shared" si="146"/>
        <v>147941</v>
      </c>
      <c r="AM131" s="139">
        <f t="shared" si="146"/>
        <v>147941</v>
      </c>
      <c r="AN131" s="139">
        <v>0</v>
      </c>
      <c r="AO131" s="139">
        <f>AM131+AN131</f>
        <v>147941</v>
      </c>
      <c r="AP131" s="139">
        <f t="shared" si="147"/>
        <v>147941</v>
      </c>
      <c r="AQ131" s="139">
        <f t="shared" si="147"/>
        <v>147941</v>
      </c>
      <c r="AR131" s="139">
        <v>0</v>
      </c>
      <c r="AS131" s="139">
        <f>AQ131+AR131</f>
        <v>147941</v>
      </c>
      <c r="AT131" s="139">
        <f>AP131</f>
        <v>147941</v>
      </c>
      <c r="AU131" s="139">
        <f>AQ131</f>
        <v>147941</v>
      </c>
      <c r="AV131" s="139">
        <v>0</v>
      </c>
      <c r="AW131" s="139">
        <f>AU131+AV131</f>
        <v>147941</v>
      </c>
      <c r="AX131" s="139">
        <f t="shared" si="148"/>
        <v>147941</v>
      </c>
      <c r="AY131" s="139">
        <f t="shared" si="148"/>
        <v>147941</v>
      </c>
      <c r="AZ131" s="139">
        <v>0</v>
      </c>
      <c r="BA131" s="139">
        <f>AY131+AZ131</f>
        <v>147941</v>
      </c>
      <c r="BB131" s="90">
        <v>1117236</v>
      </c>
      <c r="BC131" s="90">
        <v>1117236</v>
      </c>
      <c r="BD131" s="90">
        <v>0</v>
      </c>
      <c r="BE131" s="90">
        <v>0</v>
      </c>
      <c r="BF131" s="90">
        <v>0</v>
      </c>
      <c r="BG131" s="90">
        <v>0</v>
      </c>
      <c r="BH131" s="90">
        <v>0</v>
      </c>
      <c r="BI131" s="90">
        <v>0</v>
      </c>
      <c r="BJ131" s="90">
        <v>0</v>
      </c>
      <c r="BK131" s="90">
        <v>0</v>
      </c>
      <c r="BL131" s="90">
        <v>0</v>
      </c>
      <c r="BM131" s="90">
        <v>0</v>
      </c>
      <c r="BN131" s="90" t="e">
        <f>#REF!+AX131+BB131+BF131+BJ131</f>
        <v>#REF!</v>
      </c>
      <c r="BO131" s="90">
        <f t="shared" si="117"/>
        <v>1265177</v>
      </c>
      <c r="BP131" s="90">
        <f t="shared" si="117"/>
        <v>0</v>
      </c>
      <c r="BQ131" s="90">
        <f t="shared" si="115"/>
        <v>1265177</v>
      </c>
      <c r="BR131" s="107" t="s">
        <v>158</v>
      </c>
      <c r="BS131" s="80"/>
    </row>
    <row r="132" spans="1:72" s="13" customFormat="1" ht="103.5" customHeight="1">
      <c r="A132" s="155" t="s">
        <v>87</v>
      </c>
      <c r="B132" s="138" t="s">
        <v>416</v>
      </c>
      <c r="C132" s="139">
        <v>2817895.4492159998</v>
      </c>
      <c r="D132" s="139"/>
      <c r="E132" s="139">
        <v>169657</v>
      </c>
      <c r="F132" s="139">
        <v>0</v>
      </c>
      <c r="G132" s="139">
        <v>0</v>
      </c>
      <c r="H132" s="139">
        <v>0</v>
      </c>
      <c r="I132" s="140">
        <f t="shared" si="142"/>
        <v>0</v>
      </c>
      <c r="J132" s="139">
        <v>0</v>
      </c>
      <c r="K132" s="139">
        <v>0</v>
      </c>
      <c r="L132" s="139">
        <v>0</v>
      </c>
      <c r="M132" s="139">
        <v>0</v>
      </c>
      <c r="N132" s="139">
        <v>136434</v>
      </c>
      <c r="O132" s="139">
        <v>136434</v>
      </c>
      <c r="P132" s="139">
        <v>18605</v>
      </c>
      <c r="Q132" s="139">
        <f>O132+P132</f>
        <v>155039</v>
      </c>
      <c r="R132" s="139">
        <f>N132+12864</f>
        <v>149298</v>
      </c>
      <c r="S132" s="139">
        <f>O132+12864</f>
        <v>149298</v>
      </c>
      <c r="T132" s="139">
        <f>P132+1754</f>
        <v>20359</v>
      </c>
      <c r="U132" s="139">
        <f>S132+T132</f>
        <v>169657</v>
      </c>
      <c r="V132" s="139">
        <f>R132</f>
        <v>149298</v>
      </c>
      <c r="W132" s="139">
        <f>S132</f>
        <v>149298</v>
      </c>
      <c r="X132" s="139">
        <f>T132</f>
        <v>20359</v>
      </c>
      <c r="Y132" s="139">
        <f>W132+X132</f>
        <v>169657</v>
      </c>
      <c r="Z132" s="139">
        <f t="shared" si="143"/>
        <v>149298</v>
      </c>
      <c r="AA132" s="139">
        <f t="shared" si="143"/>
        <v>149298</v>
      </c>
      <c r="AB132" s="139">
        <f>X132</f>
        <v>20359</v>
      </c>
      <c r="AC132" s="139">
        <f>AA132+AB132</f>
        <v>169657</v>
      </c>
      <c r="AD132" s="139">
        <f t="shared" si="144"/>
        <v>149298</v>
      </c>
      <c r="AE132" s="139">
        <f t="shared" si="144"/>
        <v>149298</v>
      </c>
      <c r="AF132" s="139">
        <f>AB132</f>
        <v>20359</v>
      </c>
      <c r="AG132" s="139">
        <f>AE132+AF132</f>
        <v>169657</v>
      </c>
      <c r="AH132" s="139">
        <f t="shared" si="145"/>
        <v>149298</v>
      </c>
      <c r="AI132" s="139">
        <f t="shared" si="145"/>
        <v>149298</v>
      </c>
      <c r="AJ132" s="139">
        <f>AF132</f>
        <v>20359</v>
      </c>
      <c r="AK132" s="139">
        <f>AI132+AJ132</f>
        <v>169657</v>
      </c>
      <c r="AL132" s="139">
        <f t="shared" si="146"/>
        <v>149298</v>
      </c>
      <c r="AM132" s="139">
        <f t="shared" si="146"/>
        <v>149298</v>
      </c>
      <c r="AN132" s="139">
        <f>AJ132</f>
        <v>20359</v>
      </c>
      <c r="AO132" s="139">
        <f>AM132+AN132</f>
        <v>169657</v>
      </c>
      <c r="AP132" s="139">
        <f t="shared" si="147"/>
        <v>149298</v>
      </c>
      <c r="AQ132" s="139">
        <f t="shared" si="147"/>
        <v>149298</v>
      </c>
      <c r="AR132" s="139">
        <f>AN132</f>
        <v>20359</v>
      </c>
      <c r="AS132" s="139">
        <f>AQ132+AR132</f>
        <v>169657</v>
      </c>
      <c r="AT132" s="139">
        <f>AP132</f>
        <v>149298</v>
      </c>
      <c r="AU132" s="139">
        <f>AQ132</f>
        <v>149298</v>
      </c>
      <c r="AV132" s="139">
        <f>AR132</f>
        <v>20359</v>
      </c>
      <c r="AW132" s="139">
        <f>AU132+AV132</f>
        <v>169657</v>
      </c>
      <c r="AX132" s="139">
        <f t="shared" si="148"/>
        <v>149298</v>
      </c>
      <c r="AY132" s="139">
        <f t="shared" si="148"/>
        <v>149298</v>
      </c>
      <c r="AZ132" s="139">
        <f>AV132</f>
        <v>20359</v>
      </c>
      <c r="BA132" s="139">
        <f>AY132+AZ132</f>
        <v>169657</v>
      </c>
      <c r="BB132" s="90">
        <v>198864</v>
      </c>
      <c r="BC132" s="90">
        <v>198864</v>
      </c>
      <c r="BD132" s="90">
        <v>27117</v>
      </c>
      <c r="BE132" s="90">
        <f>BC132+BD132</f>
        <v>225981</v>
      </c>
      <c r="BF132" s="90">
        <v>0</v>
      </c>
      <c r="BG132" s="90">
        <v>0</v>
      </c>
      <c r="BH132" s="90">
        <v>0</v>
      </c>
      <c r="BI132" s="90">
        <v>0</v>
      </c>
      <c r="BJ132" s="90">
        <v>0</v>
      </c>
      <c r="BK132" s="90">
        <v>0</v>
      </c>
      <c r="BL132" s="90">
        <v>0</v>
      </c>
      <c r="BM132" s="90">
        <v>0</v>
      </c>
      <c r="BN132" s="90" t="e">
        <f>#REF!+AX132+BB132+BF132+BJ132</f>
        <v>#REF!</v>
      </c>
      <c r="BO132" s="90">
        <f t="shared" si="117"/>
        <v>348162</v>
      </c>
      <c r="BP132" s="90">
        <f t="shared" si="117"/>
        <v>47476</v>
      </c>
      <c r="BQ132" s="90">
        <f t="shared" si="115"/>
        <v>395638</v>
      </c>
      <c r="BR132" s="107" t="s">
        <v>158</v>
      </c>
      <c r="BS132" s="80"/>
    </row>
    <row r="133" spans="1:72" s="13" customFormat="1" ht="50.25" customHeight="1">
      <c r="A133" s="138" t="s">
        <v>88</v>
      </c>
      <c r="B133" s="138" t="s">
        <v>417</v>
      </c>
      <c r="C133" s="139">
        <v>12200000.639748</v>
      </c>
      <c r="D133" s="139"/>
      <c r="E133" s="139">
        <f>653558+69289+12468</f>
        <v>735315</v>
      </c>
      <c r="F133" s="139">
        <v>0</v>
      </c>
      <c r="G133" s="139">
        <v>0</v>
      </c>
      <c r="H133" s="139">
        <v>2241</v>
      </c>
      <c r="I133" s="139">
        <f>G133+H133</f>
        <v>2241</v>
      </c>
      <c r="J133" s="139">
        <v>0</v>
      </c>
      <c r="K133" s="139">
        <v>69286</v>
      </c>
      <c r="L133" s="139">
        <f>H133+2241</f>
        <v>4482</v>
      </c>
      <c r="M133" s="139">
        <f>L133+K133</f>
        <v>73768</v>
      </c>
      <c r="N133" s="139">
        <v>0</v>
      </c>
      <c r="O133" s="139">
        <f>K133+62745</f>
        <v>132031</v>
      </c>
      <c r="P133" s="139">
        <f>L133+2241</f>
        <v>6723</v>
      </c>
      <c r="Q133" s="139">
        <v>76009</v>
      </c>
      <c r="R133" s="139">
        <v>0</v>
      </c>
      <c r="S133" s="139">
        <f>O133</f>
        <v>132031</v>
      </c>
      <c r="T133" s="139">
        <f>P133+2241</f>
        <v>8964</v>
      </c>
      <c r="U133" s="139">
        <v>78250</v>
      </c>
      <c r="V133" s="139">
        <v>0</v>
      </c>
      <c r="W133" s="139">
        <f>S133</f>
        <v>132031</v>
      </c>
      <c r="X133" s="139">
        <f>T133+2241</f>
        <v>11205</v>
      </c>
      <c r="Y133" s="139">
        <v>80491</v>
      </c>
      <c r="Z133" s="139">
        <v>0</v>
      </c>
      <c r="AA133" s="139">
        <f>W133</f>
        <v>132031</v>
      </c>
      <c r="AB133" s="139">
        <f>X133+1266</f>
        <v>12471</v>
      </c>
      <c r="AC133" s="139">
        <v>81757</v>
      </c>
      <c r="AD133" s="139">
        <v>0</v>
      </c>
      <c r="AE133" s="139">
        <f>AA133</f>
        <v>132031</v>
      </c>
      <c r="AF133" s="139">
        <f>AB133</f>
        <v>12471</v>
      </c>
      <c r="AG133" s="139">
        <v>81757</v>
      </c>
      <c r="AH133" s="139">
        <v>0</v>
      </c>
      <c r="AI133" s="139">
        <f>AE133</f>
        <v>132031</v>
      </c>
      <c r="AJ133" s="139">
        <f>AF133</f>
        <v>12471</v>
      </c>
      <c r="AK133" s="139">
        <v>81757</v>
      </c>
      <c r="AL133" s="139">
        <v>0</v>
      </c>
      <c r="AM133" s="139">
        <f>AI133</f>
        <v>132031</v>
      </c>
      <c r="AN133" s="139">
        <f>AJ133</f>
        <v>12471</v>
      </c>
      <c r="AO133" s="139">
        <v>81757</v>
      </c>
      <c r="AP133" s="139">
        <v>0</v>
      </c>
      <c r="AQ133" s="139">
        <f>AM133</f>
        <v>132031</v>
      </c>
      <c r="AR133" s="139">
        <f>AN133</f>
        <v>12471</v>
      </c>
      <c r="AS133" s="139">
        <f>AQ133+AR133</f>
        <v>144502</v>
      </c>
      <c r="AT133" s="139">
        <v>653558</v>
      </c>
      <c r="AU133" s="139">
        <f>AQ133+653561</f>
        <v>785592</v>
      </c>
      <c r="AV133" s="139">
        <f>AR133</f>
        <v>12471</v>
      </c>
      <c r="AW133" s="139">
        <v>735315</v>
      </c>
      <c r="AX133" s="139">
        <f>AT133</f>
        <v>653558</v>
      </c>
      <c r="AY133" s="139">
        <f t="shared" si="148"/>
        <v>785592</v>
      </c>
      <c r="AZ133" s="139">
        <f>AV133</f>
        <v>12471</v>
      </c>
      <c r="BA133" s="139">
        <v>735315</v>
      </c>
      <c r="BB133" s="90">
        <v>2253829</v>
      </c>
      <c r="BC133" s="90">
        <v>2253829</v>
      </c>
      <c r="BD133" s="90">
        <v>0</v>
      </c>
      <c r="BE133" s="90">
        <v>0</v>
      </c>
      <c r="BF133" s="90">
        <v>0</v>
      </c>
      <c r="BG133" s="90">
        <v>0</v>
      </c>
      <c r="BH133" s="90">
        <v>0</v>
      </c>
      <c r="BI133" s="90">
        <v>0</v>
      </c>
      <c r="BJ133" s="90">
        <v>0</v>
      </c>
      <c r="BK133" s="90">
        <v>0</v>
      </c>
      <c r="BL133" s="90">
        <v>0</v>
      </c>
      <c r="BM133" s="90">
        <v>0</v>
      </c>
      <c r="BN133" s="90" t="e">
        <f>#REF!+AX133+BB133+BF133+BJ133</f>
        <v>#REF!</v>
      </c>
      <c r="BO133" s="90">
        <f t="shared" si="117"/>
        <v>3039421</v>
      </c>
      <c r="BP133" s="90">
        <f t="shared" si="117"/>
        <v>12471</v>
      </c>
      <c r="BQ133" s="90">
        <f t="shared" si="115"/>
        <v>3051892</v>
      </c>
      <c r="BR133" s="107"/>
      <c r="BS133" s="80"/>
    </row>
    <row r="134" spans="1:72" s="8" customFormat="1">
      <c r="A134" s="141"/>
      <c r="B134" s="142" t="s">
        <v>418</v>
      </c>
      <c r="C134" s="143">
        <f t="shared" ref="C134" si="149">C135+C137</f>
        <v>56642559.066179998</v>
      </c>
      <c r="D134" s="143"/>
      <c r="E134" s="143">
        <f>E135+E137</f>
        <v>9313579</v>
      </c>
      <c r="F134" s="143">
        <f t="shared" ref="F134:BM134" si="150">F135+F137</f>
        <v>0</v>
      </c>
      <c r="G134" s="143">
        <f t="shared" si="150"/>
        <v>478570.14999999997</v>
      </c>
      <c r="H134" s="143">
        <f t="shared" si="150"/>
        <v>0</v>
      </c>
      <c r="I134" s="143">
        <f t="shared" si="150"/>
        <v>0</v>
      </c>
      <c r="J134" s="143">
        <f t="shared" si="150"/>
        <v>1679126.07</v>
      </c>
      <c r="K134" s="143">
        <f t="shared" si="150"/>
        <v>1162174.9100000001</v>
      </c>
      <c r="L134" s="143">
        <f t="shared" si="150"/>
        <v>0</v>
      </c>
      <c r="M134" s="143">
        <f t="shared" si="150"/>
        <v>0</v>
      </c>
      <c r="N134" s="143">
        <f t="shared" si="150"/>
        <v>2721020.56</v>
      </c>
      <c r="O134" s="143">
        <f t="shared" si="150"/>
        <v>1912509.72</v>
      </c>
      <c r="P134" s="143">
        <f t="shared" si="150"/>
        <v>0</v>
      </c>
      <c r="Q134" s="143">
        <f t="shared" si="150"/>
        <v>0</v>
      </c>
      <c r="R134" s="143">
        <f t="shared" si="150"/>
        <v>2839726.77</v>
      </c>
      <c r="S134" s="143">
        <f t="shared" si="150"/>
        <v>2585321.0099999998</v>
      </c>
      <c r="T134" s="143">
        <f t="shared" si="150"/>
        <v>0</v>
      </c>
      <c r="U134" s="143">
        <f t="shared" si="150"/>
        <v>0</v>
      </c>
      <c r="V134" s="143">
        <f t="shared" si="150"/>
        <v>3247176.52</v>
      </c>
      <c r="W134" s="143">
        <f t="shared" si="150"/>
        <v>3318750.6199999996</v>
      </c>
      <c r="X134" s="143">
        <f t="shared" si="150"/>
        <v>0</v>
      </c>
      <c r="Y134" s="143">
        <f t="shared" si="150"/>
        <v>0</v>
      </c>
      <c r="Z134" s="143">
        <f t="shared" si="150"/>
        <v>4358663.87</v>
      </c>
      <c r="AA134" s="143">
        <f t="shared" si="150"/>
        <v>4166627.2399999998</v>
      </c>
      <c r="AB134" s="143">
        <f t="shared" si="150"/>
        <v>0</v>
      </c>
      <c r="AC134" s="143">
        <f t="shared" si="150"/>
        <v>0</v>
      </c>
      <c r="AD134" s="143">
        <f t="shared" si="150"/>
        <v>4371226.93</v>
      </c>
      <c r="AE134" s="143">
        <f t="shared" si="150"/>
        <v>4859808.13</v>
      </c>
      <c r="AF134" s="143">
        <f t="shared" si="150"/>
        <v>0</v>
      </c>
      <c r="AG134" s="143">
        <f t="shared" si="150"/>
        <v>0</v>
      </c>
      <c r="AH134" s="143">
        <f t="shared" si="150"/>
        <v>5011237</v>
      </c>
      <c r="AI134" s="143">
        <f t="shared" si="150"/>
        <v>5620516.8899999997</v>
      </c>
      <c r="AJ134" s="143">
        <f t="shared" si="150"/>
        <v>0</v>
      </c>
      <c r="AK134" s="143">
        <f t="shared" si="150"/>
        <v>0</v>
      </c>
      <c r="AL134" s="143">
        <f t="shared" si="150"/>
        <v>6190742.3799999999</v>
      </c>
      <c r="AM134" s="143">
        <f t="shared" si="150"/>
        <v>6421183.0299999993</v>
      </c>
      <c r="AN134" s="143">
        <f t="shared" si="150"/>
        <v>0</v>
      </c>
      <c r="AO134" s="143">
        <f t="shared" si="150"/>
        <v>0</v>
      </c>
      <c r="AP134" s="143">
        <f t="shared" si="150"/>
        <v>6343172.6999999993</v>
      </c>
      <c r="AQ134" s="143">
        <f t="shared" si="150"/>
        <v>7415052.2999999998</v>
      </c>
      <c r="AR134" s="143">
        <f t="shared" si="150"/>
        <v>0</v>
      </c>
      <c r="AS134" s="143">
        <f t="shared" si="150"/>
        <v>0</v>
      </c>
      <c r="AT134" s="143">
        <f t="shared" si="150"/>
        <v>6807125.21</v>
      </c>
      <c r="AU134" s="143">
        <f t="shared" si="150"/>
        <v>8373449.7799999993</v>
      </c>
      <c r="AV134" s="143">
        <f t="shared" si="150"/>
        <v>0</v>
      </c>
      <c r="AW134" s="143">
        <f t="shared" si="150"/>
        <v>0</v>
      </c>
      <c r="AX134" s="143">
        <f t="shared" si="150"/>
        <v>8154593.7400000002</v>
      </c>
      <c r="AY134" s="143">
        <f t="shared" si="150"/>
        <v>9455437.9000000004</v>
      </c>
      <c r="AZ134" s="143">
        <f t="shared" si="150"/>
        <v>0</v>
      </c>
      <c r="BA134" s="143">
        <f t="shared" si="150"/>
        <v>9313579</v>
      </c>
      <c r="BB134" s="93">
        <f t="shared" si="150"/>
        <v>8170090.2699999996</v>
      </c>
      <c r="BC134" s="93">
        <f t="shared" si="150"/>
        <v>9517507.1799999997</v>
      </c>
      <c r="BD134" s="93">
        <f t="shared" si="150"/>
        <v>0</v>
      </c>
      <c r="BE134" s="93">
        <f t="shared" si="150"/>
        <v>9134464</v>
      </c>
      <c r="BF134" s="93">
        <f t="shared" si="150"/>
        <v>5883084.0800000001</v>
      </c>
      <c r="BG134" s="93">
        <f t="shared" si="150"/>
        <v>6388296.8800000008</v>
      </c>
      <c r="BH134" s="93">
        <f t="shared" si="150"/>
        <v>0</v>
      </c>
      <c r="BI134" s="93">
        <f t="shared" si="150"/>
        <v>6299438</v>
      </c>
      <c r="BJ134" s="93">
        <f t="shared" si="150"/>
        <v>15840346.809999999</v>
      </c>
      <c r="BK134" s="93">
        <f t="shared" si="150"/>
        <v>4003245.75</v>
      </c>
      <c r="BL134" s="93">
        <f t="shared" si="150"/>
        <v>0</v>
      </c>
      <c r="BM134" s="93">
        <f t="shared" si="150"/>
        <v>4095517</v>
      </c>
      <c r="BN134" s="93" t="e">
        <f>#REF!+AX134+BB134+BF134+BJ134</f>
        <v>#REF!</v>
      </c>
      <c r="BO134" s="93">
        <f t="shared" si="117"/>
        <v>29364487.710000001</v>
      </c>
      <c r="BP134" s="93">
        <f t="shared" si="117"/>
        <v>0</v>
      </c>
      <c r="BQ134" s="93">
        <f t="shared" si="115"/>
        <v>29364487.710000001</v>
      </c>
      <c r="BR134" s="93"/>
      <c r="BS134" s="80"/>
    </row>
    <row r="135" spans="1:72" s="12" customFormat="1">
      <c r="A135" s="147"/>
      <c r="B135" s="148" t="s">
        <v>419</v>
      </c>
      <c r="C135" s="149">
        <f t="shared" ref="C135:BM135" si="151">C136</f>
        <v>16153989</v>
      </c>
      <c r="D135" s="149"/>
      <c r="E135" s="149">
        <f t="shared" si="151"/>
        <v>2812724</v>
      </c>
      <c r="F135" s="149">
        <f t="shared" si="151"/>
        <v>0</v>
      </c>
      <c r="G135" s="149">
        <f t="shared" si="151"/>
        <v>155974.04999999999</v>
      </c>
      <c r="H135" s="149">
        <f t="shared" si="151"/>
        <v>0</v>
      </c>
      <c r="I135" s="149">
        <f t="shared" si="151"/>
        <v>0</v>
      </c>
      <c r="J135" s="149">
        <f t="shared" si="151"/>
        <v>469648.31</v>
      </c>
      <c r="K135" s="149">
        <f t="shared" si="151"/>
        <v>355237.39</v>
      </c>
      <c r="L135" s="149">
        <f t="shared" si="151"/>
        <v>0</v>
      </c>
      <c r="M135" s="149">
        <f t="shared" si="151"/>
        <v>0</v>
      </c>
      <c r="N135" s="149">
        <f t="shared" si="151"/>
        <v>784878.91999999993</v>
      </c>
      <c r="O135" s="149">
        <f t="shared" si="151"/>
        <v>583354.77</v>
      </c>
      <c r="P135" s="149">
        <f t="shared" si="151"/>
        <v>0</v>
      </c>
      <c r="Q135" s="149">
        <f t="shared" si="151"/>
        <v>0</v>
      </c>
      <c r="R135" s="149">
        <f t="shared" si="151"/>
        <v>817204.72</v>
      </c>
      <c r="S135" s="149">
        <f t="shared" si="151"/>
        <v>778065.42</v>
      </c>
      <c r="T135" s="149">
        <f t="shared" si="151"/>
        <v>0</v>
      </c>
      <c r="U135" s="149">
        <f t="shared" si="151"/>
        <v>0</v>
      </c>
      <c r="V135" s="149">
        <f t="shared" si="151"/>
        <v>1023163.58</v>
      </c>
      <c r="W135" s="149">
        <f t="shared" si="151"/>
        <v>987931.56</v>
      </c>
      <c r="X135" s="149">
        <f t="shared" si="151"/>
        <v>0</v>
      </c>
      <c r="Y135" s="149">
        <f t="shared" si="151"/>
        <v>0</v>
      </c>
      <c r="Z135" s="149">
        <f t="shared" si="151"/>
        <v>1254853.58</v>
      </c>
      <c r="AA135" s="149">
        <f t="shared" si="151"/>
        <v>1247808.06</v>
      </c>
      <c r="AB135" s="149">
        <f t="shared" si="151"/>
        <v>0</v>
      </c>
      <c r="AC135" s="149">
        <f t="shared" si="151"/>
        <v>0</v>
      </c>
      <c r="AD135" s="149">
        <f t="shared" si="151"/>
        <v>1258274.77</v>
      </c>
      <c r="AE135" s="149">
        <f t="shared" si="151"/>
        <v>1440832.27</v>
      </c>
      <c r="AF135" s="149">
        <f t="shared" si="151"/>
        <v>0</v>
      </c>
      <c r="AG135" s="149">
        <f t="shared" si="151"/>
        <v>0</v>
      </c>
      <c r="AH135" s="149">
        <f t="shared" si="151"/>
        <v>1519498.42</v>
      </c>
      <c r="AI135" s="149">
        <f t="shared" si="151"/>
        <v>1658323.67</v>
      </c>
      <c r="AJ135" s="149">
        <f t="shared" si="151"/>
        <v>0</v>
      </c>
      <c r="AK135" s="149">
        <f t="shared" si="151"/>
        <v>0</v>
      </c>
      <c r="AL135" s="149">
        <f t="shared" si="151"/>
        <v>1783975.46</v>
      </c>
      <c r="AM135" s="149">
        <f t="shared" si="151"/>
        <v>1890236.98</v>
      </c>
      <c r="AN135" s="149">
        <f t="shared" si="151"/>
        <v>0</v>
      </c>
      <c r="AO135" s="149">
        <f t="shared" si="151"/>
        <v>0</v>
      </c>
      <c r="AP135" s="149">
        <f t="shared" si="151"/>
        <v>1825484.94</v>
      </c>
      <c r="AQ135" s="149">
        <f t="shared" si="151"/>
        <v>2217884.4500000002</v>
      </c>
      <c r="AR135" s="149">
        <f t="shared" si="151"/>
        <v>0</v>
      </c>
      <c r="AS135" s="149">
        <f t="shared" si="151"/>
        <v>0</v>
      </c>
      <c r="AT135" s="149">
        <f t="shared" si="151"/>
        <v>2038295</v>
      </c>
      <c r="AU135" s="149">
        <f t="shared" si="151"/>
        <v>2503106.0500000003</v>
      </c>
      <c r="AV135" s="149">
        <f t="shared" si="151"/>
        <v>0</v>
      </c>
      <c r="AW135" s="149">
        <f t="shared" si="151"/>
        <v>0</v>
      </c>
      <c r="AX135" s="149">
        <f t="shared" si="151"/>
        <v>2345058.96</v>
      </c>
      <c r="AY135" s="149">
        <f t="shared" si="151"/>
        <v>2855566.2300000004</v>
      </c>
      <c r="AZ135" s="149">
        <f t="shared" si="151"/>
        <v>0</v>
      </c>
      <c r="BA135" s="149">
        <f t="shared" si="151"/>
        <v>2812724</v>
      </c>
      <c r="BB135" s="99">
        <f t="shared" si="151"/>
        <v>2371414.65</v>
      </c>
      <c r="BC135" s="99">
        <f t="shared" si="151"/>
        <v>2821879.67</v>
      </c>
      <c r="BD135" s="99">
        <f t="shared" si="151"/>
        <v>0</v>
      </c>
      <c r="BE135" s="99">
        <f t="shared" si="151"/>
        <v>2708310</v>
      </c>
      <c r="BF135" s="99">
        <f t="shared" si="151"/>
        <v>1534666.85</v>
      </c>
      <c r="BG135" s="99">
        <f t="shared" si="151"/>
        <v>1710621.73</v>
      </c>
      <c r="BH135" s="99">
        <f t="shared" si="151"/>
        <v>0</v>
      </c>
      <c r="BI135" s="99">
        <f t="shared" si="151"/>
        <v>1686828</v>
      </c>
      <c r="BJ135" s="99">
        <f t="shared" si="151"/>
        <v>4136204.37</v>
      </c>
      <c r="BK135" s="99">
        <f t="shared" si="151"/>
        <v>1026058.03</v>
      </c>
      <c r="BL135" s="99">
        <f t="shared" si="151"/>
        <v>0</v>
      </c>
      <c r="BM135" s="99">
        <f t="shared" si="151"/>
        <v>1049708</v>
      </c>
      <c r="BN135" s="99" t="e">
        <f>#REF!+AX135+BB135+BF135+BJ135</f>
        <v>#REF!</v>
      </c>
      <c r="BO135" s="99">
        <f t="shared" si="117"/>
        <v>8414125.6600000001</v>
      </c>
      <c r="BP135" s="99">
        <f t="shared" si="117"/>
        <v>0</v>
      </c>
      <c r="BQ135" s="99">
        <f t="shared" si="115"/>
        <v>8414125.6600000001</v>
      </c>
      <c r="BR135" s="102"/>
      <c r="BS135" s="80"/>
      <c r="BT135" s="8"/>
    </row>
    <row r="136" spans="1:72" s="17" customFormat="1" ht="63.75" customHeight="1">
      <c r="A136" s="156" t="s">
        <v>20</v>
      </c>
      <c r="B136" s="156" t="s">
        <v>308</v>
      </c>
      <c r="C136" s="157">
        <v>16153989</v>
      </c>
      <c r="D136" s="157">
        <v>5766643.7699999996</v>
      </c>
      <c r="E136" s="157">
        <v>2812724</v>
      </c>
      <c r="F136" s="158">
        <v>0</v>
      </c>
      <c r="G136" s="158">
        <v>155974.04999999999</v>
      </c>
      <c r="H136" s="158">
        <v>0</v>
      </c>
      <c r="I136" s="158">
        <v>0</v>
      </c>
      <c r="J136" s="158">
        <v>469648.31</v>
      </c>
      <c r="K136" s="158">
        <f>G136+199263.34</f>
        <v>355237.39</v>
      </c>
      <c r="L136" s="158">
        <v>0</v>
      </c>
      <c r="M136" s="158">
        <v>0</v>
      </c>
      <c r="N136" s="158">
        <f>315230.61+J136</f>
        <v>784878.91999999993</v>
      </c>
      <c r="O136" s="158">
        <f>K136+228117.38</f>
        <v>583354.77</v>
      </c>
      <c r="P136" s="158">
        <v>0</v>
      </c>
      <c r="Q136" s="158">
        <v>0</v>
      </c>
      <c r="R136" s="158">
        <f>32325.8+N136</f>
        <v>817204.72</v>
      </c>
      <c r="S136" s="139">
        <f>O136+194710.65</f>
        <v>778065.42</v>
      </c>
      <c r="T136" s="158">
        <v>0</v>
      </c>
      <c r="U136" s="158">
        <v>0</v>
      </c>
      <c r="V136" s="158">
        <f>R136+205958.86</f>
        <v>1023163.58</v>
      </c>
      <c r="W136" s="139">
        <f>S136+209866.14</f>
        <v>987931.56</v>
      </c>
      <c r="X136" s="158">
        <v>0</v>
      </c>
      <c r="Y136" s="158">
        <v>0</v>
      </c>
      <c r="Z136" s="158">
        <f>V136+231690</f>
        <v>1254853.58</v>
      </c>
      <c r="AA136" s="139">
        <f>W136+259876.5</f>
        <v>1247808.06</v>
      </c>
      <c r="AB136" s="158">
        <v>0</v>
      </c>
      <c r="AC136" s="158">
        <v>0</v>
      </c>
      <c r="AD136" s="158">
        <f>Z136+3421.19</f>
        <v>1258274.77</v>
      </c>
      <c r="AE136" s="139">
        <f>AA136+193024.21</f>
        <v>1440832.27</v>
      </c>
      <c r="AF136" s="158">
        <v>0</v>
      </c>
      <c r="AG136" s="158">
        <v>0</v>
      </c>
      <c r="AH136" s="158">
        <f>AD136+261223.65</f>
        <v>1519498.42</v>
      </c>
      <c r="AI136" s="139">
        <f>AE136+217491.4</f>
        <v>1658323.67</v>
      </c>
      <c r="AJ136" s="158">
        <v>0</v>
      </c>
      <c r="AK136" s="158">
        <v>0</v>
      </c>
      <c r="AL136" s="158">
        <f>AH136+264477.04</f>
        <v>1783975.46</v>
      </c>
      <c r="AM136" s="139">
        <f>AI136+231913.31</f>
        <v>1890236.98</v>
      </c>
      <c r="AN136" s="158">
        <v>0</v>
      </c>
      <c r="AO136" s="158">
        <v>0</v>
      </c>
      <c r="AP136" s="158">
        <f>AL136+41509.48</f>
        <v>1825484.94</v>
      </c>
      <c r="AQ136" s="139">
        <f>AM136+327647.47</f>
        <v>2217884.4500000002</v>
      </c>
      <c r="AR136" s="158">
        <v>0</v>
      </c>
      <c r="AS136" s="158">
        <v>0</v>
      </c>
      <c r="AT136" s="158">
        <f>AP136+212810.06</f>
        <v>2038295</v>
      </c>
      <c r="AU136" s="139">
        <f>AQ136+285221.6</f>
        <v>2503106.0500000003</v>
      </c>
      <c r="AV136" s="158">
        <v>0</v>
      </c>
      <c r="AW136" s="158">
        <v>0</v>
      </c>
      <c r="AX136" s="158">
        <f>AT136+306763.96</f>
        <v>2345058.96</v>
      </c>
      <c r="AY136" s="139">
        <f>AU136+352460.18</f>
        <v>2855566.2300000004</v>
      </c>
      <c r="AZ136" s="158">
        <v>0</v>
      </c>
      <c r="BA136" s="158">
        <v>2812724</v>
      </c>
      <c r="BB136" s="108">
        <v>2371414.65</v>
      </c>
      <c r="BC136" s="90">
        <v>2821879.67</v>
      </c>
      <c r="BD136" s="108">
        <v>0</v>
      </c>
      <c r="BE136" s="108">
        <v>2708310</v>
      </c>
      <c r="BF136" s="108">
        <v>1534666.85</v>
      </c>
      <c r="BG136" s="90">
        <v>1710621.73</v>
      </c>
      <c r="BH136" s="108">
        <v>0</v>
      </c>
      <c r="BI136" s="108">
        <v>1686828</v>
      </c>
      <c r="BJ136" s="108">
        <f>801850.37+3334354</f>
        <v>4136204.37</v>
      </c>
      <c r="BK136" s="90">
        <v>1026058.03</v>
      </c>
      <c r="BL136" s="108">
        <v>0</v>
      </c>
      <c r="BM136" s="108">
        <v>1049708</v>
      </c>
      <c r="BN136" s="108" t="e">
        <f>#REF!+AX136+BB136+BF136+BJ136</f>
        <v>#REF!</v>
      </c>
      <c r="BO136" s="108">
        <f t="shared" si="117"/>
        <v>8414125.6600000001</v>
      </c>
      <c r="BP136" s="108">
        <f t="shared" si="117"/>
        <v>0</v>
      </c>
      <c r="BQ136" s="108">
        <f t="shared" si="115"/>
        <v>8414125.6600000001</v>
      </c>
      <c r="BR136" s="92" t="s">
        <v>427</v>
      </c>
      <c r="BS136" s="80"/>
    </row>
    <row r="137" spans="1:72" s="9" customFormat="1">
      <c r="A137" s="147"/>
      <c r="B137" s="148" t="s">
        <v>395</v>
      </c>
      <c r="C137" s="149">
        <f t="shared" ref="C137:BM137" si="152">C138</f>
        <v>40488570.066179998</v>
      </c>
      <c r="D137" s="149"/>
      <c r="E137" s="149">
        <f>E138</f>
        <v>6500855</v>
      </c>
      <c r="F137" s="149">
        <f t="shared" si="152"/>
        <v>0</v>
      </c>
      <c r="G137" s="149">
        <f t="shared" si="152"/>
        <v>322596.09999999998</v>
      </c>
      <c r="H137" s="149">
        <f t="shared" si="152"/>
        <v>0</v>
      </c>
      <c r="I137" s="149">
        <f t="shared" si="152"/>
        <v>0</v>
      </c>
      <c r="J137" s="149">
        <f t="shared" si="152"/>
        <v>1209477.76</v>
      </c>
      <c r="K137" s="149">
        <f t="shared" si="152"/>
        <v>806937.52</v>
      </c>
      <c r="L137" s="149">
        <f t="shared" si="152"/>
        <v>0</v>
      </c>
      <c r="M137" s="149">
        <f t="shared" si="152"/>
        <v>0</v>
      </c>
      <c r="N137" s="149">
        <f t="shared" si="152"/>
        <v>1936141.6400000001</v>
      </c>
      <c r="O137" s="149">
        <f t="shared" si="152"/>
        <v>1329154.95</v>
      </c>
      <c r="P137" s="149">
        <f t="shared" si="152"/>
        <v>0</v>
      </c>
      <c r="Q137" s="149">
        <f t="shared" si="152"/>
        <v>0</v>
      </c>
      <c r="R137" s="149">
        <f t="shared" si="152"/>
        <v>2022522.05</v>
      </c>
      <c r="S137" s="149">
        <f t="shared" si="152"/>
        <v>1807255.5899999999</v>
      </c>
      <c r="T137" s="149">
        <f t="shared" si="152"/>
        <v>0</v>
      </c>
      <c r="U137" s="149">
        <f t="shared" si="152"/>
        <v>0</v>
      </c>
      <c r="V137" s="149">
        <f t="shared" si="152"/>
        <v>2224012.94</v>
      </c>
      <c r="W137" s="149">
        <f t="shared" si="152"/>
        <v>2330819.0599999996</v>
      </c>
      <c r="X137" s="149">
        <f t="shared" si="152"/>
        <v>0</v>
      </c>
      <c r="Y137" s="149">
        <f t="shared" si="152"/>
        <v>0</v>
      </c>
      <c r="Z137" s="149">
        <f t="shared" si="152"/>
        <v>3103810.29</v>
      </c>
      <c r="AA137" s="149">
        <f t="shared" si="152"/>
        <v>2918819.1799999997</v>
      </c>
      <c r="AB137" s="149">
        <f t="shared" si="152"/>
        <v>0</v>
      </c>
      <c r="AC137" s="149">
        <f t="shared" si="152"/>
        <v>0</v>
      </c>
      <c r="AD137" s="149">
        <f t="shared" si="152"/>
        <v>3112952.16</v>
      </c>
      <c r="AE137" s="149">
        <f t="shared" si="152"/>
        <v>3418975.86</v>
      </c>
      <c r="AF137" s="149">
        <f t="shared" si="152"/>
        <v>0</v>
      </c>
      <c r="AG137" s="149">
        <f t="shared" si="152"/>
        <v>0</v>
      </c>
      <c r="AH137" s="149">
        <f t="shared" si="152"/>
        <v>3491738.58</v>
      </c>
      <c r="AI137" s="149">
        <f t="shared" si="152"/>
        <v>3962193.2199999997</v>
      </c>
      <c r="AJ137" s="149">
        <f t="shared" si="152"/>
        <v>0</v>
      </c>
      <c r="AK137" s="149">
        <f t="shared" si="152"/>
        <v>0</v>
      </c>
      <c r="AL137" s="149">
        <f t="shared" si="152"/>
        <v>4406766.92</v>
      </c>
      <c r="AM137" s="149">
        <f t="shared" si="152"/>
        <v>4530946.05</v>
      </c>
      <c r="AN137" s="149">
        <f t="shared" si="152"/>
        <v>0</v>
      </c>
      <c r="AO137" s="149">
        <f t="shared" si="152"/>
        <v>0</v>
      </c>
      <c r="AP137" s="149">
        <f t="shared" si="152"/>
        <v>4517687.76</v>
      </c>
      <c r="AQ137" s="149">
        <f t="shared" si="152"/>
        <v>5197167.8499999996</v>
      </c>
      <c r="AR137" s="149">
        <f t="shared" si="152"/>
        <v>0</v>
      </c>
      <c r="AS137" s="149">
        <f t="shared" si="152"/>
        <v>0</v>
      </c>
      <c r="AT137" s="149">
        <f t="shared" si="152"/>
        <v>4768830.21</v>
      </c>
      <c r="AU137" s="149">
        <f t="shared" si="152"/>
        <v>5870343.7299999995</v>
      </c>
      <c r="AV137" s="149">
        <f t="shared" si="152"/>
        <v>0</v>
      </c>
      <c r="AW137" s="149">
        <f t="shared" si="152"/>
        <v>0</v>
      </c>
      <c r="AX137" s="149">
        <f t="shared" si="152"/>
        <v>5809534.7800000003</v>
      </c>
      <c r="AY137" s="149">
        <f t="shared" si="152"/>
        <v>6599871.6699999999</v>
      </c>
      <c r="AZ137" s="149">
        <f t="shared" si="152"/>
        <v>0</v>
      </c>
      <c r="BA137" s="149">
        <f t="shared" si="152"/>
        <v>6500855</v>
      </c>
      <c r="BB137" s="99">
        <f t="shared" si="152"/>
        <v>5798675.6200000001</v>
      </c>
      <c r="BC137" s="99">
        <f t="shared" si="152"/>
        <v>6695627.5099999998</v>
      </c>
      <c r="BD137" s="99">
        <f t="shared" si="152"/>
        <v>0</v>
      </c>
      <c r="BE137" s="99">
        <f t="shared" si="152"/>
        <v>6426154</v>
      </c>
      <c r="BF137" s="99">
        <f t="shared" si="152"/>
        <v>4348417.2300000004</v>
      </c>
      <c r="BG137" s="99">
        <f t="shared" si="152"/>
        <v>4677675.1500000004</v>
      </c>
      <c r="BH137" s="99">
        <f t="shared" si="152"/>
        <v>0</v>
      </c>
      <c r="BI137" s="99">
        <f t="shared" si="152"/>
        <v>4612610</v>
      </c>
      <c r="BJ137" s="99">
        <f t="shared" si="152"/>
        <v>11704142.439999999</v>
      </c>
      <c r="BK137" s="99">
        <f t="shared" si="152"/>
        <v>2977187.72</v>
      </c>
      <c r="BL137" s="99">
        <f t="shared" si="152"/>
        <v>0</v>
      </c>
      <c r="BM137" s="99">
        <f t="shared" si="152"/>
        <v>3045809</v>
      </c>
      <c r="BN137" s="99" t="e">
        <f>#REF!+AX137+BB137+BF137+BJ137</f>
        <v>#REF!</v>
      </c>
      <c r="BO137" s="99">
        <f t="shared" si="117"/>
        <v>20950362.049999997</v>
      </c>
      <c r="BP137" s="99">
        <f t="shared" si="117"/>
        <v>0</v>
      </c>
      <c r="BQ137" s="99">
        <f t="shared" si="115"/>
        <v>20950362.049999997</v>
      </c>
      <c r="BR137" s="102"/>
      <c r="BS137" s="80"/>
      <c r="BT137" s="125"/>
    </row>
    <row r="138" spans="1:72" s="13" customFormat="1" ht="42.75" customHeight="1">
      <c r="A138" s="138" t="s">
        <v>89</v>
      </c>
      <c r="B138" s="138" t="s">
        <v>394</v>
      </c>
      <c r="C138" s="139">
        <v>40488570.066179998</v>
      </c>
      <c r="D138" s="139">
        <v>2703532</v>
      </c>
      <c r="E138" s="139">
        <v>6500855</v>
      </c>
      <c r="F138" s="139">
        <v>0</v>
      </c>
      <c r="G138" s="139">
        <v>322596.09999999998</v>
      </c>
      <c r="H138" s="139">
        <v>0</v>
      </c>
      <c r="I138" s="139">
        <v>0</v>
      </c>
      <c r="J138" s="139">
        <v>1209477.76</v>
      </c>
      <c r="K138" s="139">
        <f>G138+484341.42</f>
        <v>806937.52</v>
      </c>
      <c r="L138" s="139">
        <v>0</v>
      </c>
      <c r="M138" s="139">
        <v>0</v>
      </c>
      <c r="N138" s="139">
        <f>726663.88+J138</f>
        <v>1936141.6400000001</v>
      </c>
      <c r="O138" s="139">
        <f>K138+522217.43</f>
        <v>1329154.95</v>
      </c>
      <c r="P138" s="139">
        <v>0</v>
      </c>
      <c r="Q138" s="139">
        <v>0</v>
      </c>
      <c r="R138" s="139">
        <f>86380.41+N138</f>
        <v>2022522.05</v>
      </c>
      <c r="S138" s="139">
        <f>O138+478100.64</f>
        <v>1807255.5899999999</v>
      </c>
      <c r="T138" s="139">
        <v>0</v>
      </c>
      <c r="U138" s="139">
        <v>0</v>
      </c>
      <c r="V138" s="139">
        <f>R138+201490.89</f>
        <v>2224012.94</v>
      </c>
      <c r="W138" s="139">
        <f>S138+523563.47</f>
        <v>2330819.0599999996</v>
      </c>
      <c r="X138" s="139">
        <v>0</v>
      </c>
      <c r="Y138" s="139">
        <v>0</v>
      </c>
      <c r="Z138" s="139">
        <f>V138+879797.35</f>
        <v>3103810.29</v>
      </c>
      <c r="AA138" s="139">
        <f>W138+588000.12</f>
        <v>2918819.1799999997</v>
      </c>
      <c r="AB138" s="139">
        <v>0</v>
      </c>
      <c r="AC138" s="139">
        <v>0</v>
      </c>
      <c r="AD138" s="139">
        <f>Z138+9141.87</f>
        <v>3112952.16</v>
      </c>
      <c r="AE138" s="139">
        <f>AA138+500156.68</f>
        <v>3418975.86</v>
      </c>
      <c r="AF138" s="139">
        <v>0</v>
      </c>
      <c r="AG138" s="139">
        <v>0</v>
      </c>
      <c r="AH138" s="139">
        <f>AD138+378786.42</f>
        <v>3491738.58</v>
      </c>
      <c r="AI138" s="139">
        <f>AE138+543217.36</f>
        <v>3962193.2199999997</v>
      </c>
      <c r="AJ138" s="139">
        <v>0</v>
      </c>
      <c r="AK138" s="139">
        <v>0</v>
      </c>
      <c r="AL138" s="139">
        <f>AH138+915028.34</f>
        <v>4406766.92</v>
      </c>
      <c r="AM138" s="139">
        <f>AI138+568752.83</f>
        <v>4530946.05</v>
      </c>
      <c r="AN138" s="139">
        <v>0</v>
      </c>
      <c r="AO138" s="139">
        <v>0</v>
      </c>
      <c r="AP138" s="139">
        <f>AL138+110920.84</f>
        <v>4517687.76</v>
      </c>
      <c r="AQ138" s="139">
        <f>AM138+666221.8</f>
        <v>5197167.8499999996</v>
      </c>
      <c r="AR138" s="139">
        <v>0</v>
      </c>
      <c r="AS138" s="139">
        <v>0</v>
      </c>
      <c r="AT138" s="139">
        <f>AP138+251142.45</f>
        <v>4768830.21</v>
      </c>
      <c r="AU138" s="139">
        <f>AQ138+673175.88</f>
        <v>5870343.7299999995</v>
      </c>
      <c r="AV138" s="139">
        <v>0</v>
      </c>
      <c r="AW138" s="139">
        <v>0</v>
      </c>
      <c r="AX138" s="139">
        <f>AT138+1040704.57</f>
        <v>5809534.7800000003</v>
      </c>
      <c r="AY138" s="139">
        <f>AU138+729527.94</f>
        <v>6599871.6699999999</v>
      </c>
      <c r="AZ138" s="139">
        <v>0</v>
      </c>
      <c r="BA138" s="139">
        <v>6500855</v>
      </c>
      <c r="BB138" s="90">
        <v>5798675.6200000001</v>
      </c>
      <c r="BC138" s="90">
        <v>6695627.5099999998</v>
      </c>
      <c r="BD138" s="90">
        <v>0</v>
      </c>
      <c r="BE138" s="90">
        <v>6426154</v>
      </c>
      <c r="BF138" s="90">
        <v>4348417.2300000004</v>
      </c>
      <c r="BG138" s="90">
        <v>4677675.1500000004</v>
      </c>
      <c r="BH138" s="90">
        <v>0</v>
      </c>
      <c r="BI138" s="90">
        <v>4612610</v>
      </c>
      <c r="BJ138" s="90">
        <f>2781531.44+8922611</f>
        <v>11704142.439999999</v>
      </c>
      <c r="BK138" s="90">
        <v>2977187.72</v>
      </c>
      <c r="BL138" s="90">
        <v>0</v>
      </c>
      <c r="BM138" s="90">
        <v>3045809</v>
      </c>
      <c r="BN138" s="90" t="e">
        <f>#REF!+AX138+BB138+BF138+BJ138</f>
        <v>#REF!</v>
      </c>
      <c r="BO138" s="90">
        <f t="shared" si="117"/>
        <v>20950362.049999997</v>
      </c>
      <c r="BP138" s="90">
        <f t="shared" si="117"/>
        <v>0</v>
      </c>
      <c r="BQ138" s="90">
        <f t="shared" si="115"/>
        <v>20950362.049999997</v>
      </c>
      <c r="BR138" s="92" t="s">
        <v>427</v>
      </c>
      <c r="BS138" s="80"/>
    </row>
    <row r="139" spans="1:72" s="2" customFormat="1">
      <c r="A139" s="141"/>
      <c r="B139" s="136" t="s">
        <v>393</v>
      </c>
      <c r="C139" s="137">
        <f t="shared" ref="C139:BM139" si="153">SUM(C140:C148)</f>
        <v>247572042.939924</v>
      </c>
      <c r="D139" s="137"/>
      <c r="E139" s="137">
        <f>SUM(E140:E148)</f>
        <v>57516722</v>
      </c>
      <c r="F139" s="137">
        <f t="shared" si="153"/>
        <v>1931615</v>
      </c>
      <c r="G139" s="137">
        <f t="shared" si="153"/>
        <v>2148792.5499999998</v>
      </c>
      <c r="H139" s="137">
        <f t="shared" si="153"/>
        <v>103820.45</v>
      </c>
      <c r="I139" s="137">
        <f t="shared" si="153"/>
        <v>2252613</v>
      </c>
      <c r="J139" s="137">
        <f t="shared" ref="J139:BA139" si="154">SUM(J140:J148)</f>
        <v>7840556.1600000001</v>
      </c>
      <c r="K139" s="137">
        <f t="shared" si="154"/>
        <v>4515768.75</v>
      </c>
      <c r="L139" s="137">
        <f t="shared" si="154"/>
        <v>244596.25</v>
      </c>
      <c r="M139" s="137">
        <f t="shared" si="154"/>
        <v>4760365</v>
      </c>
      <c r="N139" s="137">
        <f t="shared" si="154"/>
        <v>15322529.140000001</v>
      </c>
      <c r="O139" s="137">
        <f t="shared" si="154"/>
        <v>7396488.5800000001</v>
      </c>
      <c r="P139" s="137">
        <f t="shared" si="154"/>
        <v>385846.25</v>
      </c>
      <c r="Q139" s="137">
        <f t="shared" si="154"/>
        <v>7782334.8300000001</v>
      </c>
      <c r="R139" s="137">
        <f t="shared" si="154"/>
        <v>16397875.720000001</v>
      </c>
      <c r="S139" s="137">
        <f t="shared" si="154"/>
        <v>8850504.209999999</v>
      </c>
      <c r="T139" s="137">
        <f t="shared" si="154"/>
        <v>469082.2</v>
      </c>
      <c r="U139" s="137">
        <f t="shared" si="154"/>
        <v>9319586.4100000001</v>
      </c>
      <c r="V139" s="137">
        <f t="shared" si="154"/>
        <v>21554836.559999999</v>
      </c>
      <c r="W139" s="137">
        <f t="shared" si="154"/>
        <v>13062150.300000001</v>
      </c>
      <c r="X139" s="137">
        <f t="shared" si="154"/>
        <v>746623.5</v>
      </c>
      <c r="Y139" s="137">
        <f t="shared" si="154"/>
        <v>13808773.800000001</v>
      </c>
      <c r="Z139" s="137">
        <f t="shared" si="154"/>
        <v>23835582.370000001</v>
      </c>
      <c r="AA139" s="137">
        <f t="shared" si="154"/>
        <v>17641405.759999998</v>
      </c>
      <c r="AB139" s="137">
        <f t="shared" si="154"/>
        <v>1244592.8</v>
      </c>
      <c r="AC139" s="137">
        <f t="shared" si="154"/>
        <v>18885998.559999999</v>
      </c>
      <c r="AD139" s="137">
        <f t="shared" si="154"/>
        <v>26988429.710000001</v>
      </c>
      <c r="AE139" s="137">
        <f t="shared" si="154"/>
        <v>25581629.049999997</v>
      </c>
      <c r="AF139" s="137">
        <f t="shared" si="154"/>
        <v>2172860.85</v>
      </c>
      <c r="AG139" s="137">
        <f t="shared" si="154"/>
        <v>27754489.899999999</v>
      </c>
      <c r="AH139" s="137">
        <f t="shared" si="154"/>
        <v>29932447.050000001</v>
      </c>
      <c r="AI139" s="137">
        <f t="shared" si="154"/>
        <v>31943966.439999998</v>
      </c>
      <c r="AJ139" s="137">
        <f t="shared" si="154"/>
        <v>2827175.8</v>
      </c>
      <c r="AK139" s="137">
        <f t="shared" si="154"/>
        <v>34771142.240000002</v>
      </c>
      <c r="AL139" s="137">
        <f t="shared" si="154"/>
        <v>32321426.09</v>
      </c>
      <c r="AM139" s="137">
        <f t="shared" si="154"/>
        <v>38632533.629999995</v>
      </c>
      <c r="AN139" s="137">
        <f t="shared" si="154"/>
        <v>3681776.5</v>
      </c>
      <c r="AO139" s="137">
        <f t="shared" si="154"/>
        <v>42237160.129999995</v>
      </c>
      <c r="AP139" s="137">
        <f t="shared" si="154"/>
        <v>36902820.68</v>
      </c>
      <c r="AQ139" s="137">
        <f t="shared" si="154"/>
        <v>45005751.170000002</v>
      </c>
      <c r="AR139" s="137">
        <f t="shared" si="154"/>
        <v>4521337.3</v>
      </c>
      <c r="AS139" s="137">
        <f t="shared" si="154"/>
        <v>48874208.469999999</v>
      </c>
      <c r="AT139" s="137">
        <f t="shared" si="154"/>
        <v>39715023.019999996</v>
      </c>
      <c r="AU139" s="137">
        <f t="shared" si="154"/>
        <v>50427539.359999999</v>
      </c>
      <c r="AV139" s="137">
        <f t="shared" si="154"/>
        <v>5031176.45</v>
      </c>
      <c r="AW139" s="137">
        <f t="shared" si="154"/>
        <v>53925096.810000002</v>
      </c>
      <c r="AX139" s="137">
        <f t="shared" si="154"/>
        <v>45282903.079999998</v>
      </c>
      <c r="AY139" s="137">
        <f t="shared" si="154"/>
        <v>53929631.270000003</v>
      </c>
      <c r="AZ139" s="137">
        <f t="shared" si="154"/>
        <v>5332372.3500000006</v>
      </c>
      <c r="BA139" s="137">
        <f t="shared" si="154"/>
        <v>57516722</v>
      </c>
      <c r="BB139" s="88">
        <f t="shared" si="153"/>
        <v>55953932.5</v>
      </c>
      <c r="BC139" s="88">
        <f t="shared" si="153"/>
        <v>42426477.849999994</v>
      </c>
      <c r="BD139" s="88">
        <f t="shared" si="153"/>
        <v>5041359.6499999994</v>
      </c>
      <c r="BE139" s="88">
        <f t="shared" si="153"/>
        <v>47368914.5</v>
      </c>
      <c r="BF139" s="88">
        <f t="shared" si="153"/>
        <v>51244596.5</v>
      </c>
      <c r="BG139" s="88">
        <f t="shared" si="153"/>
        <v>38714660.5</v>
      </c>
      <c r="BH139" s="88">
        <f t="shared" si="153"/>
        <v>3998366</v>
      </c>
      <c r="BI139" s="88">
        <f t="shared" si="153"/>
        <v>33265752.5</v>
      </c>
      <c r="BJ139" s="88">
        <f t="shared" si="153"/>
        <v>15547840</v>
      </c>
      <c r="BK139" s="88">
        <f t="shared" si="153"/>
        <v>5102277</v>
      </c>
      <c r="BL139" s="88">
        <f t="shared" si="153"/>
        <v>180079</v>
      </c>
      <c r="BM139" s="88">
        <f t="shared" si="153"/>
        <v>0</v>
      </c>
      <c r="BN139" s="88" t="e">
        <f>#REF!+AX139+BB139+BF139+BJ139</f>
        <v>#REF!</v>
      </c>
      <c r="BO139" s="88">
        <f t="shared" si="117"/>
        <v>140173046.62</v>
      </c>
      <c r="BP139" s="88">
        <f t="shared" si="117"/>
        <v>14552177</v>
      </c>
      <c r="BQ139" s="88">
        <f t="shared" si="115"/>
        <v>154725223.62</v>
      </c>
      <c r="BR139" s="89"/>
      <c r="BS139" s="80"/>
      <c r="BT139" s="8"/>
    </row>
    <row r="140" spans="1:72" s="13" customFormat="1" ht="61.5" customHeight="1">
      <c r="A140" s="159" t="s">
        <v>90</v>
      </c>
      <c r="B140" s="138" t="s">
        <v>392</v>
      </c>
      <c r="C140" s="139">
        <v>139155192</v>
      </c>
      <c r="D140" s="139"/>
      <c r="E140" s="139">
        <v>31005829</v>
      </c>
      <c r="F140" s="139">
        <v>0</v>
      </c>
      <c r="G140" s="139">
        <v>217177.55</v>
      </c>
      <c r="H140" s="139">
        <v>38325.449999999997</v>
      </c>
      <c r="I140" s="139">
        <v>255503</v>
      </c>
      <c r="J140" s="139">
        <v>3673657.16</v>
      </c>
      <c r="K140" s="139">
        <v>348869.75</v>
      </c>
      <c r="L140" s="139">
        <v>61565.25</v>
      </c>
      <c r="M140" s="139">
        <v>410435</v>
      </c>
      <c r="N140" s="139">
        <v>8576660.3100000005</v>
      </c>
      <c r="O140" s="139">
        <v>650619.75</v>
      </c>
      <c r="P140" s="139">
        <v>114815.25</v>
      </c>
      <c r="Q140" s="139">
        <v>765435</v>
      </c>
      <c r="R140" s="139">
        <v>8576660.3100000005</v>
      </c>
      <c r="S140" s="139">
        <v>1029288.8</v>
      </c>
      <c r="T140" s="139">
        <v>181639.2</v>
      </c>
      <c r="U140" s="139">
        <v>1210928</v>
      </c>
      <c r="V140" s="139">
        <v>10551802.76</v>
      </c>
      <c r="W140" s="139">
        <v>2059116.5</v>
      </c>
      <c r="X140" s="139">
        <v>363373.5</v>
      </c>
      <c r="Y140" s="139">
        <v>2422490</v>
      </c>
      <c r="Z140" s="139">
        <v>10896539.810000001</v>
      </c>
      <c r="AA140" s="139">
        <v>4702363.1999999993</v>
      </c>
      <c r="AB140" s="139">
        <v>829828.8</v>
      </c>
      <c r="AC140" s="139">
        <v>5532191.9999999991</v>
      </c>
      <c r="AD140" s="139">
        <v>10896539.810000001</v>
      </c>
      <c r="AE140" s="139">
        <v>9489739.1499999985</v>
      </c>
      <c r="AF140" s="139">
        <v>1674659.85</v>
      </c>
      <c r="AG140" s="139">
        <v>11164398.999999998</v>
      </c>
      <c r="AH140" s="139">
        <v>10896539.810000001</v>
      </c>
      <c r="AI140" s="139">
        <v>12908059.199999999</v>
      </c>
      <c r="AJ140" s="139">
        <v>2277892.7999999998</v>
      </c>
      <c r="AK140" s="139">
        <v>15185952</v>
      </c>
      <c r="AL140" s="139">
        <v>11275910.960000001</v>
      </c>
      <c r="AM140" s="139">
        <v>17587018.5</v>
      </c>
      <c r="AN140" s="139">
        <v>3103591.5</v>
      </c>
      <c r="AO140" s="139">
        <v>20690610</v>
      </c>
      <c r="AP140" s="139">
        <v>14108183.210000001</v>
      </c>
      <c r="AQ140" s="139">
        <v>22211113.699999999</v>
      </c>
      <c r="AR140" s="139">
        <v>3919608.3</v>
      </c>
      <c r="AS140" s="139">
        <v>26130722</v>
      </c>
      <c r="AT140" s="139">
        <v>14108183.210000001</v>
      </c>
      <c r="AU140" s="139">
        <v>24820699.550000001</v>
      </c>
      <c r="AV140" s="139">
        <v>4380123.45</v>
      </c>
      <c r="AW140" s="139">
        <v>29200823</v>
      </c>
      <c r="AX140" s="139">
        <v>17708226.460000001</v>
      </c>
      <c r="AY140" s="139">
        <v>26354954.650000002</v>
      </c>
      <c r="AZ140" s="139">
        <v>4650874.3500000006</v>
      </c>
      <c r="BA140" s="139">
        <v>31005829.000000004</v>
      </c>
      <c r="BB140" s="90">
        <v>41204739</v>
      </c>
      <c r="BC140" s="90">
        <v>27677284.349999998</v>
      </c>
      <c r="BD140" s="90">
        <v>4884226.6499999994</v>
      </c>
      <c r="BE140" s="90">
        <v>32561510.999999996</v>
      </c>
      <c r="BF140" s="90">
        <v>33421064</v>
      </c>
      <c r="BG140" s="90">
        <v>20891128</v>
      </c>
      <c r="BH140" s="90">
        <v>3686669</v>
      </c>
      <c r="BI140" s="90">
        <v>24577797</v>
      </c>
      <c r="BJ140" s="90">
        <f>10482758-37195</f>
        <v>10445563</v>
      </c>
      <c r="BK140" s="90">
        <v>0</v>
      </c>
      <c r="BL140" s="90">
        <v>0</v>
      </c>
      <c r="BM140" s="90">
        <v>0</v>
      </c>
      <c r="BN140" s="90" t="e">
        <f>#REF!+AX140+BB140+BF140+BJ140</f>
        <v>#REF!</v>
      </c>
      <c r="BO140" s="90">
        <f t="shared" si="117"/>
        <v>74923367</v>
      </c>
      <c r="BP140" s="90">
        <f t="shared" si="117"/>
        <v>13221770</v>
      </c>
      <c r="BQ140" s="90">
        <f t="shared" si="115"/>
        <v>88145137</v>
      </c>
      <c r="BR140" s="90"/>
      <c r="BS140" s="80"/>
    </row>
    <row r="141" spans="1:72" s="13" customFormat="1" ht="67.5" customHeight="1">
      <c r="A141" s="159" t="s">
        <v>91</v>
      </c>
      <c r="B141" s="138" t="s">
        <v>391</v>
      </c>
      <c r="C141" s="139">
        <v>56354550.986808002</v>
      </c>
      <c r="D141" s="139"/>
      <c r="E141" s="139">
        <v>12466195</v>
      </c>
      <c r="F141" s="139">
        <v>1400777</v>
      </c>
      <c r="G141" s="139">
        <v>1400777</v>
      </c>
      <c r="H141" s="139">
        <v>51528</v>
      </c>
      <c r="I141" s="139">
        <v>1452305</v>
      </c>
      <c r="J141" s="139">
        <v>3083058</v>
      </c>
      <c r="K141" s="139">
        <v>3083058</v>
      </c>
      <c r="L141" s="139">
        <v>154453</v>
      </c>
      <c r="M141" s="139">
        <v>3237511</v>
      </c>
      <c r="N141" s="139">
        <v>4647696</v>
      </c>
      <c r="O141" s="139">
        <v>4647696</v>
      </c>
      <c r="P141" s="139">
        <v>215638</v>
      </c>
      <c r="Q141" s="139">
        <v>4863334</v>
      </c>
      <c r="R141" s="139">
        <v>5142766</v>
      </c>
      <c r="S141" s="139">
        <v>5142766</v>
      </c>
      <c r="T141" s="139">
        <v>230098</v>
      </c>
      <c r="U141" s="139">
        <v>5372864</v>
      </c>
      <c r="V141" s="139">
        <v>7170448</v>
      </c>
      <c r="W141" s="139">
        <v>7170448</v>
      </c>
      <c r="X141" s="139">
        <v>325477</v>
      </c>
      <c r="Y141" s="139">
        <v>7495925</v>
      </c>
      <c r="Z141" s="139">
        <v>7745190</v>
      </c>
      <c r="AA141" s="139">
        <v>7745190</v>
      </c>
      <c r="AB141" s="139">
        <v>345761</v>
      </c>
      <c r="AC141" s="139">
        <v>8090951</v>
      </c>
      <c r="AD141" s="139">
        <v>9714091</v>
      </c>
      <c r="AE141" s="139">
        <v>9714091</v>
      </c>
      <c r="AF141" s="139">
        <v>425634</v>
      </c>
      <c r="AG141" s="139">
        <v>10139725</v>
      </c>
      <c r="AH141" s="139">
        <v>11386527</v>
      </c>
      <c r="AI141" s="139">
        <v>11386527</v>
      </c>
      <c r="AJ141" s="139">
        <v>470055</v>
      </c>
      <c r="AK141" s="139">
        <v>11856582</v>
      </c>
      <c r="AL141" s="139">
        <v>11864969</v>
      </c>
      <c r="AM141" s="139">
        <v>11864969</v>
      </c>
      <c r="AN141" s="139">
        <v>486464</v>
      </c>
      <c r="AO141" s="139">
        <v>12351433</v>
      </c>
      <c r="AP141" s="139">
        <v>12518378</v>
      </c>
      <c r="AQ141" s="139">
        <v>12518378</v>
      </c>
      <c r="AR141" s="139">
        <v>509525</v>
      </c>
      <c r="AS141" s="139">
        <v>12466195</v>
      </c>
      <c r="AT141" s="139">
        <v>13235281</v>
      </c>
      <c r="AU141" s="139">
        <v>13235281</v>
      </c>
      <c r="AV141" s="139">
        <v>531276</v>
      </c>
      <c r="AW141" s="139">
        <v>12466195</v>
      </c>
      <c r="AX141" s="139">
        <v>13621111</v>
      </c>
      <c r="AY141" s="139">
        <v>13621111</v>
      </c>
      <c r="AZ141" s="139">
        <v>543851</v>
      </c>
      <c r="BA141" s="139">
        <v>12466195</v>
      </c>
      <c r="BB141" s="90">
        <v>2267336</v>
      </c>
      <c r="BC141" s="90">
        <v>2267336</v>
      </c>
      <c r="BD141" s="90">
        <v>79232</v>
      </c>
      <c r="BE141" s="90">
        <v>4311312</v>
      </c>
      <c r="BF141" s="90">
        <v>5602759</v>
      </c>
      <c r="BG141" s="90">
        <v>5602759</v>
      </c>
      <c r="BH141" s="90">
        <v>197743</v>
      </c>
      <c r="BI141" s="90">
        <v>593589</v>
      </c>
      <c r="BJ141" s="90">
        <v>5102277</v>
      </c>
      <c r="BK141" s="90">
        <v>5102277</v>
      </c>
      <c r="BL141" s="90">
        <v>180079</v>
      </c>
      <c r="BM141" s="90">
        <v>0</v>
      </c>
      <c r="BN141" s="90" t="e">
        <f>#REF!+AX141+BB141+BF141+BJ141</f>
        <v>#REF!</v>
      </c>
      <c r="BO141" s="90">
        <f t="shared" si="117"/>
        <v>26593483</v>
      </c>
      <c r="BP141" s="90">
        <f t="shared" si="117"/>
        <v>1000905</v>
      </c>
      <c r="BQ141" s="90">
        <f t="shared" si="115"/>
        <v>27594388</v>
      </c>
      <c r="BR141" s="92"/>
      <c r="BS141" s="80"/>
    </row>
    <row r="142" spans="1:72" s="13" customFormat="1" ht="75" customHeight="1">
      <c r="A142" s="138" t="s">
        <v>92</v>
      </c>
      <c r="B142" s="138" t="s">
        <v>390</v>
      </c>
      <c r="C142" s="139">
        <v>10116723.019199999</v>
      </c>
      <c r="D142" s="139"/>
      <c r="E142" s="139">
        <v>1689733</v>
      </c>
      <c r="F142" s="139">
        <v>530838</v>
      </c>
      <c r="G142" s="139">
        <v>530838</v>
      </c>
      <c r="H142" s="139">
        <v>13967</v>
      </c>
      <c r="I142" s="139">
        <v>544805</v>
      </c>
      <c r="J142" s="139">
        <v>1083841</v>
      </c>
      <c r="K142" s="139">
        <v>1083841</v>
      </c>
      <c r="L142" s="139">
        <v>28578</v>
      </c>
      <c r="M142" s="139">
        <v>1112419</v>
      </c>
      <c r="N142" s="139">
        <v>1199323</v>
      </c>
      <c r="O142" s="139">
        <v>1199323</v>
      </c>
      <c r="P142" s="139">
        <v>32220</v>
      </c>
      <c r="Q142" s="139">
        <v>1231543</v>
      </c>
      <c r="R142" s="139">
        <v>1274640</v>
      </c>
      <c r="S142" s="139">
        <v>1274640</v>
      </c>
      <c r="T142" s="139">
        <v>34172</v>
      </c>
      <c r="U142" s="139">
        <v>1308812</v>
      </c>
      <c r="V142" s="139">
        <v>1290648</v>
      </c>
      <c r="W142" s="139">
        <v>1290648</v>
      </c>
      <c r="X142" s="139">
        <v>34600</v>
      </c>
      <c r="Y142" s="139">
        <v>1325248</v>
      </c>
      <c r="Z142" s="139">
        <v>1410679</v>
      </c>
      <c r="AA142" s="139">
        <v>1410679</v>
      </c>
      <c r="AB142" s="139">
        <v>38683</v>
      </c>
      <c r="AC142" s="139">
        <v>1449362</v>
      </c>
      <c r="AD142" s="139">
        <v>1512451</v>
      </c>
      <c r="AE142" s="139">
        <v>1512451</v>
      </c>
      <c r="AF142" s="139">
        <v>42247</v>
      </c>
      <c r="AG142" s="139">
        <v>1554698</v>
      </c>
      <c r="AH142" s="139">
        <v>1634389</v>
      </c>
      <c r="AI142" s="139">
        <v>1634389</v>
      </c>
      <c r="AJ142" s="139">
        <v>47123</v>
      </c>
      <c r="AK142" s="139">
        <v>1681512</v>
      </c>
      <c r="AL142" s="139">
        <v>1716955</v>
      </c>
      <c r="AM142" s="139">
        <v>1716955</v>
      </c>
      <c r="AN142" s="139">
        <v>49928</v>
      </c>
      <c r="AO142" s="139">
        <v>1689733</v>
      </c>
      <c r="AP142" s="139">
        <v>1730494</v>
      </c>
      <c r="AQ142" s="139">
        <v>1730494</v>
      </c>
      <c r="AR142" s="139">
        <v>50411</v>
      </c>
      <c r="AS142" s="139">
        <v>1689733</v>
      </c>
      <c r="AT142" s="139">
        <v>1868179</v>
      </c>
      <c r="AU142" s="139">
        <v>1868179</v>
      </c>
      <c r="AV142" s="139">
        <v>54811</v>
      </c>
      <c r="AW142" s="139">
        <v>1689733</v>
      </c>
      <c r="AX142" s="139">
        <v>1912498</v>
      </c>
      <c r="AY142" s="139">
        <v>1912498</v>
      </c>
      <c r="AZ142" s="139">
        <v>56238</v>
      </c>
      <c r="BA142" s="139">
        <v>1689733</v>
      </c>
      <c r="BB142" s="90">
        <v>941639</v>
      </c>
      <c r="BC142" s="90">
        <v>941639</v>
      </c>
      <c r="BD142" s="90">
        <v>27207</v>
      </c>
      <c r="BE142" s="90">
        <v>98394</v>
      </c>
      <c r="BF142" s="90">
        <v>889794</v>
      </c>
      <c r="BG142" s="90">
        <v>889794</v>
      </c>
      <c r="BH142" s="90">
        <v>27556</v>
      </c>
      <c r="BI142" s="90">
        <v>0</v>
      </c>
      <c r="BJ142" s="90">
        <v>0</v>
      </c>
      <c r="BK142" s="90">
        <v>0</v>
      </c>
      <c r="BL142" s="90">
        <v>0</v>
      </c>
      <c r="BM142" s="90">
        <v>0</v>
      </c>
      <c r="BN142" s="90" t="e">
        <f>#REF!+AX142+BB142+BF142+BJ142</f>
        <v>#REF!</v>
      </c>
      <c r="BO142" s="90">
        <f t="shared" si="117"/>
        <v>3743931</v>
      </c>
      <c r="BP142" s="90">
        <f t="shared" si="117"/>
        <v>111001</v>
      </c>
      <c r="BQ142" s="90">
        <f t="shared" si="115"/>
        <v>3854932</v>
      </c>
      <c r="BR142" s="92"/>
      <c r="BS142" s="80"/>
    </row>
    <row r="143" spans="1:72" s="13" customFormat="1" ht="52.5" customHeight="1">
      <c r="A143" s="138" t="s">
        <v>93</v>
      </c>
      <c r="B143" s="138" t="s">
        <v>389</v>
      </c>
      <c r="C143" s="139">
        <v>8227185.2689199997</v>
      </c>
      <c r="D143" s="139"/>
      <c r="E143" s="139">
        <v>3131103</v>
      </c>
      <c r="F143" s="139">
        <v>0</v>
      </c>
      <c r="G143" s="139">
        <v>0</v>
      </c>
      <c r="H143" s="139">
        <v>0</v>
      </c>
      <c r="I143" s="139">
        <v>0</v>
      </c>
      <c r="J143" s="139">
        <v>0</v>
      </c>
      <c r="K143" s="139">
        <v>0</v>
      </c>
      <c r="L143" s="139">
        <v>0</v>
      </c>
      <c r="M143" s="139">
        <v>0</v>
      </c>
      <c r="N143" s="139">
        <v>875440</v>
      </c>
      <c r="O143" s="139">
        <v>875440</v>
      </c>
      <c r="P143" s="139">
        <v>23173</v>
      </c>
      <c r="Q143" s="139">
        <v>898613</v>
      </c>
      <c r="R143" s="139">
        <v>875440</v>
      </c>
      <c r="S143" s="139">
        <v>875440</v>
      </c>
      <c r="T143" s="139">
        <v>23173</v>
      </c>
      <c r="U143" s="139">
        <v>898613</v>
      </c>
      <c r="V143" s="139">
        <v>875440</v>
      </c>
      <c r="W143" s="139">
        <v>875440</v>
      </c>
      <c r="X143" s="139">
        <v>23173</v>
      </c>
      <c r="Y143" s="139">
        <v>898613</v>
      </c>
      <c r="Z143" s="139">
        <v>1145749</v>
      </c>
      <c r="AA143" s="139">
        <v>1145749</v>
      </c>
      <c r="AB143" s="139">
        <v>30320</v>
      </c>
      <c r="AC143" s="139">
        <v>1176069</v>
      </c>
      <c r="AD143" s="139">
        <v>1145749</v>
      </c>
      <c r="AE143" s="139">
        <v>1145749</v>
      </c>
      <c r="AF143" s="139">
        <v>30320</v>
      </c>
      <c r="AG143" s="139">
        <v>1176069</v>
      </c>
      <c r="AH143" s="139">
        <v>1213218</v>
      </c>
      <c r="AI143" s="139">
        <v>1213218</v>
      </c>
      <c r="AJ143" s="139">
        <v>32105</v>
      </c>
      <c r="AK143" s="139">
        <v>1245323</v>
      </c>
      <c r="AL143" s="139">
        <v>1579227</v>
      </c>
      <c r="AM143" s="139">
        <v>1579227</v>
      </c>
      <c r="AN143" s="139">
        <v>41793</v>
      </c>
      <c r="AO143" s="139">
        <v>1621020</v>
      </c>
      <c r="AP143" s="139">
        <v>1579227</v>
      </c>
      <c r="AQ143" s="139">
        <v>1579227</v>
      </c>
      <c r="AR143" s="139">
        <v>41793</v>
      </c>
      <c r="AS143" s="139">
        <v>1621020</v>
      </c>
      <c r="AT143" s="139">
        <v>2454667</v>
      </c>
      <c r="AU143" s="139">
        <v>2454667</v>
      </c>
      <c r="AV143" s="139">
        <v>64966</v>
      </c>
      <c r="AW143" s="139">
        <v>2519633</v>
      </c>
      <c r="AX143" s="139">
        <v>3049694</v>
      </c>
      <c r="AY143" s="139">
        <v>3049694</v>
      </c>
      <c r="AZ143" s="139">
        <v>81409</v>
      </c>
      <c r="BA143" s="139">
        <v>3131103</v>
      </c>
      <c r="BB143" s="90">
        <v>1940878</v>
      </c>
      <c r="BC143" s="90">
        <v>1940878</v>
      </c>
      <c r="BD143" s="90">
        <v>50694</v>
      </c>
      <c r="BE143" s="90">
        <v>332635</v>
      </c>
      <c r="BF143" s="90">
        <v>3236613</v>
      </c>
      <c r="BG143" s="90">
        <v>3236613</v>
      </c>
      <c r="BH143" s="90">
        <v>86398</v>
      </c>
      <c r="BI143" s="90">
        <v>0</v>
      </c>
      <c r="BJ143" s="90">
        <v>0</v>
      </c>
      <c r="BK143" s="90">
        <v>0</v>
      </c>
      <c r="BL143" s="90">
        <v>0</v>
      </c>
      <c r="BM143" s="90">
        <v>0</v>
      </c>
      <c r="BN143" s="90" t="e">
        <f>#REF!+AX143+BB143+BF143+BJ143</f>
        <v>#REF!</v>
      </c>
      <c r="BO143" s="90">
        <f t="shared" si="117"/>
        <v>8227185</v>
      </c>
      <c r="BP143" s="90">
        <f t="shared" si="117"/>
        <v>218501</v>
      </c>
      <c r="BQ143" s="90">
        <f t="shared" si="115"/>
        <v>8445686</v>
      </c>
      <c r="BR143" s="92"/>
      <c r="BS143" s="80"/>
    </row>
    <row r="144" spans="1:72" s="13" customFormat="1" ht="39" customHeight="1">
      <c r="A144" s="138" t="s">
        <v>94</v>
      </c>
      <c r="B144" s="138" t="s">
        <v>388</v>
      </c>
      <c r="C144" s="139">
        <v>3473578.5494280001</v>
      </c>
      <c r="D144" s="139"/>
      <c r="E144" s="139">
        <v>0</v>
      </c>
      <c r="F144" s="139">
        <v>0</v>
      </c>
      <c r="G144" s="139">
        <v>0</v>
      </c>
      <c r="H144" s="139">
        <v>0</v>
      </c>
      <c r="I144" s="139">
        <v>0</v>
      </c>
      <c r="J144" s="139">
        <v>0</v>
      </c>
      <c r="K144" s="139">
        <v>0</v>
      </c>
      <c r="L144" s="139">
        <v>0</v>
      </c>
      <c r="M144" s="139">
        <v>0</v>
      </c>
      <c r="N144" s="139">
        <v>0</v>
      </c>
      <c r="O144" s="139">
        <v>0</v>
      </c>
      <c r="P144" s="139">
        <v>0</v>
      </c>
      <c r="Q144" s="139">
        <v>0</v>
      </c>
      <c r="R144" s="139">
        <v>0</v>
      </c>
      <c r="S144" s="139">
        <v>0</v>
      </c>
      <c r="T144" s="139">
        <v>0</v>
      </c>
      <c r="U144" s="139">
        <v>0</v>
      </c>
      <c r="V144" s="139">
        <v>0</v>
      </c>
      <c r="W144" s="139">
        <v>0</v>
      </c>
      <c r="X144" s="139">
        <v>0</v>
      </c>
      <c r="Y144" s="139">
        <v>0</v>
      </c>
      <c r="Z144" s="139">
        <v>0</v>
      </c>
      <c r="AA144" s="139">
        <v>0</v>
      </c>
      <c r="AB144" s="139">
        <v>0</v>
      </c>
      <c r="AC144" s="139">
        <v>0</v>
      </c>
      <c r="AD144" s="139">
        <v>0</v>
      </c>
      <c r="AE144" s="139">
        <v>0</v>
      </c>
      <c r="AF144" s="139">
        <v>0</v>
      </c>
      <c r="AG144" s="139">
        <v>0</v>
      </c>
      <c r="AH144" s="139">
        <v>0</v>
      </c>
      <c r="AI144" s="139">
        <v>0</v>
      </c>
      <c r="AJ144" s="139">
        <v>0</v>
      </c>
      <c r="AK144" s="139">
        <v>0</v>
      </c>
      <c r="AL144" s="139">
        <v>0</v>
      </c>
      <c r="AM144" s="139">
        <v>0</v>
      </c>
      <c r="AN144" s="139">
        <v>0</v>
      </c>
      <c r="AO144" s="139">
        <v>0</v>
      </c>
      <c r="AP144" s="139">
        <v>0</v>
      </c>
      <c r="AQ144" s="139">
        <v>0</v>
      </c>
      <c r="AR144" s="139">
        <v>0</v>
      </c>
      <c r="AS144" s="139">
        <v>0</v>
      </c>
      <c r="AT144" s="139">
        <v>0</v>
      </c>
      <c r="AU144" s="139">
        <v>0</v>
      </c>
      <c r="AV144" s="139">
        <v>0</v>
      </c>
      <c r="AW144" s="139">
        <v>0</v>
      </c>
      <c r="AX144" s="139">
        <v>0</v>
      </c>
      <c r="AY144" s="139">
        <v>0</v>
      </c>
      <c r="AZ144" s="139">
        <v>0</v>
      </c>
      <c r="BA144" s="139">
        <v>0</v>
      </c>
      <c r="BB144" s="90">
        <v>0</v>
      </c>
      <c r="BC144" s="90">
        <v>0</v>
      </c>
      <c r="BD144" s="90">
        <v>0</v>
      </c>
      <c r="BE144" s="90">
        <v>0</v>
      </c>
      <c r="BF144" s="90">
        <v>0</v>
      </c>
      <c r="BG144" s="90">
        <v>0</v>
      </c>
      <c r="BH144" s="90">
        <v>0</v>
      </c>
      <c r="BI144" s="90">
        <v>0</v>
      </c>
      <c r="BJ144" s="90">
        <v>0</v>
      </c>
      <c r="BK144" s="90">
        <v>0</v>
      </c>
      <c r="BL144" s="90">
        <v>0</v>
      </c>
      <c r="BM144" s="90">
        <v>0</v>
      </c>
      <c r="BN144" s="90" t="e">
        <f>#REF!+AX144+BB144+BF144+BJ144</f>
        <v>#REF!</v>
      </c>
      <c r="BO144" s="90">
        <f t="shared" si="117"/>
        <v>0</v>
      </c>
      <c r="BP144" s="90">
        <f t="shared" si="117"/>
        <v>0</v>
      </c>
      <c r="BQ144" s="90">
        <f t="shared" si="115"/>
        <v>0</v>
      </c>
      <c r="BR144" s="92"/>
      <c r="BS144" s="80"/>
    </row>
    <row r="145" spans="1:72" s="13" customFormat="1" ht="43.5" customHeight="1">
      <c r="A145" s="138" t="s">
        <v>95</v>
      </c>
      <c r="B145" s="138" t="s">
        <v>387</v>
      </c>
      <c r="C145" s="139">
        <v>14056080</v>
      </c>
      <c r="D145" s="139"/>
      <c r="E145" s="139">
        <v>9223862</v>
      </c>
      <c r="F145" s="139">
        <v>0</v>
      </c>
      <c r="G145" s="139">
        <v>0</v>
      </c>
      <c r="H145" s="139">
        <v>0</v>
      </c>
      <c r="I145" s="139">
        <v>0</v>
      </c>
      <c r="J145" s="139">
        <v>0</v>
      </c>
      <c r="K145" s="139">
        <v>0</v>
      </c>
      <c r="L145" s="139">
        <v>0</v>
      </c>
      <c r="M145" s="139">
        <v>0</v>
      </c>
      <c r="N145" s="139">
        <v>23409.83</v>
      </c>
      <c r="O145" s="139">
        <v>23409.83</v>
      </c>
      <c r="P145" s="139">
        <v>0</v>
      </c>
      <c r="Q145" s="139">
        <v>23409.83</v>
      </c>
      <c r="R145" s="139">
        <v>528369.41</v>
      </c>
      <c r="S145" s="139">
        <v>528369.41</v>
      </c>
      <c r="T145" s="139">
        <v>0</v>
      </c>
      <c r="U145" s="139">
        <v>528369.41</v>
      </c>
      <c r="V145" s="139">
        <v>1666497.7999999998</v>
      </c>
      <c r="W145" s="139">
        <v>1666497.7999999998</v>
      </c>
      <c r="X145" s="139">
        <v>0</v>
      </c>
      <c r="Y145" s="139">
        <v>1666497.7999999998</v>
      </c>
      <c r="Z145" s="139">
        <v>2637424.5599999996</v>
      </c>
      <c r="AA145" s="139">
        <v>2637424.5599999996</v>
      </c>
      <c r="AB145" s="139">
        <v>0</v>
      </c>
      <c r="AC145" s="139">
        <v>2637424.5599999996</v>
      </c>
      <c r="AD145" s="139">
        <v>3719598.8999999994</v>
      </c>
      <c r="AE145" s="139">
        <v>3719598.8999999994</v>
      </c>
      <c r="AF145" s="139">
        <v>0</v>
      </c>
      <c r="AG145" s="139">
        <v>3719598.8999999994</v>
      </c>
      <c r="AH145" s="139">
        <v>4801773.2399999993</v>
      </c>
      <c r="AI145" s="139">
        <v>4801773.2399999993</v>
      </c>
      <c r="AJ145" s="139">
        <v>0</v>
      </c>
      <c r="AK145" s="139">
        <v>4801773.2399999993</v>
      </c>
      <c r="AL145" s="139">
        <v>5884364.129999999</v>
      </c>
      <c r="AM145" s="139">
        <v>5884364.129999999</v>
      </c>
      <c r="AN145" s="139">
        <v>0</v>
      </c>
      <c r="AO145" s="139">
        <v>5884364.129999999</v>
      </c>
      <c r="AP145" s="139">
        <v>6966538.4699999988</v>
      </c>
      <c r="AQ145" s="139">
        <v>6966538.4699999988</v>
      </c>
      <c r="AR145" s="139">
        <v>0</v>
      </c>
      <c r="AS145" s="139">
        <v>6966538.4699999988</v>
      </c>
      <c r="AT145" s="139">
        <v>8048712.8099999987</v>
      </c>
      <c r="AU145" s="139">
        <v>8048712.8099999987</v>
      </c>
      <c r="AV145" s="139">
        <v>0</v>
      </c>
      <c r="AW145" s="139">
        <v>8048712.8099999987</v>
      </c>
      <c r="AX145" s="139">
        <v>8991373.6199999992</v>
      </c>
      <c r="AY145" s="139">
        <v>8991373.6199999992</v>
      </c>
      <c r="AZ145" s="139">
        <v>0</v>
      </c>
      <c r="BA145" s="139">
        <v>9223862</v>
      </c>
      <c r="BB145" s="90">
        <v>1504974</v>
      </c>
      <c r="BC145" s="90">
        <v>1504974</v>
      </c>
      <c r="BD145" s="90">
        <v>0</v>
      </c>
      <c r="BE145" s="90">
        <v>1970696</v>
      </c>
      <c r="BF145" s="90">
        <v>0</v>
      </c>
      <c r="BG145" s="90">
        <v>0</v>
      </c>
      <c r="BH145" s="90">
        <v>0</v>
      </c>
      <c r="BI145" s="90">
        <v>0</v>
      </c>
      <c r="BJ145" s="90">
        <v>0</v>
      </c>
      <c r="BK145" s="90">
        <v>0</v>
      </c>
      <c r="BL145" s="90">
        <v>0</v>
      </c>
      <c r="BM145" s="90">
        <v>0</v>
      </c>
      <c r="BN145" s="90" t="e">
        <f>#REF!+AX145+BB145+BF145+BJ145</f>
        <v>#REF!</v>
      </c>
      <c r="BO145" s="90">
        <f t="shared" si="117"/>
        <v>10496347.619999999</v>
      </c>
      <c r="BP145" s="90">
        <f t="shared" si="117"/>
        <v>0</v>
      </c>
      <c r="BQ145" s="90">
        <f t="shared" si="115"/>
        <v>10496347.619999999</v>
      </c>
      <c r="BR145" s="92"/>
      <c r="BS145" s="80"/>
    </row>
    <row r="146" spans="1:72" s="13" customFormat="1" ht="119.25" customHeight="1">
      <c r="A146" s="138" t="s">
        <v>96</v>
      </c>
      <c r="B146" s="138" t="s">
        <v>386</v>
      </c>
      <c r="C146" s="139">
        <v>16188733.115567999</v>
      </c>
      <c r="D146" s="139"/>
      <c r="E146" s="139">
        <v>0</v>
      </c>
      <c r="F146" s="139">
        <v>0</v>
      </c>
      <c r="G146" s="139">
        <v>0</v>
      </c>
      <c r="H146" s="139">
        <v>0</v>
      </c>
      <c r="I146" s="139">
        <v>0</v>
      </c>
      <c r="J146" s="139">
        <v>0</v>
      </c>
      <c r="K146" s="139">
        <v>0</v>
      </c>
      <c r="L146" s="139">
        <v>0</v>
      </c>
      <c r="M146" s="139">
        <v>0</v>
      </c>
      <c r="N146" s="139">
        <v>0</v>
      </c>
      <c r="O146" s="139">
        <v>0</v>
      </c>
      <c r="P146" s="139">
        <v>0</v>
      </c>
      <c r="Q146" s="139">
        <v>0</v>
      </c>
      <c r="R146" s="139">
        <v>0</v>
      </c>
      <c r="S146" s="139">
        <v>0</v>
      </c>
      <c r="T146" s="139">
        <v>0</v>
      </c>
      <c r="U146" s="139">
        <v>0</v>
      </c>
      <c r="V146" s="139">
        <v>0</v>
      </c>
      <c r="W146" s="139">
        <v>0</v>
      </c>
      <c r="X146" s="139">
        <v>0</v>
      </c>
      <c r="Y146" s="139">
        <v>0</v>
      </c>
      <c r="Z146" s="139">
        <v>0</v>
      </c>
      <c r="AA146" s="139">
        <v>0</v>
      </c>
      <c r="AB146" s="139">
        <v>0</v>
      </c>
      <c r="AC146" s="139">
        <v>0</v>
      </c>
      <c r="AD146" s="139">
        <v>0</v>
      </c>
      <c r="AE146" s="139">
        <v>0</v>
      </c>
      <c r="AF146" s="139">
        <v>0</v>
      </c>
      <c r="AG146" s="139">
        <v>0</v>
      </c>
      <c r="AH146" s="139">
        <v>0</v>
      </c>
      <c r="AI146" s="139">
        <v>0</v>
      </c>
      <c r="AJ146" s="139">
        <v>0</v>
      </c>
      <c r="AK146" s="139">
        <v>0</v>
      </c>
      <c r="AL146" s="139">
        <v>0</v>
      </c>
      <c r="AM146" s="139">
        <v>0</v>
      </c>
      <c r="AN146" s="139">
        <v>0</v>
      </c>
      <c r="AO146" s="139">
        <v>0</v>
      </c>
      <c r="AP146" s="139">
        <v>0</v>
      </c>
      <c r="AQ146" s="139">
        <v>0</v>
      </c>
      <c r="AR146" s="139">
        <v>0</v>
      </c>
      <c r="AS146" s="139">
        <v>0</v>
      </c>
      <c r="AT146" s="139">
        <v>0</v>
      </c>
      <c r="AU146" s="139">
        <v>0</v>
      </c>
      <c r="AV146" s="139">
        <v>0</v>
      </c>
      <c r="AW146" s="139">
        <v>0</v>
      </c>
      <c r="AX146" s="139">
        <v>0</v>
      </c>
      <c r="AY146" s="139">
        <v>0</v>
      </c>
      <c r="AZ146" s="139">
        <v>0</v>
      </c>
      <c r="BA146" s="139">
        <v>0</v>
      </c>
      <c r="BB146" s="90">
        <v>8094366.5</v>
      </c>
      <c r="BC146" s="90">
        <v>8094366.5</v>
      </c>
      <c r="BD146" s="90">
        <v>0</v>
      </c>
      <c r="BE146" s="90">
        <v>8094366.5</v>
      </c>
      <c r="BF146" s="90">
        <v>8094366.5</v>
      </c>
      <c r="BG146" s="90">
        <v>8094366.5</v>
      </c>
      <c r="BH146" s="90">
        <v>0</v>
      </c>
      <c r="BI146" s="90">
        <v>8094366.5</v>
      </c>
      <c r="BJ146" s="90">
        <v>0</v>
      </c>
      <c r="BK146" s="90">
        <v>0</v>
      </c>
      <c r="BL146" s="90">
        <v>0</v>
      </c>
      <c r="BM146" s="90">
        <v>0</v>
      </c>
      <c r="BN146" s="90" t="e">
        <f>#REF!+AX146+BB146+BF146+BJ146</f>
        <v>#REF!</v>
      </c>
      <c r="BO146" s="90">
        <f t="shared" si="117"/>
        <v>16188733</v>
      </c>
      <c r="BP146" s="90">
        <f t="shared" si="117"/>
        <v>0</v>
      </c>
      <c r="BQ146" s="90">
        <f t="shared" si="115"/>
        <v>16188733</v>
      </c>
      <c r="BR146" s="92"/>
      <c r="BS146" s="80"/>
    </row>
    <row r="147" spans="1:72" s="13" customFormat="1" ht="80.25" customHeight="1">
      <c r="A147" s="138" t="s">
        <v>97</v>
      </c>
      <c r="B147" s="138" t="s">
        <v>385</v>
      </c>
      <c r="C147" s="139">
        <v>0</v>
      </c>
      <c r="D147" s="139"/>
      <c r="E147" s="139">
        <v>0</v>
      </c>
      <c r="F147" s="139">
        <v>0</v>
      </c>
      <c r="G147" s="139">
        <v>0</v>
      </c>
      <c r="H147" s="139">
        <v>0</v>
      </c>
      <c r="I147" s="139">
        <v>0</v>
      </c>
      <c r="J147" s="139">
        <v>0</v>
      </c>
      <c r="K147" s="139">
        <v>0</v>
      </c>
      <c r="L147" s="139">
        <v>0</v>
      </c>
      <c r="M147" s="139">
        <v>0</v>
      </c>
      <c r="N147" s="139">
        <v>0</v>
      </c>
      <c r="O147" s="139">
        <v>0</v>
      </c>
      <c r="P147" s="139">
        <v>0</v>
      </c>
      <c r="Q147" s="139">
        <v>0</v>
      </c>
      <c r="R147" s="139">
        <v>0</v>
      </c>
      <c r="S147" s="139">
        <v>0</v>
      </c>
      <c r="T147" s="139">
        <v>0</v>
      </c>
      <c r="U147" s="139">
        <v>0</v>
      </c>
      <c r="V147" s="139">
        <v>0</v>
      </c>
      <c r="W147" s="139">
        <v>0</v>
      </c>
      <c r="X147" s="139">
        <v>0</v>
      </c>
      <c r="Y147" s="139">
        <v>0</v>
      </c>
      <c r="Z147" s="139">
        <v>0</v>
      </c>
      <c r="AA147" s="139">
        <v>0</v>
      </c>
      <c r="AB147" s="139">
        <v>0</v>
      </c>
      <c r="AC147" s="139">
        <v>0</v>
      </c>
      <c r="AD147" s="139">
        <v>0</v>
      </c>
      <c r="AE147" s="139">
        <v>0</v>
      </c>
      <c r="AF147" s="139">
        <v>0</v>
      </c>
      <c r="AG147" s="139">
        <v>0</v>
      </c>
      <c r="AH147" s="139">
        <v>0</v>
      </c>
      <c r="AI147" s="139">
        <v>0</v>
      </c>
      <c r="AJ147" s="139">
        <v>0</v>
      </c>
      <c r="AK147" s="139">
        <v>0</v>
      </c>
      <c r="AL147" s="139">
        <v>0</v>
      </c>
      <c r="AM147" s="139">
        <v>0</v>
      </c>
      <c r="AN147" s="139">
        <v>0</v>
      </c>
      <c r="AO147" s="139">
        <v>0</v>
      </c>
      <c r="AP147" s="139">
        <v>0</v>
      </c>
      <c r="AQ147" s="139">
        <v>0</v>
      </c>
      <c r="AR147" s="139">
        <v>0</v>
      </c>
      <c r="AS147" s="139">
        <v>0</v>
      </c>
      <c r="AT147" s="139">
        <v>0</v>
      </c>
      <c r="AU147" s="139">
        <v>0</v>
      </c>
      <c r="AV147" s="139">
        <v>0</v>
      </c>
      <c r="AW147" s="139">
        <v>0</v>
      </c>
      <c r="AX147" s="139">
        <v>0</v>
      </c>
      <c r="AY147" s="139">
        <v>0</v>
      </c>
      <c r="AZ147" s="139">
        <v>0</v>
      </c>
      <c r="BA147" s="139">
        <v>0</v>
      </c>
      <c r="BB147" s="90">
        <v>0</v>
      </c>
      <c r="BC147" s="90">
        <v>0</v>
      </c>
      <c r="BD147" s="90">
        <v>0</v>
      </c>
      <c r="BE147" s="90">
        <v>0</v>
      </c>
      <c r="BF147" s="90">
        <v>0</v>
      </c>
      <c r="BG147" s="90">
        <v>0</v>
      </c>
      <c r="BH147" s="90">
        <v>0</v>
      </c>
      <c r="BI147" s="90">
        <v>0</v>
      </c>
      <c r="BJ147" s="90">
        <v>0</v>
      </c>
      <c r="BK147" s="90">
        <v>0</v>
      </c>
      <c r="BL147" s="90">
        <v>0</v>
      </c>
      <c r="BM147" s="90">
        <v>0</v>
      </c>
      <c r="BN147" s="90" t="e">
        <f>#REF!+AX147+BB147+BF147+BJ147</f>
        <v>#REF!</v>
      </c>
      <c r="BO147" s="90">
        <f t="shared" si="117"/>
        <v>0</v>
      </c>
      <c r="BP147" s="90">
        <f t="shared" si="117"/>
        <v>0</v>
      </c>
      <c r="BQ147" s="90">
        <f t="shared" si="115"/>
        <v>0</v>
      </c>
      <c r="BR147" s="92"/>
      <c r="BS147" s="80"/>
    </row>
    <row r="148" spans="1:72" s="13" customFormat="1" ht="65.25" customHeight="1">
      <c r="A148" s="138" t="s">
        <v>98</v>
      </c>
      <c r="B148" s="138" t="s">
        <v>384</v>
      </c>
      <c r="C148" s="139">
        <v>0</v>
      </c>
      <c r="D148" s="139"/>
      <c r="E148" s="139">
        <v>0</v>
      </c>
      <c r="F148" s="139">
        <v>0</v>
      </c>
      <c r="G148" s="139">
        <v>0</v>
      </c>
      <c r="H148" s="139">
        <v>0</v>
      </c>
      <c r="I148" s="139">
        <v>0</v>
      </c>
      <c r="J148" s="139">
        <v>0</v>
      </c>
      <c r="K148" s="139">
        <v>0</v>
      </c>
      <c r="L148" s="139">
        <v>0</v>
      </c>
      <c r="M148" s="139">
        <v>0</v>
      </c>
      <c r="N148" s="139">
        <v>0</v>
      </c>
      <c r="O148" s="139">
        <v>0</v>
      </c>
      <c r="P148" s="139">
        <v>0</v>
      </c>
      <c r="Q148" s="139">
        <v>0</v>
      </c>
      <c r="R148" s="139">
        <v>0</v>
      </c>
      <c r="S148" s="139">
        <v>0</v>
      </c>
      <c r="T148" s="139">
        <v>0</v>
      </c>
      <c r="U148" s="139">
        <v>0</v>
      </c>
      <c r="V148" s="139">
        <v>0</v>
      </c>
      <c r="W148" s="139">
        <v>0</v>
      </c>
      <c r="X148" s="139">
        <v>0</v>
      </c>
      <c r="Y148" s="139">
        <v>0</v>
      </c>
      <c r="Z148" s="139">
        <v>0</v>
      </c>
      <c r="AA148" s="139">
        <v>0</v>
      </c>
      <c r="AB148" s="139">
        <v>0</v>
      </c>
      <c r="AC148" s="139">
        <v>0</v>
      </c>
      <c r="AD148" s="139">
        <v>0</v>
      </c>
      <c r="AE148" s="139">
        <v>0</v>
      </c>
      <c r="AF148" s="139">
        <v>0</v>
      </c>
      <c r="AG148" s="139">
        <v>0</v>
      </c>
      <c r="AH148" s="139">
        <v>0</v>
      </c>
      <c r="AI148" s="139">
        <v>0</v>
      </c>
      <c r="AJ148" s="139">
        <v>0</v>
      </c>
      <c r="AK148" s="139">
        <v>0</v>
      </c>
      <c r="AL148" s="139">
        <v>0</v>
      </c>
      <c r="AM148" s="139">
        <v>0</v>
      </c>
      <c r="AN148" s="139">
        <v>0</v>
      </c>
      <c r="AO148" s="139">
        <v>0</v>
      </c>
      <c r="AP148" s="139">
        <v>0</v>
      </c>
      <c r="AQ148" s="139">
        <v>0</v>
      </c>
      <c r="AR148" s="139">
        <v>0</v>
      </c>
      <c r="AS148" s="139">
        <v>0</v>
      </c>
      <c r="AT148" s="139">
        <v>0</v>
      </c>
      <c r="AU148" s="139">
        <v>0</v>
      </c>
      <c r="AV148" s="139">
        <v>0</v>
      </c>
      <c r="AW148" s="139">
        <v>0</v>
      </c>
      <c r="AX148" s="139">
        <v>0</v>
      </c>
      <c r="AY148" s="139">
        <v>0</v>
      </c>
      <c r="AZ148" s="139">
        <v>0</v>
      </c>
      <c r="BA148" s="139">
        <v>0</v>
      </c>
      <c r="BB148" s="90">
        <v>0</v>
      </c>
      <c r="BC148" s="90">
        <v>0</v>
      </c>
      <c r="BD148" s="90">
        <v>0</v>
      </c>
      <c r="BE148" s="90">
        <v>0</v>
      </c>
      <c r="BF148" s="90">
        <v>0</v>
      </c>
      <c r="BG148" s="90">
        <v>0</v>
      </c>
      <c r="BH148" s="90">
        <v>0</v>
      </c>
      <c r="BI148" s="90">
        <v>0</v>
      </c>
      <c r="BJ148" s="90">
        <v>0</v>
      </c>
      <c r="BK148" s="90">
        <v>0</v>
      </c>
      <c r="BL148" s="90">
        <v>0</v>
      </c>
      <c r="BM148" s="90">
        <v>0</v>
      </c>
      <c r="BN148" s="90" t="e">
        <f>#REF!+AX148+BB148+BF148+BJ148</f>
        <v>#REF!</v>
      </c>
      <c r="BO148" s="90">
        <f t="shared" si="117"/>
        <v>0</v>
      </c>
      <c r="BP148" s="90">
        <f t="shared" si="117"/>
        <v>0</v>
      </c>
      <c r="BQ148" s="90">
        <f t="shared" si="115"/>
        <v>0</v>
      </c>
      <c r="BR148" s="92"/>
      <c r="BS148" s="80"/>
    </row>
    <row r="149" spans="1:72" s="2" customFormat="1" ht="60" customHeight="1">
      <c r="A149" s="141"/>
      <c r="B149" s="136" t="s">
        <v>383</v>
      </c>
      <c r="C149" s="137">
        <f t="shared" ref="C149:BM149" si="155">SUM(C150:C162)</f>
        <v>452200135.1013</v>
      </c>
      <c r="D149" s="137"/>
      <c r="E149" s="137">
        <f>SUM(E150:E162)</f>
        <v>77448947</v>
      </c>
      <c r="F149" s="137">
        <f t="shared" si="155"/>
        <v>4992154.83</v>
      </c>
      <c r="G149" s="137">
        <f t="shared" si="155"/>
        <v>6341066.21</v>
      </c>
      <c r="H149" s="137">
        <f t="shared" si="155"/>
        <v>198769.89</v>
      </c>
      <c r="I149" s="137">
        <f t="shared" si="155"/>
        <v>7120552.7000000002</v>
      </c>
      <c r="J149" s="137">
        <f t="shared" si="155"/>
        <v>10132500.959999999</v>
      </c>
      <c r="K149" s="137">
        <f t="shared" si="155"/>
        <v>11449496.489999998</v>
      </c>
      <c r="L149" s="137">
        <f t="shared" si="155"/>
        <v>442276.12</v>
      </c>
      <c r="M149" s="137">
        <f t="shared" si="155"/>
        <v>12371279</v>
      </c>
      <c r="N149" s="137">
        <f t="shared" si="155"/>
        <v>14547472.789999999</v>
      </c>
      <c r="O149" s="137">
        <f t="shared" si="155"/>
        <v>18608580.219999999</v>
      </c>
      <c r="P149" s="137">
        <f t="shared" si="155"/>
        <v>564841.56000000006</v>
      </c>
      <c r="Q149" s="137">
        <f t="shared" si="155"/>
        <v>20573810</v>
      </c>
      <c r="R149" s="137">
        <f t="shared" si="155"/>
        <v>18336363.93</v>
      </c>
      <c r="S149" s="137">
        <f t="shared" si="155"/>
        <v>25530581.59</v>
      </c>
      <c r="T149" s="137">
        <f t="shared" si="155"/>
        <v>982795.91999999993</v>
      </c>
      <c r="U149" s="137">
        <f t="shared" si="155"/>
        <v>27568736</v>
      </c>
      <c r="V149" s="137">
        <f t="shared" si="155"/>
        <v>24467756.16</v>
      </c>
      <c r="W149" s="137">
        <f t="shared" si="155"/>
        <v>33946194.189999998</v>
      </c>
      <c r="X149" s="137">
        <f t="shared" si="155"/>
        <v>1724531.88</v>
      </c>
      <c r="Y149" s="137">
        <f t="shared" si="155"/>
        <v>36388028</v>
      </c>
      <c r="Z149" s="137">
        <f t="shared" si="155"/>
        <v>29814165.329999998</v>
      </c>
      <c r="AA149" s="137">
        <f t="shared" si="155"/>
        <v>40555178.100000001</v>
      </c>
      <c r="AB149" s="137">
        <f t="shared" si="155"/>
        <v>2044432.56</v>
      </c>
      <c r="AC149" s="137">
        <f t="shared" si="155"/>
        <v>42673850</v>
      </c>
      <c r="AD149" s="137">
        <f t="shared" si="155"/>
        <v>39670517.490000002</v>
      </c>
      <c r="AE149" s="137">
        <f t="shared" si="155"/>
        <v>49383914.630000003</v>
      </c>
      <c r="AF149" s="137">
        <f t="shared" si="155"/>
        <v>2422002.324</v>
      </c>
      <c r="AG149" s="137">
        <f t="shared" si="155"/>
        <v>50972836</v>
      </c>
      <c r="AH149" s="137">
        <f t="shared" si="155"/>
        <v>54182688.149999999</v>
      </c>
      <c r="AI149" s="137">
        <f t="shared" si="155"/>
        <v>61675465.893999994</v>
      </c>
      <c r="AJ149" s="137">
        <f t="shared" si="155"/>
        <v>3085719.1199999996</v>
      </c>
      <c r="AK149" s="137">
        <f t="shared" si="155"/>
        <v>62378311.909999996</v>
      </c>
      <c r="AL149" s="137">
        <f t="shared" si="155"/>
        <v>58734945.68</v>
      </c>
      <c r="AM149" s="137">
        <f t="shared" si="155"/>
        <v>67062922.763999999</v>
      </c>
      <c r="AN149" s="137">
        <f t="shared" si="155"/>
        <v>3340621.4499999997</v>
      </c>
      <c r="AO149" s="137">
        <f t="shared" si="155"/>
        <v>67560319.00999999</v>
      </c>
      <c r="AP149" s="137">
        <f t="shared" si="155"/>
        <v>65392820.394000001</v>
      </c>
      <c r="AQ149" s="137">
        <f t="shared" si="155"/>
        <v>71401092.482000008</v>
      </c>
      <c r="AR149" s="137">
        <f t="shared" si="155"/>
        <v>3570065.3959999997</v>
      </c>
      <c r="AS149" s="137">
        <f t="shared" si="155"/>
        <v>71049018</v>
      </c>
      <c r="AT149" s="137">
        <f t="shared" si="155"/>
        <v>74303333.643999994</v>
      </c>
      <c r="AU149" s="137">
        <f t="shared" si="155"/>
        <v>81657820.811999992</v>
      </c>
      <c r="AV149" s="137">
        <f t="shared" si="155"/>
        <v>3982097.6199999996</v>
      </c>
      <c r="AW149" s="137">
        <f t="shared" si="155"/>
        <v>74868485</v>
      </c>
      <c r="AX149" s="137">
        <f t="shared" si="155"/>
        <v>80959601.493999988</v>
      </c>
      <c r="AY149" s="137">
        <f t="shared" si="155"/>
        <v>90552796.201999992</v>
      </c>
      <c r="AZ149" s="137">
        <f t="shared" si="155"/>
        <v>4247578.7259999998</v>
      </c>
      <c r="BA149" s="137">
        <f t="shared" si="155"/>
        <v>77295855</v>
      </c>
      <c r="BB149" s="88">
        <f t="shared" si="155"/>
        <v>78204826.818800002</v>
      </c>
      <c r="BC149" s="88">
        <f t="shared" si="155"/>
        <v>76184279.318800002</v>
      </c>
      <c r="BD149" s="88">
        <f t="shared" si="155"/>
        <v>2973055.6454579993</v>
      </c>
      <c r="BE149" s="88">
        <f t="shared" si="155"/>
        <v>26983877</v>
      </c>
      <c r="BF149" s="88">
        <f t="shared" si="155"/>
        <v>51364163.68</v>
      </c>
      <c r="BG149" s="88">
        <f t="shared" si="155"/>
        <v>46155036.219999999</v>
      </c>
      <c r="BH149" s="88">
        <f t="shared" si="155"/>
        <v>1694807.3285142861</v>
      </c>
      <c r="BI149" s="88">
        <f t="shared" si="155"/>
        <v>5518203</v>
      </c>
      <c r="BJ149" s="88">
        <f t="shared" si="155"/>
        <v>27683131.130000003</v>
      </c>
      <c r="BK149" s="88">
        <f t="shared" si="155"/>
        <v>19705460.919999998</v>
      </c>
      <c r="BL149" s="88">
        <f t="shared" si="155"/>
        <v>1614853.1400000001</v>
      </c>
      <c r="BM149" s="88">
        <f t="shared" si="155"/>
        <v>2372081</v>
      </c>
      <c r="BN149" s="88" t="e">
        <f>#REF!+AX149+BB149+BF149+BJ149</f>
        <v>#REF!</v>
      </c>
      <c r="BO149" s="88">
        <f t="shared" si="117"/>
        <v>232597572.66079998</v>
      </c>
      <c r="BP149" s="88">
        <f t="shared" si="117"/>
        <v>10530294.839972286</v>
      </c>
      <c r="BQ149" s="88">
        <f t="shared" ref="BQ149:BQ202" si="156">BO149+BP149</f>
        <v>243127867.50077227</v>
      </c>
      <c r="BR149" s="89"/>
      <c r="BS149" s="80"/>
      <c r="BT149" s="8"/>
    </row>
    <row r="150" spans="1:72" s="13" customFormat="1" ht="81.75" customHeight="1">
      <c r="A150" s="138" t="s">
        <v>99</v>
      </c>
      <c r="B150" s="138" t="s">
        <v>382</v>
      </c>
      <c r="C150" s="139">
        <v>100848003.261924</v>
      </c>
      <c r="D150" s="139"/>
      <c r="E150" s="139">
        <v>8202547</v>
      </c>
      <c r="F150" s="139">
        <v>1056024</v>
      </c>
      <c r="G150" s="139">
        <f>1056024</f>
        <v>1056024</v>
      </c>
      <c r="H150" s="139">
        <f>73226</f>
        <v>73226</v>
      </c>
      <c r="I150" s="139">
        <f>G150+H150</f>
        <v>1129250</v>
      </c>
      <c r="J150" s="139">
        <v>2320263</v>
      </c>
      <c r="K150" s="139">
        <f>1264239+G150</f>
        <v>2320263</v>
      </c>
      <c r="L150" s="139">
        <f>112777+H150</f>
        <v>186003</v>
      </c>
      <c r="M150" s="139">
        <f>K150+L150</f>
        <v>2506266</v>
      </c>
      <c r="N150" s="139">
        <f>868803+J150</f>
        <v>3189066</v>
      </c>
      <c r="O150" s="139">
        <f>868803+K150</f>
        <v>3189066</v>
      </c>
      <c r="P150" s="139">
        <f>11749+L150</f>
        <v>197752</v>
      </c>
      <c r="Q150" s="139">
        <f>O150+P150</f>
        <v>3386818</v>
      </c>
      <c r="R150" s="139">
        <f>904445+N150</f>
        <v>4093511</v>
      </c>
      <c r="S150" s="139">
        <f>904445+O150</f>
        <v>4093511</v>
      </c>
      <c r="T150" s="139">
        <f>5746+P150</f>
        <v>203498</v>
      </c>
      <c r="U150" s="139">
        <f>S150+T150</f>
        <v>4297009</v>
      </c>
      <c r="V150" s="139">
        <f>861395+R150</f>
        <v>4954906</v>
      </c>
      <c r="W150" s="139">
        <f>861395+S150</f>
        <v>4954906</v>
      </c>
      <c r="X150" s="139">
        <f>T150</f>
        <v>203498</v>
      </c>
      <c r="Y150" s="139">
        <f>W150+X150</f>
        <v>5158404</v>
      </c>
      <c r="Z150" s="139">
        <f>1000515+V150</f>
        <v>5955421</v>
      </c>
      <c r="AA150" s="139">
        <f>1000515+W150</f>
        <v>5955421</v>
      </c>
      <c r="AB150" s="139">
        <f>X150</f>
        <v>203498</v>
      </c>
      <c r="AC150" s="139">
        <f>AA150+AB150</f>
        <v>6158919</v>
      </c>
      <c r="AD150" s="139">
        <f>821398+Z150</f>
        <v>6776819</v>
      </c>
      <c r="AE150" s="139">
        <f>821398+AA150</f>
        <v>6776819</v>
      </c>
      <c r="AF150" s="139">
        <f>AB150</f>
        <v>203498</v>
      </c>
      <c r="AG150" s="139">
        <f>AE150+AF150</f>
        <v>6980317</v>
      </c>
      <c r="AH150" s="139">
        <f>919943+AD150+319162.91</f>
        <v>8015924.9100000001</v>
      </c>
      <c r="AI150" s="139">
        <f>919943+AE150+319162.91</f>
        <v>8015924.9100000001</v>
      </c>
      <c r="AJ150" s="139">
        <f>AF150</f>
        <v>203498</v>
      </c>
      <c r="AK150" s="139">
        <f>AI150+AJ150</f>
        <v>8219422.9100000001</v>
      </c>
      <c r="AL150" s="139">
        <f>274661+AH150+290148.1</f>
        <v>8580734.0099999998</v>
      </c>
      <c r="AM150" s="139">
        <f>274661+AI150+290148.1</f>
        <v>8580734.0099999998</v>
      </c>
      <c r="AN150" s="139">
        <f>AJ150</f>
        <v>203498</v>
      </c>
      <c r="AO150" s="139">
        <f>AM150+AN150</f>
        <v>8784232.0099999998</v>
      </c>
      <c r="AP150" s="139">
        <f>323224+AL150+362685.13</f>
        <v>9266643.1400000006</v>
      </c>
      <c r="AQ150" s="139">
        <f>323224+AM150+362685.13</f>
        <v>9266643.1400000006</v>
      </c>
      <c r="AR150" s="139">
        <f>AN150</f>
        <v>203498</v>
      </c>
      <c r="AS150" s="139">
        <v>8202547</v>
      </c>
      <c r="AT150" s="139">
        <f>398082+AP150+348177.72</f>
        <v>10012902.860000001</v>
      </c>
      <c r="AU150" s="139">
        <f>398082+AQ150+348177.72</f>
        <v>10012902.860000001</v>
      </c>
      <c r="AV150" s="139">
        <f>AR150</f>
        <v>203498</v>
      </c>
      <c r="AW150" s="139">
        <v>8202547</v>
      </c>
      <c r="AX150" s="139">
        <f>290845+AT150+130566.65</f>
        <v>10434314.510000002</v>
      </c>
      <c r="AY150" s="139">
        <f>290845+AU150+130566.65</f>
        <v>10434314.510000002</v>
      </c>
      <c r="AZ150" s="139">
        <f>AV150</f>
        <v>203498</v>
      </c>
      <c r="BA150" s="139">
        <v>8202547</v>
      </c>
      <c r="BB150" s="90">
        <f>10654189+10121810.92</f>
        <v>20775999.920000002</v>
      </c>
      <c r="BC150" s="90">
        <f>10654189+10121810.92</f>
        <v>20775999.920000002</v>
      </c>
      <c r="BD150" s="90">
        <v>0</v>
      </c>
      <c r="BE150" s="90">
        <v>548451</v>
      </c>
      <c r="BF150" s="90">
        <f>75100+21710262</f>
        <v>21785362</v>
      </c>
      <c r="BG150" s="90">
        <f>75100+21710262.29</f>
        <v>21785362.289999999</v>
      </c>
      <c r="BH150" s="90">
        <v>0</v>
      </c>
      <c r="BI150" s="90">
        <v>0</v>
      </c>
      <c r="BJ150" s="90">
        <v>12290658.710000001</v>
      </c>
      <c r="BK150" s="90">
        <v>12290658.710000001</v>
      </c>
      <c r="BL150" s="90">
        <v>0</v>
      </c>
      <c r="BM150" s="90">
        <v>0</v>
      </c>
      <c r="BN150" s="90" t="e">
        <f>#REF!+AX150+BB150+BF150+BJ150</f>
        <v>#REF!</v>
      </c>
      <c r="BO150" s="90">
        <f t="shared" si="117"/>
        <v>65286335.43</v>
      </c>
      <c r="BP150" s="90">
        <f t="shared" si="117"/>
        <v>203498</v>
      </c>
      <c r="BQ150" s="90">
        <f t="shared" si="156"/>
        <v>65489833.43</v>
      </c>
      <c r="BR150" s="95" t="s">
        <v>200</v>
      </c>
      <c r="BS150" s="80"/>
    </row>
    <row r="151" spans="1:72" s="13" customFormat="1" ht="83.25" customHeight="1">
      <c r="A151" s="138" t="s">
        <v>100</v>
      </c>
      <c r="B151" s="138" t="s">
        <v>381</v>
      </c>
      <c r="C151" s="139">
        <v>2124999.5800080001</v>
      </c>
      <c r="D151" s="139"/>
      <c r="E151" s="139">
        <v>0</v>
      </c>
      <c r="F151" s="139">
        <v>0</v>
      </c>
      <c r="G151" s="139">
        <v>0</v>
      </c>
      <c r="H151" s="139">
        <v>0</v>
      </c>
      <c r="I151" s="139">
        <v>0</v>
      </c>
      <c r="J151" s="139">
        <f>F151</f>
        <v>0</v>
      </c>
      <c r="K151" s="139">
        <f t="shared" ref="K151:M151" si="157">G151</f>
        <v>0</v>
      </c>
      <c r="L151" s="139">
        <f t="shared" si="157"/>
        <v>0</v>
      </c>
      <c r="M151" s="139">
        <f t="shared" si="157"/>
        <v>0</v>
      </c>
      <c r="N151" s="139">
        <f>J151</f>
        <v>0</v>
      </c>
      <c r="O151" s="139">
        <f t="shared" ref="O151:Q151" si="158">K151</f>
        <v>0</v>
      </c>
      <c r="P151" s="139">
        <f t="shared" si="158"/>
        <v>0</v>
      </c>
      <c r="Q151" s="139">
        <f t="shared" si="158"/>
        <v>0</v>
      </c>
      <c r="R151" s="139">
        <f>N151</f>
        <v>0</v>
      </c>
      <c r="S151" s="139">
        <f t="shared" ref="S151:U151" si="159">O151</f>
        <v>0</v>
      </c>
      <c r="T151" s="139">
        <f t="shared" si="159"/>
        <v>0</v>
      </c>
      <c r="U151" s="139">
        <f t="shared" si="159"/>
        <v>0</v>
      </c>
      <c r="V151" s="139">
        <f>R151</f>
        <v>0</v>
      </c>
      <c r="W151" s="139">
        <f t="shared" ref="W151:X151" si="160">S151</f>
        <v>0</v>
      </c>
      <c r="X151" s="139">
        <f t="shared" si="160"/>
        <v>0</v>
      </c>
      <c r="Y151" s="139">
        <f>U151</f>
        <v>0</v>
      </c>
      <c r="Z151" s="139">
        <f>V151</f>
        <v>0</v>
      </c>
      <c r="AA151" s="139">
        <f t="shared" ref="AA151:AB151" si="161">W151</f>
        <v>0</v>
      </c>
      <c r="AB151" s="139">
        <f t="shared" si="161"/>
        <v>0</v>
      </c>
      <c r="AC151" s="139">
        <f>Y151</f>
        <v>0</v>
      </c>
      <c r="AD151" s="139">
        <f>Z151</f>
        <v>0</v>
      </c>
      <c r="AE151" s="139">
        <f t="shared" ref="AE151:AF151" si="162">AA151</f>
        <v>0</v>
      </c>
      <c r="AF151" s="139">
        <f t="shared" si="162"/>
        <v>0</v>
      </c>
      <c r="AG151" s="139">
        <f>AC151</f>
        <v>0</v>
      </c>
      <c r="AH151" s="139">
        <f>AD151</f>
        <v>0</v>
      </c>
      <c r="AI151" s="139">
        <f t="shared" ref="AI151:AJ151" si="163">AE151</f>
        <v>0</v>
      </c>
      <c r="AJ151" s="139">
        <f t="shared" si="163"/>
        <v>0</v>
      </c>
      <c r="AK151" s="139">
        <f>AG151</f>
        <v>0</v>
      </c>
      <c r="AL151" s="139">
        <v>0</v>
      </c>
      <c r="AM151" s="139">
        <v>212499.90000000002</v>
      </c>
      <c r="AN151" s="139"/>
      <c r="AO151" s="139">
        <v>0</v>
      </c>
      <c r="AP151" s="139">
        <v>212499.90000000002</v>
      </c>
      <c r="AQ151" s="139">
        <f>AM151</f>
        <v>212499.90000000002</v>
      </c>
      <c r="AR151" s="139">
        <v>0</v>
      </c>
      <c r="AS151" s="139">
        <v>0</v>
      </c>
      <c r="AT151" s="139">
        <f>AP151</f>
        <v>212499.90000000002</v>
      </c>
      <c r="AU151" s="139">
        <f t="shared" ref="AU151:AW151" si="164">AQ151</f>
        <v>212499.90000000002</v>
      </c>
      <c r="AV151" s="139">
        <f t="shared" si="164"/>
        <v>0</v>
      </c>
      <c r="AW151" s="139">
        <f t="shared" si="164"/>
        <v>0</v>
      </c>
      <c r="AX151" s="139">
        <f>AT151</f>
        <v>212499.90000000002</v>
      </c>
      <c r="AY151" s="139">
        <f t="shared" ref="AY151:BA151" si="165">AU151</f>
        <v>212499.90000000002</v>
      </c>
      <c r="AZ151" s="139">
        <f t="shared" si="165"/>
        <v>0</v>
      </c>
      <c r="BA151" s="139">
        <f t="shared" si="165"/>
        <v>0</v>
      </c>
      <c r="BB151" s="90">
        <v>849999.60000000009</v>
      </c>
      <c r="BC151" s="90">
        <v>1062499.5</v>
      </c>
      <c r="BD151" s="90">
        <v>0</v>
      </c>
      <c r="BE151" s="90">
        <v>0</v>
      </c>
      <c r="BF151" s="90">
        <f>1062499+1</f>
        <v>1062500</v>
      </c>
      <c r="BG151" s="90">
        <v>849999.60000000009</v>
      </c>
      <c r="BH151" s="90">
        <v>0</v>
      </c>
      <c r="BI151" s="90">
        <v>0</v>
      </c>
      <c r="BJ151" s="90">
        <v>0</v>
      </c>
      <c r="BK151" s="90">
        <v>0</v>
      </c>
      <c r="BL151" s="90">
        <v>0</v>
      </c>
      <c r="BM151" s="90">
        <v>0</v>
      </c>
      <c r="BN151" s="90" t="e">
        <f>#REF!+AX151+BB151+BF151+BJ151</f>
        <v>#REF!</v>
      </c>
      <c r="BO151" s="90">
        <f t="shared" ref="BO151:BP166" si="166">AY151+BC151+BG151+BK151</f>
        <v>2124999</v>
      </c>
      <c r="BP151" s="90">
        <f t="shared" si="166"/>
        <v>0</v>
      </c>
      <c r="BQ151" s="90">
        <f t="shared" si="156"/>
        <v>2124999</v>
      </c>
      <c r="BR151" s="95" t="s">
        <v>201</v>
      </c>
      <c r="BS151" s="80"/>
    </row>
    <row r="152" spans="1:72" s="13" customFormat="1" ht="55.5" customHeight="1">
      <c r="A152" s="138" t="s">
        <v>101</v>
      </c>
      <c r="B152" s="138" t="s">
        <v>380</v>
      </c>
      <c r="C152" s="139">
        <v>23368233</v>
      </c>
      <c r="D152" s="139"/>
      <c r="E152" s="139">
        <v>8695791</v>
      </c>
      <c r="F152" s="139">
        <v>0</v>
      </c>
      <c r="G152" s="139">
        <v>0</v>
      </c>
      <c r="H152" s="139">
        <v>0</v>
      </c>
      <c r="I152" s="139">
        <v>0</v>
      </c>
      <c r="J152" s="139">
        <v>565240.25</v>
      </c>
      <c r="K152" s="139">
        <v>18847.78</v>
      </c>
      <c r="L152" s="139">
        <v>8077.6200000000026</v>
      </c>
      <c r="M152" s="139">
        <f>338646+I152</f>
        <v>338646</v>
      </c>
      <c r="N152" s="139">
        <f>0+J152</f>
        <v>565240.25</v>
      </c>
      <c r="O152" s="139">
        <f>35739.9+K152</f>
        <v>54587.68</v>
      </c>
      <c r="P152" s="139">
        <f>15317.1+L152</f>
        <v>23394.720000000001</v>
      </c>
      <c r="Q152" s="139">
        <f>270056+M152</f>
        <v>608702</v>
      </c>
      <c r="R152" s="139">
        <f>54587.68+N152</f>
        <v>619827.93000000005</v>
      </c>
      <c r="S152" s="139">
        <f>838854.91+O152</f>
        <v>893442.59000000008</v>
      </c>
      <c r="T152" s="139">
        <f>359509.25+P152</f>
        <v>382903.97</v>
      </c>
      <c r="U152" s="139">
        <f>1280083+Q152</f>
        <v>1888785</v>
      </c>
      <c r="V152" s="139">
        <f>0+R152</f>
        <v>619827.93000000005</v>
      </c>
      <c r="W152" s="139">
        <f>1543653.6+S152</f>
        <v>2437096.1900000004</v>
      </c>
      <c r="X152" s="139">
        <f>661565.83+T152</f>
        <v>1044469.7999999999</v>
      </c>
      <c r="Y152" s="139">
        <f>2238303+U152</f>
        <v>4127088</v>
      </c>
      <c r="Z152" s="139">
        <f>0+V152</f>
        <v>619827.93000000005</v>
      </c>
      <c r="AA152" s="139">
        <f>W152+622135.51</f>
        <v>3059231.7</v>
      </c>
      <c r="AB152" s="139">
        <f>X152+266629.5</f>
        <v>1311099.2999999998</v>
      </c>
      <c r="AC152" s="139">
        <f>829810+Y152</f>
        <v>4956898</v>
      </c>
      <c r="AD152" s="139">
        <f>2423777.21+Z152</f>
        <v>3043605.14</v>
      </c>
      <c r="AE152" s="139">
        <f>649634.58+AA152</f>
        <v>3708866.2800000003</v>
      </c>
      <c r="AF152" s="139">
        <f>278414.82+AB152</f>
        <v>1589514.1199999999</v>
      </c>
      <c r="AG152" s="139">
        <f>717834+AC152</f>
        <v>5674732</v>
      </c>
      <c r="AH152" s="139">
        <f>0+AD152</f>
        <v>3043605.14</v>
      </c>
      <c r="AI152" s="139">
        <f>AE152+755610.604</f>
        <v>4464476.8840000005</v>
      </c>
      <c r="AJ152" s="139">
        <f>323833.116+AF152</f>
        <v>1913347.2359999998</v>
      </c>
      <c r="AK152" s="139">
        <f>703074+AG152</f>
        <v>6377806</v>
      </c>
      <c r="AL152" s="139">
        <f>0+AH152</f>
        <v>3043605.14</v>
      </c>
      <c r="AM152" s="139">
        <f>471756.44+AI152</f>
        <v>4936233.324000001</v>
      </c>
      <c r="AN152" s="139">
        <f>202181.33+AJ152</f>
        <v>2115528.5659999996</v>
      </c>
      <c r="AO152" s="139">
        <f>673938+AK152</f>
        <v>7051744</v>
      </c>
      <c r="AP152" s="139">
        <f>AL152+1986111.984</f>
        <v>5029717.1239999998</v>
      </c>
      <c r="AQ152" s="139">
        <f>AM152+383256.888</f>
        <v>5319490.2120000012</v>
      </c>
      <c r="AR152" s="139">
        <f>AN152+164252.952</f>
        <v>2279781.5179999997</v>
      </c>
      <c r="AS152" s="139">
        <f>547510+AO152</f>
        <v>7599254</v>
      </c>
      <c r="AT152" s="139">
        <f>0+AP152</f>
        <v>5029717.1239999998</v>
      </c>
      <c r="AU152" s="139">
        <f>AQ152+382280.08</f>
        <v>5701770.2920000013</v>
      </c>
      <c r="AV152" s="139">
        <f>AR152+163834.32</f>
        <v>2443615.8379999995</v>
      </c>
      <c r="AW152" s="139">
        <f>546115+AS152</f>
        <v>8145369</v>
      </c>
      <c r="AX152" s="139">
        <f>AT152+1537125.88</f>
        <v>6566843.0039999997</v>
      </c>
      <c r="AY152" s="139">
        <f>385283.42+AU152</f>
        <v>6087053.7120000012</v>
      </c>
      <c r="AZ152" s="139">
        <f>165121.46+AV152</f>
        <v>2608737.2979999995</v>
      </c>
      <c r="BA152" s="139">
        <f>550422+AW152</f>
        <v>8695791</v>
      </c>
      <c r="BB152" s="90">
        <v>4343196.34</v>
      </c>
      <c r="BC152" s="90">
        <v>4528876.9399999995</v>
      </c>
      <c r="BD152" s="90">
        <v>1940947.2599999998</v>
      </c>
      <c r="BE152" s="90">
        <v>5633403</v>
      </c>
      <c r="BF152" s="90">
        <v>3741649.1599999997</v>
      </c>
      <c r="BG152" s="90">
        <v>3563064.81</v>
      </c>
      <c r="BH152" s="90">
        <v>1527027.7757142861</v>
      </c>
      <c r="BI152" s="90">
        <v>1401174</v>
      </c>
      <c r="BJ152" s="90">
        <v>3860537.87</v>
      </c>
      <c r="BK152" s="90">
        <v>3767990.6599999988</v>
      </c>
      <c r="BL152" s="90">
        <v>1614853.1400000001</v>
      </c>
      <c r="BM152" s="90">
        <v>2372081</v>
      </c>
      <c r="BN152" s="90" t="e">
        <f>#REF!+AX152+BB152+BF152+BJ152</f>
        <v>#REF!</v>
      </c>
      <c r="BO152" s="90">
        <f>AY152+BC152+BG152+BK152</f>
        <v>17946986.122000001</v>
      </c>
      <c r="BP152" s="90">
        <f>AZ152+BD152+BH152+BL152</f>
        <v>7691565.4737142865</v>
      </c>
      <c r="BQ152" s="90">
        <f>BO152+BP152</f>
        <v>25638551.595714286</v>
      </c>
      <c r="BR152" s="95" t="s">
        <v>201</v>
      </c>
      <c r="BS152" s="80"/>
    </row>
    <row r="153" spans="1:72" s="13" customFormat="1" ht="79.5" customHeight="1">
      <c r="A153" s="138" t="s">
        <v>102</v>
      </c>
      <c r="B153" s="138" t="s">
        <v>447</v>
      </c>
      <c r="C153" s="139">
        <v>7028040</v>
      </c>
      <c r="D153" s="139"/>
      <c r="E153" s="139">
        <v>895861</v>
      </c>
      <c r="F153" s="139">
        <v>0</v>
      </c>
      <c r="G153" s="139">
        <v>0</v>
      </c>
      <c r="H153" s="139">
        <v>0</v>
      </c>
      <c r="I153" s="139">
        <v>0</v>
      </c>
      <c r="J153" s="139">
        <v>126234.55</v>
      </c>
      <c r="K153" s="139">
        <v>126234.55</v>
      </c>
      <c r="L153" s="139">
        <v>0</v>
      </c>
      <c r="M153" s="139">
        <f>0+I153</f>
        <v>0</v>
      </c>
      <c r="N153" s="139">
        <f>0+J153</f>
        <v>126234.55</v>
      </c>
      <c r="O153" s="139">
        <f t="shared" ref="O153:P153" si="167">0+K153</f>
        <v>126234.55</v>
      </c>
      <c r="P153" s="139">
        <f t="shared" si="167"/>
        <v>0</v>
      </c>
      <c r="Q153" s="139">
        <f>0+M153</f>
        <v>0</v>
      </c>
      <c r="R153" s="139">
        <f>0+N153</f>
        <v>126234.55</v>
      </c>
      <c r="S153" s="139">
        <f t="shared" ref="S153:T153" si="168">0+O153</f>
        <v>126234.55</v>
      </c>
      <c r="T153" s="139">
        <f t="shared" si="168"/>
        <v>0</v>
      </c>
      <c r="U153" s="139">
        <f>0+Q153</f>
        <v>0</v>
      </c>
      <c r="V153" s="139">
        <f>113740.46+R153</f>
        <v>239975.01</v>
      </c>
      <c r="W153" s="139">
        <f>113740.46+S153</f>
        <v>239975.01</v>
      </c>
      <c r="X153" s="139">
        <f>0+T153</f>
        <v>0</v>
      </c>
      <c r="Y153" s="139">
        <f>237781+U153</f>
        <v>237781</v>
      </c>
      <c r="Z153" s="139">
        <f>101532.47+V153</f>
        <v>341507.48</v>
      </c>
      <c r="AA153" s="139">
        <f>101532.47+W153</f>
        <v>341507.48</v>
      </c>
      <c r="AB153" s="139">
        <f>0+X153</f>
        <v>0</v>
      </c>
      <c r="AC153" s="139">
        <f>80965+Y153</f>
        <v>318746</v>
      </c>
      <c r="AD153" s="139">
        <f>149971.68+Z153</f>
        <v>491479.16</v>
      </c>
      <c r="AE153" s="139">
        <f>149971.68+AA153</f>
        <v>491479.16</v>
      </c>
      <c r="AF153" s="139">
        <f>0+AB153</f>
        <v>0</v>
      </c>
      <c r="AG153" s="139">
        <f>AC153+0</f>
        <v>318746</v>
      </c>
      <c r="AH153" s="139">
        <f>101552.84+AD153</f>
        <v>593032</v>
      </c>
      <c r="AI153" s="139">
        <f t="shared" ref="AI153" si="169">101552.84+AE153</f>
        <v>593032</v>
      </c>
      <c r="AJ153" s="139">
        <f>0+AF153</f>
        <v>0</v>
      </c>
      <c r="AK153" s="139">
        <f>AG153+0</f>
        <v>318746</v>
      </c>
      <c r="AL153" s="139">
        <f>214058.72+AH153</f>
        <v>807090.72</v>
      </c>
      <c r="AM153" s="139">
        <f>214058.72+AI153</f>
        <v>807090.72</v>
      </c>
      <c r="AN153" s="139">
        <f>0+AJ153</f>
        <v>0</v>
      </c>
      <c r="AO153" s="139">
        <f>237781+AK153</f>
        <v>556527</v>
      </c>
      <c r="AP153" s="139">
        <f>0+AL153</f>
        <v>807090.72</v>
      </c>
      <c r="AQ153" s="139">
        <f t="shared" ref="AQ153:AR153" si="170">0+AM153</f>
        <v>807090.72</v>
      </c>
      <c r="AR153" s="139">
        <f t="shared" si="170"/>
        <v>0</v>
      </c>
      <c r="AS153" s="139">
        <f>339334+AO153</f>
        <v>895861</v>
      </c>
      <c r="AT153" s="139">
        <f>88770.29+AP153</f>
        <v>895861.01</v>
      </c>
      <c r="AU153" s="139">
        <f>88770.29+AQ153</f>
        <v>895861.01</v>
      </c>
      <c r="AV153" s="139">
        <f>0+AR153</f>
        <v>0</v>
      </c>
      <c r="AW153" s="139">
        <f>AS153+0</f>
        <v>895861</v>
      </c>
      <c r="AX153" s="139">
        <f>0+AT153</f>
        <v>895861.01</v>
      </c>
      <c r="AY153" s="139">
        <f t="shared" ref="AY153:AZ153" si="171">0+AU153</f>
        <v>895861.01</v>
      </c>
      <c r="AZ153" s="139">
        <f t="shared" si="171"/>
        <v>0</v>
      </c>
      <c r="BA153" s="139">
        <f>AW153+0</f>
        <v>895861</v>
      </c>
      <c r="BB153" s="90">
        <v>1636117.58</v>
      </c>
      <c r="BC153" s="90">
        <v>1636117.58</v>
      </c>
      <c r="BD153" s="90">
        <v>0</v>
      </c>
      <c r="BE153" s="90">
        <v>748698</v>
      </c>
      <c r="BF153" s="90">
        <v>1868775.69</v>
      </c>
      <c r="BG153" s="90">
        <v>1868775.69</v>
      </c>
      <c r="BH153" s="90">
        <v>0</v>
      </c>
      <c r="BI153" s="90">
        <v>74774</v>
      </c>
      <c r="BJ153" s="90">
        <v>1430487.23</v>
      </c>
      <c r="BK153" s="90">
        <v>1430487.23</v>
      </c>
      <c r="BL153" s="90">
        <v>0</v>
      </c>
      <c r="BM153" s="90">
        <v>0</v>
      </c>
      <c r="BN153" s="90" t="e">
        <f>#REF!+AX153+BB153+BF153+BJ153</f>
        <v>#REF!</v>
      </c>
      <c r="BO153" s="90">
        <f t="shared" si="166"/>
        <v>5831241.5099999998</v>
      </c>
      <c r="BP153" s="90">
        <f t="shared" si="166"/>
        <v>0</v>
      </c>
      <c r="BQ153" s="90">
        <f t="shared" si="156"/>
        <v>5831241.5099999998</v>
      </c>
      <c r="BR153" s="95" t="s">
        <v>202</v>
      </c>
      <c r="BS153" s="80"/>
    </row>
    <row r="154" spans="1:72" s="13" customFormat="1" ht="90" customHeight="1">
      <c r="A154" s="138" t="s">
        <v>103</v>
      </c>
      <c r="B154" s="138" t="s">
        <v>379</v>
      </c>
      <c r="C154" s="139">
        <v>3514020</v>
      </c>
      <c r="D154" s="139"/>
      <c r="E154" s="139">
        <v>414859</v>
      </c>
      <c r="F154" s="139">
        <v>0</v>
      </c>
      <c r="G154" s="139">
        <v>0</v>
      </c>
      <c r="H154" s="139">
        <v>0</v>
      </c>
      <c r="I154" s="139">
        <f>G154+H154</f>
        <v>0</v>
      </c>
      <c r="J154" s="139">
        <v>70283</v>
      </c>
      <c r="K154" s="139">
        <f>G154</f>
        <v>0</v>
      </c>
      <c r="L154" s="139">
        <f>H154</f>
        <v>0</v>
      </c>
      <c r="M154" s="139">
        <f>K154+L154</f>
        <v>0</v>
      </c>
      <c r="N154" s="139">
        <f>J154</f>
        <v>70283</v>
      </c>
      <c r="O154" s="139">
        <f>K154</f>
        <v>0</v>
      </c>
      <c r="P154" s="139">
        <f>L154</f>
        <v>0</v>
      </c>
      <c r="Q154" s="139">
        <f>O154+P154</f>
        <v>0</v>
      </c>
      <c r="R154" s="139">
        <f>N154</f>
        <v>70283</v>
      </c>
      <c r="S154" s="139">
        <f>O154</f>
        <v>0</v>
      </c>
      <c r="T154" s="139">
        <f>P154</f>
        <v>0</v>
      </c>
      <c r="U154" s="139">
        <f>S154+T154</f>
        <v>0</v>
      </c>
      <c r="V154" s="139">
        <f>136616+R154</f>
        <v>206899</v>
      </c>
      <c r="W154" s="139">
        <f>136616+S154</f>
        <v>136616</v>
      </c>
      <c r="X154" s="139">
        <f>T154</f>
        <v>0</v>
      </c>
      <c r="Y154" s="139">
        <f>W154+X154</f>
        <v>136616</v>
      </c>
      <c r="Z154" s="139">
        <f>54386+V154</f>
        <v>261285</v>
      </c>
      <c r="AA154" s="139">
        <f>54386+W154</f>
        <v>191002</v>
      </c>
      <c r="AB154" s="139">
        <f>X154</f>
        <v>0</v>
      </c>
      <c r="AC154" s="139">
        <f>AA154+AB154</f>
        <v>191002</v>
      </c>
      <c r="AD154" s="139">
        <f>Z154</f>
        <v>261285</v>
      </c>
      <c r="AE154" s="139">
        <f>AA154</f>
        <v>191002</v>
      </c>
      <c r="AF154" s="139">
        <f>AB154</f>
        <v>0</v>
      </c>
      <c r="AG154" s="139">
        <f>AE154+AF154</f>
        <v>191002</v>
      </c>
      <c r="AH154" s="139">
        <f>162924+AD154</f>
        <v>424209</v>
      </c>
      <c r="AI154" s="139">
        <f>162924+AE154</f>
        <v>353926</v>
      </c>
      <c r="AJ154" s="139">
        <f>AF154</f>
        <v>0</v>
      </c>
      <c r="AK154" s="139">
        <f>AI154+AJ154</f>
        <v>353926</v>
      </c>
      <c r="AL154" s="139">
        <f>55951+AH154</f>
        <v>480160</v>
      </c>
      <c r="AM154" s="139">
        <f>55951+AI154</f>
        <v>409877</v>
      </c>
      <c r="AN154" s="139">
        <f>AJ154</f>
        <v>0</v>
      </c>
      <c r="AO154" s="139">
        <f>AM154+AN154</f>
        <v>409877</v>
      </c>
      <c r="AP154" s="139">
        <f>AL154</f>
        <v>480160</v>
      </c>
      <c r="AQ154" s="139">
        <f>AM154</f>
        <v>409877</v>
      </c>
      <c r="AR154" s="139">
        <f>AN154</f>
        <v>0</v>
      </c>
      <c r="AS154" s="139">
        <f>AQ154+AR154</f>
        <v>409877</v>
      </c>
      <c r="AT154" s="139">
        <f>54308+AP154</f>
        <v>534468</v>
      </c>
      <c r="AU154" s="139">
        <f>54308+AQ154</f>
        <v>464185</v>
      </c>
      <c r="AV154" s="139">
        <f>AR154</f>
        <v>0</v>
      </c>
      <c r="AW154" s="139">
        <v>414859</v>
      </c>
      <c r="AX154" s="139">
        <f>AT154</f>
        <v>534468</v>
      </c>
      <c r="AY154" s="139">
        <f>AU154</f>
        <v>464185</v>
      </c>
      <c r="AZ154" s="139">
        <f>AV154</f>
        <v>0</v>
      </c>
      <c r="BA154" s="139">
        <v>414859</v>
      </c>
      <c r="BB154" s="90">
        <v>393896</v>
      </c>
      <c r="BC154" s="90">
        <v>393896</v>
      </c>
      <c r="BD154" s="90">
        <v>0</v>
      </c>
      <c r="BE154" s="90">
        <v>159308</v>
      </c>
      <c r="BF154" s="90">
        <v>885163.97</v>
      </c>
      <c r="BG154" s="90">
        <v>885163.97</v>
      </c>
      <c r="BH154" s="90">
        <v>0</v>
      </c>
      <c r="BI154" s="90">
        <v>0</v>
      </c>
      <c r="BJ154" s="90">
        <v>590109.31999999995</v>
      </c>
      <c r="BK154" s="90">
        <v>590109.31999999995</v>
      </c>
      <c r="BL154" s="90">
        <v>0</v>
      </c>
      <c r="BM154" s="90">
        <v>0</v>
      </c>
      <c r="BN154" s="90" t="e">
        <f>#REF!+AX154+BB154+BF154+BJ154</f>
        <v>#REF!</v>
      </c>
      <c r="BO154" s="90">
        <f t="shared" si="166"/>
        <v>2333354.29</v>
      </c>
      <c r="BP154" s="90">
        <f t="shared" si="166"/>
        <v>0</v>
      </c>
      <c r="BQ154" s="90">
        <f t="shared" si="156"/>
        <v>2333354.29</v>
      </c>
      <c r="BR154" s="95" t="s">
        <v>203</v>
      </c>
      <c r="BS154" s="80"/>
    </row>
    <row r="155" spans="1:72" s="13" customFormat="1" ht="69.75" customHeight="1">
      <c r="A155" s="138" t="s">
        <v>185</v>
      </c>
      <c r="B155" s="138" t="s">
        <v>449</v>
      </c>
      <c r="C155" s="139">
        <v>0</v>
      </c>
      <c r="D155" s="139"/>
      <c r="E155" s="139">
        <v>0</v>
      </c>
      <c r="F155" s="139"/>
      <c r="G155" s="139"/>
      <c r="H155" s="139"/>
      <c r="I155" s="139"/>
      <c r="J155" s="139"/>
      <c r="K155" s="139"/>
      <c r="L155" s="139"/>
      <c r="M155" s="139">
        <f t="shared" ref="M155" si="172">I155</f>
        <v>0</v>
      </c>
      <c r="N155" s="139"/>
      <c r="O155" s="139"/>
      <c r="P155" s="139"/>
      <c r="Q155" s="139">
        <f t="shared" ref="Q155" si="173">M155</f>
        <v>0</v>
      </c>
      <c r="R155" s="139"/>
      <c r="S155" s="139"/>
      <c r="T155" s="139"/>
      <c r="U155" s="139">
        <f t="shared" ref="U155" si="174">Q155</f>
        <v>0</v>
      </c>
      <c r="V155" s="139"/>
      <c r="W155" s="139"/>
      <c r="X155" s="139"/>
      <c r="Y155" s="139">
        <f t="shared" ref="Y155" si="175">U155</f>
        <v>0</v>
      </c>
      <c r="Z155" s="139"/>
      <c r="AA155" s="139"/>
      <c r="AB155" s="139"/>
      <c r="AC155" s="139">
        <f t="shared" ref="AC155" si="176">Y155</f>
        <v>0</v>
      </c>
      <c r="AD155" s="139"/>
      <c r="AE155" s="139"/>
      <c r="AF155" s="139"/>
      <c r="AG155" s="139">
        <f t="shared" ref="AG155" si="177">AC155</f>
        <v>0</v>
      </c>
      <c r="AH155" s="139"/>
      <c r="AI155" s="139"/>
      <c r="AJ155" s="139"/>
      <c r="AK155" s="139">
        <f t="shared" ref="AK155" si="178">AG155</f>
        <v>0</v>
      </c>
      <c r="AL155" s="139"/>
      <c r="AM155" s="139"/>
      <c r="AN155" s="139"/>
      <c r="AO155" s="139">
        <f t="shared" ref="AO155" si="179">AK155</f>
        <v>0</v>
      </c>
      <c r="AP155" s="139"/>
      <c r="AQ155" s="139"/>
      <c r="AR155" s="139"/>
      <c r="AS155" s="139">
        <f t="shared" ref="AS155" si="180">AO155</f>
        <v>0</v>
      </c>
      <c r="AT155" s="139"/>
      <c r="AU155" s="139"/>
      <c r="AV155" s="139"/>
      <c r="AW155" s="139">
        <f t="shared" ref="AW155" si="181">AS155</f>
        <v>0</v>
      </c>
      <c r="AX155" s="139"/>
      <c r="AY155" s="139"/>
      <c r="AZ155" s="139"/>
      <c r="BA155" s="139">
        <f t="shared" ref="BA155" si="182">AW155</f>
        <v>0</v>
      </c>
      <c r="BB155" s="90"/>
      <c r="BC155" s="90"/>
      <c r="BD155" s="90"/>
      <c r="BE155" s="90"/>
      <c r="BF155" s="90"/>
      <c r="BG155" s="90"/>
      <c r="BH155" s="90"/>
      <c r="BI155" s="90"/>
      <c r="BJ155" s="90"/>
      <c r="BK155" s="90"/>
      <c r="BL155" s="90"/>
      <c r="BM155" s="90"/>
      <c r="BN155" s="90" t="e">
        <f>#REF!+AX155+BB155+BF155+BJ155</f>
        <v>#REF!</v>
      </c>
      <c r="BO155" s="90">
        <f t="shared" si="166"/>
        <v>0</v>
      </c>
      <c r="BP155" s="90">
        <f t="shared" si="166"/>
        <v>0</v>
      </c>
      <c r="BQ155" s="90">
        <f t="shared" si="156"/>
        <v>0</v>
      </c>
      <c r="BR155" s="92"/>
      <c r="BS155" s="80"/>
    </row>
    <row r="156" spans="1:72" s="13" customFormat="1" ht="102.75" customHeight="1">
      <c r="A156" s="160" t="s">
        <v>104</v>
      </c>
      <c r="B156" s="138" t="s">
        <v>378</v>
      </c>
      <c r="C156" s="139">
        <v>21004171.125372</v>
      </c>
      <c r="D156" s="139"/>
      <c r="E156" s="139">
        <v>621399</v>
      </c>
      <c r="F156" s="139">
        <f>G156</f>
        <v>203113.73</v>
      </c>
      <c r="G156" s="139">
        <v>203113.73</v>
      </c>
      <c r="H156" s="139">
        <v>6077.42</v>
      </c>
      <c r="I156" s="139">
        <v>486074</v>
      </c>
      <c r="J156" s="139">
        <f>K156</f>
        <v>644518.66</v>
      </c>
      <c r="K156" s="139">
        <f>G156+441404.93</f>
        <v>644518.66</v>
      </c>
      <c r="L156" s="139">
        <f>H156+14403.43</f>
        <v>20480.849999999999</v>
      </c>
      <c r="M156" s="139">
        <f>I156+135325</f>
        <v>621399</v>
      </c>
      <c r="N156" s="139">
        <f>O156</f>
        <v>644518.66</v>
      </c>
      <c r="O156" s="139">
        <f t="shared" ref="O156:Q157" si="183">K156</f>
        <v>644518.66</v>
      </c>
      <c r="P156" s="139">
        <f t="shared" si="183"/>
        <v>20480.849999999999</v>
      </c>
      <c r="Q156" s="139">
        <f t="shared" si="183"/>
        <v>621399</v>
      </c>
      <c r="R156" s="139">
        <f>S156</f>
        <v>644518.66</v>
      </c>
      <c r="S156" s="139">
        <f>O156</f>
        <v>644518.66</v>
      </c>
      <c r="T156" s="139">
        <f>P156</f>
        <v>20480.849999999999</v>
      </c>
      <c r="U156" s="139">
        <f>Q156</f>
        <v>621399</v>
      </c>
      <c r="V156" s="139">
        <f>M156</f>
        <v>621399</v>
      </c>
      <c r="W156" s="139">
        <f>S156+676593.11</f>
        <v>1321111.77</v>
      </c>
      <c r="X156" s="139">
        <f>T156+35390.25</f>
        <v>55871.1</v>
      </c>
      <c r="Y156" s="139">
        <f>Q156</f>
        <v>621399</v>
      </c>
      <c r="Z156" s="139">
        <f>AA156</f>
        <v>1321111.77</v>
      </c>
      <c r="AA156" s="139">
        <f t="shared" ref="AA156:AC157" si="184">W156</f>
        <v>1321111.77</v>
      </c>
      <c r="AB156" s="139">
        <f t="shared" si="184"/>
        <v>55871.1</v>
      </c>
      <c r="AC156" s="139">
        <f t="shared" si="184"/>
        <v>621399</v>
      </c>
      <c r="AD156" s="139">
        <f>AE156</f>
        <v>1321111.77</v>
      </c>
      <c r="AE156" s="139">
        <f t="shared" ref="AE156:AG157" si="185">AA156</f>
        <v>1321111.77</v>
      </c>
      <c r="AF156" s="139">
        <f t="shared" si="185"/>
        <v>55871.1</v>
      </c>
      <c r="AG156" s="139">
        <f t="shared" si="185"/>
        <v>621399</v>
      </c>
      <c r="AH156" s="139">
        <f>AI156</f>
        <v>1321111.77</v>
      </c>
      <c r="AI156" s="139">
        <f t="shared" ref="AI156:AK157" si="186">AE156</f>
        <v>1321111.77</v>
      </c>
      <c r="AJ156" s="139">
        <f t="shared" si="186"/>
        <v>55871.1</v>
      </c>
      <c r="AK156" s="139">
        <f t="shared" si="186"/>
        <v>621399</v>
      </c>
      <c r="AL156" s="139">
        <f>AM156</f>
        <v>1321111.77</v>
      </c>
      <c r="AM156" s="139">
        <f>AI156</f>
        <v>1321111.77</v>
      </c>
      <c r="AN156" s="139">
        <f>AJ156</f>
        <v>55871.1</v>
      </c>
      <c r="AO156" s="139">
        <f>AK156</f>
        <v>621399</v>
      </c>
      <c r="AP156" s="139">
        <f>AQ156</f>
        <v>1321111.77</v>
      </c>
      <c r="AQ156" s="139">
        <f>AL156</f>
        <v>1321111.77</v>
      </c>
      <c r="AR156" s="139">
        <f>AN156</f>
        <v>55871.1</v>
      </c>
      <c r="AS156" s="139">
        <f>AO156</f>
        <v>621399</v>
      </c>
      <c r="AT156" s="139">
        <f>AU156</f>
        <v>1359394.72</v>
      </c>
      <c r="AU156" s="139">
        <f>AQ156+38282.95</f>
        <v>1359394.72</v>
      </c>
      <c r="AV156" s="139">
        <f>AR156+1351.08</f>
        <v>57222.18</v>
      </c>
      <c r="AW156" s="139">
        <f>AS156</f>
        <v>621399</v>
      </c>
      <c r="AX156" s="139">
        <f>AY156</f>
        <v>1413976.03</v>
      </c>
      <c r="AY156" s="139">
        <f>AU156+54581.31</f>
        <v>1413976.03</v>
      </c>
      <c r="AZ156" s="139">
        <f>AV156+1839.19</f>
        <v>59061.37</v>
      </c>
      <c r="BA156" s="139">
        <f>AW156</f>
        <v>621399</v>
      </c>
      <c r="BB156" s="90">
        <f>BC156</f>
        <v>60536</v>
      </c>
      <c r="BC156" s="90">
        <v>60536</v>
      </c>
      <c r="BD156" s="90">
        <v>2421</v>
      </c>
      <c r="BE156" s="90">
        <v>0</v>
      </c>
      <c r="BF156" s="90">
        <f>BG156</f>
        <v>0</v>
      </c>
      <c r="BG156" s="90">
        <v>0</v>
      </c>
      <c r="BH156" s="90">
        <v>0</v>
      </c>
      <c r="BI156" s="90">
        <v>0</v>
      </c>
      <c r="BJ156" s="90">
        <f>BK156</f>
        <v>0</v>
      </c>
      <c r="BK156" s="90">
        <v>0</v>
      </c>
      <c r="BL156" s="90">
        <v>0</v>
      </c>
      <c r="BM156" s="90">
        <v>0</v>
      </c>
      <c r="BN156" s="90" t="e">
        <f>#REF!+AX156+BB156+BF156+BJ156</f>
        <v>#REF!</v>
      </c>
      <c r="BO156" s="90">
        <f>AY156+BC156+BG156+BK156</f>
        <v>1474512.03</v>
      </c>
      <c r="BP156" s="90">
        <f>AZ156+BD156+BH156+BL156</f>
        <v>61482.37</v>
      </c>
      <c r="BQ156" s="90">
        <f>BO156+BP156</f>
        <v>1535994.4000000001</v>
      </c>
      <c r="BR156" s="109" t="s">
        <v>199</v>
      </c>
      <c r="BS156" s="80"/>
    </row>
    <row r="157" spans="1:72" s="13" customFormat="1" ht="83.25" customHeight="1">
      <c r="A157" s="160" t="s">
        <v>184</v>
      </c>
      <c r="B157" s="138" t="s">
        <v>377</v>
      </c>
      <c r="C157" s="139">
        <v>1893879.6733919999</v>
      </c>
      <c r="D157" s="139"/>
      <c r="E157" s="139">
        <v>58973</v>
      </c>
      <c r="F157" s="139">
        <f>G157</f>
        <v>36931.1</v>
      </c>
      <c r="G157" s="139">
        <v>36931.1</v>
      </c>
      <c r="H157" s="139">
        <v>977.59</v>
      </c>
      <c r="I157" s="139">
        <v>38854</v>
      </c>
      <c r="J157" s="139">
        <f>K157</f>
        <v>88440.07</v>
      </c>
      <c r="K157" s="139">
        <f>G157+51508.97</f>
        <v>88440.07</v>
      </c>
      <c r="L157" s="139">
        <f>H157+1927.86</f>
        <v>2905.45</v>
      </c>
      <c r="M157" s="139">
        <f>I157+20119</f>
        <v>58973</v>
      </c>
      <c r="N157" s="139">
        <f>O157</f>
        <v>88440.07</v>
      </c>
      <c r="O157" s="139">
        <f t="shared" si="183"/>
        <v>88440.07</v>
      </c>
      <c r="P157" s="139">
        <f t="shared" si="183"/>
        <v>2905.45</v>
      </c>
      <c r="Q157" s="139">
        <f t="shared" si="183"/>
        <v>58973</v>
      </c>
      <c r="R157" s="139">
        <f>S157</f>
        <v>127897.75</v>
      </c>
      <c r="S157" s="139">
        <f>O157+39457.68</f>
        <v>127897.75</v>
      </c>
      <c r="T157" s="139">
        <f>P157+1044.88</f>
        <v>3950.33</v>
      </c>
      <c r="U157" s="139">
        <f>Q157</f>
        <v>58973</v>
      </c>
      <c r="V157" s="139">
        <f>W157</f>
        <v>127897.75</v>
      </c>
      <c r="W157" s="139">
        <f>S157</f>
        <v>127897.75</v>
      </c>
      <c r="X157" s="139">
        <f>T157</f>
        <v>3950.33</v>
      </c>
      <c r="Y157" s="139">
        <f>U157</f>
        <v>58973</v>
      </c>
      <c r="Z157" s="139">
        <f>AA157</f>
        <v>127897.75</v>
      </c>
      <c r="AA157" s="139">
        <f t="shared" si="184"/>
        <v>127897.75</v>
      </c>
      <c r="AB157" s="139">
        <f t="shared" si="184"/>
        <v>3950.33</v>
      </c>
      <c r="AC157" s="139">
        <f t="shared" si="184"/>
        <v>58973</v>
      </c>
      <c r="AD157" s="139">
        <f>AE157</f>
        <v>127897.75</v>
      </c>
      <c r="AE157" s="139">
        <f t="shared" si="185"/>
        <v>127897.75</v>
      </c>
      <c r="AF157" s="139">
        <f t="shared" si="185"/>
        <v>3950.33</v>
      </c>
      <c r="AG157" s="139">
        <f t="shared" si="185"/>
        <v>58973</v>
      </c>
      <c r="AH157" s="139">
        <f>AI157</f>
        <v>127897.75</v>
      </c>
      <c r="AI157" s="139">
        <f t="shared" si="186"/>
        <v>127897.75</v>
      </c>
      <c r="AJ157" s="139">
        <f t="shared" si="186"/>
        <v>3950.33</v>
      </c>
      <c r="AK157" s="139">
        <f t="shared" si="186"/>
        <v>58973</v>
      </c>
      <c r="AL157" s="139">
        <f>AM157</f>
        <v>127897.75</v>
      </c>
      <c r="AM157" s="139">
        <f>AH157</f>
        <v>127897.75</v>
      </c>
      <c r="AN157" s="139">
        <f>AJ157</f>
        <v>3950.33</v>
      </c>
      <c r="AO157" s="139">
        <f>AK157</f>
        <v>58973</v>
      </c>
      <c r="AP157" s="139">
        <f>AQ157</f>
        <v>127897.75</v>
      </c>
      <c r="AQ157" s="139">
        <f>AM157</f>
        <v>127897.75</v>
      </c>
      <c r="AR157" s="139">
        <f>AN157</f>
        <v>3950.33</v>
      </c>
      <c r="AS157" s="139">
        <f>AO157</f>
        <v>58973</v>
      </c>
      <c r="AT157" s="139">
        <f>AU157</f>
        <v>127897.75</v>
      </c>
      <c r="AU157" s="139">
        <f>AM157</f>
        <v>127897.75</v>
      </c>
      <c r="AV157" s="139">
        <f>AR157</f>
        <v>3950.33</v>
      </c>
      <c r="AW157" s="139">
        <f>AS157</f>
        <v>58973</v>
      </c>
      <c r="AX157" s="139">
        <f>AY157</f>
        <v>127897.75</v>
      </c>
      <c r="AY157" s="139">
        <f>AU157</f>
        <v>127897.75</v>
      </c>
      <c r="AZ157" s="139">
        <f>AV157</f>
        <v>3950.33</v>
      </c>
      <c r="BA157" s="139">
        <f>AW157</f>
        <v>58973</v>
      </c>
      <c r="BB157" s="90">
        <f>BC157</f>
        <v>66967</v>
      </c>
      <c r="BC157" s="90">
        <v>66967</v>
      </c>
      <c r="BD157" s="90">
        <v>2009</v>
      </c>
      <c r="BE157" s="90">
        <v>0</v>
      </c>
      <c r="BF157" s="90">
        <f>BG157</f>
        <v>0</v>
      </c>
      <c r="BG157" s="90">
        <v>0</v>
      </c>
      <c r="BH157" s="90">
        <v>0</v>
      </c>
      <c r="BI157" s="90">
        <v>0</v>
      </c>
      <c r="BJ157" s="90">
        <f>BK157</f>
        <v>0</v>
      </c>
      <c r="BK157" s="90">
        <v>0</v>
      </c>
      <c r="BL157" s="90">
        <v>0</v>
      </c>
      <c r="BM157" s="90">
        <v>0</v>
      </c>
      <c r="BN157" s="90" t="e">
        <f>#REF!+AX157+BB157+BF157+BJ157</f>
        <v>#REF!</v>
      </c>
      <c r="BO157" s="90">
        <f t="shared" si="166"/>
        <v>194864.75</v>
      </c>
      <c r="BP157" s="90">
        <f t="shared" si="166"/>
        <v>5959.33</v>
      </c>
      <c r="BQ157" s="90">
        <f t="shared" si="156"/>
        <v>200824.08</v>
      </c>
      <c r="BR157" s="109" t="s">
        <v>199</v>
      </c>
      <c r="BS157" s="80"/>
    </row>
    <row r="158" spans="1:72" s="13" customFormat="1" ht="71.25" customHeight="1">
      <c r="A158" s="138" t="s">
        <v>105</v>
      </c>
      <c r="B158" s="138" t="s">
        <v>376</v>
      </c>
      <c r="C158" s="139">
        <v>96944797.816080004</v>
      </c>
      <c r="D158" s="139"/>
      <c r="E158" s="139">
        <v>26169068</v>
      </c>
      <c r="F158" s="139">
        <v>232489</v>
      </c>
      <c r="G158" s="139">
        <v>1581400</v>
      </c>
      <c r="H158" s="139"/>
      <c r="I158" s="139">
        <v>1581399.7</v>
      </c>
      <c r="J158" s="139">
        <v>840665</v>
      </c>
      <c r="K158" s="139">
        <v>2774336</v>
      </c>
      <c r="L158" s="139"/>
      <c r="M158" s="139">
        <v>2774336</v>
      </c>
      <c r="N158" s="139">
        <v>1746263</v>
      </c>
      <c r="O158" s="139">
        <v>6388306</v>
      </c>
      <c r="P158" s="139"/>
      <c r="Q158" s="139">
        <v>6325577</v>
      </c>
      <c r="R158" s="139">
        <v>3547248</v>
      </c>
      <c r="S158" s="139">
        <v>10538134</v>
      </c>
      <c r="T158" s="139"/>
      <c r="U158" s="139">
        <v>10385868</v>
      </c>
      <c r="V158" s="139">
        <v>7506773</v>
      </c>
      <c r="W158" s="139">
        <v>14538513</v>
      </c>
      <c r="X158" s="139"/>
      <c r="Y158" s="139">
        <v>14272992</v>
      </c>
      <c r="Z158" s="139">
        <v>9998285</v>
      </c>
      <c r="AA158" s="139">
        <v>18370177</v>
      </c>
      <c r="AB158" s="139"/>
      <c r="AC158" s="139">
        <v>18039456</v>
      </c>
      <c r="AD158" s="139">
        <v>12947305</v>
      </c>
      <c r="AE158" s="139">
        <v>22065724</v>
      </c>
      <c r="AF158" s="139"/>
      <c r="AG158" s="139">
        <v>21462499</v>
      </c>
      <c r="AH158" s="139">
        <v>17393614</v>
      </c>
      <c r="AI158" s="139">
        <v>23535803</v>
      </c>
      <c r="AJ158" s="139"/>
      <c r="AK158" s="139">
        <v>22847652</v>
      </c>
      <c r="AL158" s="139">
        <v>19395672</v>
      </c>
      <c r="AM158" s="139">
        <v>25688804</v>
      </c>
      <c r="AN158" s="139"/>
      <c r="AO158" s="139">
        <v>24986780</v>
      </c>
      <c r="AP158" s="139">
        <v>20996878</v>
      </c>
      <c r="AQ158" s="139">
        <v>26785660</v>
      </c>
      <c r="AR158" s="139"/>
      <c r="AS158" s="139">
        <v>25874173</v>
      </c>
      <c r="AT158" s="139">
        <v>22892476</v>
      </c>
      <c r="AU158" s="139">
        <v>29645193</v>
      </c>
      <c r="AV158" s="139"/>
      <c r="AW158" s="139">
        <v>26138615</v>
      </c>
      <c r="AX158" s="139">
        <v>24031114</v>
      </c>
      <c r="AY158" s="139">
        <v>34169381</v>
      </c>
      <c r="AZ158" s="139"/>
      <c r="BA158" s="139">
        <v>26015976</v>
      </c>
      <c r="BB158" s="90">
        <v>19316511</v>
      </c>
      <c r="BC158" s="90">
        <v>16452783</v>
      </c>
      <c r="BD158" s="90"/>
      <c r="BE158" s="90">
        <v>4580211</v>
      </c>
      <c r="BF158" s="90">
        <v>16219453</v>
      </c>
      <c r="BG158" s="90">
        <v>11676410</v>
      </c>
      <c r="BH158" s="90">
        <v>0</v>
      </c>
      <c r="BI158" s="90">
        <v>975988</v>
      </c>
      <c r="BJ158" s="90">
        <f>9291325+12</f>
        <v>9291337</v>
      </c>
      <c r="BK158" s="90">
        <v>1581215</v>
      </c>
      <c r="BL158" s="90">
        <v>0</v>
      </c>
      <c r="BM158" s="90">
        <v>0</v>
      </c>
      <c r="BN158" s="90" t="e">
        <f>#REF!+AX158+BB158+BF158+BJ158</f>
        <v>#REF!</v>
      </c>
      <c r="BO158" s="90">
        <f t="shared" si="166"/>
        <v>63879789</v>
      </c>
      <c r="BP158" s="90">
        <f t="shared" si="166"/>
        <v>0</v>
      </c>
      <c r="BQ158" s="90">
        <f t="shared" si="156"/>
        <v>63879789</v>
      </c>
      <c r="BR158" s="95" t="s">
        <v>202</v>
      </c>
      <c r="BS158" s="80"/>
    </row>
    <row r="159" spans="1:72" s="13" customFormat="1" ht="54.75" customHeight="1">
      <c r="A159" s="138" t="s">
        <v>106</v>
      </c>
      <c r="B159" s="138" t="s">
        <v>375</v>
      </c>
      <c r="C159" s="139">
        <v>2550000.6204960002</v>
      </c>
      <c r="D159" s="139"/>
      <c r="E159" s="139">
        <v>0</v>
      </c>
      <c r="F159" s="139">
        <v>0</v>
      </c>
      <c r="G159" s="139">
        <v>0</v>
      </c>
      <c r="H159" s="139">
        <v>0</v>
      </c>
      <c r="I159" s="139">
        <v>0</v>
      </c>
      <c r="J159" s="139">
        <v>0</v>
      </c>
      <c r="K159" s="139">
        <v>0</v>
      </c>
      <c r="L159" s="139">
        <v>0</v>
      </c>
      <c r="M159" s="139">
        <v>0</v>
      </c>
      <c r="N159" s="139">
        <v>0</v>
      </c>
      <c r="O159" s="139">
        <v>0</v>
      </c>
      <c r="P159" s="139">
        <v>0</v>
      </c>
      <c r="Q159" s="139">
        <v>0</v>
      </c>
      <c r="R159" s="139">
        <v>0</v>
      </c>
      <c r="S159" s="139">
        <v>0</v>
      </c>
      <c r="T159" s="139">
        <v>0</v>
      </c>
      <c r="U159" s="139">
        <v>0</v>
      </c>
      <c r="V159" s="139">
        <v>0</v>
      </c>
      <c r="W159" s="139">
        <v>0</v>
      </c>
      <c r="X159" s="139">
        <v>0</v>
      </c>
      <c r="Y159" s="139">
        <v>0</v>
      </c>
      <c r="Z159" s="139">
        <v>0</v>
      </c>
      <c r="AA159" s="139">
        <v>0</v>
      </c>
      <c r="AB159" s="139">
        <v>0</v>
      </c>
      <c r="AC159" s="139">
        <v>0</v>
      </c>
      <c r="AD159" s="139">
        <v>0</v>
      </c>
      <c r="AE159" s="139">
        <v>0</v>
      </c>
      <c r="AF159" s="139">
        <v>0</v>
      </c>
      <c r="AG159" s="139">
        <v>0</v>
      </c>
      <c r="AH159" s="139">
        <v>0</v>
      </c>
      <c r="AI159" s="139">
        <v>0</v>
      </c>
      <c r="AJ159" s="139">
        <v>0</v>
      </c>
      <c r="AK159" s="139">
        <v>0</v>
      </c>
      <c r="AL159" s="139">
        <v>0</v>
      </c>
      <c r="AM159" s="139">
        <v>0</v>
      </c>
      <c r="AN159" s="139">
        <v>0</v>
      </c>
      <c r="AO159" s="139">
        <v>0</v>
      </c>
      <c r="AP159" s="139">
        <v>0</v>
      </c>
      <c r="AQ159" s="139">
        <v>0</v>
      </c>
      <c r="AR159" s="139">
        <v>0</v>
      </c>
      <c r="AS159" s="139">
        <v>0</v>
      </c>
      <c r="AT159" s="139">
        <v>0</v>
      </c>
      <c r="AU159" s="139">
        <v>0</v>
      </c>
      <c r="AV159" s="139">
        <v>0</v>
      </c>
      <c r="AW159" s="139">
        <v>0</v>
      </c>
      <c r="AX159" s="139">
        <v>0</v>
      </c>
      <c r="AY159" s="139">
        <v>5000</v>
      </c>
      <c r="AZ159" s="139">
        <v>0</v>
      </c>
      <c r="BA159" s="139">
        <v>0</v>
      </c>
      <c r="BB159" s="90">
        <v>1355000</v>
      </c>
      <c r="BC159" s="90">
        <v>1800000</v>
      </c>
      <c r="BD159" s="90">
        <v>0</v>
      </c>
      <c r="BE159" s="90">
        <v>0</v>
      </c>
      <c r="BF159" s="90">
        <v>975000</v>
      </c>
      <c r="BG159" s="90">
        <v>700000</v>
      </c>
      <c r="BH159" s="90">
        <v>0</v>
      </c>
      <c r="BI159" s="90">
        <v>0</v>
      </c>
      <c r="BJ159" s="90">
        <f>220000+1</f>
        <v>220001</v>
      </c>
      <c r="BK159" s="90">
        <v>45000</v>
      </c>
      <c r="BL159" s="90">
        <v>0</v>
      </c>
      <c r="BM159" s="90">
        <v>0</v>
      </c>
      <c r="BN159" s="90" t="e">
        <f>#REF!+AX159+BB159+BF159+BJ159</f>
        <v>#REF!</v>
      </c>
      <c r="BO159" s="90">
        <f t="shared" si="166"/>
        <v>2550000</v>
      </c>
      <c r="BP159" s="90">
        <f t="shared" si="166"/>
        <v>0</v>
      </c>
      <c r="BQ159" s="90">
        <f t="shared" si="156"/>
        <v>2550000</v>
      </c>
      <c r="BR159" s="98"/>
      <c r="BS159" s="80"/>
    </row>
    <row r="160" spans="1:72" s="13" customFormat="1" ht="88.5" customHeight="1">
      <c r="A160" s="138" t="s">
        <v>107</v>
      </c>
      <c r="B160" s="138" t="s">
        <v>374</v>
      </c>
      <c r="C160" s="139">
        <v>177834211.14194399</v>
      </c>
      <c r="D160" s="139"/>
      <c r="E160" s="139">
        <v>29107574</v>
      </c>
      <c r="F160" s="139">
        <v>3463597</v>
      </c>
      <c r="G160" s="139">
        <v>3463597.38</v>
      </c>
      <c r="H160" s="139">
        <v>118488.88</v>
      </c>
      <c r="I160" s="139">
        <v>3884975</v>
      </c>
      <c r="J160" s="139">
        <v>5476856.4299999997</v>
      </c>
      <c r="K160" s="139">
        <v>5476856.4299999997</v>
      </c>
      <c r="L160" s="139">
        <v>224809.2</v>
      </c>
      <c r="M160" s="139">
        <v>6071659</v>
      </c>
      <c r="N160" s="139">
        <v>7930042.0599999996</v>
      </c>
      <c r="O160" s="139">
        <v>7930042.0599999996</v>
      </c>
      <c r="P160" s="139">
        <v>313659.14</v>
      </c>
      <c r="Q160" s="139">
        <v>9572341</v>
      </c>
      <c r="R160" s="139">
        <v>8919457.8399999999</v>
      </c>
      <c r="S160" s="139">
        <v>8919457.8399999999</v>
      </c>
      <c r="T160" s="139">
        <v>365313.37</v>
      </c>
      <c r="U160" s="139">
        <v>10316702</v>
      </c>
      <c r="V160" s="139">
        <v>10002693.27</v>
      </c>
      <c r="W160" s="139">
        <v>10002693.27</v>
      </c>
      <c r="X160" s="139">
        <v>410093.25</v>
      </c>
      <c r="Y160" s="139">
        <v>11774775</v>
      </c>
      <c r="Z160" s="139">
        <v>10651921.4</v>
      </c>
      <c r="AA160" s="139">
        <v>10651921.4</v>
      </c>
      <c r="AB160" s="139">
        <v>451222</v>
      </c>
      <c r="AC160" s="139">
        <v>12328457</v>
      </c>
      <c r="AD160" s="139">
        <v>12913914.67</v>
      </c>
      <c r="AE160" s="139">
        <v>12913914.67</v>
      </c>
      <c r="AF160" s="139">
        <v>517281.77400000003</v>
      </c>
      <c r="AG160" s="139">
        <v>14381880</v>
      </c>
      <c r="AH160" s="139">
        <v>21476193.579999998</v>
      </c>
      <c r="AI160" s="139">
        <v>21476193.579999998</v>
      </c>
      <c r="AJ160" s="139">
        <v>857165.45400000003</v>
      </c>
      <c r="AK160" s="139">
        <v>22297099</v>
      </c>
      <c r="AL160" s="139">
        <v>22942329.689999998</v>
      </c>
      <c r="AM160" s="139">
        <v>22942329.689999998</v>
      </c>
      <c r="AN160" s="139">
        <v>901428.75400000007</v>
      </c>
      <c r="AO160" s="139">
        <v>23807499</v>
      </c>
      <c r="AP160" s="139">
        <v>25020784.789999999</v>
      </c>
      <c r="AQ160" s="139">
        <v>25020784.789999999</v>
      </c>
      <c r="AR160" s="139">
        <v>963295.04800000007</v>
      </c>
      <c r="AS160" s="139">
        <v>26103646</v>
      </c>
      <c r="AT160" s="139">
        <v>31014386.479999997</v>
      </c>
      <c r="AU160" s="139">
        <v>31014386.479999997</v>
      </c>
      <c r="AV160" s="139">
        <v>1206817.172</v>
      </c>
      <c r="AW160" s="139">
        <v>29107574</v>
      </c>
      <c r="AX160" s="139">
        <v>31927835.09</v>
      </c>
      <c r="AY160" s="139">
        <v>31927835.09</v>
      </c>
      <c r="AZ160" s="139">
        <v>1231090.628</v>
      </c>
      <c r="BA160" s="139">
        <v>29107574</v>
      </c>
      <c r="BB160" s="90">
        <f>BC160</f>
        <v>21397342.728799999</v>
      </c>
      <c r="BC160" s="90">
        <f>22213388.7288-816046</f>
        <v>21397342.728799999</v>
      </c>
      <c r="BD160" s="90">
        <f>800266.392208-28562</f>
        <v>771704.39220799995</v>
      </c>
      <c r="BE160" s="90">
        <v>12385165</v>
      </c>
      <c r="BF160" s="90">
        <v>3537227.78</v>
      </c>
      <c r="BG160" s="90">
        <v>3537227.78</v>
      </c>
      <c r="BH160" s="90">
        <v>122663.43</v>
      </c>
      <c r="BI160" s="90">
        <v>3066267</v>
      </c>
      <c r="BJ160" s="90">
        <v>0</v>
      </c>
      <c r="BK160" s="90">
        <v>0</v>
      </c>
      <c r="BL160" s="90">
        <v>0</v>
      </c>
      <c r="BM160" s="90">
        <v>0</v>
      </c>
      <c r="BN160" s="90" t="e">
        <f>#REF!+AX160+BB160+BF160+BJ160</f>
        <v>#REF!</v>
      </c>
      <c r="BO160" s="90">
        <f t="shared" si="166"/>
        <v>56862405.598800004</v>
      </c>
      <c r="BP160" s="90">
        <f t="shared" si="166"/>
        <v>2125458.4502079999</v>
      </c>
      <c r="BQ160" s="90">
        <f t="shared" si="156"/>
        <v>58987864.049008004</v>
      </c>
      <c r="BR160" s="95" t="s">
        <v>204</v>
      </c>
      <c r="BS160" s="80"/>
    </row>
    <row r="161" spans="1:72" s="13" customFormat="1" ht="51.75" customHeight="1">
      <c r="A161" s="138" t="s">
        <v>108</v>
      </c>
      <c r="B161" s="138" t="s">
        <v>373</v>
      </c>
      <c r="C161" s="139">
        <v>7028040</v>
      </c>
      <c r="D161" s="139"/>
      <c r="E161" s="139">
        <v>3282875</v>
      </c>
      <c r="F161" s="139">
        <v>0</v>
      </c>
      <c r="G161" s="139">
        <v>0</v>
      </c>
      <c r="H161" s="139">
        <v>0</v>
      </c>
      <c r="I161" s="139">
        <v>0</v>
      </c>
      <c r="J161" s="139">
        <v>0</v>
      </c>
      <c r="K161" s="139">
        <v>0</v>
      </c>
      <c r="L161" s="139">
        <v>0</v>
      </c>
      <c r="M161" s="139">
        <v>0</v>
      </c>
      <c r="N161" s="139">
        <v>0</v>
      </c>
      <c r="O161" s="139">
        <v>0</v>
      </c>
      <c r="P161" s="139">
        <v>0</v>
      </c>
      <c r="Q161" s="139">
        <v>0</v>
      </c>
      <c r="R161" s="139">
        <v>0</v>
      </c>
      <c r="S161" s="139">
        <v>0</v>
      </c>
      <c r="T161" s="139">
        <v>0</v>
      </c>
      <c r="U161" s="139">
        <v>0</v>
      </c>
      <c r="V161" s="139">
        <v>0</v>
      </c>
      <c r="W161" s="139">
        <v>0</v>
      </c>
      <c r="X161" s="139">
        <v>0</v>
      </c>
      <c r="Y161" s="139">
        <v>0</v>
      </c>
      <c r="Z161" s="139">
        <v>0</v>
      </c>
      <c r="AA161" s="139">
        <v>0</v>
      </c>
      <c r="AB161" s="139">
        <v>0</v>
      </c>
      <c r="AC161" s="139">
        <v>0</v>
      </c>
      <c r="AD161" s="139">
        <f>AE161</f>
        <v>1250192</v>
      </c>
      <c r="AE161" s="139">
        <v>1250192</v>
      </c>
      <c r="AF161" s="139">
        <v>33095.17</v>
      </c>
      <c r="AG161" s="139">
        <v>1283288</v>
      </c>
      <c r="AH161" s="139">
        <f>AD161+0</f>
        <v>1250192</v>
      </c>
      <c r="AI161" s="139">
        <f t="shared" ref="AI161:AK161" si="187">AE161+0</f>
        <v>1250192</v>
      </c>
      <c r="AJ161" s="139">
        <f t="shared" si="187"/>
        <v>33095.17</v>
      </c>
      <c r="AK161" s="139">
        <f t="shared" si="187"/>
        <v>1283288</v>
      </c>
      <c r="AL161" s="139">
        <f>AH161+0</f>
        <v>1250192</v>
      </c>
      <c r="AM161" s="139">
        <f t="shared" ref="AM161:AO161" si="188">AI161+0</f>
        <v>1250192</v>
      </c>
      <c r="AN161" s="139">
        <f t="shared" si="188"/>
        <v>33095.17</v>
      </c>
      <c r="AO161" s="139">
        <f t="shared" si="188"/>
        <v>1283288</v>
      </c>
      <c r="AP161" s="139">
        <f>AL161+0</f>
        <v>1250192</v>
      </c>
      <c r="AQ161" s="139">
        <f t="shared" ref="AQ161:AS161" si="189">AM161+0</f>
        <v>1250192</v>
      </c>
      <c r="AR161" s="139">
        <f t="shared" si="189"/>
        <v>33095.17</v>
      </c>
      <c r="AS161" s="139">
        <f t="shared" si="189"/>
        <v>1283288</v>
      </c>
      <c r="AT161" s="139">
        <f>AP161+0</f>
        <v>1250192</v>
      </c>
      <c r="AU161" s="139">
        <f t="shared" ref="AU161:AW161" si="190">AQ161+0</f>
        <v>1250192</v>
      </c>
      <c r="AV161" s="139">
        <f t="shared" si="190"/>
        <v>33095.17</v>
      </c>
      <c r="AW161" s="139">
        <f t="shared" si="190"/>
        <v>1283288</v>
      </c>
      <c r="AX161" s="139">
        <f>AY161</f>
        <v>3198214.35</v>
      </c>
      <c r="AY161" s="139">
        <f>AU161+1948022.35</f>
        <v>3198214.35</v>
      </c>
      <c r="AZ161" s="139">
        <f>AV161+51565.3</f>
        <v>84660.47</v>
      </c>
      <c r="BA161" s="139">
        <v>3282875</v>
      </c>
      <c r="BB161" s="90">
        <f>BC161</f>
        <v>2853131.7</v>
      </c>
      <c r="BC161" s="90">
        <v>2853131.7</v>
      </c>
      <c r="BD161" s="90">
        <v>75509.48</v>
      </c>
      <c r="BE161" s="90">
        <v>2928641</v>
      </c>
      <c r="BF161" s="90">
        <f>BG161</f>
        <v>0</v>
      </c>
      <c r="BG161" s="90">
        <v>0</v>
      </c>
      <c r="BH161" s="90">
        <v>0</v>
      </c>
      <c r="BI161" s="90">
        <v>0</v>
      </c>
      <c r="BJ161" s="90">
        <f>BK161</f>
        <v>0</v>
      </c>
      <c r="BK161" s="90">
        <v>0</v>
      </c>
      <c r="BL161" s="90">
        <v>0</v>
      </c>
      <c r="BM161" s="90">
        <v>0</v>
      </c>
      <c r="BN161" s="90" t="e">
        <f>#REF!+AX161+BB161+BF161+BJ161</f>
        <v>#REF!</v>
      </c>
      <c r="BO161" s="90">
        <f t="shared" si="166"/>
        <v>6051346.0500000007</v>
      </c>
      <c r="BP161" s="90">
        <f t="shared" si="166"/>
        <v>160169.95000000001</v>
      </c>
      <c r="BQ161" s="90">
        <f t="shared" si="156"/>
        <v>6211516.0000000009</v>
      </c>
      <c r="BR161" s="98"/>
      <c r="BS161" s="80"/>
    </row>
    <row r="162" spans="1:72" s="13" customFormat="1" ht="49.5" customHeight="1">
      <c r="A162" s="161" t="s">
        <v>138</v>
      </c>
      <c r="B162" s="161" t="s">
        <v>367</v>
      </c>
      <c r="C162" s="139">
        <v>8061738.8820839999</v>
      </c>
      <c r="D162" s="139"/>
      <c r="E162" s="139">
        <v>0</v>
      </c>
      <c r="F162" s="139">
        <v>0</v>
      </c>
      <c r="G162" s="139">
        <v>0</v>
      </c>
      <c r="H162" s="139">
        <v>0</v>
      </c>
      <c r="I162" s="139">
        <v>0</v>
      </c>
      <c r="J162" s="139">
        <v>0</v>
      </c>
      <c r="K162" s="139">
        <v>0</v>
      </c>
      <c r="L162" s="139">
        <v>0</v>
      </c>
      <c r="M162" s="139">
        <v>0</v>
      </c>
      <c r="N162" s="139">
        <f>O162</f>
        <v>187385.2</v>
      </c>
      <c r="O162" s="139">
        <f>407159*0.2+427516*0.2+102251*0.2</f>
        <v>187385.2</v>
      </c>
      <c r="P162" s="139">
        <f>10777*0.2+18861*0.2+3609*0.2</f>
        <v>6649.4000000000005</v>
      </c>
      <c r="Q162" s="139">
        <v>0</v>
      </c>
      <c r="R162" s="139">
        <f>N162</f>
        <v>187385.2</v>
      </c>
      <c r="S162" s="139">
        <f>O162</f>
        <v>187385.2</v>
      </c>
      <c r="T162" s="139">
        <f>P162</f>
        <v>6649.4000000000005</v>
      </c>
      <c r="U162" s="139"/>
      <c r="V162" s="139">
        <f>R162</f>
        <v>187385.2</v>
      </c>
      <c r="W162" s="139">
        <f>S162</f>
        <v>187385.2</v>
      </c>
      <c r="X162" s="139">
        <f>T162</f>
        <v>6649.4000000000005</v>
      </c>
      <c r="Y162" s="139">
        <v>0</v>
      </c>
      <c r="Z162" s="139">
        <f>AA162</f>
        <v>536908.00000000012</v>
      </c>
      <c r="AA162" s="139">
        <f>O162+530663*0.2+427516*0.2+427516*0.2+361919*0.2</f>
        <v>536908.00000000012</v>
      </c>
      <c r="AB162" s="139">
        <f>AA162*0.035+0.05</f>
        <v>18791.830000000005</v>
      </c>
      <c r="AC162" s="139">
        <v>0</v>
      </c>
      <c r="AD162" s="139">
        <f>AE162</f>
        <v>536908.00000000012</v>
      </c>
      <c r="AE162" s="139">
        <f>AA162</f>
        <v>536908.00000000012</v>
      </c>
      <c r="AF162" s="139">
        <f>AB162</f>
        <v>18791.830000000005</v>
      </c>
      <c r="AG162" s="139">
        <v>0</v>
      </c>
      <c r="AH162" s="139">
        <f>AI162</f>
        <v>536908.00000000012</v>
      </c>
      <c r="AI162" s="139">
        <f>AE162</f>
        <v>536908.00000000012</v>
      </c>
      <c r="AJ162" s="139">
        <f>AF162</f>
        <v>18791.830000000005</v>
      </c>
      <c r="AK162" s="139">
        <v>0</v>
      </c>
      <c r="AL162" s="139">
        <f>AM162</f>
        <v>786152.60000000009</v>
      </c>
      <c r="AM162" s="139">
        <f>AA162+407159*0.1+427516*0.1+102251*0.1+497638*0.2+280122*0.2</f>
        <v>786152.60000000009</v>
      </c>
      <c r="AN162" s="139">
        <f>AB162+10777*0.1+18861*0.1+3609*0.1+5133</f>
        <v>27249.530000000006</v>
      </c>
      <c r="AO162" s="139">
        <v>0</v>
      </c>
      <c r="AP162" s="139">
        <f>AQ162</f>
        <v>879845.20000000007</v>
      </c>
      <c r="AQ162" s="139">
        <f>AM162+407159*0.1+427516*0.1+102251*0.1</f>
        <v>879845.20000000007</v>
      </c>
      <c r="AR162" s="139">
        <f>AN162+10777*0.1+18861*0.1+3609*0.1</f>
        <v>30574.230000000007</v>
      </c>
      <c r="AS162" s="139">
        <v>0</v>
      </c>
      <c r="AT162" s="139">
        <f>AU162</f>
        <v>973537.8</v>
      </c>
      <c r="AU162" s="139">
        <f>AQ162+407159*0.1+427516*0.1+102251*0.1</f>
        <v>973537.8</v>
      </c>
      <c r="AV162" s="139">
        <f>AR162+10777*0.1+18861*0.1+3609*0.1</f>
        <v>33898.930000000008</v>
      </c>
      <c r="AW162" s="139">
        <v>0</v>
      </c>
      <c r="AX162" s="139">
        <f>AY162</f>
        <v>1616577.8500000006</v>
      </c>
      <c r="AY162" s="139">
        <f>AU162+407159*0.1+427516*0.1+102251*0.1+530663*0.1+427516*0.1+427516*0.1+361919*0.1+542878*0.2+452398*0.2+497638*0.2+380015*0.2+0.25</f>
        <v>1616577.8500000006</v>
      </c>
      <c r="AZ162" s="139">
        <f>AV162+10777*0.1+18861*0.1+3609*0.1+5767+13590</f>
        <v>56580.630000000005</v>
      </c>
      <c r="BA162" s="139">
        <v>0</v>
      </c>
      <c r="BB162" s="90">
        <f>BC162</f>
        <v>5156128.95</v>
      </c>
      <c r="BC162" s="90">
        <f>5156128.32+0.63</f>
        <v>5156128.95</v>
      </c>
      <c r="BD162" s="90">
        <f>BC162*0.035</f>
        <v>180464.51325000002</v>
      </c>
      <c r="BE162" s="90">
        <v>0</v>
      </c>
      <c r="BF162" s="90">
        <f>BG162</f>
        <v>1289032.0799999991</v>
      </c>
      <c r="BG162" s="90">
        <v>1289032.0799999991</v>
      </c>
      <c r="BH162" s="90">
        <f>BG162*0.035</f>
        <v>45116.122799999976</v>
      </c>
      <c r="BI162" s="90"/>
      <c r="BJ162" s="90"/>
      <c r="BK162" s="90"/>
      <c r="BL162" s="90"/>
      <c r="BM162" s="90"/>
      <c r="BN162" s="90" t="e">
        <f>#REF!+AX162+BB162+BF162+BJ162</f>
        <v>#REF!</v>
      </c>
      <c r="BO162" s="90">
        <f t="shared" si="166"/>
        <v>8061738.8799999999</v>
      </c>
      <c r="BP162" s="90">
        <f t="shared" si="166"/>
        <v>282161.26604999998</v>
      </c>
      <c r="BQ162" s="90">
        <f t="shared" si="156"/>
        <v>8343900.1460499996</v>
      </c>
      <c r="BR162" s="110"/>
      <c r="BS162" s="80"/>
    </row>
    <row r="163" spans="1:72" s="8" customFormat="1">
      <c r="A163" s="141"/>
      <c r="B163" s="142" t="s">
        <v>368</v>
      </c>
      <c r="C163" s="143">
        <f t="shared" ref="C163:BM163" si="191">SUM(C164:C168)</f>
        <v>145516627.32562801</v>
      </c>
      <c r="D163" s="143"/>
      <c r="E163" s="143">
        <f>SUM(E164:E168)</f>
        <v>32056252</v>
      </c>
      <c r="F163" s="143">
        <f t="shared" ref="F163:BA163" si="192">SUM(F164:F168)</f>
        <v>552130.5</v>
      </c>
      <c r="G163" s="143">
        <f t="shared" si="192"/>
        <v>670305.94748300826</v>
      </c>
      <c r="H163" s="143">
        <f t="shared" si="192"/>
        <v>52647.212516991785</v>
      </c>
      <c r="I163" s="143">
        <f t="shared" si="192"/>
        <v>722953.16</v>
      </c>
      <c r="J163" s="143">
        <f t="shared" si="192"/>
        <v>751124.13</v>
      </c>
      <c r="K163" s="143">
        <f t="shared" si="192"/>
        <v>974607.49624231213</v>
      </c>
      <c r="L163" s="143">
        <f t="shared" si="192"/>
        <v>84423.593757687908</v>
      </c>
      <c r="M163" s="143">
        <f t="shared" si="192"/>
        <v>1059031.0900000001</v>
      </c>
      <c r="N163" s="143">
        <f t="shared" si="192"/>
        <v>2281742.0300000003</v>
      </c>
      <c r="O163" s="143">
        <f t="shared" si="192"/>
        <v>1737783.8476085227</v>
      </c>
      <c r="P163" s="143">
        <f t="shared" si="192"/>
        <v>131098.11239147728</v>
      </c>
      <c r="Q163" s="143">
        <f t="shared" si="192"/>
        <v>1868881.96</v>
      </c>
      <c r="R163" s="143">
        <f t="shared" si="192"/>
        <v>4797342.59</v>
      </c>
      <c r="S163" s="143">
        <f t="shared" si="192"/>
        <v>4577498.4736075914</v>
      </c>
      <c r="T163" s="143">
        <f t="shared" si="192"/>
        <v>265818.06639240868</v>
      </c>
      <c r="U163" s="143">
        <f t="shared" si="192"/>
        <v>4843316.54</v>
      </c>
      <c r="V163" s="143">
        <f t="shared" si="192"/>
        <v>6235988.8200000003</v>
      </c>
      <c r="W163" s="143">
        <f t="shared" si="192"/>
        <v>6258800.6296066605</v>
      </c>
      <c r="X163" s="143">
        <f t="shared" si="192"/>
        <v>420471.67039334006</v>
      </c>
      <c r="Y163" s="143">
        <f t="shared" si="192"/>
        <v>6679272.3000000007</v>
      </c>
      <c r="Z163" s="143">
        <f t="shared" si="192"/>
        <v>7328936.5099999998</v>
      </c>
      <c r="AA163" s="143">
        <f t="shared" si="192"/>
        <v>7474200.8780988194</v>
      </c>
      <c r="AB163" s="143">
        <f t="shared" si="192"/>
        <v>520633.43190118094</v>
      </c>
      <c r="AC163" s="143">
        <f t="shared" si="192"/>
        <v>7994834.3100000005</v>
      </c>
      <c r="AD163" s="143">
        <f t="shared" si="192"/>
        <v>8038516.6099999994</v>
      </c>
      <c r="AE163" s="143">
        <f t="shared" si="192"/>
        <v>8601883.1989242323</v>
      </c>
      <c r="AF163" s="143">
        <f t="shared" si="192"/>
        <v>581267.97107576695</v>
      </c>
      <c r="AG163" s="143">
        <f t="shared" si="192"/>
        <v>9183151.1699999999</v>
      </c>
      <c r="AH163" s="143">
        <f t="shared" si="192"/>
        <v>11160376.660000002</v>
      </c>
      <c r="AI163" s="143">
        <f t="shared" si="192"/>
        <v>12016908.639749646</v>
      </c>
      <c r="AJ163" s="143">
        <f t="shared" si="192"/>
        <v>906258.05025035306</v>
      </c>
      <c r="AK163" s="143">
        <f t="shared" si="192"/>
        <v>12923166.690000001</v>
      </c>
      <c r="AL163" s="143">
        <f t="shared" si="192"/>
        <v>13240401.150000002</v>
      </c>
      <c r="AM163" s="143">
        <f t="shared" si="192"/>
        <v>15143645.46440383</v>
      </c>
      <c r="AN163" s="143">
        <f t="shared" si="192"/>
        <v>1113209.27559617</v>
      </c>
      <c r="AO163" s="143">
        <f t="shared" si="192"/>
        <v>16256854.74</v>
      </c>
      <c r="AP163" s="143">
        <f t="shared" si="192"/>
        <v>17283975.82</v>
      </c>
      <c r="AQ163" s="143">
        <f t="shared" si="192"/>
        <v>19944267.948811587</v>
      </c>
      <c r="AR163" s="143">
        <f t="shared" si="192"/>
        <v>1510916.4011884138</v>
      </c>
      <c r="AS163" s="143">
        <f t="shared" si="192"/>
        <v>21455184.350000001</v>
      </c>
      <c r="AT163" s="143">
        <f t="shared" si="192"/>
        <v>18573365.140000001</v>
      </c>
      <c r="AU163" s="143">
        <f t="shared" si="192"/>
        <v>21805465.842748038</v>
      </c>
      <c r="AV163" s="143">
        <f t="shared" si="192"/>
        <v>1636559.5372519637</v>
      </c>
      <c r="AW163" s="143">
        <f t="shared" si="192"/>
        <v>23442025.379999999</v>
      </c>
      <c r="AX163" s="143">
        <f t="shared" si="192"/>
        <v>20453355.530000001</v>
      </c>
      <c r="AY163" s="143">
        <f t="shared" si="192"/>
        <v>22980607.199709315</v>
      </c>
      <c r="AZ163" s="143">
        <f t="shared" si="192"/>
        <v>1726974.8702906868</v>
      </c>
      <c r="BA163" s="143">
        <f t="shared" si="192"/>
        <v>32056252</v>
      </c>
      <c r="BB163" s="93">
        <f t="shared" si="191"/>
        <v>26348601.57</v>
      </c>
      <c r="BC163" s="93">
        <f t="shared" si="191"/>
        <v>21793999.530290686</v>
      </c>
      <c r="BD163" s="93">
        <f t="shared" si="191"/>
        <v>1078636.3197093131</v>
      </c>
      <c r="BE163" s="93">
        <f t="shared" si="191"/>
        <v>26915025.18</v>
      </c>
      <c r="BF163" s="93">
        <f t="shared" si="191"/>
        <v>21081095.289999999</v>
      </c>
      <c r="BG163" s="93">
        <f t="shared" si="191"/>
        <v>21081095.289999999</v>
      </c>
      <c r="BH163" s="93">
        <f t="shared" si="191"/>
        <v>775011.12</v>
      </c>
      <c r="BI163" s="93">
        <f t="shared" si="191"/>
        <v>15343701</v>
      </c>
      <c r="BJ163" s="93">
        <f t="shared" si="191"/>
        <v>9608119.5099999998</v>
      </c>
      <c r="BK163" s="93">
        <f t="shared" si="191"/>
        <v>9608119.5099999998</v>
      </c>
      <c r="BL163" s="93">
        <f t="shared" si="191"/>
        <v>391880.49</v>
      </c>
      <c r="BM163" s="93">
        <f t="shared" si="191"/>
        <v>0</v>
      </c>
      <c r="BN163" s="93" t="e">
        <f>#REF!+AX163+BB163+BF163+BJ163</f>
        <v>#REF!</v>
      </c>
      <c r="BO163" s="93">
        <f t="shared" si="166"/>
        <v>75463821.530000001</v>
      </c>
      <c r="BP163" s="93">
        <f t="shared" si="166"/>
        <v>3972502.8</v>
      </c>
      <c r="BQ163" s="93">
        <f t="shared" si="156"/>
        <v>79436324.329999998</v>
      </c>
      <c r="BR163" s="111"/>
      <c r="BS163" s="80"/>
    </row>
    <row r="164" spans="1:72" s="13" customFormat="1" ht="48" customHeight="1">
      <c r="A164" s="160" t="s">
        <v>109</v>
      </c>
      <c r="B164" s="138" t="s">
        <v>372</v>
      </c>
      <c r="C164" s="139">
        <v>3552899.820084</v>
      </c>
      <c r="D164" s="139"/>
      <c r="E164" s="139">
        <v>1112347</v>
      </c>
      <c r="F164" s="139">
        <v>53576.18</v>
      </c>
      <c r="G164" s="139">
        <v>53576.18</v>
      </c>
      <c r="H164" s="139">
        <v>0</v>
      </c>
      <c r="I164" s="139">
        <f>G164+H164</f>
        <v>53576.18</v>
      </c>
      <c r="J164" s="139">
        <v>68828.58</v>
      </c>
      <c r="K164" s="139">
        <v>68828.58</v>
      </c>
      <c r="L164" s="139">
        <v>0</v>
      </c>
      <c r="M164" s="139">
        <f>K164+L164</f>
        <v>68828.58</v>
      </c>
      <c r="N164" s="139">
        <v>85096.73</v>
      </c>
      <c r="O164" s="139">
        <v>85096.73</v>
      </c>
      <c r="P164" s="139">
        <v>0</v>
      </c>
      <c r="Q164" s="139">
        <f>O164+P164</f>
        <v>85096.73</v>
      </c>
      <c r="R164" s="139">
        <v>97951.28</v>
      </c>
      <c r="S164" s="139">
        <v>97951.28</v>
      </c>
      <c r="T164" s="139">
        <v>0</v>
      </c>
      <c r="U164" s="139">
        <f>S164+T164</f>
        <v>97951.28</v>
      </c>
      <c r="V164" s="139">
        <v>118561.23</v>
      </c>
      <c r="W164" s="139">
        <v>118561.23</v>
      </c>
      <c r="X164" s="139">
        <v>0</v>
      </c>
      <c r="Y164" s="139">
        <f>W164+X164</f>
        <v>118561.23</v>
      </c>
      <c r="Z164" s="139">
        <v>144376.57999999999</v>
      </c>
      <c r="AA164" s="139">
        <v>144376.57999999999</v>
      </c>
      <c r="AB164" s="139">
        <v>0</v>
      </c>
      <c r="AC164" s="139">
        <f>AA164+AB164</f>
        <v>144376.57999999999</v>
      </c>
      <c r="AD164" s="139">
        <v>183896.47999999998</v>
      </c>
      <c r="AE164" s="139">
        <v>183896.47999999998</v>
      </c>
      <c r="AF164" s="139">
        <v>0</v>
      </c>
      <c r="AG164" s="139">
        <f>AE164+AF164</f>
        <v>183896.47999999998</v>
      </c>
      <c r="AH164" s="139">
        <v>227771.77999999997</v>
      </c>
      <c r="AI164" s="139">
        <v>227771.77999999997</v>
      </c>
      <c r="AJ164" s="139">
        <v>0</v>
      </c>
      <c r="AK164" s="139">
        <f>AI164+AJ164</f>
        <v>227771.77999999997</v>
      </c>
      <c r="AL164" s="139">
        <v>282697.07999999996</v>
      </c>
      <c r="AM164" s="139">
        <v>282697.07999999996</v>
      </c>
      <c r="AN164" s="139">
        <v>0</v>
      </c>
      <c r="AO164" s="139">
        <f>AM164+AN164</f>
        <v>282697.07999999996</v>
      </c>
      <c r="AP164" s="139">
        <v>359161.57999999996</v>
      </c>
      <c r="AQ164" s="139">
        <v>359161.57999999996</v>
      </c>
      <c r="AR164" s="139">
        <v>0</v>
      </c>
      <c r="AS164" s="139">
        <f>AQ164+AR164</f>
        <v>359161.57999999996</v>
      </c>
      <c r="AT164" s="139">
        <v>565289.87999999989</v>
      </c>
      <c r="AU164" s="139">
        <v>565289.87999999989</v>
      </c>
      <c r="AV164" s="139">
        <v>0</v>
      </c>
      <c r="AW164" s="139">
        <f>AU164+AV164</f>
        <v>565289.87999999989</v>
      </c>
      <c r="AX164" s="139">
        <v>850252.17999999993</v>
      </c>
      <c r="AY164" s="139">
        <v>850252.17999999993</v>
      </c>
      <c r="AZ164" s="139">
        <v>0</v>
      </c>
      <c r="BA164" s="139">
        <f>E164</f>
        <v>1112347</v>
      </c>
      <c r="BB164" s="90">
        <v>1496373.46</v>
      </c>
      <c r="BC164" s="90">
        <v>1496373.46</v>
      </c>
      <c r="BD164" s="90">
        <v>0</v>
      </c>
      <c r="BE164" s="90">
        <v>1417708</v>
      </c>
      <c r="BF164" s="90">
        <v>1149196.32</v>
      </c>
      <c r="BG164" s="90">
        <v>1149196.32</v>
      </c>
      <c r="BH164" s="90">
        <v>0</v>
      </c>
      <c r="BI164" s="90">
        <v>945139</v>
      </c>
      <c r="BJ164" s="90">
        <f>BK164</f>
        <v>0</v>
      </c>
      <c r="BK164" s="90">
        <v>0</v>
      </c>
      <c r="BL164" s="90">
        <v>0</v>
      </c>
      <c r="BM164" s="90">
        <v>0</v>
      </c>
      <c r="BN164" s="90" t="e">
        <f>#REF!+AX164+BB164+BF164+BJ164</f>
        <v>#REF!</v>
      </c>
      <c r="BO164" s="90">
        <f t="shared" si="166"/>
        <v>3495821.96</v>
      </c>
      <c r="BP164" s="90">
        <f t="shared" si="166"/>
        <v>0</v>
      </c>
      <c r="BQ164" s="90">
        <f t="shared" si="156"/>
        <v>3495821.96</v>
      </c>
      <c r="BR164" s="92"/>
      <c r="BS164" s="80"/>
    </row>
    <row r="165" spans="1:72" s="13" customFormat="1" ht="48" customHeight="1">
      <c r="A165" s="160" t="s">
        <v>110</v>
      </c>
      <c r="B165" s="138" t="s">
        <v>371</v>
      </c>
      <c r="C165" s="139">
        <v>4104801.962028</v>
      </c>
      <c r="D165" s="139"/>
      <c r="E165" s="139">
        <v>727364</v>
      </c>
      <c r="F165" s="139">
        <v>34116.69</v>
      </c>
      <c r="G165" s="139">
        <v>34116.69</v>
      </c>
      <c r="H165" s="139">
        <v>0</v>
      </c>
      <c r="I165" s="139">
        <f t="shared" ref="I165:I168" si="193">G165+H165</f>
        <v>34116.69</v>
      </c>
      <c r="J165" s="139">
        <v>63579.92</v>
      </c>
      <c r="K165" s="139">
        <v>63579.92</v>
      </c>
      <c r="L165" s="139">
        <v>0</v>
      </c>
      <c r="M165" s="139">
        <f>K165</f>
        <v>63579.92</v>
      </c>
      <c r="N165" s="139">
        <v>181581.66999999998</v>
      </c>
      <c r="O165" s="139">
        <v>181581.66999999998</v>
      </c>
      <c r="P165" s="139">
        <v>0</v>
      </c>
      <c r="Q165" s="139">
        <f>O165</f>
        <v>181581.66999999998</v>
      </c>
      <c r="R165" s="139">
        <v>499810.23</v>
      </c>
      <c r="S165" s="139">
        <v>499810.23</v>
      </c>
      <c r="T165" s="139">
        <v>0</v>
      </c>
      <c r="U165" s="139">
        <f>S165</f>
        <v>499810.23</v>
      </c>
      <c r="V165" s="139">
        <v>534693.04</v>
      </c>
      <c r="W165" s="139">
        <v>534693.04</v>
      </c>
      <c r="X165" s="139">
        <v>0</v>
      </c>
      <c r="Y165" s="139">
        <f>W165</f>
        <v>534693.04</v>
      </c>
      <c r="Z165" s="139">
        <v>582476.35000000009</v>
      </c>
      <c r="AA165" s="139">
        <v>582476.35000000009</v>
      </c>
      <c r="AB165" s="139">
        <v>0</v>
      </c>
      <c r="AC165" s="139">
        <f>AA165</f>
        <v>582476.35000000009</v>
      </c>
      <c r="AD165" s="139">
        <v>612061.17000000004</v>
      </c>
      <c r="AE165" s="139">
        <v>612061.17000000004</v>
      </c>
      <c r="AF165" s="139">
        <v>0</v>
      </c>
      <c r="AG165" s="139">
        <f>AE165</f>
        <v>612061.17000000004</v>
      </c>
      <c r="AH165" s="139">
        <v>612061.17000000004</v>
      </c>
      <c r="AI165" s="139">
        <v>612061.17000000004</v>
      </c>
      <c r="AJ165" s="139">
        <v>0</v>
      </c>
      <c r="AK165" s="139">
        <f>AI165</f>
        <v>612061.17000000004</v>
      </c>
      <c r="AL165" s="139">
        <v>634248.07000000007</v>
      </c>
      <c r="AM165" s="139">
        <v>634248.07000000007</v>
      </c>
      <c r="AN165" s="139">
        <v>0</v>
      </c>
      <c r="AO165" s="139">
        <f>AM165</f>
        <v>634248.07000000007</v>
      </c>
      <c r="AP165" s="139">
        <v>634248.07000000007</v>
      </c>
      <c r="AQ165" s="139">
        <v>634248.07000000007</v>
      </c>
      <c r="AR165" s="139">
        <v>0</v>
      </c>
      <c r="AS165" s="139">
        <f>AQ165</f>
        <v>634248.07000000007</v>
      </c>
      <c r="AT165" s="139">
        <v>634248.07000000007</v>
      </c>
      <c r="AU165" s="139">
        <v>634248.07000000007</v>
      </c>
      <c r="AV165" s="139">
        <v>0</v>
      </c>
      <c r="AW165" s="139">
        <f>AU165</f>
        <v>634248.07000000007</v>
      </c>
      <c r="AX165" s="139">
        <v>634248.07000000007</v>
      </c>
      <c r="AY165" s="139">
        <v>634248.07000000007</v>
      </c>
      <c r="AZ165" s="139">
        <v>0</v>
      </c>
      <c r="BA165" s="139">
        <f>E165</f>
        <v>727364</v>
      </c>
      <c r="BB165" s="90">
        <v>203236.33</v>
      </c>
      <c r="BC165" s="90">
        <v>203236.33</v>
      </c>
      <c r="BD165" s="90">
        <v>0</v>
      </c>
      <c r="BE165" s="90">
        <v>152857</v>
      </c>
      <c r="BF165" s="90">
        <v>0</v>
      </c>
      <c r="BG165" s="90">
        <v>0</v>
      </c>
      <c r="BH165" s="90">
        <v>0</v>
      </c>
      <c r="BI165" s="90">
        <v>0</v>
      </c>
      <c r="BJ165" s="90">
        <v>0</v>
      </c>
      <c r="BK165" s="90">
        <v>0</v>
      </c>
      <c r="BL165" s="90">
        <v>0</v>
      </c>
      <c r="BM165" s="90">
        <v>0</v>
      </c>
      <c r="BN165" s="90" t="e">
        <f>#REF!+AX165+BB165+BF165+BJ165</f>
        <v>#REF!</v>
      </c>
      <c r="BO165" s="90">
        <f t="shared" si="166"/>
        <v>837484.4</v>
      </c>
      <c r="BP165" s="90">
        <f t="shared" si="166"/>
        <v>0</v>
      </c>
      <c r="BQ165" s="90">
        <f t="shared" si="156"/>
        <v>837484.4</v>
      </c>
      <c r="BR165" s="92"/>
      <c r="BS165" s="80"/>
    </row>
    <row r="166" spans="1:72" s="13" customFormat="1" ht="51.75" customHeight="1">
      <c r="A166" s="160" t="s">
        <v>111</v>
      </c>
      <c r="B166" s="138" t="s">
        <v>366</v>
      </c>
      <c r="C166" s="139">
        <v>9526644.5639759991</v>
      </c>
      <c r="D166" s="139"/>
      <c r="E166" s="139">
        <v>5758790</v>
      </c>
      <c r="F166" s="139">
        <v>0</v>
      </c>
      <c r="G166" s="139">
        <v>2419.8974830082152</v>
      </c>
      <c r="H166" s="139">
        <v>219.10251699178514</v>
      </c>
      <c r="I166" s="139">
        <f t="shared" si="193"/>
        <v>2639.0000000000005</v>
      </c>
      <c r="J166" s="139">
        <v>0</v>
      </c>
      <c r="K166" s="139">
        <v>95062.81624231211</v>
      </c>
      <c r="L166" s="139">
        <v>8607.1837576878988</v>
      </c>
      <c r="M166" s="139">
        <f>K166+L166</f>
        <v>103670.00000000001</v>
      </c>
      <c r="N166" s="139">
        <v>992482.17</v>
      </c>
      <c r="O166" s="139">
        <v>301998.43760852277</v>
      </c>
      <c r="P166" s="139">
        <v>27343.562391477266</v>
      </c>
      <c r="Q166" s="139">
        <f>O166+P166</f>
        <v>329342.00000000006</v>
      </c>
      <c r="R166" s="139">
        <v>992482.17</v>
      </c>
      <c r="S166" s="139">
        <v>583077.00360759138</v>
      </c>
      <c r="T166" s="139">
        <v>52792.996392408648</v>
      </c>
      <c r="U166" s="139">
        <f>S166+T166</f>
        <v>635870</v>
      </c>
      <c r="V166" s="139">
        <v>992482.17</v>
      </c>
      <c r="W166" s="139">
        <v>864155.56960666005</v>
      </c>
      <c r="X166" s="139">
        <v>78242.430393340037</v>
      </c>
      <c r="Y166" s="139">
        <f>W166+X166</f>
        <v>942398.00000000012</v>
      </c>
      <c r="Z166" s="139">
        <v>1227635.6200000001</v>
      </c>
      <c r="AA166" s="139">
        <v>1166860.0780988191</v>
      </c>
      <c r="AB166" s="139">
        <v>105649.92190118095</v>
      </c>
      <c r="AC166" s="139">
        <f>AA166+AB166</f>
        <v>1272510</v>
      </c>
      <c r="AD166" s="139">
        <v>1227635.6200000001</v>
      </c>
      <c r="AE166" s="139">
        <v>1534595.5489242331</v>
      </c>
      <c r="AF166" s="139">
        <v>138945.45107576699</v>
      </c>
      <c r="AG166" s="139">
        <f>AE166+AF166</f>
        <v>1673541</v>
      </c>
      <c r="AH166" s="139">
        <v>1227635.6200000001</v>
      </c>
      <c r="AI166" s="139">
        <v>1902331.019749647</v>
      </c>
      <c r="AJ166" s="139">
        <v>172240.98025035305</v>
      </c>
      <c r="AK166" s="139">
        <f>AI166+AJ166</f>
        <v>2074572</v>
      </c>
      <c r="AL166" s="139">
        <v>1906506.6700000002</v>
      </c>
      <c r="AM166" s="139">
        <v>3460464.4044038299</v>
      </c>
      <c r="AN166" s="139">
        <v>313317.59559617011</v>
      </c>
      <c r="AO166" s="139">
        <f>AM166+AN166</f>
        <v>3773782</v>
      </c>
      <c r="AP166" s="139">
        <v>1906506.6700000002</v>
      </c>
      <c r="AQ166" s="139">
        <v>4060317.4688115865</v>
      </c>
      <c r="AR166" s="139">
        <v>367629.53118841379</v>
      </c>
      <c r="AS166" s="139">
        <f>AQ166+AR166</f>
        <v>4427947</v>
      </c>
      <c r="AT166" s="139">
        <v>1906506.6700000002</v>
      </c>
      <c r="AU166" s="139">
        <v>4670492.9227480367</v>
      </c>
      <c r="AV166" s="139">
        <v>422876.07725196349</v>
      </c>
      <c r="AW166" s="139">
        <f>AU166+AV166</f>
        <v>5093369</v>
      </c>
      <c r="AX166" s="139">
        <v>3369298.49</v>
      </c>
      <c r="AY166" s="139">
        <v>5280667.4597093137</v>
      </c>
      <c r="AZ166" s="139">
        <v>478122.54029068677</v>
      </c>
      <c r="BA166" s="139">
        <f>AY166+AZ166</f>
        <v>5758790</v>
      </c>
      <c r="BB166" s="90">
        <v>3688001.17</v>
      </c>
      <c r="BC166" s="90">
        <v>880421.0402906863</v>
      </c>
      <c r="BD166" s="90">
        <v>79715.139709313167</v>
      </c>
      <c r="BE166" s="90">
        <f>BC166+BD166</f>
        <v>960136.17999999947</v>
      </c>
      <c r="BF166" s="90">
        <v>0</v>
      </c>
      <c r="BG166" s="90">
        <v>0</v>
      </c>
      <c r="BH166" s="90">
        <v>0</v>
      </c>
      <c r="BI166" s="90">
        <v>0</v>
      </c>
      <c r="BJ166" s="90">
        <v>0</v>
      </c>
      <c r="BK166" s="90">
        <v>0</v>
      </c>
      <c r="BL166" s="90">
        <v>0</v>
      </c>
      <c r="BM166" s="90">
        <v>0</v>
      </c>
      <c r="BN166" s="90" t="e">
        <f>#REF!+AX166+BB166+BF166+BJ166</f>
        <v>#REF!</v>
      </c>
      <c r="BO166" s="90">
        <f t="shared" si="166"/>
        <v>6161088.5</v>
      </c>
      <c r="BP166" s="90">
        <f t="shared" si="166"/>
        <v>557837.67999999993</v>
      </c>
      <c r="BQ166" s="90">
        <f>BO166+BP166</f>
        <v>6718926.1799999997</v>
      </c>
      <c r="BR166" s="112"/>
      <c r="BS166" s="80"/>
    </row>
    <row r="167" spans="1:72" s="13" customFormat="1" ht="53.25" customHeight="1">
      <c r="A167" s="160" t="s">
        <v>112</v>
      </c>
      <c r="B167" s="138" t="s">
        <v>365</v>
      </c>
      <c r="C167" s="139">
        <v>120075088.088232</v>
      </c>
      <c r="D167" s="139"/>
      <c r="E167" s="139">
        <f>23267632+1190119</f>
        <v>24457751</v>
      </c>
      <c r="F167" s="139">
        <v>464437.63</v>
      </c>
      <c r="G167" s="139">
        <f>464437.63+115755.55</f>
        <v>580193.18000000005</v>
      </c>
      <c r="H167" s="139">
        <f>32000.66+20427.45</f>
        <v>52428.11</v>
      </c>
      <c r="I167" s="139">
        <f t="shared" si="193"/>
        <v>632621.29</v>
      </c>
      <c r="J167" s="139">
        <v>618715.63</v>
      </c>
      <c r="K167" s="139">
        <f>618715.63+128420.55</f>
        <v>747136.18</v>
      </c>
      <c r="L167" s="139">
        <f>53153.96+22662.45</f>
        <v>75816.41</v>
      </c>
      <c r="M167" s="139">
        <f>K167+L167</f>
        <v>822952.59000000008</v>
      </c>
      <c r="N167" s="139">
        <v>1022581.46</v>
      </c>
      <c r="O167" s="139">
        <f>1022581.46+146525.55</f>
        <v>1169107.01</v>
      </c>
      <c r="P167" s="139">
        <f>77897.1+25857.45</f>
        <v>103754.55</v>
      </c>
      <c r="Q167" s="139">
        <f>O167+P167</f>
        <v>1272861.56</v>
      </c>
      <c r="R167" s="139">
        <v>3207098.91</v>
      </c>
      <c r="S167" s="139">
        <f>3207098.91+189561.05</f>
        <v>3396659.96</v>
      </c>
      <c r="T167" s="139">
        <f>179573.12+33451.95</f>
        <v>213025.07</v>
      </c>
      <c r="U167" s="139">
        <f>S167+T167</f>
        <v>3609685.03</v>
      </c>
      <c r="V167" s="139">
        <v>4590252.38</v>
      </c>
      <c r="W167" s="139">
        <f>4487684.49+253706.3</f>
        <v>4741390.79</v>
      </c>
      <c r="X167" s="139">
        <f>297457.54+44771.7</f>
        <v>342229.24</v>
      </c>
      <c r="Y167" s="139">
        <f>W167+X167</f>
        <v>5083620.03</v>
      </c>
      <c r="Z167" s="139">
        <v>5374447.96</v>
      </c>
      <c r="AA167" s="139">
        <f>5271880.07+308607.8</f>
        <v>5580487.8700000001</v>
      </c>
      <c r="AB167" s="139">
        <f>360523.31+54460.2</f>
        <v>414983.51</v>
      </c>
      <c r="AC167" s="139">
        <f>AA167+AB167</f>
        <v>5995471.3799999999</v>
      </c>
      <c r="AD167" s="139">
        <v>6014923.3399999999</v>
      </c>
      <c r="AE167" s="139">
        <f>5912355.45+358974.55</f>
        <v>6271330</v>
      </c>
      <c r="AF167" s="139">
        <f>378974.07+63348.45</f>
        <v>442322.52</v>
      </c>
      <c r="AG167" s="139">
        <f>AE167+AF167</f>
        <v>6713652.5199999996</v>
      </c>
      <c r="AH167" s="139">
        <v>9092908.0900000017</v>
      </c>
      <c r="AI167" s="139">
        <f>8876882.62+397862.05</f>
        <v>9274744.6699999999</v>
      </c>
      <c r="AJ167" s="139">
        <f>663806.12+70210.95</f>
        <v>734017.07</v>
      </c>
      <c r="AK167" s="139">
        <f>AI167+AJ167</f>
        <v>10008761.74</v>
      </c>
      <c r="AL167" s="139">
        <v>10416949.330000002</v>
      </c>
      <c r="AM167" s="139">
        <f>10200923.86+565312.05</f>
        <v>10766235.91</v>
      </c>
      <c r="AN167" s="139">
        <f>700130.73+99760.95</f>
        <v>799891.67999999993</v>
      </c>
      <c r="AO167" s="139">
        <f>AM167+AN167</f>
        <v>11566127.59</v>
      </c>
      <c r="AP167" s="139">
        <v>14384059.500000002</v>
      </c>
      <c r="AQ167" s="139">
        <f>14168034.03+722506.8</f>
        <v>14890540.83</v>
      </c>
      <c r="AR167" s="139">
        <f>1015785.67+127501.2</f>
        <v>1143286.8700000001</v>
      </c>
      <c r="AS167" s="139">
        <f>AQ167+AR167</f>
        <v>16033827.699999999</v>
      </c>
      <c r="AT167" s="139">
        <v>15467320.520000001</v>
      </c>
      <c r="AU167" s="139">
        <f>15071602.07+863832.9</f>
        <v>15935434.970000001</v>
      </c>
      <c r="AV167" s="139">
        <f>1061242.36+152441.1</f>
        <v>1213683.4600000002</v>
      </c>
      <c r="AW167" s="139">
        <f>AU167+AV167</f>
        <v>17149118.43</v>
      </c>
      <c r="AX167" s="139">
        <v>15599556.790000001</v>
      </c>
      <c r="AY167" s="139">
        <f>15203838.34+1011601.15</f>
        <v>16215439.49</v>
      </c>
      <c r="AZ167" s="139">
        <f>1070334.48+178517.85</f>
        <v>1248852.33</v>
      </c>
      <c r="BA167" s="139">
        <f>E167</f>
        <v>24457751</v>
      </c>
      <c r="BB167" s="90">
        <f>BC167+1747021.91</f>
        <v>20960990.609999999</v>
      </c>
      <c r="BC167" s="90">
        <f>19213968.95+1130714.2-1130714.45</f>
        <v>19213968.699999999</v>
      </c>
      <c r="BD167" s="90">
        <f>799383.38+199537.8</f>
        <v>998921.17999999993</v>
      </c>
      <c r="BE167" s="90">
        <f>23054072+1330252</f>
        <v>24384324</v>
      </c>
      <c r="BF167" s="90">
        <f>BG167</f>
        <v>19931898.969999999</v>
      </c>
      <c r="BG167" s="90">
        <v>19931898.969999999</v>
      </c>
      <c r="BH167" s="90">
        <v>775011.12</v>
      </c>
      <c r="BI167" s="90">
        <v>14398562</v>
      </c>
      <c r="BJ167" s="90">
        <f>BK167</f>
        <v>9608119.5099999998</v>
      </c>
      <c r="BK167" s="90">
        <v>9608119.5099999998</v>
      </c>
      <c r="BL167" s="90">
        <v>391880.49</v>
      </c>
      <c r="BM167" s="90">
        <v>0</v>
      </c>
      <c r="BN167" s="90" t="e">
        <f>#REF!+AX167+BB167+BF167+BJ167</f>
        <v>#REF!</v>
      </c>
      <c r="BO167" s="90">
        <f>AY167+BC167+BG167+BK167</f>
        <v>64969426.669999994</v>
      </c>
      <c r="BP167" s="90">
        <f t="shared" ref="BP167:BP202" si="194">AZ167+BD167+BH167+BL167</f>
        <v>3414665.12</v>
      </c>
      <c r="BQ167" s="90">
        <f t="shared" si="156"/>
        <v>68384091.789999992</v>
      </c>
      <c r="BR167" s="112"/>
      <c r="BS167" s="80"/>
    </row>
    <row r="168" spans="1:72" s="13" customFormat="1" ht="72.75" customHeight="1">
      <c r="A168" s="160" t="s">
        <v>113</v>
      </c>
      <c r="B168" s="138" t="s">
        <v>364</v>
      </c>
      <c r="C168" s="139">
        <v>8257192.8913079994</v>
      </c>
      <c r="D168" s="139"/>
      <c r="E168" s="139">
        <v>0</v>
      </c>
      <c r="F168" s="139">
        <v>0</v>
      </c>
      <c r="G168" s="139">
        <v>0</v>
      </c>
      <c r="H168" s="139">
        <v>0</v>
      </c>
      <c r="I168" s="139">
        <f t="shared" si="193"/>
        <v>0</v>
      </c>
      <c r="J168" s="139">
        <v>0</v>
      </c>
      <c r="K168" s="139">
        <v>0</v>
      </c>
      <c r="L168" s="139">
        <v>0</v>
      </c>
      <c r="M168" s="139">
        <v>0</v>
      </c>
      <c r="N168" s="139">
        <v>0</v>
      </c>
      <c r="O168" s="139">
        <v>0</v>
      </c>
      <c r="P168" s="139">
        <v>0</v>
      </c>
      <c r="Q168" s="139">
        <v>0</v>
      </c>
      <c r="R168" s="139">
        <v>0</v>
      </c>
      <c r="S168" s="139">
        <v>0</v>
      </c>
      <c r="T168" s="139">
        <v>0</v>
      </c>
      <c r="U168" s="139">
        <v>0</v>
      </c>
      <c r="V168" s="139">
        <v>0</v>
      </c>
      <c r="W168" s="139">
        <v>0</v>
      </c>
      <c r="X168" s="139">
        <v>0</v>
      </c>
      <c r="Y168" s="139">
        <v>0</v>
      </c>
      <c r="Z168" s="139">
        <v>0</v>
      </c>
      <c r="AA168" s="139">
        <v>0</v>
      </c>
      <c r="AB168" s="139">
        <v>0</v>
      </c>
      <c r="AC168" s="139">
        <v>0</v>
      </c>
      <c r="AD168" s="139">
        <v>0</v>
      </c>
      <c r="AE168" s="139">
        <v>0</v>
      </c>
      <c r="AF168" s="139">
        <v>0</v>
      </c>
      <c r="AG168" s="139">
        <v>0</v>
      </c>
      <c r="AH168" s="139">
        <v>0</v>
      </c>
      <c r="AI168" s="139">
        <v>0</v>
      </c>
      <c r="AJ168" s="139">
        <v>0</v>
      </c>
      <c r="AK168" s="139">
        <v>0</v>
      </c>
      <c r="AL168" s="139">
        <v>0</v>
      </c>
      <c r="AM168" s="139">
        <v>0</v>
      </c>
      <c r="AN168" s="139">
        <v>0</v>
      </c>
      <c r="AO168" s="139">
        <v>0</v>
      </c>
      <c r="AP168" s="139">
        <v>0</v>
      </c>
      <c r="AQ168" s="139">
        <v>0</v>
      </c>
      <c r="AR168" s="139">
        <v>0</v>
      </c>
      <c r="AS168" s="139">
        <v>0</v>
      </c>
      <c r="AT168" s="139">
        <v>0</v>
      </c>
      <c r="AU168" s="139">
        <v>0</v>
      </c>
      <c r="AV168" s="139">
        <v>0</v>
      </c>
      <c r="AW168" s="139">
        <v>0</v>
      </c>
      <c r="AX168" s="139">
        <v>0</v>
      </c>
      <c r="AY168" s="139">
        <v>0</v>
      </c>
      <c r="AZ168" s="139">
        <v>0</v>
      </c>
      <c r="BA168" s="139">
        <v>0</v>
      </c>
      <c r="BB168" s="90">
        <v>0</v>
      </c>
      <c r="BC168" s="90">
        <v>0</v>
      </c>
      <c r="BD168" s="90">
        <v>0</v>
      </c>
      <c r="BE168" s="90">
        <v>0</v>
      </c>
      <c r="BF168" s="90">
        <v>0</v>
      </c>
      <c r="BG168" s="90">
        <v>0</v>
      </c>
      <c r="BH168" s="90">
        <v>0</v>
      </c>
      <c r="BI168" s="90">
        <v>0</v>
      </c>
      <c r="BJ168" s="90">
        <v>0</v>
      </c>
      <c r="BK168" s="90">
        <v>0</v>
      </c>
      <c r="BL168" s="90">
        <v>0</v>
      </c>
      <c r="BM168" s="90">
        <v>0</v>
      </c>
      <c r="BN168" s="90" t="e">
        <f>#REF!+AX168+BB168+BF168+BJ168</f>
        <v>#REF!</v>
      </c>
      <c r="BO168" s="90">
        <f t="shared" ref="BO168:BP203" si="195">AY168+BC168+BG168+BK168</f>
        <v>0</v>
      </c>
      <c r="BP168" s="90">
        <f t="shared" si="194"/>
        <v>0</v>
      </c>
      <c r="BQ168" s="90">
        <f t="shared" si="156"/>
        <v>0</v>
      </c>
      <c r="BR168" s="92"/>
      <c r="BS168" s="80"/>
    </row>
    <row r="169" spans="1:72" s="2" customFormat="1">
      <c r="A169" s="141"/>
      <c r="B169" s="136" t="s">
        <v>369</v>
      </c>
      <c r="C169" s="137">
        <f t="shared" ref="C169:BM169" si="196">SUM(C170:C172)</f>
        <v>25335213.425843999</v>
      </c>
      <c r="D169" s="137"/>
      <c r="E169" s="137">
        <f>SUM(E170:E172)</f>
        <v>5956443</v>
      </c>
      <c r="F169" s="137">
        <f t="shared" ref="F169:BA169" si="197">SUM(F170:F172)</f>
        <v>111807</v>
      </c>
      <c r="G169" s="137">
        <f t="shared" si="197"/>
        <v>111807</v>
      </c>
      <c r="H169" s="137">
        <f t="shared" si="197"/>
        <v>2961</v>
      </c>
      <c r="I169" s="137">
        <f t="shared" si="197"/>
        <v>114768</v>
      </c>
      <c r="J169" s="137">
        <f t="shared" si="197"/>
        <v>294857</v>
      </c>
      <c r="K169" s="137">
        <f t="shared" si="197"/>
        <v>294857</v>
      </c>
      <c r="L169" s="137">
        <f t="shared" si="197"/>
        <v>10862</v>
      </c>
      <c r="M169" s="137">
        <f t="shared" si="197"/>
        <v>305719</v>
      </c>
      <c r="N169" s="137">
        <f t="shared" si="197"/>
        <v>740206</v>
      </c>
      <c r="O169" s="137">
        <f t="shared" si="197"/>
        <v>740205.8</v>
      </c>
      <c r="P169" s="137">
        <f t="shared" si="197"/>
        <v>38726</v>
      </c>
      <c r="Q169" s="137">
        <f t="shared" si="197"/>
        <v>778931.8</v>
      </c>
      <c r="R169" s="137">
        <f t="shared" si="197"/>
        <v>1239700</v>
      </c>
      <c r="S169" s="137">
        <f t="shared" si="197"/>
        <v>1239699.8</v>
      </c>
      <c r="T169" s="137">
        <f t="shared" si="197"/>
        <v>59589</v>
      </c>
      <c r="U169" s="137">
        <f t="shared" si="197"/>
        <v>1299288.8</v>
      </c>
      <c r="V169" s="137">
        <f t="shared" si="197"/>
        <v>1649767</v>
      </c>
      <c r="W169" s="137">
        <f t="shared" si="197"/>
        <v>1649766.8</v>
      </c>
      <c r="X169" s="137">
        <f t="shared" si="197"/>
        <v>89163</v>
      </c>
      <c r="Y169" s="137">
        <f t="shared" si="197"/>
        <v>1738929.8</v>
      </c>
      <c r="Z169" s="137">
        <f t="shared" si="197"/>
        <v>2033095</v>
      </c>
      <c r="AA169" s="137">
        <f t="shared" si="197"/>
        <v>2033094.8</v>
      </c>
      <c r="AB169" s="137">
        <f t="shared" si="197"/>
        <v>118673</v>
      </c>
      <c r="AC169" s="137">
        <f t="shared" si="197"/>
        <v>2151767.7999999998</v>
      </c>
      <c r="AD169" s="137">
        <f t="shared" si="197"/>
        <v>3240878</v>
      </c>
      <c r="AE169" s="137">
        <f t="shared" si="197"/>
        <v>3240877.8</v>
      </c>
      <c r="AF169" s="137">
        <f t="shared" si="197"/>
        <v>206717</v>
      </c>
      <c r="AG169" s="137">
        <f t="shared" si="197"/>
        <v>3447594.8</v>
      </c>
      <c r="AH169" s="137">
        <f t="shared" si="197"/>
        <v>3794284</v>
      </c>
      <c r="AI169" s="137">
        <f t="shared" si="197"/>
        <v>3794283.8</v>
      </c>
      <c r="AJ169" s="137">
        <f t="shared" si="197"/>
        <v>279532</v>
      </c>
      <c r="AK169" s="137">
        <f t="shared" si="197"/>
        <v>4073815.8</v>
      </c>
      <c r="AL169" s="137">
        <f t="shared" si="197"/>
        <v>4247728</v>
      </c>
      <c r="AM169" s="137">
        <f t="shared" si="197"/>
        <v>4247727.8</v>
      </c>
      <c r="AN169" s="137">
        <f t="shared" si="197"/>
        <v>293614</v>
      </c>
      <c r="AO169" s="137">
        <f t="shared" si="197"/>
        <v>4541341.8</v>
      </c>
      <c r="AP169" s="137">
        <f t="shared" si="197"/>
        <v>5160374</v>
      </c>
      <c r="AQ169" s="137">
        <f t="shared" si="197"/>
        <v>5160373.8</v>
      </c>
      <c r="AR169" s="137">
        <f t="shared" si="197"/>
        <v>326912</v>
      </c>
      <c r="AS169" s="137">
        <f t="shared" si="197"/>
        <v>5487285.7999999998</v>
      </c>
      <c r="AT169" s="137">
        <f t="shared" si="197"/>
        <v>5350092</v>
      </c>
      <c r="AU169" s="137">
        <f t="shared" si="197"/>
        <v>5350091.8</v>
      </c>
      <c r="AV169" s="137">
        <f t="shared" si="197"/>
        <v>332338</v>
      </c>
      <c r="AW169" s="137">
        <f t="shared" si="197"/>
        <v>5682429.7999999998</v>
      </c>
      <c r="AX169" s="137">
        <f t="shared" si="197"/>
        <v>5579811</v>
      </c>
      <c r="AY169" s="137">
        <f t="shared" si="197"/>
        <v>5579811</v>
      </c>
      <c r="AZ169" s="137">
        <f t="shared" si="197"/>
        <v>376632</v>
      </c>
      <c r="BA169" s="137">
        <f t="shared" si="197"/>
        <v>5956443</v>
      </c>
      <c r="BB169" s="88">
        <f t="shared" si="196"/>
        <v>7869272</v>
      </c>
      <c r="BC169" s="88">
        <f t="shared" si="196"/>
        <v>8425303</v>
      </c>
      <c r="BD169" s="88">
        <f t="shared" si="196"/>
        <v>510118</v>
      </c>
      <c r="BE169" s="88">
        <f t="shared" si="196"/>
        <v>2144231</v>
      </c>
      <c r="BF169" s="88">
        <f t="shared" si="196"/>
        <v>3927638</v>
      </c>
      <c r="BG169" s="88">
        <f t="shared" si="196"/>
        <v>3926175</v>
      </c>
      <c r="BH169" s="88">
        <f t="shared" si="196"/>
        <v>577677</v>
      </c>
      <c r="BI169" s="88">
        <f t="shared" si="196"/>
        <v>226692</v>
      </c>
      <c r="BJ169" s="88">
        <f t="shared" si="196"/>
        <v>1290775.5</v>
      </c>
      <c r="BK169" s="88">
        <f t="shared" si="196"/>
        <v>1290775</v>
      </c>
      <c r="BL169" s="88">
        <f t="shared" si="196"/>
        <v>295994</v>
      </c>
      <c r="BM169" s="88">
        <f t="shared" si="196"/>
        <v>0</v>
      </c>
      <c r="BN169" s="88" t="e">
        <f>#REF!+AX169+BB169+BF169+BJ169</f>
        <v>#REF!</v>
      </c>
      <c r="BO169" s="88">
        <f t="shared" si="195"/>
        <v>19222064</v>
      </c>
      <c r="BP169" s="88">
        <f t="shared" si="194"/>
        <v>1760421</v>
      </c>
      <c r="BQ169" s="88">
        <f t="shared" si="156"/>
        <v>20982485</v>
      </c>
      <c r="BR169" s="89"/>
      <c r="BS169" s="80"/>
      <c r="BT169" s="8"/>
    </row>
    <row r="170" spans="1:72" s="13" customFormat="1" ht="75.75" customHeight="1">
      <c r="A170" s="138" t="s">
        <v>114</v>
      </c>
      <c r="B170" s="138" t="s">
        <v>363</v>
      </c>
      <c r="C170" s="139">
        <v>14890142.486256</v>
      </c>
      <c r="D170" s="139"/>
      <c r="E170" s="139">
        <v>2483210</v>
      </c>
      <c r="F170" s="139">
        <v>0</v>
      </c>
      <c r="G170" s="139">
        <v>0</v>
      </c>
      <c r="H170" s="139">
        <v>0</v>
      </c>
      <c r="I170" s="139">
        <f>G170+H170</f>
        <v>0</v>
      </c>
      <c r="J170" s="139">
        <f>27888+F170</f>
        <v>27888</v>
      </c>
      <c r="K170" s="139">
        <f>27888+G170</f>
        <v>27888</v>
      </c>
      <c r="L170" s="139">
        <f>2988+H170</f>
        <v>2988</v>
      </c>
      <c r="M170" s="139">
        <f>K170+L170</f>
        <v>30876</v>
      </c>
      <c r="N170" s="139">
        <f>266197+J170</f>
        <v>294085</v>
      </c>
      <c r="O170" s="139">
        <f>266197+K170</f>
        <v>294085</v>
      </c>
      <c r="P170" s="139">
        <f>26816+L170</f>
        <v>29804</v>
      </c>
      <c r="Q170" s="139">
        <f>O170+P170</f>
        <v>323889</v>
      </c>
      <c r="R170" s="139">
        <f>151200+N170</f>
        <v>445285</v>
      </c>
      <c r="S170" s="139">
        <f>151200+O170</f>
        <v>445285</v>
      </c>
      <c r="T170" s="139">
        <f>16200+P170</f>
        <v>46004</v>
      </c>
      <c r="U170" s="139">
        <f>S170+T170</f>
        <v>491289</v>
      </c>
      <c r="V170" s="139">
        <f>252000+R170</f>
        <v>697285</v>
      </c>
      <c r="W170" s="139">
        <f>252000+S170</f>
        <v>697285</v>
      </c>
      <c r="X170" s="139">
        <f>27000+T170</f>
        <v>73004</v>
      </c>
      <c r="Y170" s="139">
        <f>W170+X170</f>
        <v>770289</v>
      </c>
      <c r="Z170" s="139">
        <f>252000+V170</f>
        <v>949285</v>
      </c>
      <c r="AA170" s="139">
        <f>252000+W170</f>
        <v>949285</v>
      </c>
      <c r="AB170" s="139">
        <f>27000+X170</f>
        <v>100004</v>
      </c>
      <c r="AC170" s="139">
        <f>AA170+AB170</f>
        <v>1049289</v>
      </c>
      <c r="AD170" s="139">
        <f>376251+Z170</f>
        <v>1325536</v>
      </c>
      <c r="AE170" s="139">
        <f>376251+AA170</f>
        <v>1325536</v>
      </c>
      <c r="AF170" s="139">
        <f>75600+AB170</f>
        <v>175604</v>
      </c>
      <c r="AG170" s="139">
        <f>AE170+AF170</f>
        <v>1501140</v>
      </c>
      <c r="AH170" s="139">
        <f>259146+AD170</f>
        <v>1584682</v>
      </c>
      <c r="AI170" s="139">
        <f>259146+AE170</f>
        <v>1584682</v>
      </c>
      <c r="AJ170" s="139">
        <f>AF170+67687</f>
        <v>243291</v>
      </c>
      <c r="AK170" s="139">
        <f>AI170+AJ170</f>
        <v>1827973</v>
      </c>
      <c r="AL170" s="139">
        <f>169129+AH170</f>
        <v>1753811</v>
      </c>
      <c r="AM170" s="139">
        <f>169129+AI170</f>
        <v>1753811</v>
      </c>
      <c r="AN170" s="139">
        <f>8954+AJ170</f>
        <v>252245</v>
      </c>
      <c r="AO170" s="139">
        <f>AM170+AN170</f>
        <v>2006056</v>
      </c>
      <c r="AP170" s="139">
        <f>130680+AL170</f>
        <v>1884491</v>
      </c>
      <c r="AQ170" s="139">
        <f>AM170+130680</f>
        <v>1884491</v>
      </c>
      <c r="AR170" s="139">
        <f>AN170+21600</f>
        <v>273845</v>
      </c>
      <c r="AS170" s="139">
        <f>AQ170+AR170</f>
        <v>2158336</v>
      </c>
      <c r="AT170" s="139">
        <f>AP170</f>
        <v>1884491</v>
      </c>
      <c r="AU170" s="139">
        <f>AQ170</f>
        <v>1884491</v>
      </c>
      <c r="AV170" s="139">
        <f>AR170</f>
        <v>273845</v>
      </c>
      <c r="AW170" s="139">
        <f>AU170+AV170</f>
        <v>2158336</v>
      </c>
      <c r="AX170" s="139">
        <f>293424+AT170</f>
        <v>2177915</v>
      </c>
      <c r="AY170" s="139">
        <f>252000+AU170+41424</f>
        <v>2177915</v>
      </c>
      <c r="AZ170" s="139">
        <f>27000+AV170+4450</f>
        <v>305295</v>
      </c>
      <c r="BA170" s="139">
        <f>AY170+AZ170</f>
        <v>2483210</v>
      </c>
      <c r="BB170" s="90">
        <v>4480333</v>
      </c>
      <c r="BC170" s="90">
        <v>4480333</v>
      </c>
      <c r="BD170" s="90">
        <v>427857</v>
      </c>
      <c r="BE170" s="90">
        <v>1154317</v>
      </c>
      <c r="BF170" s="90">
        <v>3455635</v>
      </c>
      <c r="BG170" s="90">
        <v>3455417</v>
      </c>
      <c r="BH170" s="90">
        <v>572375</v>
      </c>
      <c r="BI170" s="90">
        <v>226692</v>
      </c>
      <c r="BJ170" s="90">
        <v>1290775.5</v>
      </c>
      <c r="BK170" s="90">
        <v>1290775</v>
      </c>
      <c r="BL170" s="90">
        <v>295994</v>
      </c>
      <c r="BM170" s="90">
        <v>0</v>
      </c>
      <c r="BN170" s="90" t="e">
        <f>#REF!+AX170+BB170+BF170+BJ170</f>
        <v>#REF!</v>
      </c>
      <c r="BO170" s="90">
        <f>AY170+BC170+BG170+BK170</f>
        <v>11404440</v>
      </c>
      <c r="BP170" s="90">
        <f>AZ170+BD170+BH170+BL170</f>
        <v>1601521</v>
      </c>
      <c r="BQ170" s="90">
        <f>BO170+BP170</f>
        <v>13005961</v>
      </c>
      <c r="BR170" s="95"/>
      <c r="BS170" s="80"/>
    </row>
    <row r="171" spans="1:72" s="13" customFormat="1" ht="68.25" customHeight="1">
      <c r="A171" s="138" t="s">
        <v>115</v>
      </c>
      <c r="B171" s="138" t="s">
        <v>362</v>
      </c>
      <c r="C171" s="139">
        <v>6445071.8128439998</v>
      </c>
      <c r="D171" s="139"/>
      <c r="E171" s="139">
        <v>2252649</v>
      </c>
      <c r="F171" s="139">
        <v>111807</v>
      </c>
      <c r="G171" s="139">
        <f>111807</f>
        <v>111807</v>
      </c>
      <c r="H171" s="139">
        <f>2961</f>
        <v>2961</v>
      </c>
      <c r="I171" s="139">
        <v>114768</v>
      </c>
      <c r="J171" s="139">
        <f>155162+F171</f>
        <v>266969</v>
      </c>
      <c r="K171" s="139">
        <f>155162+G171</f>
        <v>266969</v>
      </c>
      <c r="L171" s="139">
        <f>4913+H171</f>
        <v>7874</v>
      </c>
      <c r="M171" s="139">
        <f>K171+L171</f>
        <v>274843</v>
      </c>
      <c r="N171" s="139">
        <f>13737+J171</f>
        <v>280706</v>
      </c>
      <c r="O171" s="139">
        <f>13737+K171</f>
        <v>280706</v>
      </c>
      <c r="P171" s="139">
        <f>1048+L171</f>
        <v>8922</v>
      </c>
      <c r="Q171" s="139">
        <f>O171+P171</f>
        <v>289628</v>
      </c>
      <c r="R171" s="139">
        <f>127763+N171</f>
        <v>408469</v>
      </c>
      <c r="S171" s="139">
        <f>127763+O171</f>
        <v>408469</v>
      </c>
      <c r="T171" s="139">
        <f>4663+P171</f>
        <v>13585</v>
      </c>
      <c r="U171" s="139">
        <f>S171+T171</f>
        <v>422054</v>
      </c>
      <c r="V171" s="139">
        <f>68485+R171</f>
        <v>476954</v>
      </c>
      <c r="W171" s="139">
        <f>68485+S171</f>
        <v>476954</v>
      </c>
      <c r="X171" s="139">
        <f>2574+T171</f>
        <v>16159</v>
      </c>
      <c r="Y171" s="139">
        <f>W171+X171</f>
        <v>493113</v>
      </c>
      <c r="Z171" s="139">
        <f>50845+V171</f>
        <v>527799</v>
      </c>
      <c r="AA171" s="139">
        <f>50845+W171</f>
        <v>527799</v>
      </c>
      <c r="AB171" s="139">
        <f>2510+X171</f>
        <v>18669</v>
      </c>
      <c r="AC171" s="139">
        <f>AA171+AB171</f>
        <v>546468</v>
      </c>
      <c r="AD171" s="139">
        <f>617614+Z171</f>
        <v>1145413</v>
      </c>
      <c r="AE171" s="139">
        <f>617614+AA171</f>
        <v>1145413</v>
      </c>
      <c r="AF171" s="139">
        <f>12444+AB171</f>
        <v>31113</v>
      </c>
      <c r="AG171" s="139">
        <f>AE171+AF171</f>
        <v>1176526</v>
      </c>
      <c r="AH171" s="139">
        <f>145890+AD171</f>
        <v>1291303</v>
      </c>
      <c r="AI171" s="139">
        <f>145890+AE171</f>
        <v>1291303</v>
      </c>
      <c r="AJ171" s="139">
        <f>5128+AF171</f>
        <v>36241</v>
      </c>
      <c r="AK171" s="139">
        <f>AI171+AJ171</f>
        <v>1327544</v>
      </c>
      <c r="AL171" s="139">
        <f>AH171</f>
        <v>1291303</v>
      </c>
      <c r="AM171" s="139">
        <f>AI171</f>
        <v>1291303</v>
      </c>
      <c r="AN171" s="139">
        <f>5128+AJ171</f>
        <v>41369</v>
      </c>
      <c r="AO171" s="139">
        <f>AM171+AN171</f>
        <v>1332672</v>
      </c>
      <c r="AP171" s="139">
        <f>331475+AL171</f>
        <v>1622778</v>
      </c>
      <c r="AQ171" s="139">
        <f>331475+AM171</f>
        <v>1622778</v>
      </c>
      <c r="AR171" s="139">
        <f>11698+AN171</f>
        <v>53067</v>
      </c>
      <c r="AS171" s="139">
        <f>AQ171+AR171</f>
        <v>1675845</v>
      </c>
      <c r="AT171" s="139">
        <f>146328+AP171</f>
        <v>1769106</v>
      </c>
      <c r="AU171" s="139">
        <f>146328+AQ171</f>
        <v>1769106</v>
      </c>
      <c r="AV171" s="139">
        <f>5426+AR171</f>
        <v>58493</v>
      </c>
      <c r="AW171" s="139">
        <f>AU171+AV171</f>
        <v>1827599</v>
      </c>
      <c r="AX171" s="139">
        <f>412206+AT171</f>
        <v>2181312</v>
      </c>
      <c r="AY171" s="139">
        <f>381122+AU171+31084</f>
        <v>2181312</v>
      </c>
      <c r="AZ171" s="139">
        <f>10504+AV171+2340</f>
        <v>71337</v>
      </c>
      <c r="BA171" s="139">
        <f>AY171+AZ171</f>
        <v>2252649</v>
      </c>
      <c r="BB171" s="90">
        <v>1991902</v>
      </c>
      <c r="BC171" s="90">
        <v>1991902</v>
      </c>
      <c r="BD171" s="90">
        <v>82261</v>
      </c>
      <c r="BE171" s="90">
        <v>975317</v>
      </c>
      <c r="BF171" s="90">
        <v>121567</v>
      </c>
      <c r="BG171" s="90">
        <v>120322</v>
      </c>
      <c r="BH171" s="90">
        <v>5302</v>
      </c>
      <c r="BI171" s="90">
        <v>0</v>
      </c>
      <c r="BJ171" s="90">
        <v>0</v>
      </c>
      <c r="BK171" s="90">
        <v>0</v>
      </c>
      <c r="BL171" s="90">
        <v>0</v>
      </c>
      <c r="BM171" s="90">
        <v>0</v>
      </c>
      <c r="BN171" s="90" t="e">
        <f>#REF!+AX171+BB171+BF171+BJ171</f>
        <v>#REF!</v>
      </c>
      <c r="BO171" s="90">
        <f>AY171+BC171+BG171+BK171</f>
        <v>4293536</v>
      </c>
      <c r="BP171" s="90">
        <f>AZ171+BD171+BH171+BL171</f>
        <v>158900</v>
      </c>
      <c r="BQ171" s="90">
        <f>BO171+BP171</f>
        <v>4452436</v>
      </c>
      <c r="BR171" s="95"/>
      <c r="BS171" s="80"/>
    </row>
    <row r="172" spans="1:72" s="13" customFormat="1" ht="117" customHeight="1">
      <c r="A172" s="138" t="s">
        <v>116</v>
      </c>
      <c r="B172" s="138" t="s">
        <v>361</v>
      </c>
      <c r="C172" s="139">
        <v>3999999.1267439998</v>
      </c>
      <c r="D172" s="139"/>
      <c r="E172" s="139">
        <v>1220584</v>
      </c>
      <c r="F172" s="139">
        <v>0</v>
      </c>
      <c r="G172" s="139">
        <v>0</v>
      </c>
      <c r="H172" s="139">
        <v>0</v>
      </c>
      <c r="I172" s="139">
        <f>G172+H172</f>
        <v>0</v>
      </c>
      <c r="J172" s="139">
        <f>F172</f>
        <v>0</v>
      </c>
      <c r="K172" s="139">
        <v>0</v>
      </c>
      <c r="L172" s="139">
        <v>0</v>
      </c>
      <c r="M172" s="139">
        <f>K172+L172</f>
        <v>0</v>
      </c>
      <c r="N172" s="139">
        <f>165415+J172</f>
        <v>165415</v>
      </c>
      <c r="O172" s="139">
        <f>165414.8+K172</f>
        <v>165414.79999999999</v>
      </c>
      <c r="P172" s="139">
        <v>0</v>
      </c>
      <c r="Q172" s="139">
        <f>O172+P172</f>
        <v>165414.79999999999</v>
      </c>
      <c r="R172" s="139">
        <f>44991+N172+175540</f>
        <v>385946</v>
      </c>
      <c r="S172" s="139">
        <f>44991+O172+175540</f>
        <v>385945.8</v>
      </c>
      <c r="T172" s="139">
        <v>0</v>
      </c>
      <c r="U172" s="139">
        <f>S172+T172</f>
        <v>385945.8</v>
      </c>
      <c r="V172" s="139">
        <f>89582+R172</f>
        <v>475528</v>
      </c>
      <c r="W172" s="139">
        <f>89582+S172</f>
        <v>475527.8</v>
      </c>
      <c r="X172" s="139">
        <v>0</v>
      </c>
      <c r="Y172" s="139">
        <f>W172+X172</f>
        <v>475527.8</v>
      </c>
      <c r="Z172" s="139">
        <f>80483+V172</f>
        <v>556011</v>
      </c>
      <c r="AA172" s="139">
        <f>80483+W172</f>
        <v>556010.80000000005</v>
      </c>
      <c r="AB172" s="139">
        <v>0</v>
      </c>
      <c r="AC172" s="139">
        <f>AA172+AB172</f>
        <v>556010.80000000005</v>
      </c>
      <c r="AD172" s="139">
        <f>213918+Z172</f>
        <v>769929</v>
      </c>
      <c r="AE172" s="139">
        <f>213918+AA172</f>
        <v>769928.8</v>
      </c>
      <c r="AF172" s="139">
        <v>0</v>
      </c>
      <c r="AG172" s="139">
        <f>AE172+AF172</f>
        <v>769928.8</v>
      </c>
      <c r="AH172" s="139">
        <f>148370+AD172</f>
        <v>918299</v>
      </c>
      <c r="AI172" s="139">
        <f>148370+AE172</f>
        <v>918298.8</v>
      </c>
      <c r="AJ172" s="139">
        <v>0</v>
      </c>
      <c r="AK172" s="139">
        <f>AI172+AJ172</f>
        <v>918298.8</v>
      </c>
      <c r="AL172" s="139">
        <f>284315+AH172</f>
        <v>1202614</v>
      </c>
      <c r="AM172" s="139">
        <f>284315+AI172</f>
        <v>1202613.8</v>
      </c>
      <c r="AN172" s="139">
        <v>0</v>
      </c>
      <c r="AO172" s="139">
        <f>AM172+AN172</f>
        <v>1202613.8</v>
      </c>
      <c r="AP172" s="139">
        <f>150120+AL172+300371</f>
        <v>1653105</v>
      </c>
      <c r="AQ172" s="139">
        <f>150120+AM172+300371</f>
        <v>1653104.8</v>
      </c>
      <c r="AR172" s="139">
        <v>0</v>
      </c>
      <c r="AS172" s="139">
        <f>AQ172+AR172</f>
        <v>1653104.8</v>
      </c>
      <c r="AT172" s="139">
        <f>43390+AP172</f>
        <v>1696495</v>
      </c>
      <c r="AU172" s="139">
        <f>43390+AQ172</f>
        <v>1696494.8</v>
      </c>
      <c r="AV172" s="139">
        <v>0</v>
      </c>
      <c r="AW172" s="139">
        <f>AU172+AV172</f>
        <v>1696494.8</v>
      </c>
      <c r="AX172" s="139">
        <v>1220584</v>
      </c>
      <c r="AY172" s="139">
        <v>1220584</v>
      </c>
      <c r="AZ172" s="139">
        <v>0</v>
      </c>
      <c r="BA172" s="139">
        <v>1220584</v>
      </c>
      <c r="BB172" s="90">
        <f>902193+350436+144408</f>
        <v>1397037</v>
      </c>
      <c r="BC172" s="90">
        <f>902193+350436+700439</f>
        <v>1953068</v>
      </c>
      <c r="BD172" s="90">
        <v>0</v>
      </c>
      <c r="BE172" s="90">
        <v>14597</v>
      </c>
      <c r="BF172" s="90">
        <v>350436</v>
      </c>
      <c r="BG172" s="90">
        <v>350436</v>
      </c>
      <c r="BH172" s="90">
        <v>0</v>
      </c>
      <c r="BI172" s="90">
        <v>0</v>
      </c>
      <c r="BJ172" s="90">
        <v>0</v>
      </c>
      <c r="BK172" s="90">
        <v>0</v>
      </c>
      <c r="BL172" s="90">
        <v>0</v>
      </c>
      <c r="BM172" s="90">
        <v>0</v>
      </c>
      <c r="BN172" s="90" t="e">
        <f>#REF!+AX172+BB172+BF172+BJ172</f>
        <v>#REF!</v>
      </c>
      <c r="BO172" s="90">
        <f>AY172+BC172+BG172+BK172</f>
        <v>3524088</v>
      </c>
      <c r="BP172" s="90">
        <f t="shared" ref="BP172" si="198">AZ172+BD172+BH172+BL172</f>
        <v>0</v>
      </c>
      <c r="BQ172" s="90">
        <f>BO172+BP172</f>
        <v>3524088</v>
      </c>
      <c r="BR172" s="92"/>
      <c r="BS172" s="80"/>
    </row>
    <row r="173" spans="1:72" s="8" customFormat="1">
      <c r="A173" s="141"/>
      <c r="B173" s="142" t="s">
        <v>370</v>
      </c>
      <c r="C173" s="143">
        <f t="shared" ref="C173:BM173" si="199">SUM(C174:C179)</f>
        <v>10218032.2158</v>
      </c>
      <c r="D173" s="143"/>
      <c r="E173" s="143">
        <f>SUM(E174:E179)</f>
        <v>2702973</v>
      </c>
      <c r="F173" s="143">
        <f t="shared" si="199"/>
        <v>0</v>
      </c>
      <c r="G173" s="143">
        <f t="shared" si="199"/>
        <v>131735</v>
      </c>
      <c r="H173" s="143">
        <f t="shared" si="199"/>
        <v>23247</v>
      </c>
      <c r="I173" s="143">
        <f t="shared" si="199"/>
        <v>154982</v>
      </c>
      <c r="J173" s="143">
        <f t="shared" si="199"/>
        <v>311112.54100000003</v>
      </c>
      <c r="K173" s="143">
        <f t="shared" si="199"/>
        <v>273553.31</v>
      </c>
      <c r="L173" s="143">
        <f t="shared" si="199"/>
        <v>48274.05</v>
      </c>
      <c r="M173" s="143">
        <f t="shared" si="199"/>
        <v>321831</v>
      </c>
      <c r="N173" s="143">
        <f t="shared" si="199"/>
        <v>545736.01319999993</v>
      </c>
      <c r="O173" s="143">
        <f t="shared" si="199"/>
        <v>482831.31</v>
      </c>
      <c r="P173" s="143">
        <f t="shared" si="199"/>
        <v>85205.05</v>
      </c>
      <c r="Q173" s="143">
        <f t="shared" si="199"/>
        <v>539650</v>
      </c>
      <c r="R173" s="143">
        <f t="shared" si="199"/>
        <v>545736.01319999993</v>
      </c>
      <c r="S173" s="143">
        <f>SUM(S174:S179)</f>
        <v>662648.31000000006</v>
      </c>
      <c r="T173" s="143">
        <f t="shared" ref="T173:V173" si="200">SUM(T174:T179)</f>
        <v>116939.05</v>
      </c>
      <c r="U173" s="143">
        <f t="shared" si="200"/>
        <v>743331</v>
      </c>
      <c r="V173" s="143">
        <f t="shared" si="200"/>
        <v>721224.43319999997</v>
      </c>
      <c r="W173" s="143">
        <f>SUM(W174:W179)</f>
        <v>1018216.31</v>
      </c>
      <c r="X173" s="143">
        <f t="shared" ref="X173:Y173" si="201">SUM(X174:X179)</f>
        <v>179686.05</v>
      </c>
      <c r="Y173" s="143">
        <f t="shared" si="201"/>
        <v>1161646</v>
      </c>
      <c r="Z173" s="143">
        <f t="shared" si="199"/>
        <v>862913.39179999987</v>
      </c>
      <c r="AA173" s="143">
        <f>SUM(AA174:AA179)</f>
        <v>1239659.31</v>
      </c>
      <c r="AB173" s="143">
        <f t="shared" si="199"/>
        <v>218764.05</v>
      </c>
      <c r="AC173" s="143">
        <f t="shared" si="199"/>
        <v>1422167</v>
      </c>
      <c r="AD173" s="143">
        <f t="shared" si="199"/>
        <v>862913.39179999987</v>
      </c>
      <c r="AE173" s="143">
        <f t="shared" si="199"/>
        <v>1633618.31</v>
      </c>
      <c r="AF173" s="143">
        <f t="shared" si="199"/>
        <v>288286.05</v>
      </c>
      <c r="AG173" s="143">
        <f t="shared" si="199"/>
        <v>1885648</v>
      </c>
      <c r="AH173" s="143">
        <f t="shared" si="199"/>
        <v>972977.36179999984</v>
      </c>
      <c r="AI173" s="143">
        <f t="shared" si="199"/>
        <v>1854946.31</v>
      </c>
      <c r="AJ173" s="143">
        <f t="shared" si="199"/>
        <v>327344.05</v>
      </c>
      <c r="AK173" s="143">
        <f t="shared" si="199"/>
        <v>2146034</v>
      </c>
      <c r="AL173" s="143">
        <f t="shared" si="199"/>
        <v>1193738.4813999999</v>
      </c>
      <c r="AM173" s="143">
        <f t="shared" si="199"/>
        <v>2251420.31</v>
      </c>
      <c r="AN173" s="143">
        <f t="shared" si="199"/>
        <v>397310.05</v>
      </c>
      <c r="AO173" s="143">
        <f t="shared" si="199"/>
        <v>2612474</v>
      </c>
      <c r="AP173" s="143">
        <f t="shared" si="199"/>
        <v>1193738.4813999999</v>
      </c>
      <c r="AQ173" s="143">
        <f t="shared" si="199"/>
        <v>2321811.31</v>
      </c>
      <c r="AR173" s="143">
        <f t="shared" si="199"/>
        <v>409733.05</v>
      </c>
      <c r="AS173" s="143">
        <f t="shared" si="199"/>
        <v>2695288</v>
      </c>
      <c r="AT173" s="143">
        <f t="shared" si="199"/>
        <v>1237454.4574</v>
      </c>
      <c r="AU173" s="143">
        <f t="shared" si="199"/>
        <v>2327689.31</v>
      </c>
      <c r="AV173" s="143">
        <f t="shared" si="199"/>
        <v>410770.05</v>
      </c>
      <c r="AW173" s="143">
        <f t="shared" si="199"/>
        <v>2702203</v>
      </c>
      <c r="AX173" s="143">
        <f t="shared" si="199"/>
        <v>1430652.1600000001</v>
      </c>
      <c r="AY173" s="143">
        <f t="shared" si="199"/>
        <v>2328344.31</v>
      </c>
      <c r="AZ173" s="143">
        <f t="shared" si="199"/>
        <v>410885.05</v>
      </c>
      <c r="BA173" s="143">
        <f t="shared" si="199"/>
        <v>2702973</v>
      </c>
      <c r="BB173" s="93">
        <f t="shared" si="199"/>
        <v>1467057.4355520001</v>
      </c>
      <c r="BC173" s="93">
        <f t="shared" si="199"/>
        <v>0</v>
      </c>
      <c r="BD173" s="93">
        <f t="shared" si="199"/>
        <v>0</v>
      </c>
      <c r="BE173" s="93">
        <f t="shared" si="199"/>
        <v>0</v>
      </c>
      <c r="BF173" s="93">
        <f t="shared" si="199"/>
        <v>0</v>
      </c>
      <c r="BG173" s="93">
        <f t="shared" si="199"/>
        <v>0</v>
      </c>
      <c r="BH173" s="93">
        <f t="shared" si="199"/>
        <v>0</v>
      </c>
      <c r="BI173" s="93">
        <f t="shared" si="199"/>
        <v>0</v>
      </c>
      <c r="BJ173" s="93">
        <f t="shared" si="199"/>
        <v>14526</v>
      </c>
      <c r="BK173" s="93">
        <f t="shared" si="199"/>
        <v>0</v>
      </c>
      <c r="BL173" s="93">
        <f t="shared" si="199"/>
        <v>0</v>
      </c>
      <c r="BM173" s="93">
        <f t="shared" si="199"/>
        <v>0</v>
      </c>
      <c r="BN173" s="93" t="e">
        <f>#REF!+AX173+BB173+BF173+BJ173</f>
        <v>#REF!</v>
      </c>
      <c r="BO173" s="93">
        <f t="shared" si="195"/>
        <v>2328344.31</v>
      </c>
      <c r="BP173" s="93">
        <f t="shared" si="194"/>
        <v>410885.05</v>
      </c>
      <c r="BQ173" s="93">
        <f t="shared" si="156"/>
        <v>2739229.36</v>
      </c>
      <c r="BR173" s="89"/>
      <c r="BS173" s="80"/>
    </row>
    <row r="174" spans="1:72" s="13" customFormat="1" ht="133.5" customHeight="1">
      <c r="A174" s="155" t="s">
        <v>117</v>
      </c>
      <c r="B174" s="138" t="s">
        <v>420</v>
      </c>
      <c r="C174" s="139">
        <v>447270.088032</v>
      </c>
      <c r="D174" s="139"/>
      <c r="E174" s="139">
        <v>141907</v>
      </c>
      <c r="F174" s="139">
        <v>0</v>
      </c>
      <c r="G174" s="139">
        <v>8500</v>
      </c>
      <c r="H174" s="139">
        <v>1500</v>
      </c>
      <c r="I174" s="113">
        <v>10000</v>
      </c>
      <c r="J174" s="139">
        <v>0</v>
      </c>
      <c r="K174" s="139">
        <v>29750</v>
      </c>
      <c r="L174" s="139">
        <v>5250</v>
      </c>
      <c r="M174" s="139">
        <v>35000</v>
      </c>
      <c r="N174" s="139">
        <v>60204</v>
      </c>
      <c r="O174" s="139">
        <v>103387</v>
      </c>
      <c r="P174" s="139">
        <v>18245</v>
      </c>
      <c r="Q174" s="139">
        <v>93242</v>
      </c>
      <c r="R174" s="139">
        <v>60204</v>
      </c>
      <c r="S174" s="139">
        <v>129425</v>
      </c>
      <c r="T174" s="139">
        <v>22841</v>
      </c>
      <c r="U174" s="139">
        <v>116006</v>
      </c>
      <c r="V174" s="139">
        <v>117137</v>
      </c>
      <c r="W174" s="139">
        <v>151441</v>
      </c>
      <c r="X174" s="139">
        <v>26726</v>
      </c>
      <c r="Y174" s="139">
        <v>141907</v>
      </c>
      <c r="Z174" s="139">
        <v>117137</v>
      </c>
      <c r="AA174" s="139">
        <v>151441</v>
      </c>
      <c r="AB174" s="139">
        <v>26726</v>
      </c>
      <c r="AC174" s="139">
        <v>141907</v>
      </c>
      <c r="AD174" s="139">
        <v>117137</v>
      </c>
      <c r="AE174" s="139">
        <v>151441</v>
      </c>
      <c r="AF174" s="139">
        <v>26726</v>
      </c>
      <c r="AG174" s="139">
        <v>141907</v>
      </c>
      <c r="AH174" s="139">
        <v>117137</v>
      </c>
      <c r="AI174" s="139">
        <v>151441</v>
      </c>
      <c r="AJ174" s="139">
        <v>26726</v>
      </c>
      <c r="AK174" s="139">
        <v>141907</v>
      </c>
      <c r="AL174" s="139">
        <v>145970</v>
      </c>
      <c r="AM174" s="139">
        <v>151441</v>
      </c>
      <c r="AN174" s="139">
        <v>26726</v>
      </c>
      <c r="AO174" s="139">
        <v>141907</v>
      </c>
      <c r="AP174" s="139">
        <v>145970</v>
      </c>
      <c r="AQ174" s="139">
        <v>151441</v>
      </c>
      <c r="AR174" s="139">
        <v>26726</v>
      </c>
      <c r="AS174" s="139">
        <v>141907</v>
      </c>
      <c r="AT174" s="139">
        <v>145970</v>
      </c>
      <c r="AU174" s="139">
        <v>151441</v>
      </c>
      <c r="AV174" s="139">
        <v>26726</v>
      </c>
      <c r="AW174" s="139">
        <v>141907</v>
      </c>
      <c r="AX174" s="139">
        <v>145970</v>
      </c>
      <c r="AY174" s="139">
        <v>151441</v>
      </c>
      <c r="AZ174" s="139">
        <v>26726</v>
      </c>
      <c r="BA174" s="139">
        <v>141907</v>
      </c>
      <c r="BB174" s="90">
        <v>97311.138031999988</v>
      </c>
      <c r="BC174" s="90">
        <v>0</v>
      </c>
      <c r="BD174" s="90">
        <v>0</v>
      </c>
      <c r="BE174" s="90">
        <v>0</v>
      </c>
      <c r="BF174" s="90">
        <v>0</v>
      </c>
      <c r="BG174" s="90">
        <v>0</v>
      </c>
      <c r="BH174" s="90">
        <v>0</v>
      </c>
      <c r="BI174" s="90">
        <v>0</v>
      </c>
      <c r="BJ174" s="90">
        <v>0</v>
      </c>
      <c r="BK174" s="90">
        <v>0</v>
      </c>
      <c r="BL174" s="90">
        <v>0</v>
      </c>
      <c r="BM174" s="90">
        <v>0</v>
      </c>
      <c r="BN174" s="90" t="e">
        <f>#REF!+AX174+BB174+BF174+BJ174</f>
        <v>#REF!</v>
      </c>
      <c r="BO174" s="90">
        <f t="shared" si="195"/>
        <v>151441</v>
      </c>
      <c r="BP174" s="90">
        <f t="shared" si="194"/>
        <v>26726</v>
      </c>
      <c r="BQ174" s="90">
        <f t="shared" si="156"/>
        <v>178167</v>
      </c>
      <c r="BR174" s="95"/>
      <c r="BS174" s="80"/>
    </row>
    <row r="175" spans="1:72" s="13" customFormat="1" ht="100.5" customHeight="1">
      <c r="A175" s="155" t="s">
        <v>118</v>
      </c>
      <c r="B175" s="138" t="s">
        <v>360</v>
      </c>
      <c r="C175" s="139">
        <v>2146583.393652</v>
      </c>
      <c r="D175" s="139"/>
      <c r="E175" s="139">
        <v>0</v>
      </c>
      <c r="F175" s="139">
        <v>0</v>
      </c>
      <c r="G175" s="139">
        <v>0</v>
      </c>
      <c r="H175" s="139">
        <v>0</v>
      </c>
      <c r="I175" s="139">
        <v>0</v>
      </c>
      <c r="J175" s="139">
        <v>0</v>
      </c>
      <c r="K175" s="139">
        <v>0</v>
      </c>
      <c r="L175" s="139">
        <v>0</v>
      </c>
      <c r="M175" s="139">
        <v>0</v>
      </c>
      <c r="N175" s="139">
        <v>0</v>
      </c>
      <c r="O175" s="139">
        <v>0</v>
      </c>
      <c r="P175" s="139">
        <v>0</v>
      </c>
      <c r="Q175" s="139">
        <v>0</v>
      </c>
      <c r="R175" s="139">
        <v>0</v>
      </c>
      <c r="S175" s="139">
        <v>0</v>
      </c>
      <c r="T175" s="139">
        <v>0</v>
      </c>
      <c r="U175" s="139">
        <v>0</v>
      </c>
      <c r="V175" s="139">
        <v>0</v>
      </c>
      <c r="W175" s="139">
        <v>0</v>
      </c>
      <c r="X175" s="139">
        <v>0</v>
      </c>
      <c r="Y175" s="139">
        <v>0</v>
      </c>
      <c r="Z175" s="139">
        <v>0</v>
      </c>
      <c r="AA175" s="139">
        <v>0</v>
      </c>
      <c r="AB175" s="139">
        <v>0</v>
      </c>
      <c r="AC175" s="139">
        <v>0</v>
      </c>
      <c r="AD175" s="139">
        <v>0</v>
      </c>
      <c r="AE175" s="139">
        <v>0</v>
      </c>
      <c r="AF175" s="139">
        <v>0</v>
      </c>
      <c r="AG175" s="139">
        <v>0</v>
      </c>
      <c r="AH175" s="139">
        <v>0</v>
      </c>
      <c r="AI175" s="139">
        <v>0</v>
      </c>
      <c r="AJ175" s="139">
        <v>0</v>
      </c>
      <c r="AK175" s="139">
        <v>0</v>
      </c>
      <c r="AL175" s="139">
        <v>0</v>
      </c>
      <c r="AM175" s="139">
        <v>0</v>
      </c>
      <c r="AN175" s="139">
        <v>0</v>
      </c>
      <c r="AO175" s="139">
        <v>0</v>
      </c>
      <c r="AP175" s="139">
        <v>0</v>
      </c>
      <c r="AQ175" s="139">
        <v>0</v>
      </c>
      <c r="AR175" s="139">
        <v>0</v>
      </c>
      <c r="AS175" s="139">
        <v>0</v>
      </c>
      <c r="AT175" s="139">
        <v>0</v>
      </c>
      <c r="AU175" s="139">
        <v>0</v>
      </c>
      <c r="AV175" s="139">
        <v>0</v>
      </c>
      <c r="AW175" s="139">
        <v>0</v>
      </c>
      <c r="AX175" s="139">
        <v>0</v>
      </c>
      <c r="AY175" s="139">
        <v>0</v>
      </c>
      <c r="AZ175" s="139">
        <v>0</v>
      </c>
      <c r="BA175" s="139">
        <v>0</v>
      </c>
      <c r="BB175" s="90">
        <v>0</v>
      </c>
      <c r="BC175" s="90">
        <v>0</v>
      </c>
      <c r="BD175" s="90">
        <v>0</v>
      </c>
      <c r="BE175" s="90">
        <v>0</v>
      </c>
      <c r="BF175" s="90">
        <v>0</v>
      </c>
      <c r="BG175" s="90">
        <v>0</v>
      </c>
      <c r="BH175" s="90">
        <v>0</v>
      </c>
      <c r="BI175" s="90">
        <v>0</v>
      </c>
      <c r="BJ175" s="90">
        <v>0</v>
      </c>
      <c r="BK175" s="90">
        <v>0</v>
      </c>
      <c r="BL175" s="90">
        <v>0</v>
      </c>
      <c r="BM175" s="90">
        <v>0</v>
      </c>
      <c r="BN175" s="90" t="e">
        <f>#REF!+AX175+BB175+BF175+BJ175</f>
        <v>#REF!</v>
      </c>
      <c r="BO175" s="90">
        <f t="shared" si="195"/>
        <v>0</v>
      </c>
      <c r="BP175" s="90">
        <f t="shared" si="194"/>
        <v>0</v>
      </c>
      <c r="BQ175" s="90">
        <f t="shared" si="156"/>
        <v>0</v>
      </c>
      <c r="BR175" s="95"/>
      <c r="BS175" s="80"/>
    </row>
    <row r="176" spans="1:72" s="13" customFormat="1" ht="105" customHeight="1">
      <c r="A176" s="155" t="s">
        <v>119</v>
      </c>
      <c r="B176" s="138" t="s">
        <v>359</v>
      </c>
      <c r="C176" s="139">
        <v>519215.43070799997</v>
      </c>
      <c r="D176" s="139"/>
      <c r="E176" s="139">
        <v>61084</v>
      </c>
      <c r="F176" s="139">
        <v>0</v>
      </c>
      <c r="G176" s="139">
        <v>0</v>
      </c>
      <c r="H176" s="139">
        <v>0</v>
      </c>
      <c r="I176" s="139">
        <v>0</v>
      </c>
      <c r="J176" s="139">
        <v>51918</v>
      </c>
      <c r="K176" s="139">
        <v>51918.31</v>
      </c>
      <c r="L176" s="139">
        <v>9162.0499999999993</v>
      </c>
      <c r="M176" s="139">
        <v>61084</v>
      </c>
      <c r="N176" s="139">
        <v>51918</v>
      </c>
      <c r="O176" s="139">
        <v>51918.31</v>
      </c>
      <c r="P176" s="139">
        <v>9162.0499999999993</v>
      </c>
      <c r="Q176" s="139">
        <v>61084</v>
      </c>
      <c r="R176" s="139">
        <v>51918</v>
      </c>
      <c r="S176" s="139">
        <v>51918.31</v>
      </c>
      <c r="T176" s="139">
        <v>9162.0499999999993</v>
      </c>
      <c r="U176" s="139">
        <v>61084</v>
      </c>
      <c r="V176" s="139">
        <v>51918</v>
      </c>
      <c r="W176" s="139">
        <v>51918.31</v>
      </c>
      <c r="X176" s="139">
        <v>9162.0499999999993</v>
      </c>
      <c r="Y176" s="139">
        <v>61084</v>
      </c>
      <c r="Z176" s="139">
        <v>51918</v>
      </c>
      <c r="AA176" s="139">
        <v>51918.31</v>
      </c>
      <c r="AB176" s="139">
        <v>9162.0499999999993</v>
      </c>
      <c r="AC176" s="139">
        <v>61084</v>
      </c>
      <c r="AD176" s="139">
        <v>51918</v>
      </c>
      <c r="AE176" s="139">
        <v>51918.31</v>
      </c>
      <c r="AF176" s="139">
        <v>9162.0499999999993</v>
      </c>
      <c r="AG176" s="139">
        <v>61084</v>
      </c>
      <c r="AH176" s="139">
        <v>51918</v>
      </c>
      <c r="AI176" s="139">
        <v>51918.31</v>
      </c>
      <c r="AJ176" s="139">
        <v>9162.0499999999993</v>
      </c>
      <c r="AK176" s="139">
        <v>61084</v>
      </c>
      <c r="AL176" s="139">
        <v>51918</v>
      </c>
      <c r="AM176" s="139">
        <v>51918.31</v>
      </c>
      <c r="AN176" s="139">
        <v>9162.0499999999993</v>
      </c>
      <c r="AO176" s="139">
        <v>61084</v>
      </c>
      <c r="AP176" s="139">
        <v>51918</v>
      </c>
      <c r="AQ176" s="139">
        <v>51918.31</v>
      </c>
      <c r="AR176" s="139">
        <v>9162.0499999999993</v>
      </c>
      <c r="AS176" s="139">
        <v>61084</v>
      </c>
      <c r="AT176" s="139">
        <v>51918</v>
      </c>
      <c r="AU176" s="139">
        <v>51918.31</v>
      </c>
      <c r="AV176" s="139">
        <v>9162.0499999999993</v>
      </c>
      <c r="AW176" s="139">
        <v>61084</v>
      </c>
      <c r="AX176" s="139">
        <f>51923-5</f>
        <v>51918</v>
      </c>
      <c r="AY176" s="139">
        <v>51918.31</v>
      </c>
      <c r="AZ176" s="139">
        <v>9162.0499999999993</v>
      </c>
      <c r="BA176" s="139">
        <v>61084</v>
      </c>
      <c r="BB176" s="90">
        <v>0</v>
      </c>
      <c r="BC176" s="90">
        <v>0</v>
      </c>
      <c r="BD176" s="90">
        <v>0</v>
      </c>
      <c r="BE176" s="90">
        <v>0</v>
      </c>
      <c r="BF176" s="90">
        <v>0</v>
      </c>
      <c r="BG176" s="90">
        <v>0</v>
      </c>
      <c r="BH176" s="90">
        <v>0</v>
      </c>
      <c r="BI176" s="90">
        <v>0</v>
      </c>
      <c r="BJ176" s="90">
        <v>0</v>
      </c>
      <c r="BK176" s="90">
        <v>0</v>
      </c>
      <c r="BL176" s="90">
        <v>0</v>
      </c>
      <c r="BM176" s="90">
        <v>0</v>
      </c>
      <c r="BN176" s="90" t="e">
        <f>#REF!+AX176+BB176+BF176+BJ176</f>
        <v>#REF!</v>
      </c>
      <c r="BO176" s="90">
        <f t="shared" si="195"/>
        <v>51918.31</v>
      </c>
      <c r="BP176" s="90">
        <f t="shared" si="194"/>
        <v>9162.0499999999993</v>
      </c>
      <c r="BQ176" s="90">
        <f t="shared" si="156"/>
        <v>61080.36</v>
      </c>
      <c r="BR176" s="90"/>
      <c r="BS176" s="80"/>
    </row>
    <row r="177" spans="1:72" s="13" customFormat="1" ht="80.25" customHeight="1">
      <c r="A177" s="155" t="s">
        <v>120</v>
      </c>
      <c r="B177" s="138" t="s">
        <v>358</v>
      </c>
      <c r="C177" s="139">
        <v>0</v>
      </c>
      <c r="D177" s="139"/>
      <c r="E177" s="139">
        <v>0</v>
      </c>
      <c r="F177" s="139">
        <v>0</v>
      </c>
      <c r="G177" s="139">
        <v>0</v>
      </c>
      <c r="H177" s="139">
        <v>0</v>
      </c>
      <c r="I177" s="139">
        <v>0</v>
      </c>
      <c r="J177" s="139">
        <v>0</v>
      </c>
      <c r="K177" s="139">
        <v>0</v>
      </c>
      <c r="L177" s="139">
        <v>0</v>
      </c>
      <c r="M177" s="139">
        <v>0</v>
      </c>
      <c r="N177" s="139">
        <v>0</v>
      </c>
      <c r="O177" s="139">
        <v>0</v>
      </c>
      <c r="P177" s="139">
        <v>0</v>
      </c>
      <c r="Q177" s="139">
        <v>0</v>
      </c>
      <c r="R177" s="139">
        <v>0</v>
      </c>
      <c r="S177" s="139">
        <v>0</v>
      </c>
      <c r="T177" s="139">
        <v>0</v>
      </c>
      <c r="U177" s="139">
        <v>0</v>
      </c>
      <c r="V177" s="139">
        <v>0</v>
      </c>
      <c r="W177" s="139">
        <v>0</v>
      </c>
      <c r="X177" s="139">
        <v>0</v>
      </c>
      <c r="Y177" s="139">
        <v>0</v>
      </c>
      <c r="Z177" s="139">
        <v>0</v>
      </c>
      <c r="AA177" s="139">
        <v>0</v>
      </c>
      <c r="AB177" s="139">
        <v>0</v>
      </c>
      <c r="AC177" s="139">
        <v>0</v>
      </c>
      <c r="AD177" s="139">
        <v>0</v>
      </c>
      <c r="AE177" s="139">
        <v>0</v>
      </c>
      <c r="AF177" s="139">
        <v>0</v>
      </c>
      <c r="AG177" s="139">
        <v>0</v>
      </c>
      <c r="AH177" s="139">
        <v>0</v>
      </c>
      <c r="AI177" s="139">
        <v>0</v>
      </c>
      <c r="AJ177" s="139">
        <v>0</v>
      </c>
      <c r="AK177" s="139">
        <v>0</v>
      </c>
      <c r="AL177" s="139">
        <v>0</v>
      </c>
      <c r="AM177" s="139">
        <v>0</v>
      </c>
      <c r="AN177" s="139">
        <v>0</v>
      </c>
      <c r="AO177" s="139">
        <v>0</v>
      </c>
      <c r="AP177" s="139">
        <v>0</v>
      </c>
      <c r="AQ177" s="139">
        <v>0</v>
      </c>
      <c r="AR177" s="139">
        <v>0</v>
      </c>
      <c r="AS177" s="139">
        <v>0</v>
      </c>
      <c r="AT177" s="139">
        <v>0</v>
      </c>
      <c r="AU177" s="139">
        <v>0</v>
      </c>
      <c r="AV177" s="139">
        <v>0</v>
      </c>
      <c r="AW177" s="139">
        <v>0</v>
      </c>
      <c r="AX177" s="139">
        <v>0</v>
      </c>
      <c r="AY177" s="139">
        <v>0</v>
      </c>
      <c r="AZ177" s="139">
        <v>0</v>
      </c>
      <c r="BA177" s="139">
        <v>0</v>
      </c>
      <c r="BB177" s="90">
        <v>0</v>
      </c>
      <c r="BC177" s="90">
        <v>0</v>
      </c>
      <c r="BD177" s="90">
        <v>0</v>
      </c>
      <c r="BE177" s="90">
        <v>0</v>
      </c>
      <c r="BF177" s="90">
        <v>0</v>
      </c>
      <c r="BG177" s="90">
        <v>0</v>
      </c>
      <c r="BH177" s="90">
        <v>0</v>
      </c>
      <c r="BI177" s="90">
        <v>0</v>
      </c>
      <c r="BJ177" s="90">
        <v>0</v>
      </c>
      <c r="BK177" s="90">
        <v>0</v>
      </c>
      <c r="BL177" s="90">
        <v>0</v>
      </c>
      <c r="BM177" s="90">
        <v>0</v>
      </c>
      <c r="BN177" s="90" t="e">
        <f>#REF!+AX177+BB177+BF177+BJ177</f>
        <v>#REF!</v>
      </c>
      <c r="BO177" s="90">
        <f t="shared" si="195"/>
        <v>0</v>
      </c>
      <c r="BP177" s="90">
        <f t="shared" si="194"/>
        <v>0</v>
      </c>
      <c r="BQ177" s="90">
        <f t="shared" si="156"/>
        <v>0</v>
      </c>
      <c r="BR177" s="90"/>
      <c r="BS177" s="80"/>
    </row>
    <row r="178" spans="1:72" s="13" customFormat="1" ht="105" customHeight="1">
      <c r="A178" s="138" t="s">
        <v>121</v>
      </c>
      <c r="B178" s="138" t="s">
        <v>357</v>
      </c>
      <c r="C178" s="139">
        <v>5016882.0175200002</v>
      </c>
      <c r="D178" s="139"/>
      <c r="E178" s="139">
        <v>2499982</v>
      </c>
      <c r="F178" s="139">
        <v>0</v>
      </c>
      <c r="G178" s="139">
        <v>123235</v>
      </c>
      <c r="H178" s="139">
        <v>21747</v>
      </c>
      <c r="I178" s="139">
        <v>144982</v>
      </c>
      <c r="J178" s="139">
        <v>205246.72100000002</v>
      </c>
      <c r="K178" s="139">
        <v>191885</v>
      </c>
      <c r="L178" s="139">
        <v>33862</v>
      </c>
      <c r="M178" s="139">
        <v>225747</v>
      </c>
      <c r="N178" s="139">
        <v>379666.19319999998</v>
      </c>
      <c r="O178" s="139">
        <v>327526</v>
      </c>
      <c r="P178" s="139">
        <v>57798</v>
      </c>
      <c r="Q178" s="139">
        <v>385324</v>
      </c>
      <c r="R178" s="139">
        <v>379666.19319999998</v>
      </c>
      <c r="S178" s="139">
        <v>481305</v>
      </c>
      <c r="T178" s="139">
        <v>84936</v>
      </c>
      <c r="U178" s="139">
        <v>566241</v>
      </c>
      <c r="V178" s="139">
        <v>498221.61319999996</v>
      </c>
      <c r="W178" s="139">
        <v>814857</v>
      </c>
      <c r="X178" s="139">
        <v>143798</v>
      </c>
      <c r="Y178" s="139">
        <v>958655</v>
      </c>
      <c r="Z178" s="139">
        <v>639910.57179999992</v>
      </c>
      <c r="AA178" s="139">
        <v>1036300</v>
      </c>
      <c r="AB178" s="139">
        <v>182876</v>
      </c>
      <c r="AC178" s="139">
        <v>1219176</v>
      </c>
      <c r="AD178" s="139">
        <v>639910.57179999992</v>
      </c>
      <c r="AE178" s="139">
        <v>1430259</v>
      </c>
      <c r="AF178" s="139">
        <v>252398</v>
      </c>
      <c r="AG178" s="139">
        <v>1682657</v>
      </c>
      <c r="AH178" s="139">
        <v>749974.54179999989</v>
      </c>
      <c r="AI178" s="139">
        <v>1651587</v>
      </c>
      <c r="AJ178" s="139">
        <v>291456</v>
      </c>
      <c r="AK178" s="139">
        <v>1943043</v>
      </c>
      <c r="AL178" s="139">
        <v>941902.66139999987</v>
      </c>
      <c r="AM178" s="139">
        <v>2048061</v>
      </c>
      <c r="AN178" s="139">
        <v>361422</v>
      </c>
      <c r="AO178" s="139">
        <v>2409483</v>
      </c>
      <c r="AP178" s="139">
        <v>941902.66139999987</v>
      </c>
      <c r="AQ178" s="139">
        <v>2118452</v>
      </c>
      <c r="AR178" s="139">
        <v>373845</v>
      </c>
      <c r="AS178" s="139">
        <v>2492297</v>
      </c>
      <c r="AT178" s="139">
        <v>985618.63739999989</v>
      </c>
      <c r="AU178" s="139">
        <v>2124330</v>
      </c>
      <c r="AV178" s="139">
        <v>374882</v>
      </c>
      <c r="AW178" s="139">
        <v>2499212</v>
      </c>
      <c r="AX178" s="139">
        <v>1178816.3400000001</v>
      </c>
      <c r="AY178" s="139">
        <v>2124985</v>
      </c>
      <c r="AZ178" s="139">
        <v>374997</v>
      </c>
      <c r="BA178" s="139">
        <v>2499982</v>
      </c>
      <c r="BB178" s="90">
        <v>1369746.29752</v>
      </c>
      <c r="BC178" s="90">
        <v>0</v>
      </c>
      <c r="BD178" s="90">
        <v>0</v>
      </c>
      <c r="BE178" s="90">
        <v>0</v>
      </c>
      <c r="BF178" s="90">
        <v>0</v>
      </c>
      <c r="BG178" s="90">
        <v>0</v>
      </c>
      <c r="BH178" s="90">
        <v>0</v>
      </c>
      <c r="BI178" s="90">
        <v>0</v>
      </c>
      <c r="BJ178" s="90">
        <v>0</v>
      </c>
      <c r="BK178" s="90">
        <v>0</v>
      </c>
      <c r="BL178" s="90">
        <v>0</v>
      </c>
      <c r="BM178" s="90">
        <v>0</v>
      </c>
      <c r="BN178" s="90" t="e">
        <f>#REF!+AX178+BB178+BF178+BJ178</f>
        <v>#REF!</v>
      </c>
      <c r="BO178" s="90">
        <f t="shared" si="195"/>
        <v>2124985</v>
      </c>
      <c r="BP178" s="90">
        <f t="shared" si="194"/>
        <v>374997</v>
      </c>
      <c r="BQ178" s="90">
        <f t="shared" si="156"/>
        <v>2499982</v>
      </c>
      <c r="BR178" s="95"/>
      <c r="BS178" s="80"/>
    </row>
    <row r="179" spans="1:72" s="13" customFormat="1" ht="62.25" customHeight="1">
      <c r="A179" s="160" t="s">
        <v>122</v>
      </c>
      <c r="B179" s="138" t="s">
        <v>355</v>
      </c>
      <c r="C179" s="139">
        <v>2088081.2858879999</v>
      </c>
      <c r="D179" s="139"/>
      <c r="E179" s="139">
        <v>0</v>
      </c>
      <c r="F179" s="139">
        <v>0</v>
      </c>
      <c r="G179" s="139">
        <v>0</v>
      </c>
      <c r="H179" s="139">
        <v>0</v>
      </c>
      <c r="I179" s="139">
        <v>0</v>
      </c>
      <c r="J179" s="139">
        <v>53947.82</v>
      </c>
      <c r="K179" s="139">
        <v>0</v>
      </c>
      <c r="L179" s="139">
        <v>0</v>
      </c>
      <c r="M179" s="139">
        <v>0</v>
      </c>
      <c r="N179" s="139">
        <v>53947.82</v>
      </c>
      <c r="O179" s="139">
        <v>0</v>
      </c>
      <c r="P179" s="139">
        <v>0</v>
      </c>
      <c r="Q179" s="139">
        <v>0</v>
      </c>
      <c r="R179" s="139">
        <v>53947.82</v>
      </c>
      <c r="S179" s="139">
        <v>0</v>
      </c>
      <c r="T179" s="139">
        <v>0</v>
      </c>
      <c r="U179" s="139">
        <v>0</v>
      </c>
      <c r="V179" s="139">
        <v>53947.82</v>
      </c>
      <c r="W179" s="139">
        <v>0</v>
      </c>
      <c r="X179" s="139">
        <v>0</v>
      </c>
      <c r="Y179" s="139">
        <v>0</v>
      </c>
      <c r="Z179" s="139">
        <v>53947.82</v>
      </c>
      <c r="AA179" s="139">
        <v>0</v>
      </c>
      <c r="AB179" s="139">
        <v>0</v>
      </c>
      <c r="AC179" s="139">
        <v>0</v>
      </c>
      <c r="AD179" s="139">
        <v>53947.82</v>
      </c>
      <c r="AE179" s="139">
        <v>0</v>
      </c>
      <c r="AF179" s="139">
        <v>0</v>
      </c>
      <c r="AG179" s="139">
        <v>0</v>
      </c>
      <c r="AH179" s="139">
        <v>53947.82</v>
      </c>
      <c r="AI179" s="139">
        <v>0</v>
      </c>
      <c r="AJ179" s="139">
        <v>0</v>
      </c>
      <c r="AK179" s="139">
        <v>0</v>
      </c>
      <c r="AL179" s="139">
        <v>53947.82</v>
      </c>
      <c r="AM179" s="139">
        <v>0</v>
      </c>
      <c r="AN179" s="139">
        <v>0</v>
      </c>
      <c r="AO179" s="139">
        <v>0</v>
      </c>
      <c r="AP179" s="139">
        <v>53947.82</v>
      </c>
      <c r="AQ179" s="139">
        <v>0</v>
      </c>
      <c r="AR179" s="139">
        <v>0</v>
      </c>
      <c r="AS179" s="139">
        <v>0</v>
      </c>
      <c r="AT179" s="139">
        <v>53947.82</v>
      </c>
      <c r="AU179" s="139">
        <v>0</v>
      </c>
      <c r="AV179" s="139">
        <v>0</v>
      </c>
      <c r="AW179" s="139">
        <v>0</v>
      </c>
      <c r="AX179" s="139">
        <v>53947.82</v>
      </c>
      <c r="AY179" s="139">
        <v>0</v>
      </c>
      <c r="AZ179" s="139">
        <v>0</v>
      </c>
      <c r="BA179" s="139">
        <v>0</v>
      </c>
      <c r="BB179" s="90">
        <v>0</v>
      </c>
      <c r="BC179" s="90">
        <v>0</v>
      </c>
      <c r="BD179" s="90">
        <v>0</v>
      </c>
      <c r="BE179" s="90">
        <v>0</v>
      </c>
      <c r="BF179" s="90">
        <v>0</v>
      </c>
      <c r="BG179" s="90">
        <v>0</v>
      </c>
      <c r="BH179" s="90">
        <v>0</v>
      </c>
      <c r="BI179" s="90">
        <v>0</v>
      </c>
      <c r="BJ179" s="90">
        <v>14526</v>
      </c>
      <c r="BK179" s="90">
        <v>0</v>
      </c>
      <c r="BL179" s="90">
        <v>0</v>
      </c>
      <c r="BM179" s="90">
        <v>0</v>
      </c>
      <c r="BN179" s="90" t="e">
        <f>#REF!+AX179+BB179+BF179+BJ179</f>
        <v>#REF!</v>
      </c>
      <c r="BO179" s="90">
        <f t="shared" si="195"/>
        <v>0</v>
      </c>
      <c r="BP179" s="90">
        <f t="shared" si="194"/>
        <v>0</v>
      </c>
      <c r="BQ179" s="90">
        <f t="shared" si="156"/>
        <v>0</v>
      </c>
      <c r="BR179" s="95" t="s">
        <v>424</v>
      </c>
      <c r="BS179" s="80"/>
    </row>
    <row r="180" spans="1:72" s="7" customFormat="1">
      <c r="A180" s="146"/>
      <c r="B180" s="133" t="s">
        <v>354</v>
      </c>
      <c r="C180" s="134">
        <f t="shared" ref="C180" si="202">C181+C189+C196+C202</f>
        <v>1082161120.5546119</v>
      </c>
      <c r="D180" s="134"/>
      <c r="E180" s="134">
        <f t="shared" ref="E180:BM180" si="203">E181+E189+E196+E202</f>
        <v>176898092</v>
      </c>
      <c r="F180" s="134">
        <f t="shared" si="203"/>
        <v>3628295.99</v>
      </c>
      <c r="G180" s="134">
        <f t="shared" si="203"/>
        <v>1819507.08</v>
      </c>
      <c r="H180" s="134">
        <f t="shared" si="203"/>
        <v>198345.34117647057</v>
      </c>
      <c r="I180" s="134">
        <f t="shared" si="203"/>
        <v>3034592.9411764704</v>
      </c>
      <c r="J180" s="134">
        <f t="shared" si="203"/>
        <v>6398722.3799999999</v>
      </c>
      <c r="K180" s="134">
        <f t="shared" si="203"/>
        <v>4658423.6399999997</v>
      </c>
      <c r="L180" s="134">
        <f t="shared" si="203"/>
        <v>345892.04411764705</v>
      </c>
      <c r="M180" s="134">
        <f t="shared" si="203"/>
        <v>7058799.2941176472</v>
      </c>
      <c r="N180" s="134">
        <f t="shared" si="203"/>
        <v>11448869.09</v>
      </c>
      <c r="O180" s="134">
        <f t="shared" si="203"/>
        <v>10088530.84</v>
      </c>
      <c r="P180" s="134">
        <f t="shared" si="203"/>
        <v>668189.12294117652</v>
      </c>
      <c r="Q180" s="134">
        <f t="shared" si="203"/>
        <v>12565632.352941176</v>
      </c>
      <c r="R180" s="134">
        <f t="shared" si="203"/>
        <v>28145553.289999999</v>
      </c>
      <c r="S180" s="134">
        <f t="shared" si="203"/>
        <v>19926910.489999998</v>
      </c>
      <c r="T180" s="134">
        <f t="shared" si="203"/>
        <v>1071865.4429411765</v>
      </c>
      <c r="U180" s="134">
        <f t="shared" si="203"/>
        <v>21711459.352941178</v>
      </c>
      <c r="V180" s="134">
        <f t="shared" si="203"/>
        <v>39795413.890000001</v>
      </c>
      <c r="W180" s="134">
        <f t="shared" si="203"/>
        <v>36753579</v>
      </c>
      <c r="X180" s="134">
        <f t="shared" si="203"/>
        <v>2994116.4829411767</v>
      </c>
      <c r="Y180" s="134">
        <f t="shared" si="203"/>
        <v>39690031.352941178</v>
      </c>
      <c r="Z180" s="134">
        <f t="shared" si="203"/>
        <v>52995467.000000007</v>
      </c>
      <c r="AA180" s="134">
        <f t="shared" si="203"/>
        <v>57419764.240000002</v>
      </c>
      <c r="AB180" s="134">
        <f t="shared" si="203"/>
        <v>4335553.4111764701</v>
      </c>
      <c r="AC180" s="134">
        <f t="shared" si="203"/>
        <v>62271136.941176474</v>
      </c>
      <c r="AD180" s="134">
        <f t="shared" si="203"/>
        <v>69231349.060000002</v>
      </c>
      <c r="AE180" s="134">
        <f t="shared" si="203"/>
        <v>82873044.670000002</v>
      </c>
      <c r="AF180" s="134">
        <f t="shared" si="203"/>
        <v>7027873.0058823535</v>
      </c>
      <c r="AG180" s="134">
        <f t="shared" si="203"/>
        <v>89062303.705882356</v>
      </c>
      <c r="AH180" s="134">
        <f t="shared" si="203"/>
        <v>80920463.859999999</v>
      </c>
      <c r="AI180" s="134">
        <f t="shared" si="203"/>
        <v>103507369.63</v>
      </c>
      <c r="AJ180" s="134">
        <f t="shared" si="203"/>
        <v>8700229.2176470589</v>
      </c>
      <c r="AK180" s="134">
        <f t="shared" si="203"/>
        <v>111305698.11764705</v>
      </c>
      <c r="AL180" s="134">
        <f t="shared" si="203"/>
        <v>117923187.61087501</v>
      </c>
      <c r="AM180" s="134">
        <f t="shared" si="203"/>
        <v>147955102.56087503</v>
      </c>
      <c r="AN180" s="134">
        <f t="shared" si="203"/>
        <v>10001084.714705881</v>
      </c>
      <c r="AO180" s="134">
        <f t="shared" si="203"/>
        <v>135520679.7647059</v>
      </c>
      <c r="AP180" s="134">
        <f t="shared" si="203"/>
        <v>161823599.56</v>
      </c>
      <c r="AQ180" s="134">
        <f t="shared" si="203"/>
        <v>176694986.82000002</v>
      </c>
      <c r="AR180" s="134">
        <f t="shared" si="203"/>
        <v>12055365.452941176</v>
      </c>
      <c r="AS180" s="134">
        <f t="shared" si="203"/>
        <v>163934774.35294119</v>
      </c>
      <c r="AT180" s="134">
        <f t="shared" si="203"/>
        <v>172368771.09999999</v>
      </c>
      <c r="AU180" s="134">
        <f t="shared" si="203"/>
        <v>191608433</v>
      </c>
      <c r="AV180" s="134">
        <f t="shared" si="203"/>
        <v>13305079.352941178</v>
      </c>
      <c r="AW180" s="134">
        <f t="shared" si="203"/>
        <v>169040931</v>
      </c>
      <c r="AX180" s="134">
        <f t="shared" si="203"/>
        <v>200398231.39087498</v>
      </c>
      <c r="AY180" s="134">
        <f t="shared" si="203"/>
        <v>215063923.92087501</v>
      </c>
      <c r="AZ180" s="134">
        <f t="shared" si="203"/>
        <v>13433472.284317048</v>
      </c>
      <c r="BA180" s="134">
        <f t="shared" si="203"/>
        <v>176898092</v>
      </c>
      <c r="BB180" s="87">
        <f t="shared" si="203"/>
        <v>223700902.724125</v>
      </c>
      <c r="BC180" s="87">
        <f t="shared" si="203"/>
        <v>223731103.254125</v>
      </c>
      <c r="BD180" s="87">
        <f t="shared" si="203"/>
        <v>12241397.284325393</v>
      </c>
      <c r="BE180" s="87">
        <f t="shared" si="203"/>
        <v>176868890</v>
      </c>
      <c r="BF180" s="87">
        <f t="shared" si="203"/>
        <v>136356514.36687198</v>
      </c>
      <c r="BG180" s="87">
        <f t="shared" si="203"/>
        <v>136851206.10687199</v>
      </c>
      <c r="BH180" s="87">
        <f t="shared" si="203"/>
        <v>5272773.2070588246</v>
      </c>
      <c r="BI180" s="87">
        <f t="shared" si="203"/>
        <v>91139449</v>
      </c>
      <c r="BJ180" s="87">
        <f t="shared" si="203"/>
        <v>71808868.189999998</v>
      </c>
      <c r="BK180" s="87">
        <f t="shared" si="203"/>
        <v>62590648.210000001</v>
      </c>
      <c r="BL180" s="87">
        <f t="shared" si="203"/>
        <v>1282820.78</v>
      </c>
      <c r="BM180" s="87">
        <f t="shared" si="203"/>
        <v>3805390</v>
      </c>
      <c r="BN180" s="87" t="e">
        <f>#REF!+AX180+BB180+BF180+BJ180</f>
        <v>#REF!</v>
      </c>
      <c r="BO180" s="87">
        <f t="shared" si="195"/>
        <v>638236881.49187207</v>
      </c>
      <c r="BP180" s="87">
        <f t="shared" si="194"/>
        <v>32230463.555701267</v>
      </c>
      <c r="BQ180" s="87">
        <f t="shared" si="156"/>
        <v>670467345.04757333</v>
      </c>
      <c r="BR180" s="82"/>
      <c r="BS180" s="80"/>
    </row>
    <row r="181" spans="1:72" s="2" customFormat="1" ht="61.5" customHeight="1">
      <c r="A181" s="141"/>
      <c r="B181" s="136" t="s">
        <v>353</v>
      </c>
      <c r="C181" s="137">
        <f t="shared" ref="C181:BM181" si="204">SUM(C182:C188)</f>
        <v>405680525.60073596</v>
      </c>
      <c r="D181" s="137"/>
      <c r="E181" s="137">
        <f t="shared" ref="E181" si="205">SUM(E182:E188)</f>
        <v>33531448</v>
      </c>
      <c r="F181" s="137">
        <f t="shared" ref="F181:M181" si="206">SUM(F182:F188)</f>
        <v>370331.99</v>
      </c>
      <c r="G181" s="137">
        <f t="shared" si="206"/>
        <v>370331.99</v>
      </c>
      <c r="H181" s="137">
        <f t="shared" si="206"/>
        <v>18925.400000000001</v>
      </c>
      <c r="I181" s="137">
        <f t="shared" si="206"/>
        <v>1469787</v>
      </c>
      <c r="J181" s="137">
        <f t="shared" si="206"/>
        <v>1229909.69</v>
      </c>
      <c r="K181" s="137">
        <f t="shared" si="206"/>
        <v>1385684.83</v>
      </c>
      <c r="L181" s="137">
        <f t="shared" si="206"/>
        <v>123757.75</v>
      </c>
      <c r="M181" s="137">
        <f t="shared" si="206"/>
        <v>3704812</v>
      </c>
      <c r="N181" s="137">
        <f t="shared" si="204"/>
        <v>3270271.6700000004</v>
      </c>
      <c r="O181" s="137">
        <f t="shared" si="204"/>
        <v>3477680.6500000004</v>
      </c>
      <c r="P181" s="137">
        <f t="shared" si="204"/>
        <v>274164.77</v>
      </c>
      <c r="Q181" s="137">
        <f t="shared" si="204"/>
        <v>5785245</v>
      </c>
      <c r="R181" s="137">
        <f t="shared" si="204"/>
        <v>6566796.8300000001</v>
      </c>
      <c r="S181" s="137">
        <f t="shared" si="204"/>
        <v>6577826.6500000004</v>
      </c>
      <c r="T181" s="137">
        <f t="shared" si="204"/>
        <v>279123.09000000003</v>
      </c>
      <c r="U181" s="137">
        <f t="shared" si="204"/>
        <v>7875715</v>
      </c>
      <c r="V181" s="137">
        <f t="shared" ref="V181:Y181" si="207">SUM(V182:V188)</f>
        <v>9480674.6400000006</v>
      </c>
      <c r="W181" s="137">
        <f t="shared" si="207"/>
        <v>9900755.3000000007</v>
      </c>
      <c r="X181" s="137">
        <f t="shared" si="207"/>
        <v>348959.13</v>
      </c>
      <c r="Y181" s="137">
        <f t="shared" si="207"/>
        <v>10582697</v>
      </c>
      <c r="Z181" s="137">
        <f t="shared" si="204"/>
        <v>13016861.260000002</v>
      </c>
      <c r="AA181" s="137">
        <f t="shared" si="204"/>
        <v>13523615.760000002</v>
      </c>
      <c r="AB181" s="137">
        <f t="shared" si="204"/>
        <v>391415.47</v>
      </c>
      <c r="AC181" s="137">
        <f t="shared" si="204"/>
        <v>14916045</v>
      </c>
      <c r="AD181" s="137">
        <f t="shared" si="204"/>
        <v>16658364.920000002</v>
      </c>
      <c r="AE181" s="137">
        <f t="shared" si="204"/>
        <v>17218126.970000003</v>
      </c>
      <c r="AF181" s="137">
        <f t="shared" si="204"/>
        <v>405079.3</v>
      </c>
      <c r="AG181" s="137">
        <f t="shared" si="204"/>
        <v>17357189</v>
      </c>
      <c r="AH181" s="137">
        <f t="shared" ref="AH181:AK181" si="208">SUM(AH182:AH188)</f>
        <v>20312713.150000002</v>
      </c>
      <c r="AI181" s="137">
        <f t="shared" si="208"/>
        <v>20869129.550000001</v>
      </c>
      <c r="AJ181" s="137">
        <f t="shared" si="208"/>
        <v>441840.1</v>
      </c>
      <c r="AK181" s="137">
        <f t="shared" si="208"/>
        <v>21075088</v>
      </c>
      <c r="AL181" s="137">
        <f t="shared" si="204"/>
        <v>22665428.900000002</v>
      </c>
      <c r="AM181" s="137">
        <f t="shared" si="204"/>
        <v>23418890.490000002</v>
      </c>
      <c r="AN181" s="137">
        <f t="shared" si="204"/>
        <v>470524.94999999995</v>
      </c>
      <c r="AO181" s="137">
        <f t="shared" si="204"/>
        <v>23986170</v>
      </c>
      <c r="AP181" s="137">
        <f t="shared" si="204"/>
        <v>27732749.280000001</v>
      </c>
      <c r="AQ181" s="137">
        <f t="shared" si="204"/>
        <v>29419035.359999999</v>
      </c>
      <c r="AR181" s="137">
        <f t="shared" si="204"/>
        <v>625281.1</v>
      </c>
      <c r="AS181" s="137">
        <f t="shared" si="204"/>
        <v>26723154</v>
      </c>
      <c r="AT181" s="137">
        <f t="shared" ref="AT181:AW181" si="209">SUM(AT182:AT188)</f>
        <v>35011019.079999998</v>
      </c>
      <c r="AU181" s="137">
        <f t="shared" si="209"/>
        <v>36984752.080000006</v>
      </c>
      <c r="AV181" s="137">
        <f t="shared" si="209"/>
        <v>1153005.9999999998</v>
      </c>
      <c r="AW181" s="137">
        <f t="shared" si="209"/>
        <v>29459889</v>
      </c>
      <c r="AX181" s="137">
        <f t="shared" si="204"/>
        <v>40493679.950000003</v>
      </c>
      <c r="AY181" s="137">
        <f t="shared" si="204"/>
        <v>41051510.510000005</v>
      </c>
      <c r="AZ181" s="137">
        <f t="shared" si="204"/>
        <v>1284745.5699999998</v>
      </c>
      <c r="BA181" s="137">
        <f t="shared" si="204"/>
        <v>33531448</v>
      </c>
      <c r="BB181" s="88">
        <f t="shared" si="204"/>
        <v>60341405.93</v>
      </c>
      <c r="BC181" s="88">
        <f t="shared" si="204"/>
        <v>59783575.369999997</v>
      </c>
      <c r="BD181" s="88">
        <f t="shared" si="204"/>
        <v>409448.15</v>
      </c>
      <c r="BE181" s="88">
        <f t="shared" si="204"/>
        <v>33662283</v>
      </c>
      <c r="BF181" s="88">
        <f t="shared" si="204"/>
        <v>44853310.989999995</v>
      </c>
      <c r="BG181" s="88">
        <f t="shared" si="204"/>
        <v>44853310.989999995</v>
      </c>
      <c r="BH181" s="88">
        <f t="shared" si="204"/>
        <v>604893.56000000006</v>
      </c>
      <c r="BI181" s="88">
        <f t="shared" si="204"/>
        <v>19551010</v>
      </c>
      <c r="BJ181" s="88">
        <f t="shared" si="204"/>
        <v>30273521.640000001</v>
      </c>
      <c r="BK181" s="88">
        <f t="shared" si="204"/>
        <v>30273521.640000001</v>
      </c>
      <c r="BL181" s="88">
        <f t="shared" si="204"/>
        <v>800993.78</v>
      </c>
      <c r="BM181" s="88">
        <f t="shared" si="204"/>
        <v>3037188</v>
      </c>
      <c r="BN181" s="88" t="e">
        <f>#REF!+AX181+BB181+BF181+BJ181</f>
        <v>#REF!</v>
      </c>
      <c r="BO181" s="88">
        <f t="shared" si="195"/>
        <v>175961918.50999999</v>
      </c>
      <c r="BP181" s="88">
        <f t="shared" si="194"/>
        <v>3100081.0599999996</v>
      </c>
      <c r="BQ181" s="88">
        <f t="shared" si="156"/>
        <v>179061999.56999999</v>
      </c>
      <c r="BR181" s="89"/>
      <c r="BS181" s="80"/>
      <c r="BT181" s="8"/>
    </row>
    <row r="182" spans="1:72" s="13" customFormat="1" ht="90.75" customHeight="1">
      <c r="A182" s="138" t="s">
        <v>139</v>
      </c>
      <c r="B182" s="138" t="s">
        <v>352</v>
      </c>
      <c r="C182" s="139">
        <v>11069163</v>
      </c>
      <c r="D182" s="139"/>
      <c r="E182" s="139">
        <v>0</v>
      </c>
      <c r="F182" s="139">
        <v>0</v>
      </c>
      <c r="G182" s="139">
        <v>0</v>
      </c>
      <c r="H182" s="139">
        <v>0</v>
      </c>
      <c r="I182" s="139">
        <v>0</v>
      </c>
      <c r="J182" s="139">
        <v>0</v>
      </c>
      <c r="K182" s="139">
        <v>0</v>
      </c>
      <c r="L182" s="139">
        <v>0</v>
      </c>
      <c r="M182" s="139">
        <f t="shared" ref="M182:M187" si="210">I182</f>
        <v>0</v>
      </c>
      <c r="N182" s="139">
        <v>0</v>
      </c>
      <c r="O182" s="139">
        <v>0</v>
      </c>
      <c r="P182" s="139">
        <v>0</v>
      </c>
      <c r="Q182" s="139">
        <f t="shared" ref="Q182:Q187" si="211">M182</f>
        <v>0</v>
      </c>
      <c r="R182" s="139">
        <v>0</v>
      </c>
      <c r="S182" s="139">
        <v>0</v>
      </c>
      <c r="T182" s="139">
        <v>0</v>
      </c>
      <c r="U182" s="139">
        <f t="shared" ref="U182:U187" si="212">Q182</f>
        <v>0</v>
      </c>
      <c r="V182" s="139">
        <v>0</v>
      </c>
      <c r="W182" s="139">
        <v>0</v>
      </c>
      <c r="X182" s="139">
        <v>0</v>
      </c>
      <c r="Y182" s="139">
        <f t="shared" ref="Y182" si="213">U182</f>
        <v>0</v>
      </c>
      <c r="Z182" s="139">
        <v>0</v>
      </c>
      <c r="AA182" s="139">
        <v>0</v>
      </c>
      <c r="AB182" s="139">
        <v>0</v>
      </c>
      <c r="AC182" s="139">
        <f t="shared" ref="AC182:AC187" si="214">Y182</f>
        <v>0</v>
      </c>
      <c r="AD182" s="139">
        <v>0</v>
      </c>
      <c r="AE182" s="139">
        <v>0</v>
      </c>
      <c r="AF182" s="139">
        <v>0</v>
      </c>
      <c r="AG182" s="139">
        <f t="shared" ref="AG182:AG187" si="215">AC182</f>
        <v>0</v>
      </c>
      <c r="AH182" s="139">
        <v>0</v>
      </c>
      <c r="AI182" s="139">
        <v>0</v>
      </c>
      <c r="AJ182" s="139">
        <v>0</v>
      </c>
      <c r="AK182" s="139">
        <f t="shared" ref="AK182" si="216">AG182</f>
        <v>0</v>
      </c>
      <c r="AL182" s="139">
        <v>0</v>
      </c>
      <c r="AM182" s="139">
        <v>0</v>
      </c>
      <c r="AN182" s="139">
        <v>0</v>
      </c>
      <c r="AO182" s="139">
        <f t="shared" ref="AO182:AO187" si="217">AK182</f>
        <v>0</v>
      </c>
      <c r="AP182" s="139">
        <v>0</v>
      </c>
      <c r="AQ182" s="139">
        <v>0</v>
      </c>
      <c r="AR182" s="139">
        <v>0</v>
      </c>
      <c r="AS182" s="139">
        <f t="shared" ref="AS182:AS187" si="218">AO182</f>
        <v>0</v>
      </c>
      <c r="AT182" s="139">
        <v>0</v>
      </c>
      <c r="AU182" s="139">
        <v>0</v>
      </c>
      <c r="AV182" s="139">
        <v>0</v>
      </c>
      <c r="AW182" s="139">
        <f t="shared" ref="AW182:AW187" si="219">AS182</f>
        <v>0</v>
      </c>
      <c r="AX182" s="139">
        <v>0</v>
      </c>
      <c r="AY182" s="139">
        <v>0</v>
      </c>
      <c r="AZ182" s="139">
        <v>0</v>
      </c>
      <c r="BA182" s="139">
        <f t="shared" ref="BA182:BA187" si="220">AW182</f>
        <v>0</v>
      </c>
      <c r="BB182" s="90">
        <v>3874207.05</v>
      </c>
      <c r="BC182" s="90">
        <v>3874207.05</v>
      </c>
      <c r="BD182" s="90">
        <v>0</v>
      </c>
      <c r="BE182" s="90">
        <v>0</v>
      </c>
      <c r="BF182" s="90">
        <v>4427665.2</v>
      </c>
      <c r="BG182" s="90">
        <v>4427665.2</v>
      </c>
      <c r="BH182" s="90">
        <v>0</v>
      </c>
      <c r="BI182" s="90">
        <v>0</v>
      </c>
      <c r="BJ182" s="90">
        <v>2767290.75</v>
      </c>
      <c r="BK182" s="90">
        <v>2767290.75</v>
      </c>
      <c r="BL182" s="90">
        <v>0</v>
      </c>
      <c r="BM182" s="90">
        <v>0</v>
      </c>
      <c r="BN182" s="90" t="e">
        <f>#REF!+AX182+BB182+BF182+BJ182</f>
        <v>#REF!</v>
      </c>
      <c r="BO182" s="90">
        <f t="shared" si="195"/>
        <v>11069163</v>
      </c>
      <c r="BP182" s="90">
        <f t="shared" si="194"/>
        <v>0</v>
      </c>
      <c r="BQ182" s="90">
        <f t="shared" si="156"/>
        <v>11069163</v>
      </c>
      <c r="BR182" s="98" t="s">
        <v>205</v>
      </c>
      <c r="BS182" s="80"/>
    </row>
    <row r="183" spans="1:72" s="13" customFormat="1" ht="90.75" customHeight="1">
      <c r="A183" s="138" t="s">
        <v>123</v>
      </c>
      <c r="B183" s="138" t="s">
        <v>351</v>
      </c>
      <c r="C183" s="139">
        <v>301861417.726008</v>
      </c>
      <c r="D183" s="139"/>
      <c r="E183" s="139">
        <v>22451757</v>
      </c>
      <c r="F183" s="139">
        <v>317261.99</v>
      </c>
      <c r="G183" s="139">
        <v>317261.99</v>
      </c>
      <c r="H183" s="139">
        <v>18925.400000000001</v>
      </c>
      <c r="I183" s="139">
        <v>554862</v>
      </c>
      <c r="J183" s="139">
        <f>830455.55+F183</f>
        <v>1147717.54</v>
      </c>
      <c r="K183" s="139">
        <f>830455.55+G183</f>
        <v>1147717.54</v>
      </c>
      <c r="L183" s="139">
        <f>104832.35+H183</f>
        <v>123757.75</v>
      </c>
      <c r="M183" s="139">
        <f>902467+I183</f>
        <v>1457329</v>
      </c>
      <c r="N183" s="139">
        <f>1446825.46+J183</f>
        <v>2594543</v>
      </c>
      <c r="O183" s="139">
        <f>1446825.46+K183</f>
        <v>2594543</v>
      </c>
      <c r="P183" s="139">
        <f>150407.02+L183</f>
        <v>274164.77</v>
      </c>
      <c r="Q183" s="139">
        <f>1295608+M183</f>
        <v>2752937</v>
      </c>
      <c r="R183" s="139">
        <f>1826539.2+N183</f>
        <v>4421082.2</v>
      </c>
      <c r="S183" s="139">
        <f>1826539.2+O183</f>
        <v>4421082.2</v>
      </c>
      <c r="T183" s="139">
        <f>4958.32+P183</f>
        <v>279123.09000000003</v>
      </c>
      <c r="U183" s="139">
        <f>1798488+Q183</f>
        <v>4551425</v>
      </c>
      <c r="V183" s="139">
        <f>1975589.57+R183</f>
        <v>6396671.7700000005</v>
      </c>
      <c r="W183" s="139">
        <f>1975589.57+S183</f>
        <v>6396671.7700000005</v>
      </c>
      <c r="X183" s="139">
        <f>69836.04+T183</f>
        <v>348959.13</v>
      </c>
      <c r="Y183" s="139">
        <f>1463168+U183</f>
        <v>6014593</v>
      </c>
      <c r="Z183" s="139">
        <f>2747839.74+V183</f>
        <v>9144511.5100000016</v>
      </c>
      <c r="AA183" s="139">
        <f>2747839.74+W183</f>
        <v>9144511.5100000016</v>
      </c>
      <c r="AB183" s="139">
        <f>42456.34+X183</f>
        <v>391415.47</v>
      </c>
      <c r="AC183" s="139">
        <f>3129511+Y183</f>
        <v>9144104</v>
      </c>
      <c r="AD183" s="139">
        <f>2167025.12+Z183</f>
        <v>11311536.630000003</v>
      </c>
      <c r="AE183" s="139">
        <f>2167025.12+AA183</f>
        <v>11311536.630000003</v>
      </c>
      <c r="AF183" s="139">
        <f>13663.83+AB183</f>
        <v>405079.3</v>
      </c>
      <c r="AG183" s="139">
        <f>2082565+AC183</f>
        <v>11226669</v>
      </c>
      <c r="AH183" s="139">
        <f>2945983+AD183</f>
        <v>14257519.630000003</v>
      </c>
      <c r="AI183" s="139">
        <f>2945983+AE183</f>
        <v>14257519.630000003</v>
      </c>
      <c r="AJ183" s="139">
        <f>28315.74+AF183</f>
        <v>433395.04</v>
      </c>
      <c r="AK183" s="139">
        <f>2150383+AG183</f>
        <v>13377052</v>
      </c>
      <c r="AL183" s="139">
        <f>1667598.99+AH183</f>
        <v>15925118.620000003</v>
      </c>
      <c r="AM183" s="139">
        <f>1667598.99+AI183</f>
        <v>15925118.620000003</v>
      </c>
      <c r="AN183" s="139">
        <f>7996.49+AJ183</f>
        <v>441391.52999999997</v>
      </c>
      <c r="AO183" s="139">
        <f>2213678+AK183</f>
        <v>15590730</v>
      </c>
      <c r="AP183" s="139">
        <f>2927165.74+AL183</f>
        <v>18852284.360000003</v>
      </c>
      <c r="AQ183" s="139">
        <f>2927165.74+AM183</f>
        <v>18852284.360000003</v>
      </c>
      <c r="AR183" s="139">
        <f>149762.64+AN183</f>
        <v>591154.16999999993</v>
      </c>
      <c r="AS183" s="139">
        <f>1979001+AO183</f>
        <v>17569731</v>
      </c>
      <c r="AT183" s="139">
        <f>6874100.33+AP183</f>
        <v>25726384.690000005</v>
      </c>
      <c r="AU183" s="139">
        <f>6874100.33+AQ183</f>
        <v>25726384.690000005</v>
      </c>
      <c r="AV183" s="139">
        <f>527724.9+AR183</f>
        <v>1118879.0699999998</v>
      </c>
      <c r="AW183" s="139">
        <f>2298122+AS183</f>
        <v>19867853</v>
      </c>
      <c r="AX183" s="139">
        <f>2694403.41+AT183</f>
        <v>28420788.100000005</v>
      </c>
      <c r="AY183" s="139">
        <f>2694403.41+AU183</f>
        <v>28420788.100000005</v>
      </c>
      <c r="AZ183" s="139">
        <f>131739.57+AV183</f>
        <v>1250618.6399999999</v>
      </c>
      <c r="BA183" s="139">
        <f>2583904+AW183</f>
        <v>22451757</v>
      </c>
      <c r="BB183" s="90">
        <v>38658431.240000002</v>
      </c>
      <c r="BC183" s="90">
        <v>38658431.240000002</v>
      </c>
      <c r="BD183" s="90">
        <v>241253.67</v>
      </c>
      <c r="BE183" s="90">
        <v>30367794</v>
      </c>
      <c r="BF183" s="90">
        <v>19370314.829999998</v>
      </c>
      <c r="BG183" s="90">
        <v>19370314.829999998</v>
      </c>
      <c r="BH183" s="90">
        <v>402089.45</v>
      </c>
      <c r="BI183" s="90">
        <v>18141799</v>
      </c>
      <c r="BJ183" s="90">
        <v>10794476.18</v>
      </c>
      <c r="BK183" s="90">
        <v>10794476.18</v>
      </c>
      <c r="BL183" s="90">
        <v>656200.87</v>
      </c>
      <c r="BM183" s="90">
        <v>2504658</v>
      </c>
      <c r="BN183" s="90" t="e">
        <f>#REF!+AX183+BB183+BF183+BJ183</f>
        <v>#REF!</v>
      </c>
      <c r="BO183" s="90">
        <f t="shared" si="195"/>
        <v>97244010.349999994</v>
      </c>
      <c r="BP183" s="90">
        <f t="shared" si="194"/>
        <v>2550162.63</v>
      </c>
      <c r="BQ183" s="90">
        <f>BO183+BP183</f>
        <v>99794172.979999989</v>
      </c>
      <c r="BR183" s="95" t="s">
        <v>206</v>
      </c>
      <c r="BS183" s="80"/>
    </row>
    <row r="184" spans="1:72" s="13" customFormat="1" ht="62.25" customHeight="1">
      <c r="A184" s="138" t="s">
        <v>124</v>
      </c>
      <c r="B184" s="138" t="s">
        <v>350</v>
      </c>
      <c r="C184" s="139">
        <v>13774958.4</v>
      </c>
      <c r="D184" s="139"/>
      <c r="E184" s="139">
        <v>1683015</v>
      </c>
      <c r="F184" s="139">
        <v>0</v>
      </c>
      <c r="G184" s="139">
        <v>0</v>
      </c>
      <c r="H184" s="139">
        <v>0</v>
      </c>
      <c r="I184" s="139">
        <v>0</v>
      </c>
      <c r="J184" s="139">
        <v>29122.150000000005</v>
      </c>
      <c r="K184" s="139">
        <v>29122.150000000005</v>
      </c>
      <c r="L184" s="139">
        <v>0</v>
      </c>
      <c r="M184" s="139">
        <f>I184+0</f>
        <v>0</v>
      </c>
      <c r="N184" s="139">
        <f>156329.84+J184</f>
        <v>185451.99</v>
      </c>
      <c r="O184" s="139">
        <f>156329.84+K184</f>
        <v>185451.99</v>
      </c>
      <c r="P184" s="139">
        <v>0</v>
      </c>
      <c r="Q184" s="139">
        <f>54264+M184</f>
        <v>54264</v>
      </c>
      <c r="R184" s="139">
        <f>41238.46+N184</f>
        <v>226690.44999999998</v>
      </c>
      <c r="S184" s="139">
        <f>41238.46+O184</f>
        <v>226690.44999999998</v>
      </c>
      <c r="T184" s="139">
        <v>0</v>
      </c>
      <c r="U184" s="139">
        <f>84305+Q184</f>
        <v>138569</v>
      </c>
      <c r="V184" s="139">
        <f>13085.28+R184</f>
        <v>239775.72999999998</v>
      </c>
      <c r="W184" s="139">
        <f>13085.28+S184</f>
        <v>239775.72999999998</v>
      </c>
      <c r="X184" s="139">
        <v>0</v>
      </c>
      <c r="Y184" s="139">
        <f>U184+0</f>
        <v>138569</v>
      </c>
      <c r="Z184" s="139">
        <f>223775.91+V184</f>
        <v>463551.64</v>
      </c>
      <c r="AA184" s="139">
        <f>223775.91+W184</f>
        <v>463551.64</v>
      </c>
      <c r="AB184" s="139">
        <v>0</v>
      </c>
      <c r="AC184" s="139">
        <f>571729+Y184</f>
        <v>710298</v>
      </c>
      <c r="AD184" s="139">
        <f>244934.81+Z184</f>
        <v>708486.45</v>
      </c>
      <c r="AE184" s="139">
        <f>244934.81+AA184</f>
        <v>708486.45</v>
      </c>
      <c r="AF184" s="139">
        <v>0</v>
      </c>
      <c r="AG184" s="139">
        <f>36301+AC184</f>
        <v>746599</v>
      </c>
      <c r="AH184" s="139">
        <f>158323.18+AD184</f>
        <v>866809.62999999989</v>
      </c>
      <c r="AI184" s="139">
        <f>158323.18+AE184</f>
        <v>866809.62999999989</v>
      </c>
      <c r="AJ184" s="139">
        <v>0</v>
      </c>
      <c r="AK184" s="139">
        <f>481078+AG184</f>
        <v>1227677</v>
      </c>
      <c r="AL184" s="139">
        <f>172583+AH184</f>
        <v>1039392.6299999999</v>
      </c>
      <c r="AM184" s="139">
        <f t="shared" ref="AM184" si="221">172583+AI184</f>
        <v>1039392.6299999999</v>
      </c>
      <c r="AN184" s="139">
        <v>0</v>
      </c>
      <c r="AO184" s="139">
        <f>15137+AK184</f>
        <v>1242814</v>
      </c>
      <c r="AP184" s="139">
        <f>612427.26+AL184</f>
        <v>1651819.89</v>
      </c>
      <c r="AQ184" s="139">
        <f>612427.26+AM184</f>
        <v>1651819.89</v>
      </c>
      <c r="AR184" s="139">
        <v>0</v>
      </c>
      <c r="AS184" s="139">
        <f>77892+AO184</f>
        <v>1320706</v>
      </c>
      <c r="AT184" s="139">
        <f>23649.2+AP184</f>
        <v>1675469.0899999999</v>
      </c>
      <c r="AU184" s="139">
        <f>23649.2+AQ184</f>
        <v>1675469.0899999999</v>
      </c>
      <c r="AV184" s="139">
        <v>0</v>
      </c>
      <c r="AW184" s="139">
        <f>AS184+0</f>
        <v>1320706</v>
      </c>
      <c r="AX184" s="139">
        <f>7545.91+AT184</f>
        <v>1683014.9999999998</v>
      </c>
      <c r="AY184" s="139">
        <f>7545.91+AU184</f>
        <v>1683014.9999999998</v>
      </c>
      <c r="AZ184" s="139">
        <v>0</v>
      </c>
      <c r="BA184" s="139">
        <f>362309+AW184</f>
        <v>1683015</v>
      </c>
      <c r="BB184" s="90">
        <v>2207851.5699999998</v>
      </c>
      <c r="BC184" s="90">
        <v>2207851.5699999998</v>
      </c>
      <c r="BD184" s="90">
        <v>0</v>
      </c>
      <c r="BE184" s="90">
        <v>900509</v>
      </c>
      <c r="BF184" s="90">
        <v>2389002.4</v>
      </c>
      <c r="BG184" s="90">
        <v>2389002.4</v>
      </c>
      <c r="BH184" s="90">
        <v>0</v>
      </c>
      <c r="BI184" s="90">
        <v>0</v>
      </c>
      <c r="BJ184" s="90">
        <v>3911669.7500000009</v>
      </c>
      <c r="BK184" s="90">
        <v>3911669.7500000009</v>
      </c>
      <c r="BL184" s="90">
        <v>0</v>
      </c>
      <c r="BM184" s="90">
        <v>0</v>
      </c>
      <c r="BN184" s="90" t="e">
        <f>#REF!+AX184+BB184+BF184+BJ184</f>
        <v>#REF!</v>
      </c>
      <c r="BO184" s="90">
        <f t="shared" si="195"/>
        <v>10191538.719999999</v>
      </c>
      <c r="BP184" s="90">
        <f t="shared" si="194"/>
        <v>0</v>
      </c>
      <c r="BQ184" s="90">
        <f t="shared" si="156"/>
        <v>10191538.719999999</v>
      </c>
      <c r="BR184" s="95" t="s">
        <v>202</v>
      </c>
      <c r="BS184" s="80"/>
    </row>
    <row r="185" spans="1:72" s="13" customFormat="1" ht="62.25" customHeight="1">
      <c r="A185" s="138" t="s">
        <v>125</v>
      </c>
      <c r="B185" s="138" t="s">
        <v>356</v>
      </c>
      <c r="C185" s="139">
        <v>28182440.399999999</v>
      </c>
      <c r="D185" s="139"/>
      <c r="E185" s="139">
        <v>4543513</v>
      </c>
      <c r="F185" s="139">
        <v>0</v>
      </c>
      <c r="G185" s="139">
        <v>0</v>
      </c>
      <c r="H185" s="139">
        <v>0</v>
      </c>
      <c r="I185" s="139">
        <v>272523</v>
      </c>
      <c r="J185" s="139">
        <v>0</v>
      </c>
      <c r="K185" s="139">
        <v>0</v>
      </c>
      <c r="L185" s="139">
        <v>0</v>
      </c>
      <c r="M185" s="139">
        <f>1214336+I185</f>
        <v>1486859</v>
      </c>
      <c r="N185" s="139">
        <v>149479.67999999999</v>
      </c>
      <c r="O185" s="139">
        <v>149479.67999999999</v>
      </c>
      <c r="P185" s="139">
        <v>0</v>
      </c>
      <c r="Q185" s="139">
        <f>374834+M185</f>
        <v>1861693</v>
      </c>
      <c r="R185" s="139">
        <f>1058656.5+N185</f>
        <v>1208136.18</v>
      </c>
      <c r="S185" s="139">
        <f>1058656.5+O185</f>
        <v>1208136.18</v>
      </c>
      <c r="T185" s="139">
        <v>0</v>
      </c>
      <c r="U185" s="139">
        <f>Q185+0</f>
        <v>1861693</v>
      </c>
      <c r="V185" s="139">
        <f>363390.96+R185</f>
        <v>1571527.14</v>
      </c>
      <c r="W185" s="139">
        <f>363390.96+S185</f>
        <v>1571527.14</v>
      </c>
      <c r="X185" s="139">
        <v>0</v>
      </c>
      <c r="Y185" s="139">
        <f>U185+0</f>
        <v>1861693</v>
      </c>
      <c r="Z185" s="139">
        <f>213910.97+V185</f>
        <v>1785438.1099999999</v>
      </c>
      <c r="AA185" s="139">
        <f>213910.97+W185</f>
        <v>1785438.1099999999</v>
      </c>
      <c r="AB185" s="139">
        <v>0</v>
      </c>
      <c r="AC185" s="139">
        <f>226151+Y185</f>
        <v>2087844</v>
      </c>
      <c r="AD185" s="139">
        <f>290962.73+Z185</f>
        <v>2076400.8399999999</v>
      </c>
      <c r="AE185" s="139">
        <f>290962.73+AA185</f>
        <v>2076400.8399999999</v>
      </c>
      <c r="AF185" s="139">
        <v>0</v>
      </c>
      <c r="AG185" s="139">
        <f>242679+AC185</f>
        <v>2330523</v>
      </c>
      <c r="AH185" s="139">
        <f>296460.05+AD185</f>
        <v>2372860.8899999997</v>
      </c>
      <c r="AI185" s="139">
        <f>296460.05+AE185</f>
        <v>2372860.8899999997</v>
      </c>
      <c r="AJ185" s="139">
        <v>0</v>
      </c>
      <c r="AK185" s="139">
        <f>246349+AG185</f>
        <v>2576872</v>
      </c>
      <c r="AL185" s="139">
        <f>471527.76+AH185</f>
        <v>2844388.6499999994</v>
      </c>
      <c r="AM185" s="139">
        <f>471527.76+AI185</f>
        <v>2844388.6499999994</v>
      </c>
      <c r="AN185" s="139">
        <v>0</v>
      </c>
      <c r="AO185" s="139">
        <f>623468+AK185</f>
        <v>3200340</v>
      </c>
      <c r="AP185" s="139">
        <f>378364.07+AL185</f>
        <v>3222752.7199999993</v>
      </c>
      <c r="AQ185" s="139">
        <f>378364.07+AM185</f>
        <v>3222752.7199999993</v>
      </c>
      <c r="AR185" s="139">
        <v>0</v>
      </c>
      <c r="AS185" s="139">
        <f>242603+AO185</f>
        <v>3442943</v>
      </c>
      <c r="AT185" s="139">
        <f>316352.27+AP185</f>
        <v>3539104.9899999993</v>
      </c>
      <c r="AU185" s="139">
        <f>316352.27+AQ185</f>
        <v>3539104.9899999993</v>
      </c>
      <c r="AV185" s="139">
        <v>0</v>
      </c>
      <c r="AW185" s="139">
        <f>183272+AS185</f>
        <v>3626215</v>
      </c>
      <c r="AX185" s="139">
        <f>1004408.01+AT185</f>
        <v>4543512.9999999991</v>
      </c>
      <c r="AY185" s="139">
        <f>1004408.01+AU185</f>
        <v>4543512.9999999991</v>
      </c>
      <c r="AZ185" s="139">
        <v>0</v>
      </c>
      <c r="BA185" s="139">
        <f>917298+AW185</f>
        <v>4543513</v>
      </c>
      <c r="BB185" s="90">
        <v>2822797.46</v>
      </c>
      <c r="BC185" s="90">
        <v>2822797.46</v>
      </c>
      <c r="BD185" s="90">
        <v>0</v>
      </c>
      <c r="BE185" s="90">
        <v>2267071</v>
      </c>
      <c r="BF185" s="90">
        <v>2282004.88</v>
      </c>
      <c r="BG185" s="90">
        <v>2282004.88</v>
      </c>
      <c r="BH185" s="90">
        <v>0</v>
      </c>
      <c r="BI185" s="90">
        <v>1409211</v>
      </c>
      <c r="BJ185" s="90">
        <v>1449789.25</v>
      </c>
      <c r="BK185" s="90">
        <v>1449789.25</v>
      </c>
      <c r="BL185" s="90">
        <v>0</v>
      </c>
      <c r="BM185" s="90">
        <v>532530</v>
      </c>
      <c r="BN185" s="90" t="e">
        <f>#REF!+AX185+BB185+BF185+BJ185</f>
        <v>#REF!</v>
      </c>
      <c r="BO185" s="90">
        <f t="shared" si="195"/>
        <v>11098104.59</v>
      </c>
      <c r="BP185" s="90">
        <f t="shared" si="194"/>
        <v>0</v>
      </c>
      <c r="BQ185" s="90">
        <f t="shared" si="156"/>
        <v>11098104.59</v>
      </c>
      <c r="BR185" s="95" t="s">
        <v>202</v>
      </c>
      <c r="BS185" s="80"/>
    </row>
    <row r="186" spans="1:72" s="13" customFormat="1" ht="62.25" customHeight="1">
      <c r="A186" s="138" t="s">
        <v>126</v>
      </c>
      <c r="B186" s="138" t="s">
        <v>349</v>
      </c>
      <c r="C186" s="139">
        <v>39055719.274728</v>
      </c>
      <c r="D186" s="139"/>
      <c r="E186" s="139">
        <v>1254799</v>
      </c>
      <c r="F186" s="139">
        <v>53070</v>
      </c>
      <c r="G186" s="139">
        <v>53070</v>
      </c>
      <c r="H186" s="139">
        <v>0</v>
      </c>
      <c r="I186" s="139">
        <f>G186+H186</f>
        <v>53070</v>
      </c>
      <c r="J186" s="139">
        <f>F186</f>
        <v>53070</v>
      </c>
      <c r="K186" s="139">
        <f>G186</f>
        <v>53070</v>
      </c>
      <c r="L186" s="139">
        <v>0</v>
      </c>
      <c r="M186" s="139">
        <f>K186+L186</f>
        <v>53070</v>
      </c>
      <c r="N186" s="139">
        <f>287727+J186</f>
        <v>340797</v>
      </c>
      <c r="O186" s="139">
        <f>287727+K186</f>
        <v>340797</v>
      </c>
      <c r="P186" s="139">
        <v>0</v>
      </c>
      <c r="Q186" s="139">
        <f>O186+P186</f>
        <v>340797</v>
      </c>
      <c r="R186" s="139">
        <f>126678+N186</f>
        <v>467475</v>
      </c>
      <c r="S186" s="139">
        <f>126678+O186</f>
        <v>467475</v>
      </c>
      <c r="T186" s="139">
        <v>0</v>
      </c>
      <c r="U186" s="139">
        <f>S186+T186</f>
        <v>467475</v>
      </c>
      <c r="V186" s="139">
        <f>449367+R186</f>
        <v>916842</v>
      </c>
      <c r="W186" s="139">
        <f>449367+S186</f>
        <v>916842</v>
      </c>
      <c r="X186" s="139">
        <v>0</v>
      </c>
      <c r="Y186" s="139">
        <f>W186+X186</f>
        <v>916842</v>
      </c>
      <c r="Z186" s="139">
        <f>350660+V186</f>
        <v>1267502</v>
      </c>
      <c r="AA186" s="139">
        <f>350660+W186</f>
        <v>1267502</v>
      </c>
      <c r="AB186" s="139">
        <v>0</v>
      </c>
      <c r="AC186" s="139">
        <v>1254799</v>
      </c>
      <c r="AD186" s="139">
        <f>335533+Z186</f>
        <v>1603035</v>
      </c>
      <c r="AE186" s="139">
        <f>335533+AA186</f>
        <v>1603035</v>
      </c>
      <c r="AF186" s="139">
        <v>0</v>
      </c>
      <c r="AG186" s="139">
        <v>1254799</v>
      </c>
      <c r="AH186" s="139">
        <f>140000+AD186</f>
        <v>1743035</v>
      </c>
      <c r="AI186" s="139">
        <f>140000+AE186</f>
        <v>1743035</v>
      </c>
      <c r="AJ186" s="139">
        <v>0</v>
      </c>
      <c r="AK186" s="139">
        <v>1254799</v>
      </c>
      <c r="AL186" s="139">
        <f>41006+AH186</f>
        <v>1784041</v>
      </c>
      <c r="AM186" s="139">
        <f>41006+AI186</f>
        <v>1784041</v>
      </c>
      <c r="AN186" s="139">
        <v>0</v>
      </c>
      <c r="AO186" s="139">
        <v>1254799</v>
      </c>
      <c r="AP186" s="139">
        <f>173362+AL186+201906.31</f>
        <v>2159309.31</v>
      </c>
      <c r="AQ186" s="139">
        <f>173362+AM186+201906.31</f>
        <v>2159309.31</v>
      </c>
      <c r="AR186" s="139">
        <v>0</v>
      </c>
      <c r="AS186" s="139">
        <v>1254799</v>
      </c>
      <c r="AT186" s="139">
        <f>64168+AP186</f>
        <v>2223477.31</v>
      </c>
      <c r="AU186" s="139">
        <f>64168+AQ186</f>
        <v>2223477.31</v>
      </c>
      <c r="AV186" s="139">
        <v>0</v>
      </c>
      <c r="AW186" s="139">
        <v>1254799</v>
      </c>
      <c r="AX186" s="139">
        <f>171354+AT186</f>
        <v>2394831.31</v>
      </c>
      <c r="AY186" s="139">
        <f>AU186+171354</f>
        <v>2394831.31</v>
      </c>
      <c r="AZ186" s="139">
        <v>0</v>
      </c>
      <c r="BA186" s="139">
        <v>1254799</v>
      </c>
      <c r="BB186" s="90">
        <f>4818695+6024743.9</f>
        <v>10843438.9</v>
      </c>
      <c r="BC186" s="90">
        <f>4818695+6024743.9</f>
        <v>10843438.9</v>
      </c>
      <c r="BD186" s="90">
        <v>0</v>
      </c>
      <c r="BE186" s="90">
        <v>75645</v>
      </c>
      <c r="BF186" s="90">
        <v>13677988.93</v>
      </c>
      <c r="BG186" s="90">
        <v>13677988.93</v>
      </c>
      <c r="BH186" s="90">
        <v>0</v>
      </c>
      <c r="BI186" s="90">
        <v>0</v>
      </c>
      <c r="BJ186" s="90">
        <v>10144919.399999999</v>
      </c>
      <c r="BK186" s="90">
        <v>10144919.399999999</v>
      </c>
      <c r="BL186" s="90">
        <v>0</v>
      </c>
      <c r="BM186" s="90">
        <v>0</v>
      </c>
      <c r="BN186" s="90" t="e">
        <f>#REF!+AX186+BB186+BF186+BJ186</f>
        <v>#REF!</v>
      </c>
      <c r="BO186" s="90">
        <f t="shared" si="195"/>
        <v>37061178.539999999</v>
      </c>
      <c r="BP186" s="90">
        <f t="shared" si="194"/>
        <v>0</v>
      </c>
      <c r="BQ186" s="90">
        <f t="shared" si="156"/>
        <v>37061178.539999999</v>
      </c>
      <c r="BR186" s="95" t="s">
        <v>207</v>
      </c>
      <c r="BS186" s="80"/>
    </row>
    <row r="187" spans="1:72" s="13" customFormat="1" ht="65.25" customHeight="1">
      <c r="A187" s="138" t="s">
        <v>140</v>
      </c>
      <c r="B187" s="138" t="s">
        <v>348</v>
      </c>
      <c r="C187" s="139">
        <v>4568226</v>
      </c>
      <c r="D187" s="139"/>
      <c r="E187" s="139">
        <v>1796480</v>
      </c>
      <c r="F187" s="139">
        <v>0</v>
      </c>
      <c r="G187" s="139">
        <v>0</v>
      </c>
      <c r="H187" s="139">
        <v>0</v>
      </c>
      <c r="I187" s="139">
        <v>449103</v>
      </c>
      <c r="J187" s="139">
        <f>0+F187</f>
        <v>0</v>
      </c>
      <c r="K187" s="139">
        <f t="shared" ref="K187:L188" si="222">0+G187</f>
        <v>0</v>
      </c>
      <c r="L187" s="139">
        <f t="shared" si="222"/>
        <v>0</v>
      </c>
      <c r="M187" s="139">
        <f t="shared" si="210"/>
        <v>449103</v>
      </c>
      <c r="N187" s="139">
        <f>0+J187</f>
        <v>0</v>
      </c>
      <c r="O187" s="139">
        <f t="shared" ref="O187:P188" si="223">0+K187</f>
        <v>0</v>
      </c>
      <c r="P187" s="139">
        <f t="shared" si="223"/>
        <v>0</v>
      </c>
      <c r="Q187" s="139">
        <f t="shared" si="211"/>
        <v>449103</v>
      </c>
      <c r="R187" s="139">
        <f>0+N187</f>
        <v>0</v>
      </c>
      <c r="S187" s="139">
        <f t="shared" ref="S187:T188" si="224">0+O187</f>
        <v>0</v>
      </c>
      <c r="T187" s="139">
        <f t="shared" si="224"/>
        <v>0</v>
      </c>
      <c r="U187" s="139">
        <f t="shared" si="212"/>
        <v>449103</v>
      </c>
      <c r="V187" s="139">
        <f>0+R187</f>
        <v>0</v>
      </c>
      <c r="W187" s="139">
        <f>448272+S187</f>
        <v>448272</v>
      </c>
      <c r="X187" s="139">
        <f>0+T187</f>
        <v>0</v>
      </c>
      <c r="Y187" s="139">
        <f>673688+U187</f>
        <v>1122791</v>
      </c>
      <c r="Z187" s="139">
        <f>0+V187</f>
        <v>0</v>
      </c>
      <c r="AA187" s="139">
        <f>0+W187</f>
        <v>448272</v>
      </c>
      <c r="AB187" s="139">
        <f>0+X187</f>
        <v>0</v>
      </c>
      <c r="AC187" s="139">
        <f t="shared" si="214"/>
        <v>1122791</v>
      </c>
      <c r="AD187" s="139">
        <f>448272+Z187</f>
        <v>448272</v>
      </c>
      <c r="AE187" s="139">
        <f>597696+AA187</f>
        <v>1045968</v>
      </c>
      <c r="AF187" s="139">
        <f>0+AB187</f>
        <v>0</v>
      </c>
      <c r="AG187" s="139">
        <f t="shared" si="215"/>
        <v>1122791</v>
      </c>
      <c r="AH187" s="139">
        <f>0+AD187</f>
        <v>448272</v>
      </c>
      <c r="AI187" s="139">
        <f>0+AE187</f>
        <v>1045968</v>
      </c>
      <c r="AJ187" s="139">
        <f>0+AF187</f>
        <v>0</v>
      </c>
      <c r="AK187" s="139">
        <f>673689+AG187</f>
        <v>1796480</v>
      </c>
      <c r="AL187" s="139">
        <f>0+AH187</f>
        <v>448272</v>
      </c>
      <c r="AM187" s="139">
        <f>0+AI187</f>
        <v>1045968</v>
      </c>
      <c r="AN187" s="139">
        <f>0+AJ187</f>
        <v>0</v>
      </c>
      <c r="AO187" s="139">
        <f t="shared" si="217"/>
        <v>1796480</v>
      </c>
      <c r="AP187" s="139">
        <f>597696+AL187</f>
        <v>1045968</v>
      </c>
      <c r="AQ187" s="139">
        <f>1195637.54+AM187</f>
        <v>2241605.54</v>
      </c>
      <c r="AR187" s="139">
        <f>0+AN187</f>
        <v>0</v>
      </c>
      <c r="AS187" s="139">
        <f t="shared" si="218"/>
        <v>1796480</v>
      </c>
      <c r="AT187" s="139">
        <f>0+AP187</f>
        <v>1045968</v>
      </c>
      <c r="AU187" s="139">
        <f t="shared" ref="AU187:AV188" si="225">0+AQ187</f>
        <v>2241605.54</v>
      </c>
      <c r="AV187" s="139">
        <f t="shared" si="225"/>
        <v>0</v>
      </c>
      <c r="AW187" s="139">
        <f t="shared" si="219"/>
        <v>1796480</v>
      </c>
      <c r="AX187" s="139">
        <f>1195637.54+AT187</f>
        <v>2241605.54</v>
      </c>
      <c r="AY187" s="139">
        <f>0+AU187</f>
        <v>2241605.54</v>
      </c>
      <c r="AZ187" s="139">
        <f>0+AV187</f>
        <v>0</v>
      </c>
      <c r="BA187" s="139">
        <f t="shared" si="220"/>
        <v>1796480</v>
      </c>
      <c r="BB187" s="90">
        <v>200467.32</v>
      </c>
      <c r="BC187" s="90">
        <v>200467.32</v>
      </c>
      <c r="BD187" s="90">
        <v>0</v>
      </c>
      <c r="BE187" s="90">
        <v>0</v>
      </c>
      <c r="BF187" s="90">
        <v>1102570.23</v>
      </c>
      <c r="BG187" s="90">
        <v>1102570.23</v>
      </c>
      <c r="BH187" s="90">
        <v>0</v>
      </c>
      <c r="BI187" s="90">
        <v>0</v>
      </c>
      <c r="BJ187" s="90">
        <v>701635.6</v>
      </c>
      <c r="BK187" s="90">
        <v>701635.6</v>
      </c>
      <c r="BL187" s="90">
        <v>0</v>
      </c>
      <c r="BM187" s="90">
        <v>0</v>
      </c>
      <c r="BN187" s="90" t="e">
        <f>#REF!+AX187+BB187+BF187+BJ187</f>
        <v>#REF!</v>
      </c>
      <c r="BO187" s="90">
        <f t="shared" si="195"/>
        <v>4246278.6899999995</v>
      </c>
      <c r="BP187" s="90">
        <f t="shared" si="194"/>
        <v>0</v>
      </c>
      <c r="BQ187" s="90">
        <f t="shared" si="156"/>
        <v>4246278.6899999995</v>
      </c>
      <c r="BR187" s="95" t="s">
        <v>208</v>
      </c>
      <c r="BS187" s="80"/>
    </row>
    <row r="188" spans="1:72" s="13" customFormat="1" ht="65.25" customHeight="1">
      <c r="A188" s="138" t="s">
        <v>141</v>
      </c>
      <c r="B188" s="138" t="s">
        <v>347</v>
      </c>
      <c r="C188" s="139">
        <v>7168600.7999999998</v>
      </c>
      <c r="D188" s="139"/>
      <c r="E188" s="139">
        <v>1801884</v>
      </c>
      <c r="F188" s="139">
        <v>0</v>
      </c>
      <c r="G188" s="139">
        <v>0</v>
      </c>
      <c r="H188" s="139">
        <v>0</v>
      </c>
      <c r="I188" s="139">
        <v>140229</v>
      </c>
      <c r="J188" s="139">
        <f>0+F188</f>
        <v>0</v>
      </c>
      <c r="K188" s="139">
        <f>155775.14+G188</f>
        <v>155775.14000000001</v>
      </c>
      <c r="L188" s="139">
        <f t="shared" si="222"/>
        <v>0</v>
      </c>
      <c r="M188" s="139">
        <f>118222+I188</f>
        <v>258451</v>
      </c>
      <c r="N188" s="139">
        <f>0+J188</f>
        <v>0</v>
      </c>
      <c r="O188" s="139">
        <f>51633.84+K188</f>
        <v>207408.98</v>
      </c>
      <c r="P188" s="139">
        <f t="shared" si="223"/>
        <v>0</v>
      </c>
      <c r="Q188" s="139">
        <f>68000+M188</f>
        <v>326451</v>
      </c>
      <c r="R188" s="139">
        <f>243413+N188</f>
        <v>243413</v>
      </c>
      <c r="S188" s="139">
        <f>47033.84+O188</f>
        <v>254442.82</v>
      </c>
      <c r="T188" s="139">
        <f t="shared" si="224"/>
        <v>0</v>
      </c>
      <c r="U188" s="139">
        <f>80999+Q188</f>
        <v>407450</v>
      </c>
      <c r="V188" s="139">
        <f>112445+R188</f>
        <v>355858</v>
      </c>
      <c r="W188" s="139">
        <f>73223.84+S188</f>
        <v>327666.66000000003</v>
      </c>
      <c r="X188" s="139">
        <f t="shared" ref="X188" si="226">0+T188</f>
        <v>0</v>
      </c>
      <c r="Y188" s="139">
        <f>120759+U188</f>
        <v>528209</v>
      </c>
      <c r="Z188" s="139">
        <f>0+V188</f>
        <v>355858</v>
      </c>
      <c r="AA188" s="139">
        <f>86673.84+W188</f>
        <v>414340.5</v>
      </c>
      <c r="AB188" s="139">
        <f t="shared" ref="AB188" si="227">0+X188</f>
        <v>0</v>
      </c>
      <c r="AC188" s="139">
        <f>68000+Y188</f>
        <v>596209</v>
      </c>
      <c r="AD188" s="139">
        <f>154776+Z188</f>
        <v>510634</v>
      </c>
      <c r="AE188" s="139">
        <f>58359.55+AA188</f>
        <v>472700.05</v>
      </c>
      <c r="AF188" s="139">
        <f t="shared" ref="AF188" si="228">0+AB188</f>
        <v>0</v>
      </c>
      <c r="AG188" s="139">
        <f>79599+AC188</f>
        <v>675808</v>
      </c>
      <c r="AH188" s="139">
        <f>113582+AD188</f>
        <v>624216</v>
      </c>
      <c r="AI188" s="139">
        <f>110236.35+AE188</f>
        <v>582936.4</v>
      </c>
      <c r="AJ188" s="139">
        <f>8445.06+AF188</f>
        <v>8445.06</v>
      </c>
      <c r="AK188" s="139">
        <f>166400+AG188</f>
        <v>842208</v>
      </c>
      <c r="AL188" s="139">
        <f>AH188+0</f>
        <v>624216</v>
      </c>
      <c r="AM188" s="139">
        <f>197045.19+AI188</f>
        <v>779981.59000000008</v>
      </c>
      <c r="AN188" s="139">
        <f>20688.36+AJ188</f>
        <v>29133.42</v>
      </c>
      <c r="AO188" s="139">
        <f>58799+AK188</f>
        <v>901007</v>
      </c>
      <c r="AP188" s="139">
        <f>176399+AL188</f>
        <v>800615</v>
      </c>
      <c r="AQ188" s="139">
        <f>511281.95+AM188</f>
        <v>1291263.54</v>
      </c>
      <c r="AR188" s="139">
        <f>4993.51+AN188</f>
        <v>34126.93</v>
      </c>
      <c r="AS188" s="139">
        <f>437488+AO188</f>
        <v>1338495</v>
      </c>
      <c r="AT188" s="139">
        <f>AP188+0</f>
        <v>800615</v>
      </c>
      <c r="AU188" s="139">
        <f>287446.92+AQ188</f>
        <v>1578710.46</v>
      </c>
      <c r="AV188" s="139">
        <f t="shared" si="225"/>
        <v>34126.93</v>
      </c>
      <c r="AW188" s="139">
        <f>255341+AS188</f>
        <v>1593836</v>
      </c>
      <c r="AX188" s="139">
        <f>409312+AT188</f>
        <v>1209927</v>
      </c>
      <c r="AY188" s="139">
        <f>189047.1+AU188</f>
        <v>1767757.56</v>
      </c>
      <c r="AZ188" s="139">
        <f t="shared" ref="AZ188" si="229">0+AV188</f>
        <v>34126.93</v>
      </c>
      <c r="BA188" s="139">
        <f>208048+AW188</f>
        <v>1801884</v>
      </c>
      <c r="BB188" s="90">
        <v>1734212.39</v>
      </c>
      <c r="BC188" s="90">
        <v>1176381.83</v>
      </c>
      <c r="BD188" s="90">
        <v>168194.48</v>
      </c>
      <c r="BE188" s="90">
        <v>51264</v>
      </c>
      <c r="BF188" s="90">
        <v>1603764.5199999998</v>
      </c>
      <c r="BG188" s="90">
        <v>1603764.5199999998</v>
      </c>
      <c r="BH188" s="90">
        <v>202804.11</v>
      </c>
      <c r="BI188" s="90">
        <v>0</v>
      </c>
      <c r="BJ188" s="90">
        <v>503740.7099999999</v>
      </c>
      <c r="BK188" s="90">
        <v>503740.7099999999</v>
      </c>
      <c r="BL188" s="90">
        <v>144792.91</v>
      </c>
      <c r="BM188" s="90">
        <v>0</v>
      </c>
      <c r="BN188" s="90" t="e">
        <f>#REF!+AX188+BB188+BF188+BJ188</f>
        <v>#REF!</v>
      </c>
      <c r="BO188" s="90">
        <f t="shared" si="195"/>
        <v>5051644.62</v>
      </c>
      <c r="BP188" s="90">
        <f t="shared" si="194"/>
        <v>549918.43000000005</v>
      </c>
      <c r="BQ188" s="90">
        <f t="shared" si="156"/>
        <v>5601563.0499999998</v>
      </c>
      <c r="BR188" s="95" t="s">
        <v>209</v>
      </c>
      <c r="BS188" s="80"/>
    </row>
    <row r="189" spans="1:72" s="2" customFormat="1">
      <c r="A189" s="141"/>
      <c r="B189" s="136" t="s">
        <v>346</v>
      </c>
      <c r="C189" s="137">
        <f t="shared" ref="C189:BM189" si="230">SUM(C190:C195)</f>
        <v>591210286.62860394</v>
      </c>
      <c r="D189" s="137"/>
      <c r="E189" s="137">
        <f t="shared" si="230"/>
        <v>130628518</v>
      </c>
      <c r="F189" s="137">
        <f t="shared" si="230"/>
        <v>2909986</v>
      </c>
      <c r="G189" s="137">
        <f t="shared" si="230"/>
        <v>1037408</v>
      </c>
      <c r="H189" s="137">
        <f t="shared" si="230"/>
        <v>179419.94117647057</v>
      </c>
      <c r="I189" s="137">
        <f t="shared" si="230"/>
        <v>1216827.9411764706</v>
      </c>
      <c r="J189" s="137">
        <f t="shared" ref="J189:BA189" si="231">SUM(J190:J195)</f>
        <v>4414405</v>
      </c>
      <c r="K189" s="137">
        <f t="shared" si="231"/>
        <v>2783875</v>
      </c>
      <c r="L189" s="137">
        <f t="shared" si="231"/>
        <v>222134.29411764705</v>
      </c>
      <c r="M189" s="137">
        <f t="shared" si="231"/>
        <v>3006009.2941176472</v>
      </c>
      <c r="N189" s="137">
        <f t="shared" si="231"/>
        <v>7375234</v>
      </c>
      <c r="O189" s="137">
        <f t="shared" si="231"/>
        <v>6038385</v>
      </c>
      <c r="P189" s="137">
        <f t="shared" si="231"/>
        <v>394024.3529411765</v>
      </c>
      <c r="Q189" s="137">
        <f t="shared" si="231"/>
        <v>6432409.3529411759</v>
      </c>
      <c r="R189" s="137">
        <f t="shared" si="231"/>
        <v>17509254</v>
      </c>
      <c r="S189" s="137">
        <f t="shared" si="231"/>
        <v>9449751</v>
      </c>
      <c r="T189" s="137">
        <f t="shared" si="231"/>
        <v>792742.3529411765</v>
      </c>
      <c r="U189" s="137">
        <f t="shared" si="231"/>
        <v>10242493.352941178</v>
      </c>
      <c r="V189" s="137">
        <f t="shared" si="231"/>
        <v>26198349</v>
      </c>
      <c r="W189" s="137">
        <f t="shared" si="231"/>
        <v>22868926</v>
      </c>
      <c r="X189" s="137">
        <f t="shared" si="231"/>
        <v>2645157.3529411769</v>
      </c>
      <c r="Y189" s="137">
        <f t="shared" si="231"/>
        <v>25514083.352941178</v>
      </c>
      <c r="Z189" s="137">
        <f t="shared" si="231"/>
        <v>35786236</v>
      </c>
      <c r="AA189" s="137">
        <f t="shared" si="231"/>
        <v>39817703</v>
      </c>
      <c r="AB189" s="137">
        <f t="shared" si="231"/>
        <v>3944137.9411764704</v>
      </c>
      <c r="AC189" s="137">
        <f t="shared" si="231"/>
        <v>43761840.941176474</v>
      </c>
      <c r="AD189" s="137">
        <f t="shared" si="231"/>
        <v>44129428</v>
      </c>
      <c r="AE189" s="137">
        <f t="shared" si="231"/>
        <v>57240092</v>
      </c>
      <c r="AF189" s="137">
        <f t="shared" si="231"/>
        <v>6622793.7058823537</v>
      </c>
      <c r="AG189" s="137">
        <f t="shared" si="231"/>
        <v>63862885.705882356</v>
      </c>
      <c r="AH189" s="137">
        <f t="shared" si="231"/>
        <v>52084120</v>
      </c>
      <c r="AI189" s="137">
        <f t="shared" si="231"/>
        <v>74129992</v>
      </c>
      <c r="AJ189" s="137">
        <f t="shared" si="231"/>
        <v>8258389.1176470593</v>
      </c>
      <c r="AK189" s="137">
        <f t="shared" si="231"/>
        <v>82388381.117647052</v>
      </c>
      <c r="AL189" s="137">
        <f t="shared" si="231"/>
        <v>85533055</v>
      </c>
      <c r="AM189" s="137">
        <f t="shared" si="231"/>
        <v>114787894</v>
      </c>
      <c r="AN189" s="137">
        <f t="shared" si="231"/>
        <v>9530559.7647058815</v>
      </c>
      <c r="AO189" s="137">
        <f t="shared" si="231"/>
        <v>103692280.76470588</v>
      </c>
      <c r="AP189" s="137">
        <f t="shared" si="231"/>
        <v>121671085</v>
      </c>
      <c r="AQ189" s="137">
        <f t="shared" si="231"/>
        <v>134759035</v>
      </c>
      <c r="AR189" s="137">
        <f t="shared" si="231"/>
        <v>11430084.352941176</v>
      </c>
      <c r="AS189" s="137">
        <f t="shared" si="231"/>
        <v>125562946.35294119</v>
      </c>
      <c r="AT189" s="137">
        <f t="shared" si="231"/>
        <v>124888559</v>
      </c>
      <c r="AU189" s="137">
        <f t="shared" si="231"/>
        <v>142002262</v>
      </c>
      <c r="AV189" s="137">
        <f t="shared" si="231"/>
        <v>12152073.352941178</v>
      </c>
      <c r="AW189" s="137">
        <f t="shared" si="231"/>
        <v>127932368</v>
      </c>
      <c r="AX189" s="137">
        <f t="shared" si="231"/>
        <v>146197645</v>
      </c>
      <c r="AY189" s="137">
        <f t="shared" si="231"/>
        <v>160119516.09999999</v>
      </c>
      <c r="AZ189" s="137">
        <f t="shared" si="231"/>
        <v>12148726.714317048</v>
      </c>
      <c r="BA189" s="137">
        <f t="shared" si="231"/>
        <v>130628518</v>
      </c>
      <c r="BB189" s="88">
        <f t="shared" si="230"/>
        <v>132365258</v>
      </c>
      <c r="BC189" s="88">
        <f t="shared" si="230"/>
        <v>132365258</v>
      </c>
      <c r="BD189" s="88">
        <f t="shared" si="230"/>
        <v>11831949.134325393</v>
      </c>
      <c r="BE189" s="88">
        <f t="shared" si="230"/>
        <v>123487571</v>
      </c>
      <c r="BF189" s="88">
        <f t="shared" si="230"/>
        <v>77460094</v>
      </c>
      <c r="BG189" s="88">
        <f t="shared" si="230"/>
        <v>77460094</v>
      </c>
      <c r="BH189" s="88">
        <f t="shared" si="230"/>
        <v>4667879.6470588241</v>
      </c>
      <c r="BI189" s="88">
        <f t="shared" si="230"/>
        <v>70635528</v>
      </c>
      <c r="BJ189" s="88">
        <f t="shared" si="230"/>
        <v>30457710.399999999</v>
      </c>
      <c r="BK189" s="88">
        <f t="shared" si="230"/>
        <v>25118667</v>
      </c>
      <c r="BL189" s="88">
        <f t="shared" si="230"/>
        <v>481827</v>
      </c>
      <c r="BM189" s="88">
        <f t="shared" si="230"/>
        <v>0</v>
      </c>
      <c r="BN189" s="88" t="e">
        <f>#REF!+AX189+BB189+BF189+BJ189</f>
        <v>#REF!</v>
      </c>
      <c r="BO189" s="88">
        <f t="shared" si="195"/>
        <v>395063535.10000002</v>
      </c>
      <c r="BP189" s="88">
        <f t="shared" si="194"/>
        <v>29130382.495701261</v>
      </c>
      <c r="BQ189" s="88">
        <f t="shared" si="156"/>
        <v>424193917.59570128</v>
      </c>
      <c r="BR189" s="89"/>
      <c r="BS189" s="80"/>
      <c r="BT189" s="8"/>
    </row>
    <row r="190" spans="1:72" s="13" customFormat="1" ht="69.75" customHeight="1">
      <c r="A190" s="138" t="s">
        <v>127</v>
      </c>
      <c r="B190" s="138" t="s">
        <v>345</v>
      </c>
      <c r="C190" s="139">
        <v>216739674.43549201</v>
      </c>
      <c r="D190" s="139"/>
      <c r="E190" s="139">
        <v>62026786</v>
      </c>
      <c r="F190" s="139">
        <v>2889291</v>
      </c>
      <c r="G190" s="139">
        <v>1016713</v>
      </c>
      <c r="H190" s="139">
        <v>179419.94117647057</v>
      </c>
      <c r="I190" s="139">
        <v>1196132.9411764706</v>
      </c>
      <c r="J190" s="139">
        <v>2889291</v>
      </c>
      <c r="K190" s="139">
        <v>1258761</v>
      </c>
      <c r="L190" s="139">
        <v>222134.29411764705</v>
      </c>
      <c r="M190" s="139">
        <v>1480895.294117647</v>
      </c>
      <c r="N190" s="139">
        <v>2889291</v>
      </c>
      <c r="O190" s="139">
        <v>1552442</v>
      </c>
      <c r="P190" s="139">
        <v>273960.3529411765</v>
      </c>
      <c r="Q190" s="139">
        <v>1826402.3529411764</v>
      </c>
      <c r="R190" s="139">
        <v>11871347</v>
      </c>
      <c r="S190" s="139">
        <v>3811844</v>
      </c>
      <c r="T190" s="139">
        <v>672678.3529411765</v>
      </c>
      <c r="U190" s="139">
        <v>4484522.3529411769</v>
      </c>
      <c r="V190" s="139">
        <v>11871347</v>
      </c>
      <c r="W190" s="139">
        <v>8541924</v>
      </c>
      <c r="X190" s="139">
        <v>1507398.3529411766</v>
      </c>
      <c r="Y190" s="139">
        <v>10049322.352941176</v>
      </c>
      <c r="Z190" s="139">
        <v>11871347</v>
      </c>
      <c r="AA190" s="139">
        <v>15902814</v>
      </c>
      <c r="AB190" s="139">
        <v>2806378.9411764704</v>
      </c>
      <c r="AC190" s="139">
        <v>18709192.94117647</v>
      </c>
      <c r="AD190" s="139">
        <v>15473106</v>
      </c>
      <c r="AE190" s="139">
        <v>28583770</v>
      </c>
      <c r="AF190" s="139">
        <v>5044194.7058823537</v>
      </c>
      <c r="AG190" s="139">
        <v>33627964.705882356</v>
      </c>
      <c r="AH190" s="139">
        <v>15473106</v>
      </c>
      <c r="AI190" s="139">
        <v>37518978</v>
      </c>
      <c r="AJ190" s="139">
        <v>6620996.1176470593</v>
      </c>
      <c r="AK190" s="139">
        <v>44139974.117647059</v>
      </c>
      <c r="AL190" s="139">
        <v>15473106</v>
      </c>
      <c r="AM190" s="139">
        <v>44727945</v>
      </c>
      <c r="AN190" s="139">
        <v>7893166.7647058815</v>
      </c>
      <c r="AO190" s="139">
        <v>52621111.764705881</v>
      </c>
      <c r="AP190" s="139">
        <v>38800897</v>
      </c>
      <c r="AQ190" s="139">
        <v>51888847</v>
      </c>
      <c r="AR190" s="139">
        <v>9156855.3529411759</v>
      </c>
      <c r="AS190" s="139">
        <v>61045702.352941178</v>
      </c>
      <c r="AT190" s="139">
        <v>38800897</v>
      </c>
      <c r="AU190" s="139">
        <v>55914600</v>
      </c>
      <c r="AV190" s="139">
        <v>9867282.3529411778</v>
      </c>
      <c r="AW190" s="139">
        <v>62026786</v>
      </c>
      <c r="AX190" s="139">
        <v>38800897</v>
      </c>
      <c r="AY190" s="139">
        <v>52722768.100000001</v>
      </c>
      <c r="AZ190" s="139">
        <v>9304017.9000000004</v>
      </c>
      <c r="BA190" s="139">
        <v>62026786</v>
      </c>
      <c r="BB190" s="90">
        <v>58887526</v>
      </c>
      <c r="BC190" s="90">
        <v>58887526</v>
      </c>
      <c r="BD190" s="90">
        <v>10391916.352941176</v>
      </c>
      <c r="BE190" s="90">
        <v>30529967</v>
      </c>
      <c r="BF190" s="90">
        <v>26451318</v>
      </c>
      <c r="BG190" s="90">
        <v>26451318</v>
      </c>
      <c r="BH190" s="90">
        <v>4667879.6470588241</v>
      </c>
      <c r="BI190" s="90">
        <v>0</v>
      </c>
      <c r="BJ190" s="90">
        <f>5397197.4-58154</f>
        <v>5339043.4000000004</v>
      </c>
      <c r="BK190" s="90">
        <v>0</v>
      </c>
      <c r="BL190" s="90">
        <v>0</v>
      </c>
      <c r="BM190" s="90">
        <v>0</v>
      </c>
      <c r="BN190" s="90" t="e">
        <f>#REF!+AX190+BB190+BF190+BJ190</f>
        <v>#REF!</v>
      </c>
      <c r="BO190" s="90">
        <f t="shared" si="195"/>
        <v>138061612.09999999</v>
      </c>
      <c r="BP190" s="90">
        <f t="shared" si="194"/>
        <v>24363813.899999999</v>
      </c>
      <c r="BQ190" s="90">
        <f t="shared" si="156"/>
        <v>162425426</v>
      </c>
      <c r="BR190" s="92"/>
      <c r="BS190" s="80"/>
    </row>
    <row r="191" spans="1:72" s="13" customFormat="1" ht="111.75" customHeight="1">
      <c r="A191" s="138" t="s">
        <v>128</v>
      </c>
      <c r="B191" s="138" t="s">
        <v>344</v>
      </c>
      <c r="C191" s="139">
        <v>91713251.344799995</v>
      </c>
      <c r="D191" s="139"/>
      <c r="E191" s="139">
        <v>20883043</v>
      </c>
      <c r="F191" s="139">
        <v>0</v>
      </c>
      <c r="G191" s="139">
        <v>0</v>
      </c>
      <c r="H191" s="139">
        <v>0</v>
      </c>
      <c r="I191" s="139">
        <v>0</v>
      </c>
      <c r="J191" s="139">
        <v>1504419</v>
      </c>
      <c r="K191" s="139">
        <v>1504419</v>
      </c>
      <c r="L191" s="139">
        <v>0</v>
      </c>
      <c r="M191" s="139">
        <v>1504419</v>
      </c>
      <c r="N191" s="139">
        <v>1504419</v>
      </c>
      <c r="O191" s="139">
        <v>1504419</v>
      </c>
      <c r="P191" s="139">
        <v>0</v>
      </c>
      <c r="Q191" s="139">
        <v>1504419</v>
      </c>
      <c r="R191" s="139">
        <v>2313646</v>
      </c>
      <c r="S191" s="139">
        <v>2313646</v>
      </c>
      <c r="T191" s="139">
        <v>0</v>
      </c>
      <c r="U191" s="139">
        <v>2313646</v>
      </c>
      <c r="V191" s="139">
        <v>5644937</v>
      </c>
      <c r="W191" s="139">
        <v>5644937</v>
      </c>
      <c r="X191" s="139">
        <v>963654</v>
      </c>
      <c r="Y191" s="139">
        <v>6608591</v>
      </c>
      <c r="Z191" s="139">
        <v>7341998</v>
      </c>
      <c r="AA191" s="139">
        <v>7341998</v>
      </c>
      <c r="AB191" s="139">
        <v>963654</v>
      </c>
      <c r="AC191" s="139">
        <v>8305652</v>
      </c>
      <c r="AD191" s="139">
        <v>8865957</v>
      </c>
      <c r="AE191" s="139">
        <v>8865957</v>
      </c>
      <c r="AF191" s="139">
        <v>1404494</v>
      </c>
      <c r="AG191" s="139">
        <v>10270451</v>
      </c>
      <c r="AH191" s="139">
        <v>10228940</v>
      </c>
      <c r="AI191" s="139">
        <v>10228940</v>
      </c>
      <c r="AJ191" s="139">
        <v>1404494</v>
      </c>
      <c r="AK191" s="139">
        <v>11633434</v>
      </c>
      <c r="AL191" s="139">
        <v>11401565</v>
      </c>
      <c r="AM191" s="139">
        <v>11401565</v>
      </c>
      <c r="AN191" s="139">
        <v>1404494</v>
      </c>
      <c r="AO191" s="139">
        <v>12806059</v>
      </c>
      <c r="AP191" s="139">
        <v>19267385</v>
      </c>
      <c r="AQ191" s="139">
        <v>19267385</v>
      </c>
      <c r="AR191" s="139">
        <v>1965569</v>
      </c>
      <c r="AS191" s="139">
        <v>21232954</v>
      </c>
      <c r="AT191" s="139">
        <v>19267385</v>
      </c>
      <c r="AU191" s="139">
        <v>19267385</v>
      </c>
      <c r="AV191" s="139">
        <v>1965569</v>
      </c>
      <c r="AW191" s="139">
        <v>20883043</v>
      </c>
      <c r="AX191" s="139">
        <v>30986556</v>
      </c>
      <c r="AY191" s="139">
        <v>30986556</v>
      </c>
      <c r="AZ191" s="139">
        <v>2525487</v>
      </c>
      <c r="BA191" s="139">
        <v>20883043</v>
      </c>
      <c r="BB191" s="90">
        <v>11699468</v>
      </c>
      <c r="BC191" s="90">
        <v>11699468</v>
      </c>
      <c r="BD191" s="90">
        <v>1329129</v>
      </c>
      <c r="BE191" s="90">
        <v>16629989</v>
      </c>
      <c r="BF191" s="90">
        <v>8058516</v>
      </c>
      <c r="BG191" s="90">
        <v>8058516</v>
      </c>
      <c r="BH191" s="90">
        <v>0</v>
      </c>
      <c r="BI191" s="90">
        <v>9322617</v>
      </c>
      <c r="BJ191" s="90">
        <v>6171325</v>
      </c>
      <c r="BK191" s="90">
        <v>6171325</v>
      </c>
      <c r="BL191" s="90">
        <v>481827</v>
      </c>
      <c r="BM191" s="90">
        <v>0</v>
      </c>
      <c r="BN191" s="90" t="e">
        <f>#REF!+AX191+BB191+BF191+BJ191</f>
        <v>#REF!</v>
      </c>
      <c r="BO191" s="90">
        <f t="shared" si="195"/>
        <v>56915865</v>
      </c>
      <c r="BP191" s="90">
        <f t="shared" si="194"/>
        <v>4336443</v>
      </c>
      <c r="BQ191" s="90">
        <f t="shared" si="156"/>
        <v>61252308</v>
      </c>
      <c r="BR191" s="92"/>
      <c r="BS191" s="80"/>
    </row>
    <row r="192" spans="1:72" s="13" customFormat="1" ht="69.75" customHeight="1">
      <c r="A192" s="138" t="s">
        <v>129</v>
      </c>
      <c r="B192" s="138" t="s">
        <v>343</v>
      </c>
      <c r="C192" s="139">
        <v>116805655.12509599</v>
      </c>
      <c r="D192" s="139"/>
      <c r="E192" s="139">
        <v>30614334</v>
      </c>
      <c r="F192" s="139">
        <v>0</v>
      </c>
      <c r="G192" s="139">
        <v>0</v>
      </c>
      <c r="H192" s="139">
        <v>0</v>
      </c>
      <c r="I192" s="139">
        <v>0</v>
      </c>
      <c r="J192" s="162">
        <v>0</v>
      </c>
      <c r="K192" s="162">
        <v>0</v>
      </c>
      <c r="L192" s="162">
        <v>0</v>
      </c>
      <c r="M192" s="162">
        <v>0</v>
      </c>
      <c r="N192" s="139">
        <v>1862748</v>
      </c>
      <c r="O192" s="139">
        <v>1862748</v>
      </c>
      <c r="P192" s="139">
        <v>74117</v>
      </c>
      <c r="Q192" s="139">
        <v>1936865</v>
      </c>
      <c r="R192" s="139">
        <v>2205485</v>
      </c>
      <c r="S192" s="139">
        <v>2205485</v>
      </c>
      <c r="T192" s="139">
        <v>74117</v>
      </c>
      <c r="U192" s="139">
        <v>2279602</v>
      </c>
      <c r="V192" s="139">
        <v>3430425</v>
      </c>
      <c r="W192" s="139">
        <v>3430425</v>
      </c>
      <c r="X192" s="139">
        <v>128158</v>
      </c>
      <c r="Y192" s="139">
        <v>3558583</v>
      </c>
      <c r="Z192" s="139">
        <v>11321251</v>
      </c>
      <c r="AA192" s="139">
        <v>11321251</v>
      </c>
      <c r="AB192" s="139">
        <v>128158</v>
      </c>
      <c r="AC192" s="139">
        <v>11449409</v>
      </c>
      <c r="AD192" s="139">
        <v>11321251</v>
      </c>
      <c r="AE192" s="139">
        <v>11321251</v>
      </c>
      <c r="AF192" s="139">
        <v>128158</v>
      </c>
      <c r="AG192" s="139">
        <v>11449409</v>
      </c>
      <c r="AH192" s="139">
        <v>17912960</v>
      </c>
      <c r="AI192" s="139">
        <v>17912960</v>
      </c>
      <c r="AJ192" s="139">
        <v>186952</v>
      </c>
      <c r="AK192" s="139">
        <v>18099912</v>
      </c>
      <c r="AL192" s="139">
        <v>24696960</v>
      </c>
      <c r="AM192" s="139">
        <v>24696960</v>
      </c>
      <c r="AN192" s="139">
        <v>186952</v>
      </c>
      <c r="AO192" s="139">
        <v>24883912</v>
      </c>
      <c r="AP192" s="139">
        <v>29641379</v>
      </c>
      <c r="AQ192" s="139">
        <v>29641379</v>
      </c>
      <c r="AR192" s="139">
        <v>261713</v>
      </c>
      <c r="AS192" s="139">
        <v>29903092</v>
      </c>
      <c r="AT192" s="139">
        <v>29641379</v>
      </c>
      <c r="AU192" s="139">
        <v>29641379</v>
      </c>
      <c r="AV192" s="139">
        <v>273275</v>
      </c>
      <c r="AW192" s="139">
        <v>29914654</v>
      </c>
      <c r="AX192" s="139">
        <v>37622557</v>
      </c>
      <c r="AY192" s="139">
        <v>37622557</v>
      </c>
      <c r="AZ192" s="139">
        <v>273275</v>
      </c>
      <c r="BA192" s="139">
        <v>30614334</v>
      </c>
      <c r="BB192" s="90">
        <v>25990258</v>
      </c>
      <c r="BC192" s="90">
        <v>25990258</v>
      </c>
      <c r="BD192" s="90">
        <v>0</v>
      </c>
      <c r="BE192" s="90">
        <v>31941792</v>
      </c>
      <c r="BF192" s="90">
        <v>10430647</v>
      </c>
      <c r="BG192" s="90">
        <v>10430647</v>
      </c>
      <c r="BH192" s="90">
        <v>0</v>
      </c>
      <c r="BI192" s="90">
        <v>16477739</v>
      </c>
      <c r="BJ192" s="90">
        <v>0</v>
      </c>
      <c r="BK192" s="90">
        <v>0</v>
      </c>
      <c r="BL192" s="90">
        <v>0</v>
      </c>
      <c r="BM192" s="90">
        <v>0</v>
      </c>
      <c r="BN192" s="90" t="e">
        <f>#REF!+AX192+BB192+BF192+BJ192</f>
        <v>#REF!</v>
      </c>
      <c r="BO192" s="90">
        <f t="shared" si="195"/>
        <v>74043462</v>
      </c>
      <c r="BP192" s="90">
        <f t="shared" si="194"/>
        <v>273275</v>
      </c>
      <c r="BQ192" s="90">
        <f t="shared" si="156"/>
        <v>74316737</v>
      </c>
      <c r="BR192" s="92"/>
      <c r="BS192" s="80"/>
    </row>
    <row r="193" spans="1:71" s="13" customFormat="1" ht="69.75" customHeight="1">
      <c r="A193" s="138" t="s">
        <v>130</v>
      </c>
      <c r="B193" s="138" t="s">
        <v>342</v>
      </c>
      <c r="C193" s="139">
        <v>45423588.068172</v>
      </c>
      <c r="D193" s="139"/>
      <c r="E193" s="139">
        <v>12545402</v>
      </c>
      <c r="F193" s="139">
        <v>20695</v>
      </c>
      <c r="G193" s="139">
        <v>20695</v>
      </c>
      <c r="H193" s="139">
        <v>0</v>
      </c>
      <c r="I193" s="139">
        <v>20695</v>
      </c>
      <c r="J193" s="139">
        <v>20695</v>
      </c>
      <c r="K193" s="139">
        <v>20695</v>
      </c>
      <c r="L193" s="139">
        <v>0</v>
      </c>
      <c r="M193" s="139">
        <v>20695</v>
      </c>
      <c r="N193" s="139">
        <v>250903</v>
      </c>
      <c r="O193" s="139">
        <v>250903</v>
      </c>
      <c r="P193" s="139">
        <v>0</v>
      </c>
      <c r="Q193" s="139">
        <v>250903</v>
      </c>
      <c r="R193" s="139">
        <v>250903</v>
      </c>
      <c r="S193" s="139">
        <v>250903</v>
      </c>
      <c r="T193" s="139">
        <v>0</v>
      </c>
      <c r="U193" s="139">
        <v>250903</v>
      </c>
      <c r="V193" s="139">
        <v>4383767</v>
      </c>
      <c r="W193" s="139">
        <v>4383767</v>
      </c>
      <c r="X193" s="139">
        <v>0</v>
      </c>
      <c r="Y193" s="139">
        <v>4383767</v>
      </c>
      <c r="Z193" s="139">
        <v>4383767</v>
      </c>
      <c r="AA193" s="139">
        <v>4383767</v>
      </c>
      <c r="AB193" s="139">
        <v>0</v>
      </c>
      <c r="AC193" s="139">
        <v>4383767</v>
      </c>
      <c r="AD193" s="139">
        <v>7601241</v>
      </c>
      <c r="AE193" s="139">
        <v>7601241</v>
      </c>
      <c r="AF193" s="139">
        <v>0</v>
      </c>
      <c r="AG193" s="139">
        <v>7601241</v>
      </c>
      <c r="AH193" s="139">
        <v>7601241</v>
      </c>
      <c r="AI193" s="139">
        <v>7601241</v>
      </c>
      <c r="AJ193" s="139">
        <v>0</v>
      </c>
      <c r="AK193" s="139">
        <v>7601241</v>
      </c>
      <c r="AL193" s="139">
        <v>10818715</v>
      </c>
      <c r="AM193" s="139">
        <v>10818715</v>
      </c>
      <c r="AN193" s="139">
        <v>0</v>
      </c>
      <c r="AO193" s="139">
        <v>10818715</v>
      </c>
      <c r="AP193" s="139">
        <v>10818715</v>
      </c>
      <c r="AQ193" s="139">
        <v>10818715</v>
      </c>
      <c r="AR193" s="139">
        <v>0</v>
      </c>
      <c r="AS193" s="139">
        <v>10818715</v>
      </c>
      <c r="AT193" s="139">
        <v>14036189</v>
      </c>
      <c r="AU193" s="139">
        <v>14036189</v>
      </c>
      <c r="AV193" s="139">
        <v>0</v>
      </c>
      <c r="AW193" s="139">
        <v>12545402</v>
      </c>
      <c r="AX193" s="139">
        <v>15644926</v>
      </c>
      <c r="AY193" s="139">
        <v>15644926</v>
      </c>
      <c r="AZ193" s="139">
        <v>0</v>
      </c>
      <c r="BA193" s="139">
        <v>12545402</v>
      </c>
      <c r="BB193" s="90">
        <v>21866218</v>
      </c>
      <c r="BC193" s="90">
        <v>21866218</v>
      </c>
      <c r="BD193" s="90">
        <v>0</v>
      </c>
      <c r="BE193" s="90">
        <v>19470264</v>
      </c>
      <c r="BF193" s="90">
        <v>7764303</v>
      </c>
      <c r="BG193" s="90">
        <v>7764303</v>
      </c>
      <c r="BH193" s="90">
        <v>0</v>
      </c>
      <c r="BI193" s="90">
        <v>8942444</v>
      </c>
      <c r="BJ193" s="90">
        <v>0</v>
      </c>
      <c r="BK193" s="90">
        <v>0</v>
      </c>
      <c r="BL193" s="90">
        <v>0</v>
      </c>
      <c r="BM193" s="90">
        <v>0</v>
      </c>
      <c r="BN193" s="90" t="e">
        <f>#REF!+AX193+BB193+BF193+BJ193</f>
        <v>#REF!</v>
      </c>
      <c r="BO193" s="90">
        <f t="shared" si="195"/>
        <v>45275447</v>
      </c>
      <c r="BP193" s="90">
        <f t="shared" si="194"/>
        <v>0</v>
      </c>
      <c r="BQ193" s="90">
        <f t="shared" si="156"/>
        <v>45275447</v>
      </c>
      <c r="BR193" s="92"/>
      <c r="BS193" s="80"/>
    </row>
    <row r="194" spans="1:71" s="13" customFormat="1" ht="69.75" customHeight="1">
      <c r="A194" s="138" t="s">
        <v>131</v>
      </c>
      <c r="B194" s="138" t="s">
        <v>341</v>
      </c>
      <c r="C194" s="139">
        <v>20448828.055043999</v>
      </c>
      <c r="D194" s="139"/>
      <c r="E194" s="139">
        <v>2910290</v>
      </c>
      <c r="F194" s="139">
        <v>0</v>
      </c>
      <c r="G194" s="139">
        <v>0</v>
      </c>
      <c r="H194" s="139">
        <v>0</v>
      </c>
      <c r="I194" s="139">
        <v>0</v>
      </c>
      <c r="J194" s="139">
        <v>0</v>
      </c>
      <c r="K194" s="139">
        <v>0</v>
      </c>
      <c r="L194" s="139">
        <v>0</v>
      </c>
      <c r="M194" s="139">
        <v>0</v>
      </c>
      <c r="N194" s="139">
        <v>867873</v>
      </c>
      <c r="O194" s="139">
        <v>867873</v>
      </c>
      <c r="P194" s="139">
        <v>45947</v>
      </c>
      <c r="Q194" s="139">
        <v>913820</v>
      </c>
      <c r="R194" s="139">
        <v>867873</v>
      </c>
      <c r="S194" s="139">
        <v>867873</v>
      </c>
      <c r="T194" s="139">
        <v>45947</v>
      </c>
      <c r="U194" s="139">
        <v>913820</v>
      </c>
      <c r="V194" s="139">
        <v>867873</v>
      </c>
      <c r="W194" s="139">
        <v>867873</v>
      </c>
      <c r="X194" s="139">
        <v>45947</v>
      </c>
      <c r="Y194" s="139">
        <v>913820</v>
      </c>
      <c r="Z194" s="139">
        <v>867873</v>
      </c>
      <c r="AA194" s="139">
        <v>867873</v>
      </c>
      <c r="AB194" s="139">
        <v>45947</v>
      </c>
      <c r="AC194" s="139">
        <v>913820</v>
      </c>
      <c r="AD194" s="139">
        <v>867873</v>
      </c>
      <c r="AE194" s="139">
        <v>867873</v>
      </c>
      <c r="AF194" s="139">
        <v>45947</v>
      </c>
      <c r="AG194" s="139">
        <v>913820</v>
      </c>
      <c r="AH194" s="139">
        <v>867873</v>
      </c>
      <c r="AI194" s="139">
        <v>867873</v>
      </c>
      <c r="AJ194" s="139">
        <v>45947</v>
      </c>
      <c r="AK194" s="139">
        <v>913820</v>
      </c>
      <c r="AL194" s="139">
        <v>867873</v>
      </c>
      <c r="AM194" s="139">
        <v>867873</v>
      </c>
      <c r="AN194" s="139">
        <v>45947</v>
      </c>
      <c r="AO194" s="139">
        <v>913820</v>
      </c>
      <c r="AP194" s="139">
        <v>867873</v>
      </c>
      <c r="AQ194" s="139">
        <v>867873</v>
      </c>
      <c r="AR194" s="139">
        <v>45947</v>
      </c>
      <c r="AS194" s="139">
        <v>913820</v>
      </c>
      <c r="AT194" s="139">
        <v>867873</v>
      </c>
      <c r="AU194" s="139">
        <v>867873</v>
      </c>
      <c r="AV194" s="139">
        <v>45947</v>
      </c>
      <c r="AW194" s="139">
        <v>913820</v>
      </c>
      <c r="AX194" s="139">
        <v>867873</v>
      </c>
      <c r="AY194" s="139">
        <v>867873</v>
      </c>
      <c r="AZ194" s="139">
        <v>45946.814317046788</v>
      </c>
      <c r="BA194" s="139">
        <v>2910290</v>
      </c>
      <c r="BB194" s="90">
        <v>2094822</v>
      </c>
      <c r="BC194" s="90">
        <v>2094822</v>
      </c>
      <c r="BD194" s="90">
        <v>110903.78138421703</v>
      </c>
      <c r="BE194" s="90">
        <v>2910290</v>
      </c>
      <c r="BF194" s="90">
        <v>0</v>
      </c>
      <c r="BG194" s="90">
        <v>0</v>
      </c>
      <c r="BH194" s="90">
        <v>0</v>
      </c>
      <c r="BI194" s="90">
        <v>0</v>
      </c>
      <c r="BJ194" s="90">
        <v>0</v>
      </c>
      <c r="BK194" s="90">
        <v>0</v>
      </c>
      <c r="BL194" s="90">
        <v>0</v>
      </c>
      <c r="BM194" s="90">
        <v>0</v>
      </c>
      <c r="BN194" s="90" t="e">
        <f>#REF!+AX194+BB194+BF194+BJ194</f>
        <v>#REF!</v>
      </c>
      <c r="BO194" s="90">
        <f t="shared" si="195"/>
        <v>2962695</v>
      </c>
      <c r="BP194" s="90">
        <f t="shared" si="194"/>
        <v>156850.59570126381</v>
      </c>
      <c r="BQ194" s="90">
        <f t="shared" si="156"/>
        <v>3119545.5957012638</v>
      </c>
      <c r="BR194" s="92"/>
      <c r="BS194" s="80"/>
    </row>
    <row r="195" spans="1:71" s="13" customFormat="1" ht="69.75" customHeight="1">
      <c r="A195" s="138" t="s">
        <v>132</v>
      </c>
      <c r="B195" s="138" t="s">
        <v>340</v>
      </c>
      <c r="C195" s="139">
        <v>100079289.59999999</v>
      </c>
      <c r="D195" s="139"/>
      <c r="E195" s="139">
        <v>1648663</v>
      </c>
      <c r="F195" s="139">
        <v>0</v>
      </c>
      <c r="G195" s="139">
        <v>0</v>
      </c>
      <c r="H195" s="139">
        <v>0</v>
      </c>
      <c r="I195" s="139">
        <v>0</v>
      </c>
      <c r="J195" s="139">
        <v>0</v>
      </c>
      <c r="K195" s="139">
        <v>0</v>
      </c>
      <c r="L195" s="139">
        <v>0</v>
      </c>
      <c r="M195" s="139">
        <v>0</v>
      </c>
      <c r="N195" s="139">
        <v>0</v>
      </c>
      <c r="O195" s="139">
        <v>0</v>
      </c>
      <c r="P195" s="139">
        <v>0</v>
      </c>
      <c r="Q195" s="139">
        <v>0</v>
      </c>
      <c r="R195" s="139">
        <v>0</v>
      </c>
      <c r="S195" s="139">
        <v>0</v>
      </c>
      <c r="T195" s="139">
        <v>0</v>
      </c>
      <c r="U195" s="139">
        <v>0</v>
      </c>
      <c r="V195" s="139">
        <v>0</v>
      </c>
      <c r="W195" s="139">
        <v>0</v>
      </c>
      <c r="X195" s="139">
        <v>0</v>
      </c>
      <c r="Y195" s="139">
        <v>0</v>
      </c>
      <c r="Z195" s="139">
        <v>0</v>
      </c>
      <c r="AA195" s="139">
        <v>0</v>
      </c>
      <c r="AB195" s="139">
        <v>0</v>
      </c>
      <c r="AC195" s="139">
        <v>0</v>
      </c>
      <c r="AD195" s="139">
        <v>0</v>
      </c>
      <c r="AE195" s="139">
        <v>0</v>
      </c>
      <c r="AF195" s="139">
        <v>0</v>
      </c>
      <c r="AG195" s="139">
        <v>0</v>
      </c>
      <c r="AH195" s="139">
        <v>0</v>
      </c>
      <c r="AI195" s="139">
        <v>0</v>
      </c>
      <c r="AJ195" s="139">
        <v>0</v>
      </c>
      <c r="AK195" s="139">
        <v>0</v>
      </c>
      <c r="AL195" s="139">
        <v>22274836</v>
      </c>
      <c r="AM195" s="139">
        <v>22274836</v>
      </c>
      <c r="AN195" s="139">
        <v>0</v>
      </c>
      <c r="AO195" s="139">
        <v>1648663</v>
      </c>
      <c r="AP195" s="139">
        <v>22274836</v>
      </c>
      <c r="AQ195" s="139">
        <v>22274836</v>
      </c>
      <c r="AR195" s="139">
        <v>0</v>
      </c>
      <c r="AS195" s="139">
        <v>1648663</v>
      </c>
      <c r="AT195" s="139">
        <v>22274836</v>
      </c>
      <c r="AU195" s="139">
        <v>22274836</v>
      </c>
      <c r="AV195" s="139">
        <v>0</v>
      </c>
      <c r="AW195" s="139">
        <v>1648663</v>
      </c>
      <c r="AX195" s="139">
        <v>22274836</v>
      </c>
      <c r="AY195" s="139">
        <v>22274836</v>
      </c>
      <c r="AZ195" s="139">
        <v>0</v>
      </c>
      <c r="BA195" s="139">
        <v>1648663</v>
      </c>
      <c r="BB195" s="90">
        <v>11826966</v>
      </c>
      <c r="BC195" s="90">
        <v>11826966</v>
      </c>
      <c r="BD195" s="90">
        <v>0</v>
      </c>
      <c r="BE195" s="90">
        <v>22005269</v>
      </c>
      <c r="BF195" s="90">
        <v>24755310</v>
      </c>
      <c r="BG195" s="90">
        <v>24755310</v>
      </c>
      <c r="BH195" s="90">
        <v>0</v>
      </c>
      <c r="BI195" s="90">
        <v>35892728</v>
      </c>
      <c r="BJ195" s="90">
        <v>18947342</v>
      </c>
      <c r="BK195" s="90">
        <v>18947342</v>
      </c>
      <c r="BL195" s="90">
        <v>0</v>
      </c>
      <c r="BM195" s="90">
        <v>0</v>
      </c>
      <c r="BN195" s="90" t="e">
        <f>#REF!+AX195+BB195+BF195+BJ195</f>
        <v>#REF!</v>
      </c>
      <c r="BO195" s="90">
        <f t="shared" si="195"/>
        <v>77804454</v>
      </c>
      <c r="BP195" s="90">
        <f t="shared" si="194"/>
        <v>0</v>
      </c>
      <c r="BQ195" s="90">
        <f t="shared" si="156"/>
        <v>77804454</v>
      </c>
      <c r="BR195" s="92"/>
      <c r="BS195" s="80"/>
    </row>
    <row r="196" spans="1:71" s="8" customFormat="1">
      <c r="A196" s="141"/>
      <c r="B196" s="142" t="s">
        <v>339</v>
      </c>
      <c r="C196" s="143">
        <f t="shared" ref="C196:BM196" si="232">SUM(C197:C201)</f>
        <v>76696099.525272012</v>
      </c>
      <c r="D196" s="143"/>
      <c r="E196" s="143">
        <f t="shared" si="232"/>
        <v>11648674</v>
      </c>
      <c r="F196" s="143">
        <f t="shared" ref="F196:BA196" si="233">SUM(F197:F201)</f>
        <v>347978</v>
      </c>
      <c r="G196" s="143">
        <f t="shared" si="233"/>
        <v>347978</v>
      </c>
      <c r="H196" s="143">
        <f t="shared" si="233"/>
        <v>0</v>
      </c>
      <c r="I196" s="143">
        <f t="shared" si="233"/>
        <v>347978</v>
      </c>
      <c r="J196" s="143">
        <f t="shared" si="233"/>
        <v>347978</v>
      </c>
      <c r="K196" s="143">
        <f t="shared" si="233"/>
        <v>347978</v>
      </c>
      <c r="L196" s="143">
        <f t="shared" si="233"/>
        <v>0</v>
      </c>
      <c r="M196" s="143">
        <f t="shared" si="233"/>
        <v>347978</v>
      </c>
      <c r="N196" s="143">
        <f t="shared" si="233"/>
        <v>347978</v>
      </c>
      <c r="O196" s="143">
        <f t="shared" si="233"/>
        <v>347978</v>
      </c>
      <c r="P196" s="143">
        <f t="shared" si="233"/>
        <v>0</v>
      </c>
      <c r="Q196" s="143">
        <f t="shared" si="233"/>
        <v>347978</v>
      </c>
      <c r="R196" s="143">
        <f t="shared" si="233"/>
        <v>3593251</v>
      </c>
      <c r="S196" s="143">
        <f t="shared" si="233"/>
        <v>3593251</v>
      </c>
      <c r="T196" s="143">
        <f t="shared" si="233"/>
        <v>0</v>
      </c>
      <c r="U196" s="143">
        <f t="shared" si="233"/>
        <v>3593251</v>
      </c>
      <c r="V196" s="143">
        <f t="shared" si="233"/>
        <v>3593251</v>
      </c>
      <c r="W196" s="143">
        <f t="shared" si="233"/>
        <v>3593251</v>
      </c>
      <c r="X196" s="143">
        <f t="shared" si="233"/>
        <v>0</v>
      </c>
      <c r="Y196" s="143">
        <f t="shared" si="233"/>
        <v>3593251</v>
      </c>
      <c r="Z196" s="143">
        <f t="shared" si="233"/>
        <v>3593251</v>
      </c>
      <c r="AA196" s="143">
        <f t="shared" si="233"/>
        <v>3593251</v>
      </c>
      <c r="AB196" s="143">
        <f t="shared" si="233"/>
        <v>0</v>
      </c>
      <c r="AC196" s="143">
        <f t="shared" si="233"/>
        <v>3593251</v>
      </c>
      <c r="AD196" s="143">
        <f t="shared" si="233"/>
        <v>7842229</v>
      </c>
      <c r="AE196" s="143">
        <f t="shared" si="233"/>
        <v>7842229</v>
      </c>
      <c r="AF196" s="143">
        <f t="shared" si="233"/>
        <v>0</v>
      </c>
      <c r="AG196" s="143">
        <f t="shared" si="233"/>
        <v>7842229</v>
      </c>
      <c r="AH196" s="143">
        <f t="shared" si="233"/>
        <v>7842229</v>
      </c>
      <c r="AI196" s="143">
        <f t="shared" si="233"/>
        <v>7842229</v>
      </c>
      <c r="AJ196" s="143">
        <f t="shared" si="233"/>
        <v>0</v>
      </c>
      <c r="AK196" s="143">
        <f t="shared" si="233"/>
        <v>7842229</v>
      </c>
      <c r="AL196" s="143">
        <f t="shared" si="233"/>
        <v>8980406.4608750008</v>
      </c>
      <c r="AM196" s="143">
        <f t="shared" si="233"/>
        <v>8980406.4608750008</v>
      </c>
      <c r="AN196" s="143">
        <f t="shared" si="233"/>
        <v>0</v>
      </c>
      <c r="AO196" s="143">
        <f t="shared" si="233"/>
        <v>7842229</v>
      </c>
      <c r="AP196" s="143">
        <f t="shared" si="233"/>
        <v>11648674</v>
      </c>
      <c r="AQ196" s="143">
        <f t="shared" si="233"/>
        <v>11648674</v>
      </c>
      <c r="AR196" s="143">
        <f t="shared" si="233"/>
        <v>0</v>
      </c>
      <c r="AS196" s="143">
        <f t="shared" si="233"/>
        <v>11648674</v>
      </c>
      <c r="AT196" s="143">
        <f t="shared" si="233"/>
        <v>11648674</v>
      </c>
      <c r="AU196" s="143">
        <f t="shared" si="233"/>
        <v>11648674</v>
      </c>
      <c r="AV196" s="143">
        <f t="shared" si="233"/>
        <v>0</v>
      </c>
      <c r="AW196" s="143">
        <f t="shared" si="233"/>
        <v>11648674</v>
      </c>
      <c r="AX196" s="143">
        <f t="shared" si="233"/>
        <v>12786851.460875001</v>
      </c>
      <c r="AY196" s="143">
        <f t="shared" si="233"/>
        <v>12786851.460875001</v>
      </c>
      <c r="AZ196" s="143">
        <f t="shared" si="233"/>
        <v>0</v>
      </c>
      <c r="BA196" s="143">
        <f t="shared" si="233"/>
        <v>11648674</v>
      </c>
      <c r="BB196" s="93">
        <f t="shared" si="232"/>
        <v>30340531.704125002</v>
      </c>
      <c r="BC196" s="93">
        <f t="shared" si="232"/>
        <v>30340531.704125002</v>
      </c>
      <c r="BD196" s="93">
        <f t="shared" si="232"/>
        <v>0</v>
      </c>
      <c r="BE196" s="93">
        <f t="shared" si="232"/>
        <v>18527273</v>
      </c>
      <c r="BF196" s="93">
        <f t="shared" si="232"/>
        <v>13571448.396871999</v>
      </c>
      <c r="BG196" s="93">
        <f t="shared" si="232"/>
        <v>13571448.396871999</v>
      </c>
      <c r="BH196" s="93">
        <f t="shared" si="232"/>
        <v>0</v>
      </c>
      <c r="BI196" s="93">
        <f t="shared" si="232"/>
        <v>0</v>
      </c>
      <c r="BJ196" s="93">
        <f t="shared" si="232"/>
        <v>6447564.96</v>
      </c>
      <c r="BK196" s="93">
        <f t="shared" si="232"/>
        <v>6447564.96</v>
      </c>
      <c r="BL196" s="93">
        <f t="shared" si="232"/>
        <v>0</v>
      </c>
      <c r="BM196" s="93">
        <f t="shared" si="232"/>
        <v>0</v>
      </c>
      <c r="BN196" s="93" t="e">
        <f>#REF!+AX196+BB196+BF196+BJ196</f>
        <v>#REF!</v>
      </c>
      <c r="BO196" s="93">
        <f t="shared" si="195"/>
        <v>63146396.521872006</v>
      </c>
      <c r="BP196" s="93">
        <f t="shared" si="194"/>
        <v>0</v>
      </c>
      <c r="BQ196" s="93">
        <f t="shared" si="156"/>
        <v>63146396.521872006</v>
      </c>
      <c r="BR196" s="111"/>
      <c r="BS196" s="80"/>
    </row>
    <row r="197" spans="1:71" s="13" customFormat="1" ht="84" customHeight="1">
      <c r="A197" s="138" t="s">
        <v>150</v>
      </c>
      <c r="B197" s="138" t="s">
        <v>338</v>
      </c>
      <c r="C197" s="139">
        <v>42322856.880000003</v>
      </c>
      <c r="D197" s="139"/>
      <c r="E197" s="139">
        <v>5237945</v>
      </c>
      <c r="F197" s="139">
        <v>131885</v>
      </c>
      <c r="G197" s="139">
        <v>131885</v>
      </c>
      <c r="H197" s="139">
        <v>0</v>
      </c>
      <c r="I197" s="139">
        <v>131885</v>
      </c>
      <c r="J197" s="139">
        <v>131885</v>
      </c>
      <c r="K197" s="139">
        <v>131885</v>
      </c>
      <c r="L197" s="139">
        <v>0</v>
      </c>
      <c r="M197" s="139">
        <v>131885</v>
      </c>
      <c r="N197" s="139">
        <v>131885</v>
      </c>
      <c r="O197" s="139">
        <v>131885</v>
      </c>
      <c r="P197" s="139">
        <v>0</v>
      </c>
      <c r="Q197" s="139">
        <v>131885</v>
      </c>
      <c r="R197" s="139">
        <v>1682076</v>
      </c>
      <c r="S197" s="139">
        <v>1682076</v>
      </c>
      <c r="T197" s="139">
        <v>0</v>
      </c>
      <c r="U197" s="139">
        <v>1682076</v>
      </c>
      <c r="V197" s="139">
        <v>1682076</v>
      </c>
      <c r="W197" s="139">
        <v>1682076</v>
      </c>
      <c r="X197" s="139">
        <v>0</v>
      </c>
      <c r="Y197" s="139">
        <v>1682076</v>
      </c>
      <c r="Z197" s="139">
        <v>1682076</v>
      </c>
      <c r="AA197" s="139">
        <v>1682076</v>
      </c>
      <c r="AB197" s="139">
        <v>0</v>
      </c>
      <c r="AC197" s="139">
        <v>1682076</v>
      </c>
      <c r="AD197" s="139">
        <v>4275736</v>
      </c>
      <c r="AE197" s="139">
        <v>4275736</v>
      </c>
      <c r="AF197" s="139">
        <v>0</v>
      </c>
      <c r="AG197" s="139">
        <v>4275736</v>
      </c>
      <c r="AH197" s="139">
        <v>4275736</v>
      </c>
      <c r="AI197" s="139">
        <v>4275736</v>
      </c>
      <c r="AJ197" s="139">
        <v>0</v>
      </c>
      <c r="AK197" s="139">
        <v>4275736</v>
      </c>
      <c r="AL197" s="139">
        <v>4275736</v>
      </c>
      <c r="AM197" s="139">
        <v>4275736</v>
      </c>
      <c r="AN197" s="139">
        <v>0</v>
      </c>
      <c r="AO197" s="139">
        <v>4275736</v>
      </c>
      <c r="AP197" s="139">
        <v>5237945</v>
      </c>
      <c r="AQ197" s="139">
        <v>5237945</v>
      </c>
      <c r="AR197" s="139">
        <v>0</v>
      </c>
      <c r="AS197" s="139">
        <v>5237945</v>
      </c>
      <c r="AT197" s="139">
        <v>5237945</v>
      </c>
      <c r="AU197" s="139">
        <v>5237945</v>
      </c>
      <c r="AV197" s="139">
        <v>0</v>
      </c>
      <c r="AW197" s="139">
        <v>5237945</v>
      </c>
      <c r="AX197" s="139">
        <v>5237945</v>
      </c>
      <c r="AY197" s="139">
        <v>5237945</v>
      </c>
      <c r="AZ197" s="139">
        <v>0</v>
      </c>
      <c r="BA197" s="139">
        <v>5237945</v>
      </c>
      <c r="BB197" s="90">
        <v>15886087.960000001</v>
      </c>
      <c r="BC197" s="90">
        <v>15886087.960000001</v>
      </c>
      <c r="BD197" s="90">
        <v>0</v>
      </c>
      <c r="BE197" s="90">
        <v>9438523</v>
      </c>
      <c r="BF197" s="90">
        <v>6447564.96</v>
      </c>
      <c r="BG197" s="90">
        <v>6447564.96</v>
      </c>
      <c r="BH197" s="90">
        <v>0</v>
      </c>
      <c r="BI197" s="90">
        <v>0</v>
      </c>
      <c r="BJ197" s="90">
        <v>6447564.96</v>
      </c>
      <c r="BK197" s="90">
        <v>6447564.96</v>
      </c>
      <c r="BL197" s="90">
        <v>0</v>
      </c>
      <c r="BM197" s="90">
        <v>0</v>
      </c>
      <c r="BN197" s="90">
        <v>42322856.730000004</v>
      </c>
      <c r="BO197" s="90">
        <v>34019162.880000003</v>
      </c>
      <c r="BP197" s="90">
        <v>0</v>
      </c>
      <c r="BQ197" s="90">
        <v>34019162.880000003</v>
      </c>
      <c r="BR197" s="92"/>
      <c r="BS197" s="80"/>
    </row>
    <row r="198" spans="1:71" s="13" customFormat="1" ht="84" customHeight="1">
      <c r="A198" s="138" t="s">
        <v>149</v>
      </c>
      <c r="B198" s="138" t="s">
        <v>337</v>
      </c>
      <c r="C198" s="139">
        <v>13007742.4134</v>
      </c>
      <c r="D198" s="139"/>
      <c r="E198" s="139">
        <v>0</v>
      </c>
      <c r="F198" s="139"/>
      <c r="G198" s="139"/>
      <c r="H198" s="139"/>
      <c r="I198" s="139"/>
      <c r="J198" s="139"/>
      <c r="K198" s="139"/>
      <c r="L198" s="139"/>
      <c r="M198" s="139"/>
      <c r="N198" s="139">
        <v>0</v>
      </c>
      <c r="O198" s="139"/>
      <c r="P198" s="139"/>
      <c r="Q198" s="139"/>
      <c r="R198" s="139"/>
      <c r="S198" s="139"/>
      <c r="T198" s="139"/>
      <c r="U198" s="139"/>
      <c r="V198" s="139"/>
      <c r="W198" s="139"/>
      <c r="X198" s="139"/>
      <c r="Y198" s="139"/>
      <c r="Z198" s="139">
        <v>0</v>
      </c>
      <c r="AA198" s="139"/>
      <c r="AB198" s="139"/>
      <c r="AC198" s="139"/>
      <c r="AD198" s="139"/>
      <c r="AE198" s="139"/>
      <c r="AF198" s="139"/>
      <c r="AG198" s="139"/>
      <c r="AH198" s="139"/>
      <c r="AI198" s="139"/>
      <c r="AJ198" s="139"/>
      <c r="AK198" s="139"/>
      <c r="AL198" s="139">
        <v>1138177.4608750001</v>
      </c>
      <c r="AM198" s="139">
        <v>1138177.4608750001</v>
      </c>
      <c r="AN198" s="139"/>
      <c r="AO198" s="139"/>
      <c r="AP198" s="139"/>
      <c r="AQ198" s="139"/>
      <c r="AR198" s="139"/>
      <c r="AS198" s="139"/>
      <c r="AT198" s="139"/>
      <c r="AU198" s="139"/>
      <c r="AV198" s="139"/>
      <c r="AW198" s="139"/>
      <c r="AX198" s="139">
        <v>1138177.4608750001</v>
      </c>
      <c r="AY198" s="139">
        <v>1138177.4608750001</v>
      </c>
      <c r="AZ198" s="139"/>
      <c r="BA198" s="139"/>
      <c r="BB198" s="90">
        <v>5365693.7441250002</v>
      </c>
      <c r="BC198" s="90">
        <v>5365693.7441250002</v>
      </c>
      <c r="BD198" s="90"/>
      <c r="BE198" s="90"/>
      <c r="BF198" s="90">
        <v>6503871.2050000001</v>
      </c>
      <c r="BG198" s="90">
        <v>6503871.2050000001</v>
      </c>
      <c r="BH198" s="90"/>
      <c r="BI198" s="90"/>
      <c r="BJ198" s="90">
        <v>0</v>
      </c>
      <c r="BK198" s="90"/>
      <c r="BL198" s="90"/>
      <c r="BM198" s="90"/>
      <c r="BN198" s="90">
        <v>13007742.41</v>
      </c>
      <c r="BO198" s="90">
        <v>13007742.41</v>
      </c>
      <c r="BP198" s="90">
        <v>0</v>
      </c>
      <c r="BQ198" s="90">
        <v>13007742.41</v>
      </c>
      <c r="BR198" s="92"/>
      <c r="BS198" s="80"/>
    </row>
    <row r="199" spans="1:71" s="13" customFormat="1" ht="84" customHeight="1">
      <c r="A199" s="138" t="s">
        <v>133</v>
      </c>
      <c r="B199" s="138" t="s">
        <v>336</v>
      </c>
      <c r="C199" s="139">
        <v>21365500.231872</v>
      </c>
      <c r="D199" s="139"/>
      <c r="E199" s="139">
        <v>6410729</v>
      </c>
      <c r="F199" s="139">
        <v>216093</v>
      </c>
      <c r="G199" s="139">
        <v>216093</v>
      </c>
      <c r="H199" s="139">
        <v>0</v>
      </c>
      <c r="I199" s="139">
        <v>216093</v>
      </c>
      <c r="J199" s="139">
        <v>216093</v>
      </c>
      <c r="K199" s="139">
        <v>216093</v>
      </c>
      <c r="L199" s="139">
        <v>0</v>
      </c>
      <c r="M199" s="139">
        <v>216093</v>
      </c>
      <c r="N199" s="139">
        <v>216093</v>
      </c>
      <c r="O199" s="139">
        <v>216093</v>
      </c>
      <c r="P199" s="139">
        <v>0</v>
      </c>
      <c r="Q199" s="139">
        <v>216093</v>
      </c>
      <c r="R199" s="139">
        <v>1911175</v>
      </c>
      <c r="S199" s="139">
        <v>1911175</v>
      </c>
      <c r="T199" s="139">
        <v>0</v>
      </c>
      <c r="U199" s="139">
        <v>1911175</v>
      </c>
      <c r="V199" s="139">
        <v>1911175</v>
      </c>
      <c r="W199" s="139">
        <v>1911175</v>
      </c>
      <c r="X199" s="139">
        <v>0</v>
      </c>
      <c r="Y199" s="139">
        <v>1911175</v>
      </c>
      <c r="Z199" s="139">
        <v>1911175</v>
      </c>
      <c r="AA199" s="139">
        <v>1911175</v>
      </c>
      <c r="AB199" s="139">
        <v>0</v>
      </c>
      <c r="AC199" s="139">
        <v>1911175</v>
      </c>
      <c r="AD199" s="139">
        <v>3566493</v>
      </c>
      <c r="AE199" s="139">
        <v>3566493</v>
      </c>
      <c r="AF199" s="139">
        <v>0</v>
      </c>
      <c r="AG199" s="139">
        <v>3566493</v>
      </c>
      <c r="AH199" s="139">
        <v>3566493</v>
      </c>
      <c r="AI199" s="139">
        <v>3566493</v>
      </c>
      <c r="AJ199" s="139">
        <v>0</v>
      </c>
      <c r="AK199" s="139">
        <v>3566493</v>
      </c>
      <c r="AL199" s="139">
        <v>3566493</v>
      </c>
      <c r="AM199" s="139">
        <v>3566493</v>
      </c>
      <c r="AN199" s="139">
        <v>0</v>
      </c>
      <c r="AO199" s="139">
        <v>3566493</v>
      </c>
      <c r="AP199" s="139">
        <v>6410729</v>
      </c>
      <c r="AQ199" s="139">
        <v>6410729</v>
      </c>
      <c r="AR199" s="139">
        <v>0</v>
      </c>
      <c r="AS199" s="139">
        <v>6410729</v>
      </c>
      <c r="AT199" s="139">
        <v>6410729</v>
      </c>
      <c r="AU199" s="139">
        <v>6410729</v>
      </c>
      <c r="AV199" s="139">
        <v>0</v>
      </c>
      <c r="AW199" s="139">
        <v>6410729</v>
      </c>
      <c r="AX199" s="139">
        <v>6410729</v>
      </c>
      <c r="AY199" s="139">
        <v>6410729</v>
      </c>
      <c r="AZ199" s="139">
        <v>0</v>
      </c>
      <c r="BA199" s="139">
        <v>6410729</v>
      </c>
      <c r="BB199" s="90">
        <v>9088750</v>
      </c>
      <c r="BC199" s="90">
        <v>9088750</v>
      </c>
      <c r="BD199" s="90">
        <v>0</v>
      </c>
      <c r="BE199" s="90">
        <v>9088750</v>
      </c>
      <c r="BF199" s="90">
        <v>620012.23187200003</v>
      </c>
      <c r="BG199" s="90">
        <v>620012.23187200003</v>
      </c>
      <c r="BH199" s="90">
        <v>0</v>
      </c>
      <c r="BI199" s="90">
        <v>0</v>
      </c>
      <c r="BJ199" s="90">
        <v>0</v>
      </c>
      <c r="BK199" s="90">
        <v>0</v>
      </c>
      <c r="BL199" s="90">
        <v>0</v>
      </c>
      <c r="BM199" s="90">
        <v>0</v>
      </c>
      <c r="BN199" s="90">
        <v>21365500.211872</v>
      </c>
      <c r="BO199" s="90">
        <v>16119491.231872</v>
      </c>
      <c r="BP199" s="90">
        <v>0</v>
      </c>
      <c r="BQ199" s="90">
        <v>16119491.231872</v>
      </c>
      <c r="BR199" s="92"/>
      <c r="BS199" s="80"/>
    </row>
    <row r="200" spans="1:71" s="13" customFormat="1" ht="84" customHeight="1">
      <c r="A200" s="138" t="s">
        <v>134</v>
      </c>
      <c r="B200" s="138" t="s">
        <v>335</v>
      </c>
      <c r="C200" s="139">
        <v>0</v>
      </c>
      <c r="D200" s="139"/>
      <c r="E200" s="139">
        <v>0</v>
      </c>
      <c r="F200" s="139"/>
      <c r="G200" s="139"/>
      <c r="H200" s="139"/>
      <c r="I200" s="139"/>
      <c r="J200" s="139"/>
      <c r="K200" s="139"/>
      <c r="L200" s="139"/>
      <c r="M200" s="139"/>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c r="AN200" s="139"/>
      <c r="AO200" s="139"/>
      <c r="AP200" s="139"/>
      <c r="AQ200" s="139"/>
      <c r="AR200" s="139"/>
      <c r="AS200" s="139"/>
      <c r="AT200" s="139"/>
      <c r="AU200" s="139"/>
      <c r="AV200" s="139"/>
      <c r="AW200" s="139"/>
      <c r="AX200" s="139"/>
      <c r="AY200" s="139"/>
      <c r="AZ200" s="139"/>
      <c r="BA200" s="139"/>
      <c r="BB200" s="90"/>
      <c r="BC200" s="90"/>
      <c r="BD200" s="90"/>
      <c r="BE200" s="90"/>
      <c r="BF200" s="90"/>
      <c r="BG200" s="90"/>
      <c r="BH200" s="90"/>
      <c r="BI200" s="90"/>
      <c r="BJ200" s="90"/>
      <c r="BK200" s="90"/>
      <c r="BL200" s="90"/>
      <c r="BM200" s="90"/>
      <c r="BN200" s="90">
        <v>0</v>
      </c>
      <c r="BO200" s="90">
        <v>0</v>
      </c>
      <c r="BP200" s="90">
        <v>0</v>
      </c>
      <c r="BQ200" s="90">
        <v>0</v>
      </c>
      <c r="BR200" s="92"/>
      <c r="BS200" s="80"/>
    </row>
    <row r="201" spans="1:71" s="13" customFormat="1" ht="84" customHeight="1">
      <c r="A201" s="138" t="s">
        <v>135</v>
      </c>
      <c r="B201" s="138" t="s">
        <v>334</v>
      </c>
      <c r="C201" s="139">
        <v>0</v>
      </c>
      <c r="D201" s="139"/>
      <c r="E201" s="139">
        <v>0</v>
      </c>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39"/>
      <c r="AL201" s="139"/>
      <c r="AM201" s="139"/>
      <c r="AN201" s="139"/>
      <c r="AO201" s="139"/>
      <c r="AP201" s="139"/>
      <c r="AQ201" s="139"/>
      <c r="AR201" s="139"/>
      <c r="AS201" s="139"/>
      <c r="AT201" s="139"/>
      <c r="AU201" s="139"/>
      <c r="AV201" s="139"/>
      <c r="AW201" s="139"/>
      <c r="AX201" s="139"/>
      <c r="AY201" s="139"/>
      <c r="AZ201" s="139"/>
      <c r="BA201" s="139"/>
      <c r="BB201" s="90"/>
      <c r="BC201" s="90"/>
      <c r="BD201" s="90"/>
      <c r="BE201" s="90"/>
      <c r="BF201" s="90"/>
      <c r="BG201" s="90"/>
      <c r="BH201" s="90"/>
      <c r="BI201" s="90"/>
      <c r="BJ201" s="90"/>
      <c r="BK201" s="90"/>
      <c r="BL201" s="90"/>
      <c r="BM201" s="90"/>
      <c r="BN201" s="90">
        <v>0</v>
      </c>
      <c r="BO201" s="90">
        <v>0</v>
      </c>
      <c r="BP201" s="90">
        <v>0</v>
      </c>
      <c r="BQ201" s="90">
        <v>0</v>
      </c>
      <c r="BR201" s="92"/>
      <c r="BS201" s="80"/>
    </row>
    <row r="202" spans="1:71" s="8" customFormat="1">
      <c r="A202" s="141"/>
      <c r="B202" s="142" t="s">
        <v>333</v>
      </c>
      <c r="C202" s="143">
        <f>C203</f>
        <v>8574208.7999999989</v>
      </c>
      <c r="D202" s="143"/>
      <c r="E202" s="143">
        <f>E203</f>
        <v>1089452</v>
      </c>
      <c r="F202" s="143">
        <f t="shared" ref="F202:BM202" si="234">F203</f>
        <v>0</v>
      </c>
      <c r="G202" s="143">
        <f t="shared" si="234"/>
        <v>63789.09</v>
      </c>
      <c r="H202" s="143">
        <f t="shared" si="234"/>
        <v>0</v>
      </c>
      <c r="I202" s="143">
        <f t="shared" si="234"/>
        <v>0</v>
      </c>
      <c r="J202" s="143">
        <f t="shared" si="234"/>
        <v>406429.69</v>
      </c>
      <c r="K202" s="143">
        <f t="shared" si="234"/>
        <v>140885.81</v>
      </c>
      <c r="L202" s="143">
        <f t="shared" si="234"/>
        <v>0</v>
      </c>
      <c r="M202" s="143">
        <f t="shared" si="234"/>
        <v>0</v>
      </c>
      <c r="N202" s="143">
        <f t="shared" si="234"/>
        <v>455385.42</v>
      </c>
      <c r="O202" s="143">
        <f t="shared" si="234"/>
        <v>224487.19</v>
      </c>
      <c r="P202" s="143">
        <f t="shared" si="234"/>
        <v>0</v>
      </c>
      <c r="Q202" s="143">
        <f t="shared" si="234"/>
        <v>0</v>
      </c>
      <c r="R202" s="143">
        <f t="shared" si="234"/>
        <v>476251.45999999996</v>
      </c>
      <c r="S202" s="143">
        <f t="shared" si="234"/>
        <v>306081.83999999997</v>
      </c>
      <c r="T202" s="143">
        <f t="shared" si="234"/>
        <v>0</v>
      </c>
      <c r="U202" s="143">
        <f t="shared" si="234"/>
        <v>0</v>
      </c>
      <c r="V202" s="143">
        <f t="shared" si="234"/>
        <v>523139.24999999994</v>
      </c>
      <c r="W202" s="143">
        <f t="shared" si="234"/>
        <v>390646.69999999995</v>
      </c>
      <c r="X202" s="143">
        <f t="shared" si="234"/>
        <v>0</v>
      </c>
      <c r="Y202" s="143">
        <f t="shared" si="234"/>
        <v>0</v>
      </c>
      <c r="Z202" s="143">
        <f t="shared" si="234"/>
        <v>599118.74</v>
      </c>
      <c r="AA202" s="143">
        <f t="shared" si="234"/>
        <v>485194.48</v>
      </c>
      <c r="AB202" s="143">
        <f t="shared" si="234"/>
        <v>0</v>
      </c>
      <c r="AC202" s="143">
        <f t="shared" si="234"/>
        <v>0</v>
      </c>
      <c r="AD202" s="143">
        <f t="shared" si="234"/>
        <v>601327.14</v>
      </c>
      <c r="AE202" s="143">
        <f t="shared" si="234"/>
        <v>572596.69999999995</v>
      </c>
      <c r="AF202" s="143">
        <f t="shared" si="234"/>
        <v>0</v>
      </c>
      <c r="AG202" s="143">
        <f t="shared" si="234"/>
        <v>0</v>
      </c>
      <c r="AH202" s="143">
        <f t="shared" si="234"/>
        <v>681401.71</v>
      </c>
      <c r="AI202" s="143">
        <f t="shared" si="234"/>
        <v>666019.07999999996</v>
      </c>
      <c r="AJ202" s="143">
        <f t="shared" si="234"/>
        <v>0</v>
      </c>
      <c r="AK202" s="143">
        <f t="shared" si="234"/>
        <v>0</v>
      </c>
      <c r="AL202" s="143">
        <f t="shared" si="234"/>
        <v>744297.25</v>
      </c>
      <c r="AM202" s="143">
        <f t="shared" si="234"/>
        <v>767911.61</v>
      </c>
      <c r="AN202" s="143">
        <f t="shared" si="234"/>
        <v>0</v>
      </c>
      <c r="AO202" s="143">
        <f t="shared" si="234"/>
        <v>0</v>
      </c>
      <c r="AP202" s="143">
        <f t="shared" si="234"/>
        <v>771091.28</v>
      </c>
      <c r="AQ202" s="143">
        <f t="shared" si="234"/>
        <v>868242.46</v>
      </c>
      <c r="AR202" s="143">
        <f t="shared" si="234"/>
        <v>0</v>
      </c>
      <c r="AS202" s="143">
        <f t="shared" si="234"/>
        <v>0</v>
      </c>
      <c r="AT202" s="143">
        <f t="shared" si="234"/>
        <v>820519.02</v>
      </c>
      <c r="AU202" s="143">
        <f t="shared" si="234"/>
        <v>972744.91999999993</v>
      </c>
      <c r="AV202" s="143">
        <f t="shared" si="234"/>
        <v>0</v>
      </c>
      <c r="AW202" s="143">
        <f t="shared" si="234"/>
        <v>0</v>
      </c>
      <c r="AX202" s="143">
        <f t="shared" si="234"/>
        <v>920054.98</v>
      </c>
      <c r="AY202" s="143">
        <f t="shared" si="234"/>
        <v>1106045.8499999999</v>
      </c>
      <c r="AZ202" s="143">
        <f t="shared" si="234"/>
        <v>0</v>
      </c>
      <c r="BA202" s="143">
        <f t="shared" si="234"/>
        <v>1089452</v>
      </c>
      <c r="BB202" s="93">
        <f t="shared" si="234"/>
        <v>653707.09</v>
      </c>
      <c r="BC202" s="93">
        <f t="shared" si="234"/>
        <v>1241738.18</v>
      </c>
      <c r="BD202" s="93">
        <f t="shared" si="234"/>
        <v>0</v>
      </c>
      <c r="BE202" s="93">
        <f t="shared" si="234"/>
        <v>1191763</v>
      </c>
      <c r="BF202" s="93">
        <f t="shared" si="234"/>
        <v>471660.98</v>
      </c>
      <c r="BG202" s="93">
        <f t="shared" si="234"/>
        <v>966352.72</v>
      </c>
      <c r="BH202" s="93">
        <f t="shared" si="234"/>
        <v>0</v>
      </c>
      <c r="BI202" s="93">
        <f t="shared" si="234"/>
        <v>952911</v>
      </c>
      <c r="BJ202" s="93">
        <f t="shared" si="234"/>
        <v>4630071.1900000004</v>
      </c>
      <c r="BK202" s="93">
        <f t="shared" si="234"/>
        <v>750894.61</v>
      </c>
      <c r="BL202" s="93">
        <f t="shared" si="234"/>
        <v>0</v>
      </c>
      <c r="BM202" s="93">
        <f t="shared" si="234"/>
        <v>768202</v>
      </c>
      <c r="BN202" s="93" t="e">
        <f>#REF!+AX202+BB202+BF202+BJ202</f>
        <v>#REF!</v>
      </c>
      <c r="BO202" s="93">
        <f t="shared" si="195"/>
        <v>4065031.36</v>
      </c>
      <c r="BP202" s="93">
        <f t="shared" si="194"/>
        <v>0</v>
      </c>
      <c r="BQ202" s="93">
        <f t="shared" si="156"/>
        <v>4065031.36</v>
      </c>
      <c r="BR202" s="111"/>
      <c r="BS202" s="80"/>
    </row>
    <row r="203" spans="1:71" s="13" customFormat="1" ht="51" customHeight="1">
      <c r="A203" s="138" t="s">
        <v>136</v>
      </c>
      <c r="B203" s="138" t="s">
        <v>332</v>
      </c>
      <c r="C203" s="139">
        <v>8574208.7999999989</v>
      </c>
      <c r="D203" s="139">
        <v>534639</v>
      </c>
      <c r="E203" s="139">
        <v>1089452</v>
      </c>
      <c r="F203" s="139">
        <v>0</v>
      </c>
      <c r="G203" s="139">
        <v>63789.09</v>
      </c>
      <c r="H203" s="139">
        <v>0</v>
      </c>
      <c r="I203" s="139">
        <v>0</v>
      </c>
      <c r="J203" s="139">
        <v>406429.69</v>
      </c>
      <c r="K203" s="139">
        <f>G203+77096.72</f>
        <v>140885.81</v>
      </c>
      <c r="L203" s="139">
        <v>0</v>
      </c>
      <c r="M203" s="139">
        <v>0</v>
      </c>
      <c r="N203" s="139">
        <f>48955.73+J203</f>
        <v>455385.42</v>
      </c>
      <c r="O203" s="139">
        <f>K203+83601.38</f>
        <v>224487.19</v>
      </c>
      <c r="P203" s="139">
        <v>0</v>
      </c>
      <c r="Q203" s="139">
        <v>0</v>
      </c>
      <c r="R203" s="139">
        <f>20866.04+N203</f>
        <v>476251.45999999996</v>
      </c>
      <c r="S203" s="139">
        <f>O203+81594.65</f>
        <v>306081.83999999997</v>
      </c>
      <c r="T203" s="139">
        <v>0</v>
      </c>
      <c r="U203" s="139">
        <v>0</v>
      </c>
      <c r="V203" s="139">
        <f>R203+46887.79</f>
        <v>523139.24999999994</v>
      </c>
      <c r="W203" s="139">
        <f>S203+84564.86</f>
        <v>390646.69999999995</v>
      </c>
      <c r="X203" s="139">
        <v>0</v>
      </c>
      <c r="Y203" s="139">
        <v>0</v>
      </c>
      <c r="Z203" s="139">
        <f>V203+75979.49</f>
        <v>599118.74</v>
      </c>
      <c r="AA203" s="139">
        <f>W203+94547.78</f>
        <v>485194.48</v>
      </c>
      <c r="AB203" s="139">
        <v>0</v>
      </c>
      <c r="AC203" s="139">
        <v>0</v>
      </c>
      <c r="AD203" s="139">
        <f>Z203+2208.4</f>
        <v>601327.14</v>
      </c>
      <c r="AE203" s="139">
        <f>AA203+87402.22</f>
        <v>572596.69999999995</v>
      </c>
      <c r="AF203" s="139">
        <v>0</v>
      </c>
      <c r="AG203" s="139">
        <v>0</v>
      </c>
      <c r="AH203" s="139">
        <f>AD203+80074.57</f>
        <v>681401.71</v>
      </c>
      <c r="AI203" s="139">
        <f>AE203+93422.38</f>
        <v>666019.07999999996</v>
      </c>
      <c r="AJ203" s="139">
        <v>0</v>
      </c>
      <c r="AK203" s="139">
        <v>0</v>
      </c>
      <c r="AL203" s="139">
        <f>AH203+62895.54</f>
        <v>744297.25</v>
      </c>
      <c r="AM203" s="139">
        <f>AI203+101892.53</f>
        <v>767911.61</v>
      </c>
      <c r="AN203" s="139">
        <v>0</v>
      </c>
      <c r="AO203" s="139">
        <v>0</v>
      </c>
      <c r="AP203" s="139">
        <f>AL203+26794.03</f>
        <v>771091.28</v>
      </c>
      <c r="AQ203" s="139">
        <f>AM203+100330.85</f>
        <v>868242.46</v>
      </c>
      <c r="AR203" s="139">
        <v>0</v>
      </c>
      <c r="AS203" s="139">
        <v>0</v>
      </c>
      <c r="AT203" s="139">
        <f>AP203+49427.74</f>
        <v>820519.02</v>
      </c>
      <c r="AU203" s="139">
        <f>AQ203+104502.46</f>
        <v>972744.91999999993</v>
      </c>
      <c r="AV203" s="139">
        <v>0</v>
      </c>
      <c r="AW203" s="139">
        <v>0</v>
      </c>
      <c r="AX203" s="139">
        <f>AT203+99535.96</f>
        <v>920054.98</v>
      </c>
      <c r="AY203" s="139">
        <f>AU203+133300.93</f>
        <v>1106045.8499999999</v>
      </c>
      <c r="AZ203" s="139">
        <v>0</v>
      </c>
      <c r="BA203" s="139">
        <v>1089452</v>
      </c>
      <c r="BB203" s="90">
        <v>653707.09</v>
      </c>
      <c r="BC203" s="90">
        <v>1241738.18</v>
      </c>
      <c r="BD203" s="90">
        <v>0</v>
      </c>
      <c r="BE203" s="90">
        <v>1191763</v>
      </c>
      <c r="BF203" s="90">
        <v>471660.98</v>
      </c>
      <c r="BG203" s="90">
        <v>966352.72</v>
      </c>
      <c r="BH203" s="90">
        <v>0</v>
      </c>
      <c r="BI203" s="90">
        <v>952911</v>
      </c>
      <c r="BJ203" s="90">
        <f>287275.19+4342796</f>
        <v>4630071.1900000004</v>
      </c>
      <c r="BK203" s="90">
        <v>750894.61</v>
      </c>
      <c r="BL203" s="90">
        <v>0</v>
      </c>
      <c r="BM203" s="90">
        <v>768202</v>
      </c>
      <c r="BN203" s="90" t="e">
        <f>#REF!+AX203+BB203+BF203+BJ203</f>
        <v>#REF!</v>
      </c>
      <c r="BO203" s="90">
        <f t="shared" si="195"/>
        <v>4065031.36</v>
      </c>
      <c r="BP203" s="90">
        <f t="shared" si="195"/>
        <v>0</v>
      </c>
      <c r="BQ203" s="90">
        <f>BO203+BP203</f>
        <v>4065031.36</v>
      </c>
      <c r="BR203" s="92" t="s">
        <v>427</v>
      </c>
      <c r="BS203" s="80"/>
    </row>
    <row r="204" spans="1:71" ht="33.75" customHeight="1">
      <c r="A204" s="184" t="s">
        <v>426</v>
      </c>
      <c r="B204" s="184"/>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c r="AJ204" s="184"/>
      <c r="AK204" s="184"/>
      <c r="AL204" s="184"/>
      <c r="AM204" s="184"/>
      <c r="AN204" s="184"/>
      <c r="AO204" s="184"/>
      <c r="AP204" s="184"/>
      <c r="AQ204" s="184"/>
      <c r="AR204" s="184"/>
      <c r="AS204" s="184"/>
      <c r="AT204" s="184"/>
      <c r="AU204" s="184"/>
      <c r="AV204" s="184"/>
      <c r="AW204" s="184"/>
      <c r="AX204" s="184"/>
      <c r="AY204" s="184"/>
      <c r="AZ204" s="184"/>
      <c r="BA204" s="184"/>
    </row>
    <row r="205" spans="1:71" ht="18.75" hidden="1" customHeight="1">
      <c r="A205" s="185"/>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c r="AO205" s="185"/>
      <c r="AP205" s="185"/>
      <c r="AQ205" s="185"/>
      <c r="AR205" s="185"/>
      <c r="AS205" s="185"/>
      <c r="AT205" s="185"/>
      <c r="AU205" s="185"/>
      <c r="AV205" s="185"/>
      <c r="AW205" s="185"/>
      <c r="AX205" s="185"/>
      <c r="AY205" s="185"/>
      <c r="AZ205" s="185"/>
      <c r="BA205" s="185"/>
      <c r="BB205" s="30"/>
      <c r="BC205" s="30"/>
      <c r="BD205" s="30"/>
      <c r="BE205" s="30"/>
      <c r="BF205" s="30"/>
      <c r="BG205" s="30"/>
      <c r="BH205" s="30"/>
      <c r="BI205" s="30"/>
      <c r="BJ205" s="30"/>
      <c r="BK205" s="30"/>
      <c r="BL205" s="30"/>
      <c r="BM205" s="30"/>
      <c r="BN205" s="30"/>
    </row>
    <row r="206" spans="1:71" ht="28.5" customHeight="1">
      <c r="A206" s="81"/>
      <c r="B206" s="164"/>
      <c r="C206" s="35"/>
      <c r="D206" s="51"/>
      <c r="E206" s="51"/>
      <c r="F206" s="51"/>
      <c r="G206" s="51"/>
      <c r="H206" s="51"/>
      <c r="I206" s="51"/>
      <c r="J206" s="51"/>
      <c r="K206" s="51"/>
      <c r="L206" s="51"/>
      <c r="M206" s="51"/>
      <c r="N206" s="51"/>
      <c r="O206" s="51"/>
      <c r="P206" s="35"/>
      <c r="Q206" s="35"/>
      <c r="R206" s="35"/>
      <c r="S206" s="35"/>
      <c r="T206" s="35"/>
      <c r="U206" s="52"/>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30"/>
      <c r="BC206" s="30"/>
      <c r="BD206" s="30"/>
      <c r="BE206" s="30"/>
      <c r="BF206" s="30"/>
      <c r="BG206" s="30"/>
      <c r="BH206" s="30"/>
      <c r="BI206" s="30"/>
      <c r="BJ206" s="30"/>
      <c r="BK206" s="30"/>
      <c r="BL206" s="30"/>
      <c r="BM206" s="30"/>
      <c r="BN206" s="30"/>
    </row>
    <row r="207" spans="1:71" ht="23.25">
      <c r="A207" s="67"/>
      <c r="B207" s="165"/>
      <c r="C207" s="78" t="s">
        <v>453</v>
      </c>
      <c r="D207" s="79"/>
      <c r="E207" s="78"/>
      <c r="F207" s="31"/>
      <c r="G207" s="31" t="s">
        <v>452</v>
      </c>
      <c r="H207" s="58"/>
      <c r="I207" s="70"/>
      <c r="J207" s="70"/>
      <c r="K207" s="58"/>
      <c r="L207" s="58"/>
      <c r="M207" s="58"/>
      <c r="N207" s="58"/>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78" t="s">
        <v>236</v>
      </c>
      <c r="AU207" s="79"/>
      <c r="AV207" s="79"/>
      <c r="AW207" s="79"/>
      <c r="AZ207" s="169" t="s">
        <v>452</v>
      </c>
      <c r="BC207" s="31"/>
      <c r="BD207" s="31"/>
      <c r="BE207" s="31"/>
      <c r="BF207" s="31"/>
      <c r="BG207" s="31"/>
      <c r="BH207" s="31"/>
      <c r="BI207" s="31"/>
      <c r="BJ207" s="31"/>
      <c r="BK207" s="31"/>
      <c r="BL207" s="31"/>
      <c r="BM207" s="31"/>
      <c r="BN207" s="31"/>
    </row>
    <row r="208" spans="1:71" ht="18" customHeight="1">
      <c r="A208" s="67"/>
      <c r="B208" s="165"/>
      <c r="C208" s="67"/>
      <c r="D208" s="68"/>
      <c r="E208" s="69"/>
      <c r="F208" s="58"/>
      <c r="G208" s="58"/>
      <c r="H208" s="58"/>
      <c r="I208" s="70"/>
      <c r="J208" s="70"/>
      <c r="K208" s="58"/>
      <c r="L208" s="58"/>
      <c r="M208" s="58"/>
      <c r="N208" s="58"/>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78"/>
      <c r="AU208" s="79"/>
      <c r="AV208" s="79"/>
      <c r="AW208" s="79"/>
      <c r="AX208" s="78"/>
      <c r="AY208" s="79"/>
      <c r="AZ208" s="78"/>
      <c r="BA208" s="31"/>
      <c r="BB208" s="31"/>
      <c r="BC208" s="31"/>
      <c r="BD208" s="31"/>
      <c r="BE208" s="31"/>
      <c r="BF208" s="31"/>
      <c r="BG208" s="31"/>
      <c r="BH208" s="31"/>
      <c r="BI208" s="31"/>
      <c r="BJ208" s="31"/>
      <c r="BK208" s="31"/>
      <c r="BL208" s="31"/>
      <c r="BM208" s="31"/>
      <c r="BN208" s="31"/>
    </row>
    <row r="209" spans="1:21">
      <c r="A209" s="71" t="s">
        <v>451</v>
      </c>
      <c r="B209" s="166"/>
      <c r="C209" s="72"/>
      <c r="D209" s="68"/>
      <c r="E209" s="70"/>
      <c r="F209" s="58"/>
      <c r="G209" s="58"/>
      <c r="H209" s="58"/>
      <c r="I209" s="70"/>
      <c r="J209" s="70"/>
      <c r="K209" s="73"/>
      <c r="L209" s="58"/>
      <c r="M209" s="58"/>
      <c r="N209" s="58"/>
      <c r="O209" s="58"/>
      <c r="P209" s="58"/>
      <c r="Q209" s="58"/>
      <c r="R209" s="58"/>
      <c r="S209" s="58"/>
      <c r="T209" s="58"/>
      <c r="U209" s="64"/>
    </row>
    <row r="210" spans="1:21">
      <c r="A210" s="71" t="s">
        <v>237</v>
      </c>
      <c r="B210" s="166"/>
      <c r="C210" s="72"/>
      <c r="D210" s="74"/>
      <c r="E210" s="75"/>
      <c r="F210" s="72"/>
      <c r="G210" s="72"/>
      <c r="H210" s="72"/>
      <c r="I210" s="72"/>
      <c r="J210" s="72"/>
      <c r="K210" s="72"/>
      <c r="L210" s="72"/>
      <c r="M210" s="72"/>
      <c r="N210" s="72"/>
      <c r="O210" s="58"/>
      <c r="P210" s="58"/>
      <c r="Q210" s="58"/>
      <c r="R210" s="58"/>
      <c r="S210" s="58"/>
      <c r="T210" s="58"/>
      <c r="U210" s="64"/>
    </row>
    <row r="211" spans="1:21">
      <c r="A211" s="71" t="s">
        <v>238</v>
      </c>
      <c r="B211" s="166"/>
      <c r="C211" s="72"/>
      <c r="D211" s="74"/>
      <c r="E211" s="75"/>
      <c r="F211" s="72"/>
      <c r="G211" s="72"/>
      <c r="H211" s="72"/>
      <c r="I211" s="72"/>
      <c r="J211" s="72"/>
      <c r="K211" s="72"/>
      <c r="L211" s="72"/>
      <c r="M211" s="72"/>
      <c r="N211" s="72"/>
      <c r="O211" s="58"/>
      <c r="P211" s="58"/>
      <c r="Q211" s="58"/>
      <c r="R211" s="58"/>
      <c r="S211" s="58"/>
      <c r="T211" s="58"/>
      <c r="U211" s="64"/>
    </row>
  </sheetData>
  <mergeCells count="74">
    <mergeCell ref="N7:Q7"/>
    <mergeCell ref="N8:N9"/>
    <mergeCell ref="AD7:AG7"/>
    <mergeCell ref="A6:A9"/>
    <mergeCell ref="B6:B9"/>
    <mergeCell ref="E6:E9"/>
    <mergeCell ref="C6:C9"/>
    <mergeCell ref="M8:M9"/>
    <mergeCell ref="U8:U9"/>
    <mergeCell ref="Q8:Q9"/>
    <mergeCell ref="V7:Y7"/>
    <mergeCell ref="V8:V9"/>
    <mergeCell ref="W8:X8"/>
    <mergeCell ref="Y8:Y9"/>
    <mergeCell ref="R7:U7"/>
    <mergeCell ref="R8:R9"/>
    <mergeCell ref="A204:BA205"/>
    <mergeCell ref="AY8:AZ8"/>
    <mergeCell ref="BA8:BA9"/>
    <mergeCell ref="AM8:AN8"/>
    <mergeCell ref="F7:I7"/>
    <mergeCell ref="F8:F9"/>
    <mergeCell ref="G8:H8"/>
    <mergeCell ref="I8:I9"/>
    <mergeCell ref="AG8:AG9"/>
    <mergeCell ref="J7:M7"/>
    <mergeCell ref="J8:J9"/>
    <mergeCell ref="O8:P8"/>
    <mergeCell ref="AX8:AX9"/>
    <mergeCell ref="AD8:AD9"/>
    <mergeCell ref="AE8:AF8"/>
    <mergeCell ref="K8:L8"/>
    <mergeCell ref="S8:T8"/>
    <mergeCell ref="BB6:BE7"/>
    <mergeCell ref="BF6:BI7"/>
    <mergeCell ref="BJ6:BM7"/>
    <mergeCell ref="Z8:Z9"/>
    <mergeCell ref="AA8:AB8"/>
    <mergeCell ref="AC8:AC9"/>
    <mergeCell ref="Z7:AC7"/>
    <mergeCell ref="AL7:AO7"/>
    <mergeCell ref="AL8:AL9"/>
    <mergeCell ref="AO8:AO9"/>
    <mergeCell ref="AX7:BA7"/>
    <mergeCell ref="BI8:BI9"/>
    <mergeCell ref="BB8:BB9"/>
    <mergeCell ref="BC8:BD8"/>
    <mergeCell ref="BE8:BE9"/>
    <mergeCell ref="BF8:BF9"/>
    <mergeCell ref="BG8:BH8"/>
    <mergeCell ref="BR6:BR9"/>
    <mergeCell ref="BQ8:BQ9"/>
    <mergeCell ref="BN6:BQ7"/>
    <mergeCell ref="BJ8:BJ9"/>
    <mergeCell ref="BK8:BL8"/>
    <mergeCell ref="BM8:BM9"/>
    <mergeCell ref="BN8:BN9"/>
    <mergeCell ref="BO8:BP8"/>
    <mergeCell ref="A4:BA4"/>
    <mergeCell ref="A5:BF5"/>
    <mergeCell ref="D6:D9"/>
    <mergeCell ref="F6:BA6"/>
    <mergeCell ref="AT7:AW7"/>
    <mergeCell ref="AT8:AT9"/>
    <mergeCell ref="AU8:AV8"/>
    <mergeCell ref="AW8:AW9"/>
    <mergeCell ref="AP7:AS7"/>
    <mergeCell ref="AP8:AP9"/>
    <mergeCell ref="AQ8:AR8"/>
    <mergeCell ref="AS8:AS9"/>
    <mergeCell ref="AH7:AK7"/>
    <mergeCell ref="AH8:AH9"/>
    <mergeCell ref="AI8:AJ8"/>
    <mergeCell ref="AK8:AK9"/>
  </mergeCells>
  <pageMargins left="0.70866141732283472" right="0.70866141732283472" top="0.74803149606299213" bottom="0.74803149606299213" header="0.31496062992125984" footer="0.31496062992125984"/>
  <pageSetup paperSize="9" scale="60" fitToWidth="0" fitToHeight="0" orientation="portrait" r:id="rId1"/>
  <headerFooter>
    <oddHeader>&amp;C&amp;P</oddHeader>
    <oddFooter xml:space="preserve">&amp;L&amp;F; Atbildīgo iestāžu noteiktais apguves mērķis 2012.gadā </oddFooter>
  </headerFooter>
  <rowBreaks count="12" manualBreakCount="12">
    <brk id="31" max="68" man="1"/>
    <brk id="43" max="68" man="1"/>
    <brk id="56" max="68" man="1"/>
    <brk id="71" max="68" man="1"/>
    <brk id="86" max="68" man="1"/>
    <brk id="109" max="68" man="1"/>
    <brk id="123" max="68" man="1"/>
    <brk id="133" max="68" man="1"/>
    <brk id="150" max="68" man="1"/>
    <brk id="162" max="68" man="1"/>
    <brk id="177" max="68" man="1"/>
    <brk id="192" max="6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8"/>
  <sheetViews>
    <sheetView view="pageBreakPreview" zoomScale="85" zoomScaleNormal="100" zoomScaleSheetLayoutView="85" workbookViewId="0">
      <selection activeCell="C32" sqref="C32"/>
    </sheetView>
  </sheetViews>
  <sheetFormatPr defaultRowHeight="15.75"/>
  <cols>
    <col min="1" max="1" width="10.25" customWidth="1"/>
    <col min="2" max="2" width="27.5" customWidth="1"/>
    <col min="3" max="3" width="14.125" bestFit="1" customWidth="1"/>
    <col min="4" max="4" width="12.625" customWidth="1"/>
    <col min="5" max="5" width="13.625" bestFit="1" customWidth="1"/>
    <col min="6" max="11" width="12.5" hidden="1" customWidth="1"/>
    <col min="12" max="13" width="12.5" bestFit="1" customWidth="1"/>
    <col min="14" max="14" width="12.875" customWidth="1"/>
    <col min="15" max="15" width="13.875" customWidth="1"/>
  </cols>
  <sheetData>
    <row r="2" spans="1:15" ht="20.25">
      <c r="A2" s="170" t="s">
        <v>445</v>
      </c>
      <c r="B2" s="170"/>
      <c r="C2" s="170"/>
      <c r="D2" s="170"/>
      <c r="E2" s="170"/>
      <c r="F2" s="170"/>
      <c r="G2" s="170"/>
      <c r="H2" s="170"/>
      <c r="I2" s="170"/>
      <c r="J2" s="170"/>
      <c r="K2" s="170"/>
      <c r="L2" s="170"/>
      <c r="M2" s="170"/>
      <c r="N2" s="170"/>
      <c r="O2" s="170"/>
    </row>
    <row r="4" spans="1:15" ht="15.75" customHeight="1">
      <c r="A4" s="186" t="s">
        <v>211</v>
      </c>
      <c r="B4" s="186"/>
      <c r="C4" s="186" t="s">
        <v>440</v>
      </c>
      <c r="D4" s="186" t="s">
        <v>441</v>
      </c>
      <c r="E4" s="186"/>
      <c r="F4" s="114" t="s">
        <v>212</v>
      </c>
      <c r="G4" s="115"/>
      <c r="H4" s="115"/>
      <c r="I4" s="115"/>
      <c r="J4" s="115"/>
      <c r="K4" s="115"/>
      <c r="L4" s="186" t="s">
        <v>442</v>
      </c>
      <c r="M4" s="186"/>
      <c r="N4" s="186" t="s">
        <v>443</v>
      </c>
      <c r="O4" s="186"/>
    </row>
    <row r="5" spans="1:15">
      <c r="A5" s="186"/>
      <c r="B5" s="186"/>
      <c r="C5" s="186"/>
      <c r="D5" s="186"/>
      <c r="E5" s="186"/>
      <c r="F5" s="116" t="s">
        <v>233</v>
      </c>
      <c r="G5" s="117"/>
      <c r="H5" s="117"/>
      <c r="I5" s="117"/>
      <c r="J5" s="117"/>
      <c r="K5" s="117"/>
      <c r="L5" s="186"/>
      <c r="M5" s="186"/>
      <c r="N5" s="186"/>
      <c r="O5" s="186"/>
    </row>
    <row r="6" spans="1:15" ht="49.5" customHeight="1">
      <c r="A6" s="186"/>
      <c r="B6" s="186"/>
      <c r="C6" s="186"/>
      <c r="D6" s="186"/>
      <c r="E6" s="186"/>
      <c r="F6" s="190" t="s">
        <v>213</v>
      </c>
      <c r="G6" s="190"/>
      <c r="H6" s="190" t="s">
        <v>214</v>
      </c>
      <c r="I6" s="190"/>
      <c r="J6" s="190" t="s">
        <v>215</v>
      </c>
      <c r="K6" s="191"/>
      <c r="L6" s="186"/>
      <c r="M6" s="186"/>
      <c r="N6" s="186"/>
      <c r="O6" s="186"/>
    </row>
    <row r="7" spans="1:15" ht="100.5" customHeight="1">
      <c r="A7" s="186"/>
      <c r="B7" s="186"/>
      <c r="C7" s="186"/>
      <c r="D7" s="36" t="s">
        <v>216</v>
      </c>
      <c r="E7" s="36" t="s">
        <v>217</v>
      </c>
      <c r="F7" s="36" t="s">
        <v>216</v>
      </c>
      <c r="G7" s="36" t="s">
        <v>217</v>
      </c>
      <c r="H7" s="36" t="s">
        <v>216</v>
      </c>
      <c r="I7" s="36" t="s">
        <v>217</v>
      </c>
      <c r="J7" s="36" t="s">
        <v>216</v>
      </c>
      <c r="K7" s="36" t="s">
        <v>217</v>
      </c>
      <c r="L7" s="36" t="s">
        <v>216</v>
      </c>
      <c r="M7" s="36" t="s">
        <v>217</v>
      </c>
      <c r="N7" s="36" t="s">
        <v>216</v>
      </c>
      <c r="O7" s="36" t="s">
        <v>217</v>
      </c>
    </row>
    <row r="8" spans="1:15" s="50" customFormat="1">
      <c r="A8" s="193">
        <v>1</v>
      </c>
      <c r="B8" s="193"/>
      <c r="C8" s="121">
        <v>2</v>
      </c>
      <c r="D8" s="121">
        <v>3</v>
      </c>
      <c r="E8" s="121">
        <v>4</v>
      </c>
      <c r="F8" s="121">
        <v>5</v>
      </c>
      <c r="G8" s="121">
        <v>6</v>
      </c>
      <c r="H8" s="121">
        <v>7</v>
      </c>
      <c r="I8" s="121">
        <v>8</v>
      </c>
      <c r="J8" s="121">
        <v>9</v>
      </c>
      <c r="K8" s="121">
        <v>10</v>
      </c>
      <c r="L8" s="121">
        <v>5</v>
      </c>
      <c r="M8" s="121">
        <v>6</v>
      </c>
      <c r="N8" s="121" t="s">
        <v>436</v>
      </c>
      <c r="O8" s="121" t="s">
        <v>437</v>
      </c>
    </row>
    <row r="9" spans="1:15" s="40" customFormat="1" ht="21" customHeight="1">
      <c r="A9" s="187" t="s">
        <v>234</v>
      </c>
      <c r="B9" s="188"/>
      <c r="C9" s="41">
        <f>C10+C16</f>
        <v>150656267.052816</v>
      </c>
      <c r="D9" s="41">
        <f t="shared" ref="D9:O9" si="0">D10+D16</f>
        <v>33937836.784484491</v>
      </c>
      <c r="E9" s="41">
        <f t="shared" si="0"/>
        <v>119924120.99000001</v>
      </c>
      <c r="F9" s="41" t="e">
        <f t="shared" si="0"/>
        <v>#REF!</v>
      </c>
      <c r="G9" s="41" t="e">
        <f t="shared" si="0"/>
        <v>#REF!</v>
      </c>
      <c r="H9" s="41" t="e">
        <f t="shared" si="0"/>
        <v>#REF!</v>
      </c>
      <c r="I9" s="41" t="e">
        <f t="shared" si="0"/>
        <v>#REF!</v>
      </c>
      <c r="J9" s="41" t="e">
        <f t="shared" si="0"/>
        <v>#REF!</v>
      </c>
      <c r="K9" s="41" t="e">
        <f t="shared" si="0"/>
        <v>#REF!</v>
      </c>
      <c r="L9" s="41">
        <f t="shared" si="0"/>
        <v>28998140.771052003</v>
      </c>
      <c r="M9" s="41">
        <f t="shared" si="0"/>
        <v>86205251.113999993</v>
      </c>
      <c r="N9" s="41">
        <f t="shared" si="0"/>
        <v>62935977.555536494</v>
      </c>
      <c r="O9" s="41">
        <f t="shared" si="0"/>
        <v>209129372.104</v>
      </c>
    </row>
    <row r="10" spans="1:15" s="33" customFormat="1" ht="35.25" customHeight="1">
      <c r="A10" s="194" t="s">
        <v>218</v>
      </c>
      <c r="B10" s="194"/>
      <c r="C10" s="42">
        <f>C11+C15</f>
        <v>61454575</v>
      </c>
      <c r="D10" s="42">
        <f t="shared" ref="D10:O10" si="1">D11+D15</f>
        <v>28280448.599527657</v>
      </c>
      <c r="E10" s="42">
        <f t="shared" si="1"/>
        <v>45075220.990000002</v>
      </c>
      <c r="F10" s="42">
        <f t="shared" si="1"/>
        <v>25186289.997563656</v>
      </c>
      <c r="G10" s="42">
        <f t="shared" si="1"/>
        <v>38668960.379999995</v>
      </c>
      <c r="H10" s="42">
        <f t="shared" si="1"/>
        <v>27776054.593563657</v>
      </c>
      <c r="I10" s="42">
        <f t="shared" si="1"/>
        <v>42612817.940999992</v>
      </c>
      <c r="J10" s="42">
        <f t="shared" si="1"/>
        <v>30418489.189563658</v>
      </c>
      <c r="K10" s="42">
        <f t="shared" si="1"/>
        <v>46671675.501999989</v>
      </c>
      <c r="L10" s="42">
        <f t="shared" si="1"/>
        <v>9625064.6715000011</v>
      </c>
      <c r="M10" s="42">
        <f t="shared" si="1"/>
        <v>16105251.114</v>
      </c>
      <c r="N10" s="42">
        <f t="shared" si="1"/>
        <v>37905513.271027654</v>
      </c>
      <c r="O10" s="42">
        <f t="shared" si="1"/>
        <v>61180472.104000002</v>
      </c>
    </row>
    <row r="11" spans="1:15" s="34" customFormat="1" ht="67.5" customHeight="1">
      <c r="A11" s="37" t="s">
        <v>35</v>
      </c>
      <c r="B11" s="37" t="s">
        <v>219</v>
      </c>
      <c r="C11" s="43">
        <v>23055239</v>
      </c>
      <c r="D11" s="43">
        <f>D12+D13+D14</f>
        <v>3685746.3414640003</v>
      </c>
      <c r="E11" s="43">
        <f t="shared" ref="E11:O11" si="2">E12+E13+E14</f>
        <v>7606081.4800000014</v>
      </c>
      <c r="F11" s="43">
        <f t="shared" si="2"/>
        <v>591587.73950000003</v>
      </c>
      <c r="G11" s="43">
        <f t="shared" si="2"/>
        <v>1199820.8700000001</v>
      </c>
      <c r="H11" s="43">
        <f t="shared" si="2"/>
        <v>1235997.7395000001</v>
      </c>
      <c r="I11" s="43">
        <f t="shared" si="2"/>
        <v>2514820.87</v>
      </c>
      <c r="J11" s="43">
        <f t="shared" si="2"/>
        <v>1933077.7394999999</v>
      </c>
      <c r="K11" s="43">
        <f t="shared" si="2"/>
        <v>3944820.87</v>
      </c>
      <c r="L11" s="43">
        <f t="shared" si="2"/>
        <v>2722747.7395000001</v>
      </c>
      <c r="M11" s="43">
        <f t="shared" si="2"/>
        <v>5589820.8700000001</v>
      </c>
      <c r="N11" s="43">
        <f t="shared" si="2"/>
        <v>6408494.0809640009</v>
      </c>
      <c r="O11" s="43">
        <f t="shared" si="2"/>
        <v>13195902.350000001</v>
      </c>
    </row>
    <row r="12" spans="1:15" ht="21" customHeight="1">
      <c r="A12" s="195" t="s">
        <v>220</v>
      </c>
      <c r="B12" s="195"/>
      <c r="C12" s="45">
        <v>6579000</v>
      </c>
      <c r="D12" s="45">
        <v>2461281.3404640006</v>
      </c>
      <c r="E12" s="45">
        <v>6165534.4200000018</v>
      </c>
      <c r="F12" s="45">
        <v>379240</v>
      </c>
      <c r="G12" s="45">
        <f>950000</f>
        <v>950000</v>
      </c>
      <c r="H12" s="45">
        <f>419160+F12</f>
        <v>798400</v>
      </c>
      <c r="I12" s="45">
        <f>1050000+G12</f>
        <v>2000000</v>
      </c>
      <c r="J12" s="45">
        <f>459080+H12</f>
        <v>1257480</v>
      </c>
      <c r="K12" s="45">
        <f>1150000+I12</f>
        <v>3150000</v>
      </c>
      <c r="L12" s="45">
        <v>1796400</v>
      </c>
      <c r="M12" s="45">
        <v>4500000</v>
      </c>
      <c r="N12" s="45">
        <f t="shared" ref="N12:O15" si="3">D12+L12</f>
        <v>4257681.3404640006</v>
      </c>
      <c r="O12" s="45">
        <f t="shared" si="3"/>
        <v>10665534.420000002</v>
      </c>
    </row>
    <row r="13" spans="1:15" ht="21" customHeight="1">
      <c r="A13" s="195" t="s">
        <v>221</v>
      </c>
      <c r="B13" s="195"/>
      <c r="C13" s="45">
        <v>1360000</v>
      </c>
      <c r="D13" s="45">
        <v>132752.2605</v>
      </c>
      <c r="E13" s="45">
        <v>156179.13</v>
      </c>
      <c r="F13" s="45">
        <v>59347.739499999996</v>
      </c>
      <c r="G13" s="45">
        <v>69820.87</v>
      </c>
      <c r="H13" s="45">
        <f>68000+F13</f>
        <v>127347.7395</v>
      </c>
      <c r="I13" s="45">
        <f>G13+80000</f>
        <v>149820.87</v>
      </c>
      <c r="J13" s="45">
        <f>H13+80750</f>
        <v>208097.7395</v>
      </c>
      <c r="K13" s="45">
        <f>I13+95000</f>
        <v>244820.87</v>
      </c>
      <c r="L13" s="45">
        <v>297347.73949999997</v>
      </c>
      <c r="M13" s="45">
        <v>349820.87</v>
      </c>
      <c r="N13" s="45">
        <f t="shared" si="3"/>
        <v>430100</v>
      </c>
      <c r="O13" s="45">
        <f t="shared" si="3"/>
        <v>506000</v>
      </c>
    </row>
    <row r="14" spans="1:15" ht="21" customHeight="1">
      <c r="A14" s="195" t="s">
        <v>222</v>
      </c>
      <c r="B14" s="195"/>
      <c r="C14" s="45">
        <v>2310300</v>
      </c>
      <c r="D14" s="45">
        <v>1091712.7404999998</v>
      </c>
      <c r="E14" s="45">
        <v>1284367.93</v>
      </c>
      <c r="F14" s="45">
        <v>153000</v>
      </c>
      <c r="G14" s="45">
        <v>180000</v>
      </c>
      <c r="H14" s="45">
        <f>+F14+157250</f>
        <v>310250</v>
      </c>
      <c r="I14" s="45">
        <f>G14+185000</f>
        <v>365000</v>
      </c>
      <c r="J14" s="45">
        <f>H14+157250</f>
        <v>467500</v>
      </c>
      <c r="K14" s="45">
        <f>I14+185000</f>
        <v>550000</v>
      </c>
      <c r="L14" s="45">
        <v>629000</v>
      </c>
      <c r="M14" s="45">
        <v>740000</v>
      </c>
      <c r="N14" s="45">
        <f t="shared" si="3"/>
        <v>1720712.7404999998</v>
      </c>
      <c r="O14" s="45">
        <f t="shared" si="3"/>
        <v>2024367.93</v>
      </c>
    </row>
    <row r="15" spans="1:15" s="34" customFormat="1" ht="49.5" customHeight="1">
      <c r="A15" s="37" t="s">
        <v>147</v>
      </c>
      <c r="B15" s="37" t="s">
        <v>223</v>
      </c>
      <c r="C15" s="43">
        <v>38399336</v>
      </c>
      <c r="D15" s="44">
        <v>24594702.258063655</v>
      </c>
      <c r="E15" s="44">
        <v>37469139.509999998</v>
      </c>
      <c r="F15" s="44">
        <v>24594702.258063655</v>
      </c>
      <c r="G15" s="44">
        <v>37469139.509999998</v>
      </c>
      <c r="H15" s="44">
        <f>F15+1945354.596</f>
        <v>26540056.854063656</v>
      </c>
      <c r="I15" s="44">
        <f>G15+2628857.561</f>
        <v>40097997.070999995</v>
      </c>
      <c r="J15" s="44">
        <f>H15+1945354.596</f>
        <v>28485411.450063657</v>
      </c>
      <c r="K15" s="44">
        <f>I15+2628857.561</f>
        <v>42726854.631999992</v>
      </c>
      <c r="L15" s="44">
        <v>6902316.932</v>
      </c>
      <c r="M15" s="44">
        <v>10515430.244000001</v>
      </c>
      <c r="N15" s="44">
        <f t="shared" si="3"/>
        <v>31497019.190063655</v>
      </c>
      <c r="O15" s="44">
        <f t="shared" si="3"/>
        <v>47984569.754000001</v>
      </c>
    </row>
    <row r="16" spans="1:15" s="33" customFormat="1" ht="21" customHeight="1">
      <c r="A16" s="194" t="s">
        <v>224</v>
      </c>
      <c r="B16" s="194"/>
      <c r="C16" s="46">
        <f>C17+C25+C28</f>
        <v>89201692.052816004</v>
      </c>
      <c r="D16" s="46">
        <f t="shared" ref="D16:O16" si="4">D17+D25+D28</f>
        <v>5657388.1849568374</v>
      </c>
      <c r="E16" s="46">
        <f t="shared" si="4"/>
        <v>74848900</v>
      </c>
      <c r="F16" s="46" t="e">
        <f t="shared" si="4"/>
        <v>#REF!</v>
      </c>
      <c r="G16" s="46" t="e">
        <f t="shared" si="4"/>
        <v>#REF!</v>
      </c>
      <c r="H16" s="46" t="e">
        <f t="shared" si="4"/>
        <v>#REF!</v>
      </c>
      <c r="I16" s="46" t="e">
        <f t="shared" si="4"/>
        <v>#REF!</v>
      </c>
      <c r="J16" s="46" t="e">
        <f t="shared" si="4"/>
        <v>#REF!</v>
      </c>
      <c r="K16" s="46" t="e">
        <f t="shared" si="4"/>
        <v>#REF!</v>
      </c>
      <c r="L16" s="46">
        <f t="shared" si="4"/>
        <v>19373076.099552002</v>
      </c>
      <c r="M16" s="46">
        <f t="shared" si="4"/>
        <v>70100000</v>
      </c>
      <c r="N16" s="46">
        <f t="shared" si="4"/>
        <v>25030464.284508839</v>
      </c>
      <c r="O16" s="46">
        <f t="shared" si="4"/>
        <v>147948900</v>
      </c>
    </row>
    <row r="17" spans="1:15" s="34" customFormat="1" ht="91.5" customHeight="1">
      <c r="A17" s="37" t="s">
        <v>11</v>
      </c>
      <c r="B17" s="37" t="s">
        <v>431</v>
      </c>
      <c r="C17" s="43">
        <v>58529801.052815996</v>
      </c>
      <c r="D17" s="43">
        <f>D20+D24</f>
        <v>5657388.1849568374</v>
      </c>
      <c r="E17" s="43">
        <f t="shared" ref="E17:O17" si="5">E20+E24</f>
        <v>10936900</v>
      </c>
      <c r="F17" s="43">
        <f t="shared" si="5"/>
        <v>3564824.0598880001</v>
      </c>
      <c r="G17" s="43">
        <f t="shared" si="5"/>
        <v>7400000</v>
      </c>
      <c r="H17" s="43">
        <f t="shared" si="5"/>
        <v>7129648.1197760003</v>
      </c>
      <c r="I17" s="43">
        <f t="shared" si="5"/>
        <v>14800000</v>
      </c>
      <c r="J17" s="43">
        <f t="shared" si="5"/>
        <v>10694472.179663999</v>
      </c>
      <c r="K17" s="43">
        <f t="shared" si="5"/>
        <v>22200000</v>
      </c>
      <c r="L17" s="43">
        <f t="shared" si="5"/>
        <v>14259296.239552001</v>
      </c>
      <c r="M17" s="43">
        <f t="shared" si="5"/>
        <v>29600000</v>
      </c>
      <c r="N17" s="43">
        <f t="shared" si="5"/>
        <v>19916684.42450884</v>
      </c>
      <c r="O17" s="43">
        <f t="shared" si="5"/>
        <v>40536900</v>
      </c>
    </row>
    <row r="18" spans="1:15" ht="21" customHeight="1">
      <c r="A18" s="192" t="s">
        <v>432</v>
      </c>
      <c r="B18" s="192"/>
      <c r="C18" s="38">
        <v>14072739</v>
      </c>
      <c r="D18" s="38">
        <f>E18*0.5*0.910168</f>
        <v>1666917.626836</v>
      </c>
      <c r="E18" s="39">
        <v>3662879</v>
      </c>
      <c r="F18" s="39">
        <f>G18*0.5*0.910168</f>
        <v>1274235.2</v>
      </c>
      <c r="G18" s="39">
        <v>2800000</v>
      </c>
      <c r="H18" s="39">
        <f>I18*0.5*0.910168</f>
        <v>2548470.4</v>
      </c>
      <c r="I18" s="39">
        <v>5600000</v>
      </c>
      <c r="J18" s="39">
        <f>K18*0.5*0.910168</f>
        <v>3822705.6</v>
      </c>
      <c r="K18" s="39">
        <v>8400000</v>
      </c>
      <c r="L18" s="39">
        <f>M18*0.5*0.910168</f>
        <v>5096940.8</v>
      </c>
      <c r="M18" s="39">
        <v>11200000</v>
      </c>
      <c r="N18" s="39">
        <f>D18+L18</f>
        <v>6763858.4268359998</v>
      </c>
      <c r="O18" s="39">
        <f>E18+M18</f>
        <v>14862879</v>
      </c>
    </row>
    <row r="19" spans="1:15" ht="21" customHeight="1">
      <c r="A19" s="192" t="s">
        <v>433</v>
      </c>
      <c r="B19" s="192"/>
      <c r="C19" s="38">
        <v>14072739</v>
      </c>
      <c r="D19" s="38">
        <f>E19*0.5*0.910168</f>
        <v>1599174.2776800001</v>
      </c>
      <c r="E19" s="39">
        <v>3514020</v>
      </c>
      <c r="F19" s="39">
        <f>G19*0.5*0.910168</f>
        <v>1592794</v>
      </c>
      <c r="G19" s="39">
        <v>3500000</v>
      </c>
      <c r="H19" s="39">
        <f>I19*0.5*0.910168</f>
        <v>3185588</v>
      </c>
      <c r="I19" s="39">
        <v>7000000</v>
      </c>
      <c r="J19" s="39">
        <f>K19*0.5*0.910168</f>
        <v>4778382</v>
      </c>
      <c r="K19" s="39">
        <v>10500000</v>
      </c>
      <c r="L19" s="39">
        <f>M19*0.5*0.910168</f>
        <v>6371176</v>
      </c>
      <c r="M19" s="39">
        <v>14000000</v>
      </c>
      <c r="N19" s="39">
        <f t="shared" ref="N19" si="6">D19+L19</f>
        <v>7970350.2776800003</v>
      </c>
      <c r="O19" s="39">
        <f>E19+M19</f>
        <v>17514020</v>
      </c>
    </row>
    <row r="20" spans="1:15" s="32" customFormat="1" ht="21" customHeight="1">
      <c r="A20" s="189" t="s">
        <v>225</v>
      </c>
      <c r="B20" s="189"/>
      <c r="C20" s="47">
        <f>C18+C19</f>
        <v>28145478</v>
      </c>
      <c r="D20" s="48">
        <f t="shared" ref="D20:M20" si="7">SUM(D18:D19)</f>
        <v>3266091.9045160003</v>
      </c>
      <c r="E20" s="47">
        <f t="shared" si="7"/>
        <v>7176899</v>
      </c>
      <c r="F20" s="48">
        <f t="shared" si="7"/>
        <v>2867029.2</v>
      </c>
      <c r="G20" s="48">
        <f t="shared" si="7"/>
        <v>6300000</v>
      </c>
      <c r="H20" s="48">
        <f t="shared" si="7"/>
        <v>5734058.4000000004</v>
      </c>
      <c r="I20" s="48">
        <f t="shared" si="7"/>
        <v>12600000</v>
      </c>
      <c r="J20" s="48">
        <f t="shared" si="7"/>
        <v>8601087.5999999996</v>
      </c>
      <c r="K20" s="48">
        <f t="shared" si="7"/>
        <v>18900000</v>
      </c>
      <c r="L20" s="48">
        <f t="shared" si="7"/>
        <v>11468116.800000001</v>
      </c>
      <c r="M20" s="48">
        <f t="shared" si="7"/>
        <v>25200000</v>
      </c>
      <c r="N20" s="48">
        <f t="shared" ref="N20:N24" si="8">D20+L20</f>
        <v>14734208.704516001</v>
      </c>
      <c r="O20" s="48">
        <f>M20+E20</f>
        <v>32376899</v>
      </c>
    </row>
    <row r="21" spans="1:15" ht="21" customHeight="1">
      <c r="A21" s="192" t="s">
        <v>434</v>
      </c>
      <c r="B21" s="192"/>
      <c r="C21" s="38">
        <v>12793399</v>
      </c>
      <c r="D21" s="38">
        <f>E21*0.666666*0.910168</f>
        <v>1921139.4323093132</v>
      </c>
      <c r="E21" s="39">
        <v>3166132</v>
      </c>
      <c r="F21" s="39">
        <f>G21*0.666666*0.910168</f>
        <v>455083.54491599998</v>
      </c>
      <c r="G21" s="39">
        <v>750000</v>
      </c>
      <c r="H21" s="39">
        <f>I21*0.666666*0.910168</f>
        <v>910167.08983199997</v>
      </c>
      <c r="I21" s="39">
        <v>1500000</v>
      </c>
      <c r="J21" s="39">
        <f>K21*0.666666*0.910168</f>
        <v>1365250.634748</v>
      </c>
      <c r="K21" s="39">
        <v>2250000</v>
      </c>
      <c r="L21" s="39">
        <f>M21*0.666666*0.910168</f>
        <v>1820334.1796639999</v>
      </c>
      <c r="M21" s="39">
        <v>3000000</v>
      </c>
      <c r="N21" s="39">
        <f t="shared" si="8"/>
        <v>3741473.6119733131</v>
      </c>
      <c r="O21" s="39">
        <f t="shared" ref="O21:O23" si="9">M21+E21</f>
        <v>6166132</v>
      </c>
    </row>
    <row r="22" spans="1:15" ht="21" customHeight="1">
      <c r="A22" s="192" t="s">
        <v>435</v>
      </c>
      <c r="B22" s="192"/>
      <c r="C22" s="38">
        <v>1919010</v>
      </c>
      <c r="D22" s="38">
        <f>E22*0.910168</f>
        <v>329429.84659199999</v>
      </c>
      <c r="E22" s="39">
        <v>361944</v>
      </c>
      <c r="F22" s="39">
        <f>G22*0.910168</f>
        <v>91016.8</v>
      </c>
      <c r="G22" s="39">
        <v>100000</v>
      </c>
      <c r="H22" s="39">
        <f>I22*0.910168</f>
        <v>182033.6</v>
      </c>
      <c r="I22" s="39">
        <v>200000</v>
      </c>
      <c r="J22" s="39">
        <f>K22*0.910168</f>
        <v>273050.39999999997</v>
      </c>
      <c r="K22" s="39">
        <v>300000</v>
      </c>
      <c r="L22" s="39">
        <f>M22*0.910168</f>
        <v>364067.2</v>
      </c>
      <c r="M22" s="39">
        <v>400000</v>
      </c>
      <c r="N22" s="39">
        <f t="shared" si="8"/>
        <v>693497.04659199994</v>
      </c>
      <c r="O22" s="39">
        <f t="shared" si="9"/>
        <v>761944</v>
      </c>
    </row>
    <row r="23" spans="1:15" ht="33.75" customHeight="1">
      <c r="A23" s="192" t="s">
        <v>231</v>
      </c>
      <c r="B23" s="192"/>
      <c r="C23" s="38">
        <v>2579265</v>
      </c>
      <c r="D23" s="38">
        <f>E23*0.666666*0.910168</f>
        <v>140727.00153952438</v>
      </c>
      <c r="E23" s="39">
        <v>231925</v>
      </c>
      <c r="F23" s="39">
        <f>G23*0.666666*0.910168</f>
        <v>151694.514972</v>
      </c>
      <c r="G23" s="39">
        <v>250000</v>
      </c>
      <c r="H23" s="39">
        <f>I23*0.666666*0.910168</f>
        <v>303389.02994400001</v>
      </c>
      <c r="I23" s="39">
        <v>500000</v>
      </c>
      <c r="J23" s="39">
        <f>K23*0.666666*0.910168</f>
        <v>455083.54491599998</v>
      </c>
      <c r="K23" s="39">
        <v>750000</v>
      </c>
      <c r="L23" s="39">
        <f>M23*0.666666*0.910168</f>
        <v>606778.05988800002</v>
      </c>
      <c r="M23" s="39">
        <v>1000000</v>
      </c>
      <c r="N23" s="39">
        <f t="shared" si="8"/>
        <v>747505.06142752443</v>
      </c>
      <c r="O23" s="39">
        <f t="shared" si="9"/>
        <v>1231925</v>
      </c>
    </row>
    <row r="24" spans="1:15" s="32" customFormat="1" ht="21" customHeight="1">
      <c r="A24" s="189" t="s">
        <v>232</v>
      </c>
      <c r="B24" s="189"/>
      <c r="C24" s="47">
        <f>C23+C22+C21</f>
        <v>17291674</v>
      </c>
      <c r="D24" s="48">
        <f t="shared" ref="D24:M24" si="10">SUM(D21:D23)</f>
        <v>2391296.2804408376</v>
      </c>
      <c r="E24" s="47">
        <f t="shared" si="10"/>
        <v>3760001</v>
      </c>
      <c r="F24" s="48">
        <f t="shared" si="10"/>
        <v>697794.85988800006</v>
      </c>
      <c r="G24" s="48">
        <f t="shared" si="10"/>
        <v>1100000</v>
      </c>
      <c r="H24" s="48">
        <f t="shared" si="10"/>
        <v>1395589.7197760001</v>
      </c>
      <c r="I24" s="48">
        <f t="shared" si="10"/>
        <v>2200000</v>
      </c>
      <c r="J24" s="48">
        <f t="shared" si="10"/>
        <v>2093384.5796639998</v>
      </c>
      <c r="K24" s="48">
        <f t="shared" si="10"/>
        <v>3300000</v>
      </c>
      <c r="L24" s="48">
        <f t="shared" si="10"/>
        <v>2791179.4395520003</v>
      </c>
      <c r="M24" s="48">
        <f t="shared" si="10"/>
        <v>4400000</v>
      </c>
      <c r="N24" s="48">
        <f t="shared" si="8"/>
        <v>5182475.7199928379</v>
      </c>
      <c r="O24" s="49">
        <f>E24+M24</f>
        <v>8160001</v>
      </c>
    </row>
    <row r="25" spans="1:15" s="34" customFormat="1" ht="64.5" customHeight="1">
      <c r="A25" s="37" t="s">
        <v>14</v>
      </c>
      <c r="B25" s="37" t="s">
        <v>226</v>
      </c>
      <c r="C25" s="43">
        <v>20000000</v>
      </c>
      <c r="D25" s="43">
        <f>D26+D27</f>
        <v>0</v>
      </c>
      <c r="E25" s="43">
        <f t="shared" ref="E25:O25" si="11">E26+E27</f>
        <v>63912000</v>
      </c>
      <c r="F25" s="43">
        <f t="shared" si="11"/>
        <v>5022000</v>
      </c>
      <c r="G25" s="43">
        <f t="shared" si="11"/>
        <v>20088000</v>
      </c>
      <c r="H25" s="43">
        <f t="shared" si="11"/>
        <v>7022000</v>
      </c>
      <c r="I25" s="43">
        <f t="shared" si="11"/>
        <v>28088000</v>
      </c>
      <c r="J25" s="43">
        <f t="shared" si="11"/>
        <v>9022000</v>
      </c>
      <c r="K25" s="43">
        <f t="shared" si="11"/>
        <v>36088000</v>
      </c>
      <c r="L25" s="43">
        <f t="shared" si="11"/>
        <v>0</v>
      </c>
      <c r="M25" s="43">
        <f t="shared" si="11"/>
        <v>32000000</v>
      </c>
      <c r="N25" s="43">
        <f t="shared" si="11"/>
        <v>0</v>
      </c>
      <c r="O25" s="43">
        <f t="shared" si="11"/>
        <v>98912000</v>
      </c>
    </row>
    <row r="26" spans="1:15" ht="21" customHeight="1">
      <c r="A26" s="192" t="s">
        <v>227</v>
      </c>
      <c r="B26" s="192"/>
      <c r="C26" s="38">
        <v>15000000</v>
      </c>
      <c r="D26" s="43"/>
      <c r="E26" s="39">
        <v>60112000</v>
      </c>
      <c r="F26" s="39">
        <f>G26/4</f>
        <v>4897000</v>
      </c>
      <c r="G26" s="39">
        <f>79700000-E26</f>
        <v>19588000</v>
      </c>
      <c r="H26" s="39">
        <f>I26/4</f>
        <v>6772000</v>
      </c>
      <c r="I26" s="39">
        <f>87200000-E26</f>
        <v>27088000</v>
      </c>
      <c r="J26" s="39">
        <f>K26/4</f>
        <v>8647000</v>
      </c>
      <c r="K26" s="39">
        <f>94700000-E26</f>
        <v>34588000</v>
      </c>
      <c r="L26" s="118"/>
      <c r="M26" s="39">
        <v>30000000</v>
      </c>
      <c r="N26" s="118"/>
      <c r="O26" s="39">
        <f t="shared" ref="O26" si="12">E26+M26</f>
        <v>90112000</v>
      </c>
    </row>
    <row r="27" spans="1:15" ht="21" customHeight="1">
      <c r="A27" s="192" t="s">
        <v>228</v>
      </c>
      <c r="B27" s="192"/>
      <c r="C27" s="38">
        <v>5000000</v>
      </c>
      <c r="D27" s="43"/>
      <c r="E27" s="39">
        <v>3800000</v>
      </c>
      <c r="F27" s="39">
        <f>G27/4</f>
        <v>125000</v>
      </c>
      <c r="G27" s="39">
        <f>4300000-E27</f>
        <v>500000</v>
      </c>
      <c r="H27" s="39">
        <f>I27/4</f>
        <v>250000</v>
      </c>
      <c r="I27" s="39">
        <f>4800000-E27</f>
        <v>1000000</v>
      </c>
      <c r="J27" s="39">
        <f>K27/4</f>
        <v>375000</v>
      </c>
      <c r="K27" s="39">
        <f>5300000-E27</f>
        <v>1500000</v>
      </c>
      <c r="L27" s="118"/>
      <c r="M27" s="39">
        <f>5800000-E27</f>
        <v>2000000</v>
      </c>
      <c r="N27" s="118"/>
      <c r="O27" s="119">
        <f t="shared" ref="O27" si="13">E27+G27+I27+K27+M27</f>
        <v>8800000</v>
      </c>
    </row>
    <row r="28" spans="1:15" s="34" customFormat="1" ht="77.25" customHeight="1">
      <c r="A28" s="37" t="s">
        <v>148</v>
      </c>
      <c r="B28" s="37" t="s">
        <v>229</v>
      </c>
      <c r="C28" s="43">
        <v>10671891</v>
      </c>
      <c r="D28" s="43">
        <v>0</v>
      </c>
      <c r="E28" s="44">
        <v>0</v>
      </c>
      <c r="F28" s="44" t="e">
        <f>#REF!+#REF!</f>
        <v>#REF!</v>
      </c>
      <c r="G28" s="44" t="e">
        <f>#REF!+#REF!</f>
        <v>#REF!</v>
      </c>
      <c r="H28" s="44" t="e">
        <f>#REF!+#REF!</f>
        <v>#REF!</v>
      </c>
      <c r="I28" s="44" t="e">
        <f>#REF!+#REF!</f>
        <v>#REF!</v>
      </c>
      <c r="J28" s="44" t="e">
        <f>#REF!+#REF!</f>
        <v>#REF!</v>
      </c>
      <c r="K28" s="44" t="e">
        <f>#REF!+#REF!</f>
        <v>#REF!</v>
      </c>
      <c r="L28" s="43">
        <f>M28*0.60162116</f>
        <v>5113779.8600000003</v>
      </c>
      <c r="M28" s="43">
        <v>8500000</v>
      </c>
      <c r="N28" s="43">
        <f>O28*0.60162116</f>
        <v>5113779.8600000003</v>
      </c>
      <c r="O28" s="43">
        <v>8500000</v>
      </c>
    </row>
    <row r="29" spans="1:15">
      <c r="A29" s="35" t="s">
        <v>230</v>
      </c>
      <c r="B29" s="122"/>
      <c r="C29" s="120"/>
      <c r="D29" s="120"/>
      <c r="E29" s="120"/>
      <c r="F29" s="120"/>
      <c r="G29" s="120"/>
      <c r="H29" s="120"/>
      <c r="I29" s="120"/>
      <c r="J29" s="120"/>
      <c r="K29" s="120"/>
      <c r="L29" s="120"/>
      <c r="M29" s="120"/>
      <c r="N29" s="35"/>
      <c r="O29" s="35"/>
    </row>
    <row r="30" spans="1:15">
      <c r="A30" s="35" t="s">
        <v>444</v>
      </c>
      <c r="B30" s="35"/>
      <c r="C30" s="35"/>
      <c r="D30" s="35"/>
      <c r="E30" s="35"/>
      <c r="F30" s="35"/>
      <c r="G30" s="35"/>
      <c r="H30" s="35"/>
      <c r="I30" s="35"/>
      <c r="J30" s="35"/>
      <c r="K30" s="35"/>
      <c r="L30" s="35"/>
      <c r="M30" s="35"/>
      <c r="N30" s="35"/>
      <c r="O30" s="35"/>
    </row>
    <row r="31" spans="1:15" ht="78" customHeight="1"/>
    <row r="32" spans="1:15" s="3" customFormat="1" ht="20.25">
      <c r="A32" s="53"/>
      <c r="B32" s="54"/>
      <c r="C32" s="57" t="s">
        <v>453</v>
      </c>
      <c r="E32" s="56"/>
      <c r="F32" s="53"/>
      <c r="G32" s="57" t="s">
        <v>235</v>
      </c>
      <c r="H32" s="58"/>
      <c r="I32" s="58"/>
      <c r="J32" s="58"/>
      <c r="K32" s="59"/>
      <c r="N32" s="57" t="s">
        <v>452</v>
      </c>
      <c r="O32" s="58"/>
    </row>
    <row r="33" spans="1:15" s="3" customFormat="1" ht="20.25">
      <c r="B33" s="61"/>
      <c r="C33" s="62"/>
      <c r="D33" s="55"/>
      <c r="E33" s="59"/>
      <c r="F33" s="57"/>
      <c r="G33" s="63"/>
      <c r="H33"/>
      <c r="I33"/>
      <c r="J33"/>
      <c r="K33" s="59"/>
      <c r="L33" s="57"/>
      <c r="M33" s="63"/>
      <c r="N33"/>
      <c r="O33"/>
    </row>
    <row r="34" spans="1:15" s="3" customFormat="1">
      <c r="B34" s="61"/>
      <c r="C34" s="62"/>
      <c r="D34" s="65"/>
      <c r="E34" s="66"/>
      <c r="F34" s="62"/>
      <c r="G34" s="62"/>
      <c r="H34" s="62"/>
      <c r="I34" s="62"/>
      <c r="J34" s="62"/>
      <c r="K34" s="62"/>
      <c r="L34" s="62"/>
      <c r="M34" s="62"/>
      <c r="N34" s="62"/>
      <c r="O34" s="62"/>
    </row>
    <row r="35" spans="1:15" s="3" customFormat="1">
      <c r="B35" s="61"/>
      <c r="C35" s="62"/>
      <c r="D35" s="65"/>
      <c r="E35" s="66"/>
      <c r="F35" s="62"/>
      <c r="G35" s="62"/>
      <c r="H35" s="62"/>
      <c r="I35" s="62"/>
      <c r="J35" s="62"/>
      <c r="K35" s="62"/>
      <c r="L35" s="62"/>
      <c r="M35" s="62"/>
      <c r="N35" s="62"/>
      <c r="O35" s="62"/>
    </row>
    <row r="36" spans="1:15">
      <c r="A36" s="60" t="s">
        <v>451</v>
      </c>
    </row>
    <row r="37" spans="1:15">
      <c r="A37" s="60" t="s">
        <v>237</v>
      </c>
    </row>
    <row r="38" spans="1:15">
      <c r="A38" s="60" t="s">
        <v>238</v>
      </c>
    </row>
  </sheetData>
  <mergeCells count="25">
    <mergeCell ref="A24:B24"/>
    <mergeCell ref="A26:B26"/>
    <mergeCell ref="A27:B27"/>
    <mergeCell ref="A19:B19"/>
    <mergeCell ref="A8:B8"/>
    <mergeCell ref="A10:B10"/>
    <mergeCell ref="A12:B12"/>
    <mergeCell ref="A13:B13"/>
    <mergeCell ref="A21:B21"/>
    <mergeCell ref="A23:B23"/>
    <mergeCell ref="A22:B22"/>
    <mergeCell ref="A14:B14"/>
    <mergeCell ref="A16:B16"/>
    <mergeCell ref="A18:B18"/>
    <mergeCell ref="L4:M6"/>
    <mergeCell ref="N4:O6"/>
    <mergeCell ref="A2:O2"/>
    <mergeCell ref="A9:B9"/>
    <mergeCell ref="A20:B20"/>
    <mergeCell ref="J6:K6"/>
    <mergeCell ref="A4:B7"/>
    <mergeCell ref="C4:C7"/>
    <mergeCell ref="D4:E6"/>
    <mergeCell ref="F6:G6"/>
    <mergeCell ref="H6:I6"/>
  </mergeCells>
  <pageMargins left="0.7" right="0.7" top="0.75" bottom="0.75" header="0.3" footer="0.3"/>
  <pageSetup paperSize="9" scale="63" fitToHeight="0" orientation="portrait" verticalDpi="0" r:id="rId1"/>
  <headerFooter>
    <oddFooter>&amp;L&amp;F; Ieviesējinstitūciju mērķis maksājumiem / investīcijām  2012.gadam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Tabula Nr.1.</vt:lpstr>
      <vt:lpstr>Tabula Nr.2.</vt:lpstr>
      <vt:lpstr>'Tabula Nr.1.'!Print_Area</vt:lpstr>
      <vt:lpstr>'Tabula Nr.2.'!Print_Area</vt:lpstr>
      <vt:lpstr>'Tabula Nr.1.'!Print_Titles</vt:lpstr>
      <vt:lpstr>'Tabula Nr.2.'!Print_Titles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4.pielikums</dc:title>
  <dc:subject>Ieviesējinstitūciju mērķis maksājumiem / investīcijām 2012.gadam </dc:subject>
  <dc:creator>Sintija Laugale- Volbaka</dc:creator>
  <dc:description>Sintija Laugale- Volbaka
Finanšu ministrijas
Eiropas Savienības fondu uzraudzības departamenta
Uzņēmējdarbības un inovāciju uzraudzības
nodaļas eksperte
Tālr. 67083964, fakss 67095697</dc:description>
  <cp:lastModifiedBy>Lelde Torntone</cp:lastModifiedBy>
  <cp:lastPrinted>2012-03-01T10:07:04Z</cp:lastPrinted>
  <dcterms:created xsi:type="dcterms:W3CDTF">2009-08-28T08:44:59Z</dcterms:created>
  <dcterms:modified xsi:type="dcterms:W3CDTF">2012-03-01T10:07:13Z</dcterms:modified>
</cp:coreProperties>
</file>